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mbeddings/oleObject1.bin" ContentType="application/vnd.openxmlformats-officedocument.oleObject"/>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Lapaxsis-73\Documents\PROSPECTOS 2024\Expositores de Guadalajara\"/>
    </mc:Choice>
  </mc:AlternateContent>
  <xr:revisionPtr revIDLastSave="0" documentId="13_ncr:1_{E527739D-D3E1-415D-AC77-E27294412CFB}" xr6:coauthVersionLast="47" xr6:coauthVersionMax="47" xr10:uidLastSave="{00000000-0000-0000-0000-000000000000}"/>
  <bookViews>
    <workbookView xWindow="-110" yWindow="-110" windowWidth="19420" windowHeight="10420" tabRatio="914" activeTab="13" xr2:uid="{00000000-000D-0000-FFFF-FFFF00000000}"/>
  </bookViews>
  <sheets>
    <sheet name="Información proyecto" sheetId="1" r:id="rId1"/>
    <sheet name="Modelo" sheetId="8" r:id="rId2"/>
    <sheet name="CB_DATA_" sheetId="14" state="veryHidden" r:id="rId3"/>
    <sheet name="Alcance y tiempo" sheetId="2" r:id="rId4"/>
    <sheet name="ALCANCE COMPLETO" sheetId="21" state="hidden" r:id="rId5"/>
    <sheet name="PLAN INCREMENTOS" sheetId="17" state="hidden" r:id="rId6"/>
    <sheet name="Fechas y costos" sheetId="3" r:id="rId7"/>
    <sheet name="Inversión CELULA" sheetId="16" state="hidden" r:id="rId8"/>
    <sheet name="Inversión CELULA_V2 + .4" sheetId="18" state="hidden" r:id="rId9"/>
    <sheet name="Inversión CELULA_V2 + .25)" sheetId="19" state="hidden" r:id="rId10"/>
    <sheet name="Inversión" sheetId="4" r:id="rId11"/>
    <sheet name="Anexo 1 - Calendario" sheetId="9" state="hidden" r:id="rId12"/>
    <sheet name="Anexo 2-Flujo de pago - CELULA" sheetId="20" state="hidden" r:id="rId13"/>
    <sheet name="Anexo 2 - Flujo de pago" sheetId="6" r:id="rId14"/>
    <sheet name="Anexo 3 - Poliza Software" sheetId="10" state="hidden" r:id="rId15"/>
    <sheet name="Anexo 4 - Hosting" sheetId="11" r:id="rId16"/>
    <sheet name="Anexo 5 - Implementación" sheetId="12" state="hidden" r:id="rId17"/>
  </sheets>
  <externalReferences>
    <externalReference r:id="rId18"/>
    <externalReference r:id="rId19"/>
    <externalReference r:id="rId20"/>
  </externalReferences>
  <definedNames>
    <definedName name="_xlnm.Print_Area" localSheetId="3">'Alcance y tiempo'!$L$3:$P$148</definedName>
    <definedName name="_xlnm.Print_Area" localSheetId="0">'Información proyecto'!$C$3:$G$7</definedName>
    <definedName name="CB_09166b2ec0154478b993bb4fef3678c6" localSheetId="3" hidden="1">'Alcance y tiempo'!$CG$29</definedName>
    <definedName name="CB_12d86b3d2d5a462b85ed963701da0589" localSheetId="3" hidden="1">'Alcance y tiempo'!$CG$110</definedName>
    <definedName name="CB_130a95fb2b224770b60ebad7c689b58e" localSheetId="3" hidden="1">'Alcance y tiempo'!$CG$132</definedName>
    <definedName name="CB_15c68a1de5b246108dd1c3d4731f09d2" localSheetId="3" hidden="1">'Alcance y tiempo'!$CG$146</definedName>
    <definedName name="CB_1e3dff4f548d4a7895871e012b4ae717" localSheetId="3" hidden="1">'Alcance y tiempo'!$CG$37</definedName>
    <definedName name="CB_235f5bf8cd354461891c9e293b2c8975" localSheetId="3" hidden="1">'Alcance y tiempo'!$CG$120</definedName>
    <definedName name="CB_27a284d7dd2b470e91e788deccfcfd7e" localSheetId="3" hidden="1">'Alcance y tiempo'!$CG$109</definedName>
    <definedName name="CB_28f460271b0949f38982521da6cb1313" localSheetId="3" hidden="1">'Alcance y tiempo'!$CG$22</definedName>
    <definedName name="CB_2a82a1092324464f80818238dcbcb1ee" localSheetId="3" hidden="1">'Alcance y tiempo'!$CG$133</definedName>
    <definedName name="CB_2d7edc94b7ba475b85be892217509a57" localSheetId="3" hidden="1">'Alcance y tiempo'!$CG$137</definedName>
    <definedName name="CB_33a4efca2f1a47eeb6363fd033398cc2" localSheetId="3" hidden="1">'Alcance y tiempo'!$CG$14</definedName>
    <definedName name="CB_33a9784a91dd4193ad9e928029c6e489" localSheetId="3" hidden="1">'Alcance y tiempo'!$CG$145</definedName>
    <definedName name="CB_3a374365ae5d4aea91f2d1f561f527f9" localSheetId="3" hidden="1">'Alcance y tiempo'!$CG$36</definedName>
    <definedName name="CB_4cc059161eee4d5688473d9baabbe34f" localSheetId="3" hidden="1">'Alcance y tiempo'!$CG$39</definedName>
    <definedName name="CB_4de20ef2ded84f10aaabd1266b1c2b8d" localSheetId="3" hidden="1">'Alcance y tiempo'!$CG$125</definedName>
    <definedName name="CB_57bc3f0d5477438d91ab2029168ee1b7" localSheetId="3" hidden="1">'Alcance y tiempo'!$CG$30</definedName>
    <definedName name="CB_609b3a05ca844905b5f744c414c174dc" localSheetId="3" hidden="1">'Alcance y tiempo'!#REF!</definedName>
    <definedName name="CB_6189ae753fb74d2f956588e474080042" localSheetId="3" hidden="1">'Alcance y tiempo'!$CG$15</definedName>
    <definedName name="CB_633ad4bb3ae34891b1a0ec4c479fa0e8" localSheetId="3" hidden="1">'Alcance y tiempo'!$CG$136</definedName>
    <definedName name="CB_648237da825b4247a427110384b9bc0a" localSheetId="3" hidden="1">'Alcance y tiempo'!$CG$142</definedName>
    <definedName name="CB_64a1c1ba46474aa880a99aa31ce6dc0b" localSheetId="3" hidden="1">'Alcance y tiempo'!$CG$21</definedName>
    <definedName name="CB_65ad90514d7d4496a43506bdb3960232" localSheetId="3" hidden="1">'Alcance y tiempo'!$CG$113</definedName>
    <definedName name="CB_768af1f2aba74c358dc915d787517dee" localSheetId="3" hidden="1">'Alcance y tiempo'!$CG$18</definedName>
    <definedName name="CB_773f7d5a112a4ab78c6cd4c4d0ae4542" localSheetId="3" hidden="1">'Alcance y tiempo'!#REF!</definedName>
    <definedName name="CB_7743fe8da20e476ba0569c177b422dae" localSheetId="3" hidden="1">'Alcance y tiempo'!$CG$111</definedName>
    <definedName name="CB_77f2887af2a74438ae722900ffcb419c" localSheetId="3" hidden="1">'Alcance y tiempo'!#REF!</definedName>
    <definedName name="CB_77f9b746626a4b17bed1315fcd476109" localSheetId="3" hidden="1">'Alcance y tiempo'!$CG$126</definedName>
    <definedName name="CB_800b4ce96d4a4be8b8cb2d92d93ea095" localSheetId="3" hidden="1">'Alcance y tiempo'!$CG$27</definedName>
    <definedName name="CB_81219d4d75a04fc1859463838b20cb8d" localSheetId="3" hidden="1">'Alcance y tiempo'!$CG$23</definedName>
    <definedName name="CB_8390e800bfb44eb5bb0216c601147137" localSheetId="3" hidden="1">'Alcance y tiempo'!$CG$141</definedName>
    <definedName name="CB_8a424de1e4104564aa67c22cc080ffae" localSheetId="3" hidden="1">'Alcance y tiempo'!$CG$139</definedName>
    <definedName name="CB_97a1dca4a5bd4ab3acdb710334620745" localSheetId="3" hidden="1">'Alcance y tiempo'!$CG$134</definedName>
    <definedName name="CB_9a37c6e1e5e04417b04ea0092c76765a" localSheetId="3" hidden="1">'Alcance y tiempo'!$CG$40</definedName>
    <definedName name="CB_9b58f054648348888f8043ef16d1e096" localSheetId="3" hidden="1">'Alcance y tiempo'!$CG$35</definedName>
    <definedName name="CB_9f11f36b5c9a47f3b4c1a0d664d62b9f" localSheetId="3" hidden="1">'Alcance y tiempo'!$CG$128</definedName>
    <definedName name="CB_a38a7325b7894cc69bd65a16f60b785c" localSheetId="3" hidden="1">'Alcance y tiempo'!$CG$32</definedName>
    <definedName name="CB_a66891f34fdf4cec9f109453ae517252" localSheetId="3" hidden="1">'Alcance y tiempo'!$CG$112</definedName>
    <definedName name="CB_a72c387179d34cf685bb44464c2521fd" localSheetId="3" hidden="1">'Alcance y tiempo'!#REF!</definedName>
    <definedName name="CB_aca2c6d4a62b41e8af917395d55fecf6" localSheetId="3" hidden="1">'Alcance y tiempo'!$CG$28</definedName>
    <definedName name="CB_b2eba8c7227a43298efc9cb827fc5541" localSheetId="3" hidden="1">'Alcance y tiempo'!$CG$38</definedName>
    <definedName name="CB_b2ee96ed6ae144ab9f78b934d513ff89" localSheetId="3" hidden="1">'Alcance y tiempo'!$CG$33</definedName>
    <definedName name="CB_b62c7670f46341f4807ed5636b2a3222" localSheetId="3" hidden="1">'Alcance y tiempo'!$CG$19</definedName>
    <definedName name="CB_b7b639fcf5cf4aaca6f782355c3d0177" localSheetId="3" hidden="1">'Alcance y tiempo'!#REF!</definedName>
    <definedName name="CB_b93fb0239a954dd686e5fba2df8f3566" localSheetId="3" hidden="1">'Alcance y tiempo'!$CG$31</definedName>
    <definedName name="CB_bc65a4aaa78341f180268a26b9810fae" localSheetId="3" hidden="1">'Alcance y tiempo'!$CG$24</definedName>
    <definedName name="CB_bf48db346cd941098afe0f3e1c8a13a2" localSheetId="3" hidden="1">'Alcance y tiempo'!$CG$117</definedName>
    <definedName name="CB_Block_00000000000000000000000000000000" localSheetId="3" hidden="1">"'7.0.0.0"</definedName>
    <definedName name="CB_Block_00000000000000000000000000000001" localSheetId="3" hidden="1">"'637427894804645204"</definedName>
    <definedName name="CB_Block_00000000000000000000000000000001" localSheetId="2" hidden="1">"'637427894803226015"</definedName>
    <definedName name="CB_Block_00000000000000000000000000000003" localSheetId="3" hidden="1">"'11.1.4716.0"</definedName>
    <definedName name="CB_BlockExt_00000000000000000000000000000003" localSheetId="3" hidden="1">"'11.1.2.4.850"</definedName>
    <definedName name="CB_c4276ed3309f44c2b929cb4be8458113" localSheetId="3" hidden="1">'Alcance y tiempo'!#REF!</definedName>
    <definedName name="CB_c578aedb865e411fb4733a9624332255" localSheetId="3" hidden="1">'Alcance y tiempo'!$CI$148</definedName>
    <definedName name="CB_c8b5d52c7116417293c0e362e20fbcfb" localSheetId="3" hidden="1">'Alcance y tiempo'!$CG$123</definedName>
    <definedName name="CB_cdd637fc20ba47ad9df86284d88559c6" localSheetId="3" hidden="1">'Alcance y tiempo'!$CG$119</definedName>
    <definedName name="CB_d582d2c44270411d9321a753eddb8410" localSheetId="3" hidden="1">'Alcance y tiempo'!#REF!</definedName>
    <definedName name="CB_d85ee51a7ca24791a87ef6bc8bd3f6cd" localSheetId="3" hidden="1">'Alcance y tiempo'!$CG$127</definedName>
    <definedName name="CB_d92e55f6f8254be2b2e0c4e734746f26" localSheetId="3" hidden="1">'Alcance y tiempo'!$CG$144</definedName>
    <definedName name="CB_da46680a03fd4375adde4d630dea38bc" localSheetId="3" hidden="1">'Alcance y tiempo'!$CG$118</definedName>
    <definedName name="CB_db2ce4d6c84d48b58c1faddbf24667fe" localSheetId="3" hidden="1">'Alcance y tiempo'!$CG$17</definedName>
    <definedName name="CB_de3bbbca9ead4bcf8a63eb9bc33ee6a4" localSheetId="3" hidden="1">'Alcance y tiempo'!$CG$16</definedName>
    <definedName name="CB_e2d90fbca7c94bb5ab9db46897e64415" localSheetId="3" hidden="1">'Alcance y tiempo'!$CG$26</definedName>
    <definedName name="CB_ea5340833f3143e9ba4b0d2959af4b1f" localSheetId="3" hidden="1">'Alcance y tiempo'!$CG$148</definedName>
    <definedName name="CB_f16775f6413a444d8df9a98c220e801f" localSheetId="3" hidden="1">'Alcance y tiempo'!$CG$135</definedName>
    <definedName name="CB_fafa833723f64c0bac8f4fe4e1229260" localSheetId="3" hidden="1">'Alcance y tiempo'!$CG$122</definedName>
    <definedName name="CBCR_014fd9ad932f46f2a358ddaebd61ebfd" localSheetId="3" hidden="1">'Alcance y tiempo'!$CD$36</definedName>
    <definedName name="CBCR_028019e966614d85901addc0bf9f5837" localSheetId="3" hidden="1">'Alcance y tiempo'!$CE$110</definedName>
    <definedName name="CBCR_0321c7ca7c7540d0957a18caeb404971" localSheetId="3" hidden="1">'Alcance y tiempo'!$CC$137</definedName>
    <definedName name="CBCR_0433c638e67a48a9b4c1056e5063a5c3" localSheetId="3" hidden="1">'Alcance y tiempo'!$CC$133</definedName>
    <definedName name="CBCR_0894f2996b214ebf9ef19c7fa79075dc" localSheetId="3" hidden="1">'Alcance y tiempo'!$CE$141</definedName>
    <definedName name="CBCR_099902f5074d4758a278fd8bc9164bd7" localSheetId="3" hidden="1">'Alcance y tiempo'!$CE$109</definedName>
    <definedName name="CBCR_099b197e786a46678757b18029d8467b" localSheetId="3" hidden="1">'Alcance y tiempo'!$CD$139</definedName>
    <definedName name="CBCR_0aa4966ee2f3410cbadeb0d17ae758ad" localSheetId="3" hidden="1">'Alcance y tiempo'!$CE$128</definedName>
    <definedName name="CBCR_0b738e93016440d4a15566d4b64b6c5d" localSheetId="3" hidden="1">'Alcance y tiempo'!$CD$137</definedName>
    <definedName name="CBCR_11709cb459ac4d98bf2a4c6364d0269e" localSheetId="3" hidden="1">'Alcance y tiempo'!$CE$31</definedName>
    <definedName name="CBCR_11f6ba97e28c4e8b90f4a1b1e8733296" localSheetId="3" hidden="1">'Alcance y tiempo'!$CE$142</definedName>
    <definedName name="CBCR_161db05196574910aebc23962fc90486" localSheetId="3" hidden="1">'Alcance y tiempo'!$CD$126</definedName>
    <definedName name="CBCR_1831d5820cfa4fd99387ca5887d6a15f" localSheetId="3" hidden="1">'Alcance y tiempo'!$CD$135</definedName>
    <definedName name="CBCR_1d48312331f248f39c84dfbe9bede0b2" localSheetId="3" hidden="1">'Alcance y tiempo'!$CE$123</definedName>
    <definedName name="CBCR_1f377bbefb19499d919bab9dcea96d31" localSheetId="3" hidden="1">'Alcance y tiempo'!$CE$24</definedName>
    <definedName name="CBCR_1f788229247b4cb4ba93f38a3a21778a" localSheetId="3" hidden="1">'Alcance y tiempo'!$CC$142</definedName>
    <definedName name="CBCR_208335d309ea497186d6ef647fd4a1da" localSheetId="3" hidden="1">'Alcance y tiempo'!$CE$26</definedName>
    <definedName name="CBCR_220d652cd1784ede8a9058207a542911" localSheetId="3" hidden="1">'Alcance y tiempo'!$CC$26</definedName>
    <definedName name="CBCR_239cd131a286401b98a9dcda0ace289d" localSheetId="3" hidden="1">'Alcance y tiempo'!$CD$17</definedName>
    <definedName name="CBCR_2427ebe4ffd34907931a8f12284277b9" localSheetId="3" hidden="1">'Alcance y tiempo'!$CD$37</definedName>
    <definedName name="CBCR_249ff4d3d4ba450999ff1772a4b72a1a" localSheetId="3" hidden="1">'Alcance y tiempo'!$CC$125</definedName>
    <definedName name="CBCR_25c2dcec60ef487eb4ecdf85c86c7431" localSheetId="3" hidden="1">'Alcance y tiempo'!$CE$132</definedName>
    <definedName name="CBCR_265b820534be4a4892cea64b686dc04f" localSheetId="3" hidden="1">'Alcance y tiempo'!$CE$117</definedName>
    <definedName name="CBCR_286efbf9311049dda9f83a3b9b768175" localSheetId="3" hidden="1">'Alcance y tiempo'!$CC$122</definedName>
    <definedName name="CBCR_28d0ecfbba894bed9463f0304b93524c" localSheetId="3" hidden="1">'Alcance y tiempo'!$CD$120</definedName>
    <definedName name="CBCR_2b3a4ff29e8d4c528163e7b64d60c6b1" localSheetId="3" hidden="1">'Alcance y tiempo'!$CD$19</definedName>
    <definedName name="CBCR_2bdb661fec814396b05a958d0506ec7d" localSheetId="3" hidden="1">'Alcance y tiempo'!$CD$127</definedName>
    <definedName name="CBCR_2d748043ac244ae5b9c74c0d7797457f" localSheetId="3" hidden="1">'Alcance y tiempo'!$CD$22</definedName>
    <definedName name="CBCR_2f6f4ddb8bb64be7acb958c2dbffdbfa" localSheetId="3" hidden="1">'Alcance y tiempo'!#REF!</definedName>
    <definedName name="CBCR_303b134a92d24fef93e1c8d7ac314bea" localSheetId="3" hidden="1">'Alcance y tiempo'!$CE$16</definedName>
    <definedName name="CBCR_30b51acd854e48f59a85351854bc1b8a" localSheetId="3" hidden="1">'Alcance y tiempo'!$CC$126</definedName>
    <definedName name="CBCR_311d9c1deeec4ed6a68b55da7758b4af" localSheetId="3" hidden="1">'Alcance y tiempo'!$CC$15</definedName>
    <definedName name="CBCR_33b4a78d0b704c76a92823e1c4b3d9a3" localSheetId="3" hidden="1">'Alcance y tiempo'!$CC$19</definedName>
    <definedName name="CBCR_34209836295846309eee6d7dcf114163" localSheetId="3" hidden="1">'Alcance y tiempo'!$CD$24</definedName>
    <definedName name="CBCR_370f39d7c622429aaaeae025cca5a2c9" localSheetId="3" hidden="1">'Alcance y tiempo'!$CC$145</definedName>
    <definedName name="CBCR_37c3914edd034427bf63887733fa06b4" localSheetId="3" hidden="1">'Alcance y tiempo'!$CC$33</definedName>
    <definedName name="CBCR_394b53975f0e4a5ea987a479505fb882" localSheetId="3" hidden="1">'Alcance y tiempo'!$CE$35</definedName>
    <definedName name="CBCR_3b54dd3d2c32473c9dddc7b4e1c9f049" localSheetId="3" hidden="1">'Alcance y tiempo'!$CE$38</definedName>
    <definedName name="CBCR_3bbfaf9a4b7448af9d5eaeb5deae4743" localSheetId="3" hidden="1">'Alcance y tiempo'!$CD$132</definedName>
    <definedName name="CBCR_3e46e16d5afa422bbda8fabe8359eca5" localSheetId="3" hidden="1">'Alcance y tiempo'!$CE$18</definedName>
    <definedName name="CBCR_40aa91040d364db28e933cf1f8c96849" localSheetId="3" hidden="1">'Alcance y tiempo'!$CC$119</definedName>
    <definedName name="CBCR_410b1fb72df74fe698373962f0ceb423" localSheetId="3" hidden="1">'Alcance y tiempo'!$CD$29</definedName>
    <definedName name="CBCR_42ae44b6c7a547bb9adc78e52b59df23" localSheetId="3" hidden="1">'Alcance y tiempo'!#REF!</definedName>
    <definedName name="CBCR_432c06f82d924a248487bf1e25460f57" localSheetId="3" hidden="1">'Alcance y tiempo'!$CD$111</definedName>
    <definedName name="CBCR_445c8568bdaf4bb8a9951dfc1b9adb48" localSheetId="3" hidden="1">'Alcance y tiempo'!$CE$125</definedName>
    <definedName name="CBCR_452f1a73741e494bb144d6c43613623f" localSheetId="3" hidden="1">'Alcance y tiempo'!$CC$144</definedName>
    <definedName name="CBCR_47031198fc20462aadf56bba70a0fe20" localSheetId="3" hidden="1">'Alcance y tiempo'!$CD$141</definedName>
    <definedName name="CBCR_49483685a3d340a78f684279969508f6" localSheetId="3" hidden="1">'Alcance y tiempo'!$CE$17</definedName>
    <definedName name="CBCR_4b1cbd56877d4736b76ec4833035da89" localSheetId="3" hidden="1">'Alcance y tiempo'!$CC$132</definedName>
    <definedName name="CBCR_51d3efc584df467ca3af93082bca37a8" localSheetId="3" hidden="1">'Alcance y tiempo'!$CC$120</definedName>
    <definedName name="CBCR_538bdd348ee74c8cbb0e60439a5d73d3" localSheetId="3" hidden="1">'Alcance y tiempo'!$CC$24</definedName>
    <definedName name="CBCR_5461f467c4aa4315be241211a357bcb4" localSheetId="3" hidden="1">'Alcance y tiempo'!$CE$133</definedName>
    <definedName name="CBCR_55c3fb1aa4654b1ab9b1c1352b8d81f5" localSheetId="3" hidden="1">'Alcance y tiempo'!$CD$26</definedName>
    <definedName name="CBCR_560f77750d084e81be6ea174f484cd8b" localSheetId="3" hidden="1">'Alcance y tiempo'!#REF!</definedName>
    <definedName name="CBCR_575fcd15c97c4a89b1f262b78490ee78" localSheetId="3" hidden="1">'Alcance y tiempo'!$CD$40</definedName>
    <definedName name="CBCR_59cb438c1c494b41916a74204ff86e58" localSheetId="3" hidden="1">'Alcance y tiempo'!#REF!</definedName>
    <definedName name="CBCR_5b0e2232642b4b7d8eaa99ef77d974b4" localSheetId="3" hidden="1">'Alcance y tiempo'!$CD$113</definedName>
    <definedName name="CBCR_5c80786032094d45be75b42dbd320382" localSheetId="3" hidden="1">'Alcance y tiempo'!$CC$28</definedName>
    <definedName name="CBCR_5cff6d8e4af9437ab23bcb925a4bbca1" localSheetId="3" hidden="1">'Alcance y tiempo'!$CC$17</definedName>
    <definedName name="CBCR_6287756cceee458ca2c0ed5ef1bb719a" localSheetId="3" hidden="1">'Alcance y tiempo'!#REF!</definedName>
    <definedName name="CBCR_63afe4e24c184d5bb6ff95de017bb7e8" localSheetId="3" hidden="1">'Alcance y tiempo'!$CE$33</definedName>
    <definedName name="CBCR_669348d5ea9e44a5ac6277eca5b89366" localSheetId="3" hidden="1">'Alcance y tiempo'!$CC$127</definedName>
    <definedName name="CBCR_670d620cc5154ee8aa3e1f560b0a5db8" localSheetId="3" hidden="1">'Alcance y tiempo'!$CD$146</definedName>
    <definedName name="CBCR_688b0a90bc6048c68fbbadbf6fdedec2" localSheetId="3" hidden="1">'Alcance y tiempo'!$CD$142</definedName>
    <definedName name="CBCR_6923485a033040d6b522721bfda59d01" localSheetId="3" hidden="1">'Alcance y tiempo'!$CE$39</definedName>
    <definedName name="CBCR_6a70cc67dc37493f869007e03345f0d3" localSheetId="3" hidden="1">'Alcance y tiempo'!$CE$136</definedName>
    <definedName name="CBCR_6bb19c206bbf412793cd8ab5fbe537b1" localSheetId="3" hidden="1">'Alcance y tiempo'!$CD$118</definedName>
    <definedName name="CBCR_6e7c97ea08c443899094a106947b8fff" localSheetId="3" hidden="1">'Alcance y tiempo'!$CC$40</definedName>
    <definedName name="CBCR_6eedc871dd604ce68da64c1980d71020" localSheetId="3" hidden="1">'Alcance y tiempo'!$CC$38</definedName>
    <definedName name="CBCR_6f43caa831f34042b17f25425284a602" localSheetId="3" hidden="1">'Alcance y tiempo'!$CC$22</definedName>
    <definedName name="CBCR_6f72aba55fcb401a856fa21a0812c317" localSheetId="3" hidden="1">'Alcance y tiempo'!$CD$133</definedName>
    <definedName name="CBCR_6f990fbac5054887a0228719386267ec" localSheetId="3" hidden="1">'Alcance y tiempo'!$CC$18</definedName>
    <definedName name="CBCR_758291864d18435a9cde44998d89aa78" localSheetId="3" hidden="1">'Alcance y tiempo'!$CE$14</definedName>
    <definedName name="CBCR_7609cc9acde54f49807a5259c9496f61" localSheetId="3" hidden="1">'Alcance y tiempo'!$CE$119</definedName>
    <definedName name="CBCR_76393fb158ae484384efda752d253044" localSheetId="3" hidden="1">'Alcance y tiempo'!$CC$39</definedName>
    <definedName name="CBCR_766b55a2f4e14efa9e527910753cc677" localSheetId="3" hidden="1">'Alcance y tiempo'!$CC$136</definedName>
    <definedName name="CBCR_775588b9dc6f43359ee5005dfd07f0a0" localSheetId="3" hidden="1">'Alcance y tiempo'!$CD$18</definedName>
    <definedName name="CBCR_79bbf55fcf794cd4ab7b1236bde3212f" localSheetId="3" hidden="1">'Alcance y tiempo'!$CD$128</definedName>
    <definedName name="CBCR_7afc8b4d62e44ffc9183e2480b0f8eb6" localSheetId="3" hidden="1">'Alcance y tiempo'!#REF!</definedName>
    <definedName name="CBCR_7c889da0983840438e857c6ce9881ebe" localSheetId="3" hidden="1">'Alcance y tiempo'!$CC$123</definedName>
    <definedName name="CBCR_7d44e0dd363a47aaa7896b1a0a07f0ca" localSheetId="3" hidden="1">'Alcance y tiempo'!$CC$16</definedName>
    <definedName name="CBCR_7f917034decb44a991797c8f5d87b4d5" localSheetId="3" hidden="1">'Alcance y tiempo'!$CD$109</definedName>
    <definedName name="CBCR_7ff707c094e444c4bd856381fef71316" localSheetId="3" hidden="1">'Alcance y tiempo'!$CC$27</definedName>
    <definedName name="CBCR_809c4185d6f34ee6ac7b34bef90285c5" localSheetId="3" hidden="1">'Alcance y tiempo'!$CC$141</definedName>
    <definedName name="CBCR_85bc055709ca46028821377130d34fba" localSheetId="3" hidden="1">'Alcance y tiempo'!$CC$135</definedName>
    <definedName name="CBCR_86e8d8ff281f47deaa64fc81bdd86c30" localSheetId="3" hidden="1">'Alcance y tiempo'!$CD$39</definedName>
    <definedName name="CBCR_86f72a08a5274e06b7a57eae68286db5" localSheetId="3" hidden="1">'Alcance y tiempo'!$CE$40</definedName>
    <definedName name="CBCR_8966a4ac2ec44d65abe81441631691bc" localSheetId="3" hidden="1">'Alcance y tiempo'!$CE$134</definedName>
    <definedName name="CBCR_8acc4de008a3467dbbe4231f305e5a19" localSheetId="3" hidden="1">'Alcance y tiempo'!$CD$14</definedName>
    <definedName name="CBCR_8e1cf06cc5df47ac8b8385322c7d8cbb" localSheetId="3" hidden="1">'Alcance y tiempo'!$CC$31</definedName>
    <definedName name="CBCR_8ea155f6eb2d41559557119487ce5a6c" localSheetId="3" hidden="1">'Alcance y tiempo'!$CD$136</definedName>
    <definedName name="CBCR_8fbf9249355d4807a5c465f7be627017" localSheetId="3" hidden="1">'Alcance y tiempo'!$CE$37</definedName>
    <definedName name="CBCR_921dee2d85024ffab7eade4b62fd85c6" localSheetId="3" hidden="1">'Alcance y tiempo'!#REF!</definedName>
    <definedName name="CBCR_9405ac8eeecc40dfa0175aa30e56211c" localSheetId="3" hidden="1">'Alcance y tiempo'!$CC$113</definedName>
    <definedName name="CBCR_94f0e65cad8f4b03926a99ed64f47b02" localSheetId="3" hidden="1">'Alcance y tiempo'!$CE$29</definedName>
    <definedName name="CBCR_9505cfe4a7764f56ba22b76aead21fa9" localSheetId="3" hidden="1">'Alcance y tiempo'!$CD$21</definedName>
    <definedName name="CBCR_993eb8dc240f470fb7c5cc4b027d725b" localSheetId="3" hidden="1">'Alcance y tiempo'!$CC$111</definedName>
    <definedName name="CBCR_99a994dc7a3043a1a10273b3caab3886" localSheetId="3" hidden="1">'Alcance y tiempo'!#REF!</definedName>
    <definedName name="CBCR_99d35b48235d440eb9affebdc1547a92" localSheetId="3" hidden="1">'Alcance y tiempo'!$CC$112</definedName>
    <definedName name="CBCR_9a8c738d36534bdcb8db25b4516bcbae" localSheetId="3" hidden="1">'Alcance y tiempo'!$CE$146</definedName>
    <definedName name="CBCR_9b416193adbd429393c5ee6fd7f53be2" localSheetId="3" hidden="1">'Alcance y tiempo'!$CC$117</definedName>
    <definedName name="CBCR_9bd3dec334cb402d99ba63344b68b23b" localSheetId="3" hidden="1">'Alcance y tiempo'!$CE$21</definedName>
    <definedName name="CBCR_9ca8c800b8ab41238a1e364590b18890" localSheetId="3" hidden="1">'Alcance y tiempo'!#REF!</definedName>
    <definedName name="CBCR_9e4829c95a284d958d9defe906470e22" localSheetId="3" hidden="1">'Alcance y tiempo'!$CE$15</definedName>
    <definedName name="CBCR_9e9a1a93d45b48fd9fa0c58af0255774" localSheetId="3" hidden="1">'Alcance y tiempo'!$CD$134</definedName>
    <definedName name="CBCR_9f26ebc31b5844768944790473ffb107" localSheetId="3" hidden="1">'Alcance y tiempo'!$CD$122</definedName>
    <definedName name="CBCR_a1b34e59fb61476091a59cb02362b67e" localSheetId="3" hidden="1">'Alcance y tiempo'!$CE$32</definedName>
    <definedName name="CBCR_a3072d706e2341f49504dbc604f4367e" localSheetId="3" hidden="1">'Alcance y tiempo'!$CD$117</definedName>
    <definedName name="CBCR_a5a30fedce6748d5bd973af6f0941aec" localSheetId="3" hidden="1">'Alcance y tiempo'!$CE$27</definedName>
    <definedName name="CBCR_a696e2aada284d52a2074821b802f2ab" localSheetId="3" hidden="1">'Alcance y tiempo'!$CD$16</definedName>
    <definedName name="CBCR_a7ccba4cb8154479bfca608f7f4ffdda" localSheetId="3" hidden="1">'Alcance y tiempo'!$CD$33</definedName>
    <definedName name="CBCR_a8dc9cdda5c4421dbd0db15256bf4e25" localSheetId="3" hidden="1">'Alcance y tiempo'!$CE$113</definedName>
    <definedName name="CBCR_a972c6d309bd4ad7926b2d8fdfc63978" localSheetId="3" hidden="1">'Alcance y tiempo'!#REF!</definedName>
    <definedName name="CBCR_af0638cded684247bb34873fdf3edcdc" localSheetId="3" hidden="1">'Alcance y tiempo'!#REF!</definedName>
    <definedName name="CBCR_b096f6ac9d6445bea244693263c35d33" localSheetId="3" hidden="1">'Alcance y tiempo'!$CD$144</definedName>
    <definedName name="CBCR_b579b3e9f9e54b0c80bf4674f02ecaf5" localSheetId="3" hidden="1">'Alcance y tiempo'!$CE$118</definedName>
    <definedName name="CBCR_b65c8191693947788c89c7a4382fabe6" localSheetId="3" hidden="1">'Alcance y tiempo'!#REF!</definedName>
    <definedName name="CBCR_b8074a719c30431e8fef538738fcf45a" localSheetId="3" hidden="1">'Alcance y tiempo'!$CC$36</definedName>
    <definedName name="CBCR_b891ab84db1247a4921cd100c18edafe" localSheetId="3" hidden="1">'Alcance y tiempo'!$CE$28</definedName>
    <definedName name="CBCR_ba2ecb0b1b4446c295ec271ba1b3fa1e" localSheetId="3" hidden="1">'Alcance y tiempo'!$CC$14</definedName>
    <definedName name="CBCR_bb23a66172f14894b1a9d48c1083e09f" localSheetId="3" hidden="1">'Alcance y tiempo'!$CD$28</definedName>
    <definedName name="CBCR_bf3671d26249470ab626a6881b58c55f" localSheetId="3" hidden="1">'Alcance y tiempo'!$CE$137</definedName>
    <definedName name="CBCR_c2d7b533e359433d851584f2aae8b049" localSheetId="3" hidden="1">'Alcance y tiempo'!$CE$144</definedName>
    <definedName name="CBCR_c415f14f42c44096bb85f292823775b7" localSheetId="3" hidden="1">'Alcance y tiempo'!$CD$15</definedName>
    <definedName name="CBCR_cb9bd0cf27ad4f72abd68b59fe90c70f" localSheetId="3" hidden="1">'Alcance y tiempo'!#REF!</definedName>
    <definedName name="CBCR_cbebccecb502486abd67336d1df07f90" localSheetId="3" hidden="1">'Alcance y tiempo'!$CE$120</definedName>
    <definedName name="CBCR_ccbdaab7d75b464b8cfd2bb06867f146" localSheetId="3" hidden="1">'Alcance y tiempo'!$CC$118</definedName>
    <definedName name="CBCR_cee5c6b6f2544037a96d04721bb1d9f8" localSheetId="3" hidden="1">'Alcance y tiempo'!$CE$36</definedName>
    <definedName name="CBCR_cfacb48edd7f4b99919a8daf12c7fc73" localSheetId="3" hidden="1">'Alcance y tiempo'!$CC$23</definedName>
    <definedName name="CBCR_d1331244d69b45b2942e3a1a32b3cb07" localSheetId="3" hidden="1">'Alcance y tiempo'!$CC$32</definedName>
    <definedName name="CBCR_d26e0bb4e12b4a55847a48c1cc923539" localSheetId="3" hidden="1">'Alcance y tiempo'!$CD$35</definedName>
    <definedName name="CBCR_d2ac76046fd74c3f9625236125eedde8" localSheetId="3" hidden="1">'Alcance y tiempo'!$CD$27</definedName>
    <definedName name="CBCR_d346085122d64e0a8fb54681a50faa22" localSheetId="3" hidden="1">'Alcance y tiempo'!$CD$38</definedName>
    <definedName name="CBCR_d3dd624e251648e2b9c0c9f2df0e094f" localSheetId="3" hidden="1">'Alcance y tiempo'!$CE$112</definedName>
    <definedName name="CBCR_d42b01f87af349d3a6c87526483af351" localSheetId="3" hidden="1">'Alcance y tiempo'!$CE$23</definedName>
    <definedName name="CBCR_d64b413c63b649fd84505b63f8761730" localSheetId="3" hidden="1">'Alcance y tiempo'!#REF!</definedName>
    <definedName name="CBCR_d7b63e1dcc3b4ac39e9b8f08d0c15c57" localSheetId="3" hidden="1">'Alcance y tiempo'!$CE$135</definedName>
    <definedName name="CBCR_d7e715df6a7a4889bc5915f77d128793" localSheetId="3" hidden="1">'Alcance y tiempo'!$CD$123</definedName>
    <definedName name="CBCR_d8a780f019ab4fb1bb0759efb773b563" localSheetId="3" hidden="1">'Alcance y tiempo'!$CD$125</definedName>
    <definedName name="CBCR_d91b102e56da4bc69ea8dceb02105c61" localSheetId="3" hidden="1">'Alcance y tiempo'!#REF!</definedName>
    <definedName name="CBCR_da61796d6020460eac8f3fb266ca8ef6" localSheetId="3" hidden="1">'Alcance y tiempo'!$CE$139</definedName>
    <definedName name="CBCR_dd21b425db9d4188a2884ff88e463d3a" localSheetId="3" hidden="1">'Alcance y tiempo'!#REF!</definedName>
    <definedName name="CBCR_de3e824f16a24c8c952e99a3dd747ad0" localSheetId="3" hidden="1">'Alcance y tiempo'!$CD$119</definedName>
    <definedName name="CBCR_de8c8e9d8b97447c90afb3c72a9c26e5" localSheetId="3" hidden="1">'Alcance y tiempo'!$CD$112</definedName>
    <definedName name="CBCR_e025aadcd63444c4a05f04ebbf51c66b" localSheetId="3" hidden="1">'Alcance y tiempo'!$CC$35</definedName>
    <definedName name="CBCR_e0bcb34d56dc4f5badbecf87a1cf5b96" localSheetId="3" hidden="1">'Alcance y tiempo'!$CD$110</definedName>
    <definedName name="CBCR_e18afd16a7834b978721628d62011eda" localSheetId="3" hidden="1">'Alcance y tiempo'!#REF!</definedName>
    <definedName name="CBCR_e38f52cd98ad4847ab6047e6e1fc163c" localSheetId="3" hidden="1">'Alcance y tiempo'!$CC$21</definedName>
    <definedName name="CBCR_e431a43742d341dcaa36f06899545e68" localSheetId="3" hidden="1">'Alcance y tiempo'!$CC$30</definedName>
    <definedName name="CBCR_e6b717d1f8c24f84b5ecc0d1c4c4677d" localSheetId="3" hidden="1">'Alcance y tiempo'!$CG$148</definedName>
    <definedName name="CBCR_e81dd4e799b84f5faa56ae6ad71e6b88" localSheetId="3" hidden="1">'Alcance y tiempo'!$CC$139</definedName>
    <definedName name="CBCR_e8269aa1fbc04bdd8f1df5590ef86e8f" localSheetId="3" hidden="1">'Alcance y tiempo'!$CI$148</definedName>
    <definedName name="CBCR_ea066310c21d44b68591f2bd0cf6c771" localSheetId="3" hidden="1">'Alcance y tiempo'!$CC$134</definedName>
    <definedName name="CBCR_ec0a44b845324f0a84fec1d791dddc1e" localSheetId="3" hidden="1">'Alcance y tiempo'!$CC$146</definedName>
    <definedName name="CBCR_ec8999e2698749438020fd53d65faf81" localSheetId="3" hidden="1">'Alcance y tiempo'!$CE$30</definedName>
    <definedName name="CBCR_ed2275bbcad141c3b4e81d953b3041e0" localSheetId="3" hidden="1">'Alcance y tiempo'!$CD$145</definedName>
    <definedName name="CBCR_ee4d3539ef7a4b12ae08596442c7d0c3" localSheetId="3" hidden="1">'Alcance y tiempo'!$CC$128</definedName>
    <definedName name="CBCR_ee63b264afed40d2bd2099224f741d5d" localSheetId="3" hidden="1">'Alcance y tiempo'!$CE$145</definedName>
    <definedName name="CBCR_eeb6b3e728bc4b5abf886bef79406325" localSheetId="3" hidden="1">'Alcance y tiempo'!$CE$111</definedName>
    <definedName name="CBCR_eedd43b3b4c04b6f83e4bb227f171a72" localSheetId="3" hidden="1">'Alcance y tiempo'!$CE$22</definedName>
    <definedName name="CBCR_f06e24e5aeb44deca47950716322e3c7" localSheetId="3" hidden="1">'Alcance y tiempo'!$CE$19</definedName>
    <definedName name="CBCR_f5363fde2cc74391a53fad34e3f5ef67" localSheetId="3" hidden="1">'Alcance y tiempo'!$CC$37</definedName>
    <definedName name="CBCR_f53d4cdfc1ff498a9be17566d5072f9c" localSheetId="3" hidden="1">'Alcance y tiempo'!$CD$30</definedName>
    <definedName name="CBCR_f7cb70c8d5194ffd95c3536a5a7655a6" localSheetId="3" hidden="1">'Alcance y tiempo'!$CC$109</definedName>
    <definedName name="CBCR_f8c07459d97445b4bf4ac588c59315f0" localSheetId="3" hidden="1">'Alcance y tiempo'!#REF!</definedName>
    <definedName name="CBCR_f8d750940bd346889b08a85788c3cc4c" localSheetId="3" hidden="1">'Alcance y tiempo'!$CE$122</definedName>
    <definedName name="CBCR_f93f380298264f33a7b8fe2494197012" localSheetId="3" hidden="1">'Alcance y tiempo'!$CC$29</definedName>
    <definedName name="CBCR_fb01685007bb4290884e6a8c231fb65b" localSheetId="3" hidden="1">'Alcance y tiempo'!$CC$110</definedName>
    <definedName name="CBCR_fb44b6e0ada14851895874f3b9d23872" localSheetId="3" hidden="1">'Alcance y tiempo'!$CD$23</definedName>
    <definedName name="CBCR_fbd77fd874354b01a8b7e1abc870b6b1" localSheetId="3" hidden="1">'Alcance y tiempo'!$CE$126</definedName>
    <definedName name="CBCR_fdacd9ecddd54ed4b4431c78dd0fd13e" localSheetId="3" hidden="1">'Alcance y tiempo'!$CE$127</definedName>
    <definedName name="CBCR_ff6a4c44d0cd439582422242151a57f4" localSheetId="3" hidden="1">'Alcance y tiempo'!$CD$31</definedName>
    <definedName name="CBCR_ff74fe26421c488dbe655e48c7837e92" localSheetId="3" hidden="1">'Alcance y tiempo'!$CD$32</definedName>
    <definedName name="CBWorkbookPriority" localSheetId="2" hidden="1">-1900566713067270</definedName>
    <definedName name="CBx_79498cf90bcf41369200e392470344cc" localSheetId="2" hidden="1">"'CB_DATA_'!$A$1"</definedName>
    <definedName name="CBx_8a6785a5d92449269962558eaa4e0125" localSheetId="2" hidden="1">"'Alcance y tiempo'!$A$1"</definedName>
    <definedName name="CBx_Sheet_Guid" localSheetId="3" hidden="1">"'8a6785a5-d924-4926-9962-558eaa4e0125"</definedName>
    <definedName name="CBx_Sheet_Guid" localSheetId="2" hidden="1">"'79498cf9-0bcf-4136-9200-e392470344cc"</definedName>
    <definedName name="CBx_SheetRef" localSheetId="3" hidden="1">CB_DATA_!$B$14</definedName>
    <definedName name="CBx_SheetRef" localSheetId="2" hidden="1">CB_DATA_!$A$14</definedName>
    <definedName name="CBx_StorageType" localSheetId="3" hidden="1">2</definedName>
    <definedName name="CBx_StorageType" localSheetId="2"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6" i="6" l="1"/>
  <c r="Q27" i="6" s="1"/>
  <c r="J45" i="2"/>
  <c r="AB45" i="2"/>
  <c r="K45" i="2" s="1"/>
  <c r="AC45" i="2"/>
  <c r="AD45" i="2"/>
  <c r="AE45" i="2"/>
  <c r="AP45" i="2" s="1"/>
  <c r="AF45" i="2"/>
  <c r="AQ45" i="2" s="1"/>
  <c r="AG45" i="2"/>
  <c r="AR45" i="2" s="1"/>
  <c r="AH45" i="2"/>
  <c r="AS45" i="2" s="1"/>
  <c r="AI45" i="2"/>
  <c r="AU45" i="2" s="1"/>
  <c r="AJ45" i="2"/>
  <c r="AN45" i="2"/>
  <c r="AO45" i="2"/>
  <c r="AT45" i="2"/>
  <c r="AV45" i="2"/>
  <c r="AX45" i="2"/>
  <c r="AY45" i="2"/>
  <c r="AZ45" i="2"/>
  <c r="BA45" i="2"/>
  <c r="BK45" i="2"/>
  <c r="BM45" i="2"/>
  <c r="BN45" i="2"/>
  <c r="BO45" i="2"/>
  <c r="BP45" i="2"/>
  <c r="BS45" i="2"/>
  <c r="BX45" i="2"/>
  <c r="CD45" i="2"/>
  <c r="CC45" i="2" s="1"/>
  <c r="CI45" i="2"/>
  <c r="S20" i="6"/>
  <c r="R20" i="6"/>
  <c r="P20" i="6"/>
  <c r="S19" i="6"/>
  <c r="T19" i="6" s="1"/>
  <c r="R19" i="6"/>
  <c r="P19" i="6"/>
  <c r="E12" i="3"/>
  <c r="E96" i="2"/>
  <c r="AD96" i="2" s="1"/>
  <c r="AO96" i="2" s="1"/>
  <c r="H96" i="2"/>
  <c r="AI96" i="2" s="1"/>
  <c r="AU96" i="2" s="1"/>
  <c r="I96" i="2"/>
  <c r="CI70" i="2"/>
  <c r="BX70" i="2"/>
  <c r="BS70" i="2"/>
  <c r="BP70" i="2"/>
  <c r="BO70" i="2"/>
  <c r="BN70" i="2"/>
  <c r="BM70" i="2"/>
  <c r="BK70" i="2"/>
  <c r="BA70" i="2"/>
  <c r="AZ70" i="2"/>
  <c r="AY70" i="2"/>
  <c r="AX70" i="2"/>
  <c r="AT70" i="2"/>
  <c r="AH70" i="2"/>
  <c r="AS70" i="2" s="1"/>
  <c r="AG70" i="2"/>
  <c r="AR70" i="2" s="1"/>
  <c r="AF70" i="2"/>
  <c r="AQ70" i="2" s="1"/>
  <c r="AE70" i="2"/>
  <c r="AP70" i="2" s="1"/>
  <c r="AB70" i="2"/>
  <c r="AL70" i="2" s="1"/>
  <c r="J70" i="2"/>
  <c r="I70" i="2"/>
  <c r="AJ70" i="2" s="1"/>
  <c r="AV70" i="2" s="1"/>
  <c r="H70" i="2"/>
  <c r="AI70" i="2" s="1"/>
  <c r="AU70" i="2" s="1"/>
  <c r="E70" i="2"/>
  <c r="AC70" i="2" s="1"/>
  <c r="AN70" i="2" s="1"/>
  <c r="CI95" i="2"/>
  <c r="BX95" i="2"/>
  <c r="BS95" i="2"/>
  <c r="BP95" i="2"/>
  <c r="BO95" i="2"/>
  <c r="BN95" i="2"/>
  <c r="BM95" i="2"/>
  <c r="BK95" i="2"/>
  <c r="BA95" i="2"/>
  <c r="AZ95" i="2"/>
  <c r="AY95" i="2"/>
  <c r="AX95" i="2"/>
  <c r="AT95" i="2"/>
  <c r="AH95" i="2"/>
  <c r="AS95" i="2" s="1"/>
  <c r="AG95" i="2"/>
  <c r="AR95" i="2" s="1"/>
  <c r="AF95" i="2"/>
  <c r="AQ95" i="2" s="1"/>
  <c r="AE95" i="2"/>
  <c r="AP95" i="2" s="1"/>
  <c r="AB95" i="2"/>
  <c r="AM95" i="2" s="1"/>
  <c r="J95" i="2"/>
  <c r="I95" i="2"/>
  <c r="AJ95" i="2" s="1"/>
  <c r="AV95" i="2" s="1"/>
  <c r="H95" i="2"/>
  <c r="AI95" i="2" s="1"/>
  <c r="AU95" i="2" s="1"/>
  <c r="E95" i="2"/>
  <c r="AD95" i="2" s="1"/>
  <c r="AO95" i="2" s="1"/>
  <c r="CI108" i="2"/>
  <c r="BX108" i="2"/>
  <c r="BS108" i="2"/>
  <c r="BP108" i="2"/>
  <c r="BO108" i="2"/>
  <c r="BN108" i="2"/>
  <c r="BM108" i="2"/>
  <c r="BK108" i="2"/>
  <c r="BA108" i="2"/>
  <c r="AZ108" i="2"/>
  <c r="AY108" i="2"/>
  <c r="AT108" i="2"/>
  <c r="AH108" i="2"/>
  <c r="AS108" i="2" s="1"/>
  <c r="AG108" i="2"/>
  <c r="AR108" i="2" s="1"/>
  <c r="AF108" i="2"/>
  <c r="AQ108" i="2" s="1"/>
  <c r="AE108" i="2"/>
  <c r="AP108" i="2" s="1"/>
  <c r="BG108" i="2" s="1"/>
  <c r="AB108" i="2"/>
  <c r="AM108" i="2" s="1"/>
  <c r="J108" i="2"/>
  <c r="I108" i="2"/>
  <c r="AJ108" i="2" s="1"/>
  <c r="AV108" i="2" s="1"/>
  <c r="H108" i="2"/>
  <c r="AI108" i="2" s="1"/>
  <c r="AU108" i="2" s="1"/>
  <c r="E108" i="2"/>
  <c r="AD108" i="2" s="1"/>
  <c r="AO108" i="2" s="1"/>
  <c r="CI86" i="2"/>
  <c r="BX86" i="2"/>
  <c r="BS86" i="2"/>
  <c r="BP86" i="2"/>
  <c r="BO86" i="2"/>
  <c r="BN86" i="2"/>
  <c r="BM86" i="2"/>
  <c r="BK86" i="2"/>
  <c r="BA86" i="2"/>
  <c r="AZ86" i="2"/>
  <c r="AY86" i="2"/>
  <c r="AX86" i="2"/>
  <c r="AT86" i="2"/>
  <c r="AH86" i="2"/>
  <c r="AS86" i="2" s="1"/>
  <c r="AG86" i="2"/>
  <c r="AR86" i="2" s="1"/>
  <c r="AF86" i="2"/>
  <c r="AQ86" i="2" s="1"/>
  <c r="AE86" i="2"/>
  <c r="AP86" i="2" s="1"/>
  <c r="AB86" i="2"/>
  <c r="AM86" i="2" s="1"/>
  <c r="J86" i="2"/>
  <c r="I86" i="2"/>
  <c r="AJ86" i="2" s="1"/>
  <c r="AV86" i="2" s="1"/>
  <c r="H86" i="2"/>
  <c r="AI86" i="2" s="1"/>
  <c r="AU86" i="2" s="1"/>
  <c r="E86" i="2"/>
  <c r="AD86" i="2" s="1"/>
  <c r="AO86" i="2" s="1"/>
  <c r="CI50" i="2"/>
  <c r="BX50" i="2"/>
  <c r="BS50" i="2"/>
  <c r="BP50" i="2"/>
  <c r="BO50" i="2"/>
  <c r="BN50" i="2"/>
  <c r="BM50" i="2"/>
  <c r="BK50" i="2"/>
  <c r="BA50" i="2"/>
  <c r="AZ50" i="2"/>
  <c r="AY50" i="2"/>
  <c r="AX50" i="2"/>
  <c r="AT50" i="2"/>
  <c r="AH50" i="2"/>
  <c r="AS50" i="2" s="1"/>
  <c r="AG50" i="2"/>
  <c r="AR50" i="2" s="1"/>
  <c r="BI50" i="2" s="1"/>
  <c r="AF50" i="2"/>
  <c r="AQ50" i="2" s="1"/>
  <c r="AE50" i="2"/>
  <c r="AP50" i="2" s="1"/>
  <c r="AB50" i="2"/>
  <c r="AM50" i="2" s="1"/>
  <c r="J50" i="2"/>
  <c r="I50" i="2"/>
  <c r="AJ50" i="2" s="1"/>
  <c r="AV50" i="2" s="1"/>
  <c r="H50" i="2"/>
  <c r="AI50" i="2" s="1"/>
  <c r="AU50" i="2" s="1"/>
  <c r="E50" i="2"/>
  <c r="AD50" i="2" s="1"/>
  <c r="AO50" i="2" s="1"/>
  <c r="CI85" i="2"/>
  <c r="BX85" i="2"/>
  <c r="BS85" i="2"/>
  <c r="BP85" i="2"/>
  <c r="BO85" i="2"/>
  <c r="BN85" i="2"/>
  <c r="BM85" i="2"/>
  <c r="BK85" i="2"/>
  <c r="BA85" i="2"/>
  <c r="AZ85" i="2"/>
  <c r="AY85" i="2"/>
  <c r="AX85" i="2"/>
  <c r="AT85" i="2"/>
  <c r="AH85" i="2"/>
  <c r="AS85" i="2" s="1"/>
  <c r="AG85" i="2"/>
  <c r="AR85" i="2" s="1"/>
  <c r="AF85" i="2"/>
  <c r="AQ85" i="2" s="1"/>
  <c r="AE85" i="2"/>
  <c r="AP85" i="2" s="1"/>
  <c r="AB85" i="2"/>
  <c r="AM85" i="2" s="1"/>
  <c r="J85" i="2"/>
  <c r="I85" i="2"/>
  <c r="AJ85" i="2" s="1"/>
  <c r="AV85" i="2" s="1"/>
  <c r="H85" i="2"/>
  <c r="AI85" i="2" s="1"/>
  <c r="AU85" i="2" s="1"/>
  <c r="E85" i="2"/>
  <c r="AD85" i="2" s="1"/>
  <c r="AO85" i="2" s="1"/>
  <c r="CI83" i="2"/>
  <c r="BX83" i="2"/>
  <c r="BS83" i="2"/>
  <c r="BP83" i="2"/>
  <c r="BO83" i="2"/>
  <c r="BN83" i="2"/>
  <c r="BM83" i="2"/>
  <c r="BK83" i="2"/>
  <c r="BA83" i="2"/>
  <c r="AZ83" i="2"/>
  <c r="AY83" i="2"/>
  <c r="AT83" i="2"/>
  <c r="AH83" i="2"/>
  <c r="AS83" i="2" s="1"/>
  <c r="AG83" i="2"/>
  <c r="AR83" i="2" s="1"/>
  <c r="BI83" i="2" s="1"/>
  <c r="AF83" i="2"/>
  <c r="AQ83" i="2" s="1"/>
  <c r="AE83" i="2"/>
  <c r="AP83" i="2" s="1"/>
  <c r="BG83" i="2" s="1"/>
  <c r="AB83" i="2"/>
  <c r="AM83" i="2" s="1"/>
  <c r="J83" i="2"/>
  <c r="I83" i="2"/>
  <c r="AJ83" i="2" s="1"/>
  <c r="AV83" i="2" s="1"/>
  <c r="H83" i="2"/>
  <c r="AI83" i="2" s="1"/>
  <c r="AU83" i="2" s="1"/>
  <c r="E83" i="2"/>
  <c r="AD83" i="2" s="1"/>
  <c r="AO83" i="2" s="1"/>
  <c r="CI82" i="2"/>
  <c r="BX82" i="2"/>
  <c r="BS82" i="2"/>
  <c r="BP82" i="2"/>
  <c r="BO82" i="2"/>
  <c r="BN82" i="2"/>
  <c r="BM82" i="2"/>
  <c r="BK82" i="2"/>
  <c r="BA82" i="2"/>
  <c r="AZ82" i="2"/>
  <c r="AY82" i="2"/>
  <c r="AT82" i="2"/>
  <c r="AH82" i="2"/>
  <c r="AS82" i="2" s="1"/>
  <c r="AG82" i="2"/>
  <c r="AR82" i="2" s="1"/>
  <c r="BI82" i="2" s="1"/>
  <c r="AF82" i="2"/>
  <c r="AQ82" i="2" s="1"/>
  <c r="AE82" i="2"/>
  <c r="AP82" i="2" s="1"/>
  <c r="BG82" i="2" s="1"/>
  <c r="AB82" i="2"/>
  <c r="AM82" i="2" s="1"/>
  <c r="J82" i="2"/>
  <c r="I82" i="2"/>
  <c r="AJ82" i="2" s="1"/>
  <c r="AV82" i="2" s="1"/>
  <c r="H82" i="2"/>
  <c r="AI82" i="2" s="1"/>
  <c r="AU82" i="2" s="1"/>
  <c r="E82" i="2"/>
  <c r="AD82" i="2" s="1"/>
  <c r="AO82" i="2" s="1"/>
  <c r="CI81" i="2"/>
  <c r="BX81" i="2"/>
  <c r="BS81" i="2"/>
  <c r="BP81" i="2"/>
  <c r="BO81" i="2"/>
  <c r="BN81" i="2"/>
  <c r="BM81" i="2"/>
  <c r="BK81" i="2"/>
  <c r="BA81" i="2"/>
  <c r="AZ81" i="2"/>
  <c r="AY81" i="2"/>
  <c r="AT81" i="2"/>
  <c r="AH81" i="2"/>
  <c r="AS81" i="2" s="1"/>
  <c r="AG81" i="2"/>
  <c r="AR81" i="2" s="1"/>
  <c r="BI81" i="2" s="1"/>
  <c r="AF81" i="2"/>
  <c r="AQ81" i="2" s="1"/>
  <c r="AE81" i="2"/>
  <c r="AP81" i="2" s="1"/>
  <c r="BG81" i="2" s="1"/>
  <c r="AB81" i="2"/>
  <c r="AM81" i="2" s="1"/>
  <c r="J81" i="2"/>
  <c r="I81" i="2"/>
  <c r="AJ81" i="2" s="1"/>
  <c r="AV81" i="2" s="1"/>
  <c r="H81" i="2"/>
  <c r="AI81" i="2" s="1"/>
  <c r="AU81" i="2" s="1"/>
  <c r="E81" i="2"/>
  <c r="AD81" i="2" s="1"/>
  <c r="AO81" i="2" s="1"/>
  <c r="CI80" i="2"/>
  <c r="BX80" i="2"/>
  <c r="BS80" i="2"/>
  <c r="BP80" i="2"/>
  <c r="BO80" i="2"/>
  <c r="BN80" i="2"/>
  <c r="BM80" i="2"/>
  <c r="BK80" i="2"/>
  <c r="BA80" i="2"/>
  <c r="AZ80" i="2"/>
  <c r="AY80" i="2"/>
  <c r="AT80" i="2"/>
  <c r="AH80" i="2"/>
  <c r="AS80" i="2" s="1"/>
  <c r="AG80" i="2"/>
  <c r="AR80" i="2" s="1"/>
  <c r="BI80" i="2" s="1"/>
  <c r="AF80" i="2"/>
  <c r="AQ80" i="2" s="1"/>
  <c r="AE80" i="2"/>
  <c r="AP80" i="2" s="1"/>
  <c r="BG80" i="2" s="1"/>
  <c r="AB80" i="2"/>
  <c r="AM80" i="2" s="1"/>
  <c r="J80" i="2"/>
  <c r="I80" i="2"/>
  <c r="AJ80" i="2" s="1"/>
  <c r="AV80" i="2" s="1"/>
  <c r="H80" i="2"/>
  <c r="AI80" i="2" s="1"/>
  <c r="AU80" i="2" s="1"/>
  <c r="E80" i="2"/>
  <c r="AD80" i="2" s="1"/>
  <c r="AO80" i="2" s="1"/>
  <c r="CI79" i="2"/>
  <c r="BX79" i="2"/>
  <c r="BS79" i="2"/>
  <c r="BP79" i="2"/>
  <c r="BO79" i="2"/>
  <c r="BN79" i="2"/>
  <c r="BM79" i="2"/>
  <c r="BK79" i="2"/>
  <c r="BA79" i="2"/>
  <c r="AZ79" i="2"/>
  <c r="AY79" i="2"/>
  <c r="AT79" i="2"/>
  <c r="AH79" i="2"/>
  <c r="AS79" i="2" s="1"/>
  <c r="AG79" i="2"/>
  <c r="AR79" i="2" s="1"/>
  <c r="BI79" i="2" s="1"/>
  <c r="AF79" i="2"/>
  <c r="AQ79" i="2" s="1"/>
  <c r="AE79" i="2"/>
  <c r="AP79" i="2" s="1"/>
  <c r="BG79" i="2" s="1"/>
  <c r="AB79" i="2"/>
  <c r="AM79" i="2" s="1"/>
  <c r="J79" i="2"/>
  <c r="I79" i="2"/>
  <c r="AJ79" i="2" s="1"/>
  <c r="AV79" i="2" s="1"/>
  <c r="H79" i="2"/>
  <c r="AI79" i="2" s="1"/>
  <c r="AU79" i="2" s="1"/>
  <c r="E79" i="2"/>
  <c r="AD79" i="2" s="1"/>
  <c r="AO79" i="2" s="1"/>
  <c r="CI78" i="2"/>
  <c r="BX78" i="2"/>
  <c r="BS78" i="2"/>
  <c r="BP78" i="2"/>
  <c r="BO78" i="2"/>
  <c r="BN78" i="2"/>
  <c r="BM78" i="2"/>
  <c r="BK78" i="2"/>
  <c r="BA78" i="2"/>
  <c r="AZ78" i="2"/>
  <c r="AY78" i="2"/>
  <c r="AT78" i="2"/>
  <c r="AH78" i="2"/>
  <c r="AS78" i="2" s="1"/>
  <c r="AG78" i="2"/>
  <c r="AR78" i="2" s="1"/>
  <c r="BI78" i="2" s="1"/>
  <c r="AF78" i="2"/>
  <c r="AQ78" i="2" s="1"/>
  <c r="AE78" i="2"/>
  <c r="AP78" i="2" s="1"/>
  <c r="BG78" i="2" s="1"/>
  <c r="AB78" i="2"/>
  <c r="AM78" i="2" s="1"/>
  <c r="J78" i="2"/>
  <c r="I78" i="2"/>
  <c r="AJ78" i="2" s="1"/>
  <c r="AV78" i="2" s="1"/>
  <c r="H78" i="2"/>
  <c r="AI78" i="2" s="1"/>
  <c r="AU78" i="2" s="1"/>
  <c r="E78" i="2"/>
  <c r="AD78" i="2" s="1"/>
  <c r="AO78" i="2" s="1"/>
  <c r="CI77" i="2"/>
  <c r="BX77" i="2"/>
  <c r="BS77" i="2"/>
  <c r="BP77" i="2"/>
  <c r="BO77" i="2"/>
  <c r="BN77" i="2"/>
  <c r="BM77" i="2"/>
  <c r="BK77" i="2"/>
  <c r="BA77" i="2"/>
  <c r="AZ77" i="2"/>
  <c r="AY77" i="2"/>
  <c r="AT77" i="2"/>
  <c r="AH77" i="2"/>
  <c r="AS77" i="2" s="1"/>
  <c r="AG77" i="2"/>
  <c r="AR77" i="2" s="1"/>
  <c r="BI77" i="2" s="1"/>
  <c r="AF77" i="2"/>
  <c r="AQ77" i="2" s="1"/>
  <c r="AE77" i="2"/>
  <c r="AP77" i="2" s="1"/>
  <c r="BG77" i="2" s="1"/>
  <c r="AB77" i="2"/>
  <c r="AM77" i="2" s="1"/>
  <c r="J77" i="2"/>
  <c r="I77" i="2"/>
  <c r="AJ77" i="2" s="1"/>
  <c r="AV77" i="2" s="1"/>
  <c r="H77" i="2"/>
  <c r="AI77" i="2" s="1"/>
  <c r="AU77" i="2" s="1"/>
  <c r="E77" i="2"/>
  <c r="AD77" i="2" s="1"/>
  <c r="AO77" i="2" s="1"/>
  <c r="CI76" i="2"/>
  <c r="BX76" i="2"/>
  <c r="BS76" i="2"/>
  <c r="BP76" i="2"/>
  <c r="BO76" i="2"/>
  <c r="BN76" i="2"/>
  <c r="BM76" i="2"/>
  <c r="BK76" i="2"/>
  <c r="BA76" i="2"/>
  <c r="AZ76" i="2"/>
  <c r="AY76" i="2"/>
  <c r="AT76" i="2"/>
  <c r="AH76" i="2"/>
  <c r="AS76" i="2" s="1"/>
  <c r="AG76" i="2"/>
  <c r="AR76" i="2" s="1"/>
  <c r="BI76" i="2" s="1"/>
  <c r="AF76" i="2"/>
  <c r="AQ76" i="2" s="1"/>
  <c r="AE76" i="2"/>
  <c r="AP76" i="2" s="1"/>
  <c r="BG76" i="2" s="1"/>
  <c r="AB76" i="2"/>
  <c r="AM76" i="2" s="1"/>
  <c r="J76" i="2"/>
  <c r="I76" i="2"/>
  <c r="AJ76" i="2" s="1"/>
  <c r="AV76" i="2" s="1"/>
  <c r="H76" i="2"/>
  <c r="AI76" i="2" s="1"/>
  <c r="AU76" i="2" s="1"/>
  <c r="E76" i="2"/>
  <c r="AD76" i="2" s="1"/>
  <c r="AO76" i="2" s="1"/>
  <c r="CI84" i="2"/>
  <c r="BX84" i="2"/>
  <c r="BS84" i="2"/>
  <c r="BP84" i="2"/>
  <c r="BO84" i="2"/>
  <c r="BN84" i="2"/>
  <c r="BM84" i="2"/>
  <c r="BK84" i="2"/>
  <c r="BA84" i="2"/>
  <c r="AZ84" i="2"/>
  <c r="AY84" i="2"/>
  <c r="AX84" i="2"/>
  <c r="AT84" i="2"/>
  <c r="AH84" i="2"/>
  <c r="AS84" i="2" s="1"/>
  <c r="AG84" i="2"/>
  <c r="AR84" i="2" s="1"/>
  <c r="AF84" i="2"/>
  <c r="AQ84" i="2" s="1"/>
  <c r="AE84" i="2"/>
  <c r="AP84" i="2" s="1"/>
  <c r="AB84" i="2"/>
  <c r="AL84" i="2" s="1"/>
  <c r="J84" i="2"/>
  <c r="I84" i="2"/>
  <c r="AJ84" i="2" s="1"/>
  <c r="AV84" i="2" s="1"/>
  <c r="H84" i="2"/>
  <c r="AI84" i="2" s="1"/>
  <c r="AU84" i="2" s="1"/>
  <c r="E84" i="2"/>
  <c r="AC84" i="2" s="1"/>
  <c r="AN84" i="2" s="1"/>
  <c r="CI75" i="2"/>
  <c r="CD75" i="2"/>
  <c r="CE75" i="2" s="1"/>
  <c r="BX75" i="2"/>
  <c r="BS75" i="2"/>
  <c r="BP75" i="2"/>
  <c r="BO75" i="2"/>
  <c r="BN75" i="2"/>
  <c r="BM75" i="2"/>
  <c r="BK75" i="2"/>
  <c r="BA75" i="2"/>
  <c r="AZ75" i="2"/>
  <c r="AY75" i="2"/>
  <c r="AT75" i="2"/>
  <c r="AJ75" i="2"/>
  <c r="AV75" i="2" s="1"/>
  <c r="AI75" i="2"/>
  <c r="AU75" i="2" s="1"/>
  <c r="AH75" i="2"/>
  <c r="AS75" i="2" s="1"/>
  <c r="AG75" i="2"/>
  <c r="AR75" i="2" s="1"/>
  <c r="AF75" i="2"/>
  <c r="AQ75" i="2" s="1"/>
  <c r="AE75" i="2"/>
  <c r="AP75" i="2" s="1"/>
  <c r="AD75" i="2"/>
  <c r="AO75" i="2" s="1"/>
  <c r="AC75" i="2"/>
  <c r="AN75" i="2" s="1"/>
  <c r="AB75" i="2"/>
  <c r="AL75" i="2" s="1"/>
  <c r="J75" i="2"/>
  <c r="Y75" i="2" s="1"/>
  <c r="Z75" i="2" s="1"/>
  <c r="CI92" i="2"/>
  <c r="BX92" i="2"/>
  <c r="BS92" i="2"/>
  <c r="BP92" i="2"/>
  <c r="BO92" i="2"/>
  <c r="BN92" i="2"/>
  <c r="BM92" i="2"/>
  <c r="BK92" i="2"/>
  <c r="BA92" i="2"/>
  <c r="AZ92" i="2"/>
  <c r="AY92" i="2"/>
  <c r="AX92" i="2"/>
  <c r="AT92" i="2"/>
  <c r="AH92" i="2"/>
  <c r="AS92" i="2" s="1"/>
  <c r="AG92" i="2"/>
  <c r="AR92" i="2" s="1"/>
  <c r="AF92" i="2"/>
  <c r="AQ92" i="2" s="1"/>
  <c r="AE92" i="2"/>
  <c r="AP92" i="2" s="1"/>
  <c r="AB92" i="2"/>
  <c r="AL92" i="2" s="1"/>
  <c r="J92" i="2"/>
  <c r="I92" i="2"/>
  <c r="AJ92" i="2" s="1"/>
  <c r="AV92" i="2" s="1"/>
  <c r="H92" i="2"/>
  <c r="AI92" i="2" s="1"/>
  <c r="AU92" i="2" s="1"/>
  <c r="E92" i="2"/>
  <c r="AC92" i="2" s="1"/>
  <c r="AN92" i="2" s="1"/>
  <c r="CI91" i="2"/>
  <c r="BX91" i="2"/>
  <c r="BS91" i="2"/>
  <c r="BP91" i="2"/>
  <c r="BO91" i="2"/>
  <c r="BN91" i="2"/>
  <c r="BM91" i="2"/>
  <c r="BK91" i="2"/>
  <c r="BA91" i="2"/>
  <c r="AZ91" i="2"/>
  <c r="AY91" i="2"/>
  <c r="AX91" i="2"/>
  <c r="AT91" i="2"/>
  <c r="AH91" i="2"/>
  <c r="AS91" i="2" s="1"/>
  <c r="AG91" i="2"/>
  <c r="AR91" i="2" s="1"/>
  <c r="AF91" i="2"/>
  <c r="AQ91" i="2" s="1"/>
  <c r="AE91" i="2"/>
  <c r="AP91" i="2" s="1"/>
  <c r="AB91" i="2"/>
  <c r="AM91" i="2" s="1"/>
  <c r="J91" i="2"/>
  <c r="I91" i="2"/>
  <c r="AJ91" i="2" s="1"/>
  <c r="AV91" i="2" s="1"/>
  <c r="H91" i="2"/>
  <c r="AI91" i="2" s="1"/>
  <c r="AU91" i="2" s="1"/>
  <c r="E91" i="2"/>
  <c r="AD91" i="2" s="1"/>
  <c r="AO91" i="2" s="1"/>
  <c r="CI90" i="2"/>
  <c r="BX90" i="2"/>
  <c r="BS90" i="2"/>
  <c r="BP90" i="2"/>
  <c r="BO90" i="2"/>
  <c r="BN90" i="2"/>
  <c r="BM90" i="2"/>
  <c r="BK90" i="2"/>
  <c r="BA90" i="2"/>
  <c r="AZ90" i="2"/>
  <c r="AY90" i="2"/>
  <c r="AX90" i="2"/>
  <c r="AT90" i="2"/>
  <c r="AH90" i="2"/>
  <c r="AS90" i="2" s="1"/>
  <c r="AG90" i="2"/>
  <c r="AR90" i="2" s="1"/>
  <c r="AF90" i="2"/>
  <c r="AQ90" i="2" s="1"/>
  <c r="AE90" i="2"/>
  <c r="AP90" i="2" s="1"/>
  <c r="AB90" i="2"/>
  <c r="AM90" i="2" s="1"/>
  <c r="J90" i="2"/>
  <c r="I90" i="2"/>
  <c r="AJ90" i="2" s="1"/>
  <c r="AV90" i="2" s="1"/>
  <c r="H90" i="2"/>
  <c r="AI90" i="2" s="1"/>
  <c r="AU90" i="2" s="1"/>
  <c r="E90" i="2"/>
  <c r="AD90" i="2" s="1"/>
  <c r="AO90" i="2" s="1"/>
  <c r="CI98" i="2"/>
  <c r="BX98" i="2"/>
  <c r="BS98" i="2"/>
  <c r="BP98" i="2"/>
  <c r="BO98" i="2"/>
  <c r="BN98" i="2"/>
  <c r="BM98" i="2"/>
  <c r="BK98" i="2"/>
  <c r="BA98" i="2"/>
  <c r="AZ98" i="2"/>
  <c r="AY98" i="2"/>
  <c r="AX98" i="2"/>
  <c r="AT98" i="2"/>
  <c r="AH98" i="2"/>
  <c r="AS98" i="2" s="1"/>
  <c r="AG98" i="2"/>
  <c r="AR98" i="2" s="1"/>
  <c r="AF98" i="2"/>
  <c r="AQ98" i="2" s="1"/>
  <c r="AE98" i="2"/>
  <c r="AP98" i="2" s="1"/>
  <c r="AB98" i="2"/>
  <c r="AM98" i="2" s="1"/>
  <c r="J98" i="2"/>
  <c r="I98" i="2"/>
  <c r="AJ98" i="2" s="1"/>
  <c r="AV98" i="2" s="1"/>
  <c r="H98" i="2"/>
  <c r="AI98" i="2" s="1"/>
  <c r="AU98" i="2" s="1"/>
  <c r="E98" i="2"/>
  <c r="AD98" i="2" s="1"/>
  <c r="AO98" i="2" s="1"/>
  <c r="CI97" i="2"/>
  <c r="BX97" i="2"/>
  <c r="BS97" i="2"/>
  <c r="BP97" i="2"/>
  <c r="BO97" i="2"/>
  <c r="BN97" i="2"/>
  <c r="BM97" i="2"/>
  <c r="BK97" i="2"/>
  <c r="BA97" i="2"/>
  <c r="AZ97" i="2"/>
  <c r="AY97" i="2"/>
  <c r="AX97" i="2"/>
  <c r="AT97" i="2"/>
  <c r="AH97" i="2"/>
  <c r="AS97" i="2" s="1"/>
  <c r="AG97" i="2"/>
  <c r="AR97" i="2" s="1"/>
  <c r="AF97" i="2"/>
  <c r="AQ97" i="2" s="1"/>
  <c r="AE97" i="2"/>
  <c r="AP97" i="2" s="1"/>
  <c r="AB97" i="2"/>
  <c r="AM97" i="2" s="1"/>
  <c r="J97" i="2"/>
  <c r="I97" i="2"/>
  <c r="AJ97" i="2" s="1"/>
  <c r="AV97" i="2" s="1"/>
  <c r="H97" i="2"/>
  <c r="AI97" i="2" s="1"/>
  <c r="AU97" i="2" s="1"/>
  <c r="E97" i="2"/>
  <c r="AD97" i="2" s="1"/>
  <c r="AO97" i="2" s="1"/>
  <c r="CI89" i="2"/>
  <c r="BX89" i="2"/>
  <c r="BS89" i="2"/>
  <c r="BP89" i="2"/>
  <c r="BO89" i="2"/>
  <c r="BN89" i="2"/>
  <c r="BM89" i="2"/>
  <c r="BK89" i="2"/>
  <c r="BA89" i="2"/>
  <c r="AZ89" i="2"/>
  <c r="AY89" i="2"/>
  <c r="AX89" i="2"/>
  <c r="AT89" i="2"/>
  <c r="AH89" i="2"/>
  <c r="AS89" i="2" s="1"/>
  <c r="AG89" i="2"/>
  <c r="AR89" i="2" s="1"/>
  <c r="AF89" i="2"/>
  <c r="AQ89" i="2" s="1"/>
  <c r="AE89" i="2"/>
  <c r="AP89" i="2" s="1"/>
  <c r="AB89" i="2"/>
  <c r="AM89" i="2" s="1"/>
  <c r="J89" i="2"/>
  <c r="I89" i="2"/>
  <c r="AJ89" i="2" s="1"/>
  <c r="AV89" i="2" s="1"/>
  <c r="H89" i="2"/>
  <c r="AI89" i="2" s="1"/>
  <c r="AU89" i="2" s="1"/>
  <c r="E89" i="2"/>
  <c r="AD89" i="2" s="1"/>
  <c r="AO89" i="2" s="1"/>
  <c r="CI103" i="2"/>
  <c r="BX103" i="2"/>
  <c r="BS103" i="2"/>
  <c r="BP103" i="2"/>
  <c r="BO103" i="2"/>
  <c r="BN103" i="2"/>
  <c r="BM103" i="2"/>
  <c r="BK103" i="2"/>
  <c r="BA103" i="2"/>
  <c r="AZ103" i="2"/>
  <c r="AY103" i="2"/>
  <c r="AX103" i="2"/>
  <c r="AT103" i="2"/>
  <c r="AH103" i="2"/>
  <c r="AS103" i="2" s="1"/>
  <c r="AG103" i="2"/>
  <c r="AR103" i="2" s="1"/>
  <c r="AF103" i="2"/>
  <c r="AQ103" i="2" s="1"/>
  <c r="AE103" i="2"/>
  <c r="AP103" i="2" s="1"/>
  <c r="AB103" i="2"/>
  <c r="AM103" i="2" s="1"/>
  <c r="J103" i="2"/>
  <c r="I103" i="2"/>
  <c r="AJ103" i="2" s="1"/>
  <c r="AV103" i="2" s="1"/>
  <c r="H103" i="2"/>
  <c r="AI103" i="2" s="1"/>
  <c r="AU103" i="2" s="1"/>
  <c r="E103" i="2"/>
  <c r="AD103" i="2" s="1"/>
  <c r="AO103" i="2" s="1"/>
  <c r="CI99" i="2"/>
  <c r="BX99" i="2"/>
  <c r="BS99" i="2"/>
  <c r="BP99" i="2"/>
  <c r="BO99" i="2"/>
  <c r="BN99" i="2"/>
  <c r="BM99" i="2"/>
  <c r="BK99" i="2"/>
  <c r="BA99" i="2"/>
  <c r="AZ99" i="2"/>
  <c r="AY99" i="2"/>
  <c r="AX99" i="2"/>
  <c r="AT99" i="2"/>
  <c r="AH99" i="2"/>
  <c r="AS99" i="2" s="1"/>
  <c r="AG99" i="2"/>
  <c r="AR99" i="2" s="1"/>
  <c r="AF99" i="2"/>
  <c r="AQ99" i="2" s="1"/>
  <c r="AE99" i="2"/>
  <c r="AP99" i="2" s="1"/>
  <c r="AB99" i="2"/>
  <c r="AM99" i="2" s="1"/>
  <c r="J99" i="2"/>
  <c r="I99" i="2"/>
  <c r="AJ99" i="2" s="1"/>
  <c r="AV99" i="2" s="1"/>
  <c r="H99" i="2"/>
  <c r="AI99" i="2" s="1"/>
  <c r="AU99" i="2" s="1"/>
  <c r="E99" i="2"/>
  <c r="AD99" i="2" s="1"/>
  <c r="AO99" i="2" s="1"/>
  <c r="CI93" i="2"/>
  <c r="BX93" i="2"/>
  <c r="BS93" i="2"/>
  <c r="BP93" i="2"/>
  <c r="BO93" i="2"/>
  <c r="BN93" i="2"/>
  <c r="BM93" i="2"/>
  <c r="BK93" i="2"/>
  <c r="BA93" i="2"/>
  <c r="AZ93" i="2"/>
  <c r="AY93" i="2"/>
  <c r="AX93" i="2"/>
  <c r="AT93" i="2"/>
  <c r="AH93" i="2"/>
  <c r="AS93" i="2" s="1"/>
  <c r="AG93" i="2"/>
  <c r="AR93" i="2" s="1"/>
  <c r="AF93" i="2"/>
  <c r="AQ93" i="2" s="1"/>
  <c r="AE93" i="2"/>
  <c r="AP93" i="2" s="1"/>
  <c r="AB93" i="2"/>
  <c r="AM93" i="2" s="1"/>
  <c r="J93" i="2"/>
  <c r="I93" i="2"/>
  <c r="AJ93" i="2" s="1"/>
  <c r="AV93" i="2" s="1"/>
  <c r="H93" i="2"/>
  <c r="AI93" i="2" s="1"/>
  <c r="AU93" i="2" s="1"/>
  <c r="E93" i="2"/>
  <c r="AD93" i="2" s="1"/>
  <c r="AO93" i="2" s="1"/>
  <c r="CI74" i="2"/>
  <c r="BX74" i="2"/>
  <c r="BS74" i="2"/>
  <c r="BP74" i="2"/>
  <c r="BO74" i="2"/>
  <c r="BN74" i="2"/>
  <c r="BM74" i="2"/>
  <c r="BK74" i="2"/>
  <c r="BA74" i="2"/>
  <c r="AZ74" i="2"/>
  <c r="AY74" i="2"/>
  <c r="AX74" i="2"/>
  <c r="AT74" i="2"/>
  <c r="AH74" i="2"/>
  <c r="AS74" i="2" s="1"/>
  <c r="AG74" i="2"/>
  <c r="AR74" i="2" s="1"/>
  <c r="AF74" i="2"/>
  <c r="AQ74" i="2" s="1"/>
  <c r="AE74" i="2"/>
  <c r="AP74" i="2" s="1"/>
  <c r="AB74" i="2"/>
  <c r="AM74" i="2" s="1"/>
  <c r="J74" i="2"/>
  <c r="I74" i="2"/>
  <c r="AJ74" i="2" s="1"/>
  <c r="AV74" i="2" s="1"/>
  <c r="H74" i="2"/>
  <c r="AI74" i="2" s="1"/>
  <c r="AU74" i="2" s="1"/>
  <c r="E74" i="2"/>
  <c r="AD74" i="2" s="1"/>
  <c r="AO74" i="2" s="1"/>
  <c r="CI49" i="2"/>
  <c r="BX49" i="2"/>
  <c r="BS49" i="2"/>
  <c r="BP49" i="2"/>
  <c r="BO49" i="2"/>
  <c r="BN49" i="2"/>
  <c r="BM49" i="2"/>
  <c r="BK49" i="2"/>
  <c r="BA49" i="2"/>
  <c r="AZ49" i="2"/>
  <c r="AY49" i="2"/>
  <c r="AX49" i="2"/>
  <c r="AT49" i="2"/>
  <c r="AH49" i="2"/>
  <c r="AS49" i="2" s="1"/>
  <c r="AG49" i="2"/>
  <c r="AR49" i="2" s="1"/>
  <c r="AF49" i="2"/>
  <c r="AQ49" i="2" s="1"/>
  <c r="AE49" i="2"/>
  <c r="AP49" i="2" s="1"/>
  <c r="AB49" i="2"/>
  <c r="AM49" i="2" s="1"/>
  <c r="J49" i="2"/>
  <c r="I49" i="2"/>
  <c r="AJ49" i="2" s="1"/>
  <c r="AV49" i="2" s="1"/>
  <c r="H49" i="2"/>
  <c r="AI49" i="2" s="1"/>
  <c r="AU49" i="2" s="1"/>
  <c r="E49" i="2"/>
  <c r="AD49" i="2" s="1"/>
  <c r="AO49" i="2" s="1"/>
  <c r="CI66" i="2"/>
  <c r="BX66" i="2"/>
  <c r="BS66" i="2"/>
  <c r="BP66" i="2"/>
  <c r="BO66" i="2"/>
  <c r="BN66" i="2"/>
  <c r="BM66" i="2"/>
  <c r="BK66" i="2"/>
  <c r="BA66" i="2"/>
  <c r="AZ66" i="2"/>
  <c r="AY66" i="2"/>
  <c r="AX66" i="2"/>
  <c r="AT66" i="2"/>
  <c r="AH66" i="2"/>
  <c r="AS66" i="2" s="1"/>
  <c r="AG66" i="2"/>
  <c r="AR66" i="2" s="1"/>
  <c r="AF66" i="2"/>
  <c r="AQ66" i="2" s="1"/>
  <c r="AE66" i="2"/>
  <c r="AP66" i="2" s="1"/>
  <c r="AB66" i="2"/>
  <c r="AL66" i="2" s="1"/>
  <c r="J66" i="2"/>
  <c r="I66" i="2"/>
  <c r="AJ66" i="2" s="1"/>
  <c r="AV66" i="2" s="1"/>
  <c r="H66" i="2"/>
  <c r="AI66" i="2" s="1"/>
  <c r="AU66" i="2" s="1"/>
  <c r="E66" i="2"/>
  <c r="AC66" i="2" s="1"/>
  <c r="AN66" i="2" s="1"/>
  <c r="CI65" i="2"/>
  <c r="BX65" i="2"/>
  <c r="BS65" i="2"/>
  <c r="BP65" i="2"/>
  <c r="BO65" i="2"/>
  <c r="BN65" i="2"/>
  <c r="BM65" i="2"/>
  <c r="BK65" i="2"/>
  <c r="BA65" i="2"/>
  <c r="AZ65" i="2"/>
  <c r="AY65" i="2"/>
  <c r="AX65" i="2"/>
  <c r="AT65" i="2"/>
  <c r="AH65" i="2"/>
  <c r="AS65" i="2" s="1"/>
  <c r="AG65" i="2"/>
  <c r="AR65" i="2" s="1"/>
  <c r="AF65" i="2"/>
  <c r="AQ65" i="2" s="1"/>
  <c r="AE65" i="2"/>
  <c r="AP65" i="2" s="1"/>
  <c r="AB65" i="2"/>
  <c r="AM65" i="2" s="1"/>
  <c r="J65" i="2"/>
  <c r="I65" i="2"/>
  <c r="AJ65" i="2" s="1"/>
  <c r="AV65" i="2" s="1"/>
  <c r="H65" i="2"/>
  <c r="AI65" i="2" s="1"/>
  <c r="AU65" i="2" s="1"/>
  <c r="E65" i="2"/>
  <c r="AD65" i="2" s="1"/>
  <c r="AO65" i="2" s="1"/>
  <c r="CI64" i="2"/>
  <c r="BX64" i="2"/>
  <c r="BS64" i="2"/>
  <c r="BP64" i="2"/>
  <c r="BO64" i="2"/>
  <c r="BN64" i="2"/>
  <c r="BM64" i="2"/>
  <c r="BK64" i="2"/>
  <c r="BA64" i="2"/>
  <c r="AZ64" i="2"/>
  <c r="AY64" i="2"/>
  <c r="AX64" i="2"/>
  <c r="AT64" i="2"/>
  <c r="AH64" i="2"/>
  <c r="AS64" i="2" s="1"/>
  <c r="AG64" i="2"/>
  <c r="AR64" i="2" s="1"/>
  <c r="AF64" i="2"/>
  <c r="AQ64" i="2" s="1"/>
  <c r="AE64" i="2"/>
  <c r="AP64" i="2" s="1"/>
  <c r="AB64" i="2"/>
  <c r="AM64" i="2" s="1"/>
  <c r="J64" i="2"/>
  <c r="I64" i="2"/>
  <c r="AJ64" i="2" s="1"/>
  <c r="AV64" i="2" s="1"/>
  <c r="H64" i="2"/>
  <c r="AI64" i="2" s="1"/>
  <c r="AU64" i="2" s="1"/>
  <c r="E64" i="2"/>
  <c r="AD64" i="2" s="1"/>
  <c r="AO64" i="2" s="1"/>
  <c r="J67" i="2"/>
  <c r="Y67" i="2" s="1"/>
  <c r="Z67" i="2" s="1"/>
  <c r="AB67" i="2"/>
  <c r="AL67" i="2" s="1"/>
  <c r="AC67" i="2"/>
  <c r="AN67" i="2" s="1"/>
  <c r="AD67" i="2"/>
  <c r="AO67" i="2" s="1"/>
  <c r="AE67" i="2"/>
  <c r="AP67" i="2" s="1"/>
  <c r="AF67" i="2"/>
  <c r="AQ67" i="2" s="1"/>
  <c r="AG67" i="2"/>
  <c r="AR67" i="2" s="1"/>
  <c r="BI67" i="2" s="1"/>
  <c r="AH67" i="2"/>
  <c r="AS67" i="2" s="1"/>
  <c r="AI67" i="2"/>
  <c r="AU67" i="2" s="1"/>
  <c r="AJ67" i="2"/>
  <c r="AV67" i="2" s="1"/>
  <c r="AT67" i="2"/>
  <c r="AY67" i="2"/>
  <c r="AZ67" i="2"/>
  <c r="BA67" i="2"/>
  <c r="BK67" i="2"/>
  <c r="BM67" i="2"/>
  <c r="BN67" i="2"/>
  <c r="BO67" i="2"/>
  <c r="BP67" i="2"/>
  <c r="BS67" i="2"/>
  <c r="BX67" i="2"/>
  <c r="CD67" i="2"/>
  <c r="CC67" i="2" s="1"/>
  <c r="CI67" i="2"/>
  <c r="CI71" i="2"/>
  <c r="BX71" i="2"/>
  <c r="BS71" i="2"/>
  <c r="BP71" i="2"/>
  <c r="BO71" i="2"/>
  <c r="BN71" i="2"/>
  <c r="BM71" i="2"/>
  <c r="BK71" i="2"/>
  <c r="BA71" i="2"/>
  <c r="AZ71" i="2"/>
  <c r="AY71" i="2"/>
  <c r="AX71" i="2"/>
  <c r="AT71" i="2"/>
  <c r="AH71" i="2"/>
  <c r="AS71" i="2" s="1"/>
  <c r="AG71" i="2"/>
  <c r="AR71" i="2" s="1"/>
  <c r="AF71" i="2"/>
  <c r="AQ71" i="2" s="1"/>
  <c r="AE71" i="2"/>
  <c r="AP71" i="2" s="1"/>
  <c r="AB71" i="2"/>
  <c r="AM71" i="2" s="1"/>
  <c r="J71" i="2"/>
  <c r="I71" i="2"/>
  <c r="AJ71" i="2" s="1"/>
  <c r="AV71" i="2" s="1"/>
  <c r="H71" i="2"/>
  <c r="AI71" i="2" s="1"/>
  <c r="AU71" i="2" s="1"/>
  <c r="E71" i="2"/>
  <c r="AD71" i="2" s="1"/>
  <c r="AO71" i="2" s="1"/>
  <c r="CI69" i="2"/>
  <c r="BX69" i="2"/>
  <c r="BS69" i="2"/>
  <c r="BP69" i="2"/>
  <c r="BO69" i="2"/>
  <c r="BN69" i="2"/>
  <c r="BM69" i="2"/>
  <c r="BK69" i="2"/>
  <c r="BA69" i="2"/>
  <c r="AZ69" i="2"/>
  <c r="AY69" i="2"/>
  <c r="AX69" i="2"/>
  <c r="AT69" i="2"/>
  <c r="AH69" i="2"/>
  <c r="AS69" i="2" s="1"/>
  <c r="AG69" i="2"/>
  <c r="AR69" i="2" s="1"/>
  <c r="AF69" i="2"/>
  <c r="AQ69" i="2" s="1"/>
  <c r="AE69" i="2"/>
  <c r="AP69" i="2" s="1"/>
  <c r="BG69" i="2" s="1"/>
  <c r="AB69" i="2"/>
  <c r="AL69" i="2" s="1"/>
  <c r="J69" i="2"/>
  <c r="I69" i="2"/>
  <c r="AJ69" i="2" s="1"/>
  <c r="AV69" i="2" s="1"/>
  <c r="H69" i="2"/>
  <c r="AI69" i="2" s="1"/>
  <c r="AU69" i="2" s="1"/>
  <c r="E69" i="2"/>
  <c r="AC69" i="2" s="1"/>
  <c r="AN69" i="2" s="1"/>
  <c r="CI73" i="2"/>
  <c r="BX73" i="2"/>
  <c r="BS73" i="2"/>
  <c r="BP73" i="2"/>
  <c r="BO73" i="2"/>
  <c r="BN73" i="2"/>
  <c r="BM73" i="2"/>
  <c r="BK73" i="2"/>
  <c r="BA73" i="2"/>
  <c r="AZ73" i="2"/>
  <c r="AY73" i="2"/>
  <c r="AX73" i="2"/>
  <c r="AT73" i="2"/>
  <c r="AH73" i="2"/>
  <c r="AS73" i="2" s="1"/>
  <c r="AG73" i="2"/>
  <c r="AR73" i="2" s="1"/>
  <c r="AF73" i="2"/>
  <c r="AQ73" i="2" s="1"/>
  <c r="AE73" i="2"/>
  <c r="AP73" i="2" s="1"/>
  <c r="AB73" i="2"/>
  <c r="AM73" i="2" s="1"/>
  <c r="J73" i="2"/>
  <c r="I73" i="2"/>
  <c r="AJ73" i="2" s="1"/>
  <c r="AV73" i="2" s="1"/>
  <c r="H73" i="2"/>
  <c r="AI73" i="2" s="1"/>
  <c r="AU73" i="2" s="1"/>
  <c r="E73" i="2"/>
  <c r="AD73" i="2" s="1"/>
  <c r="AO73" i="2" s="1"/>
  <c r="CI68" i="2"/>
  <c r="BX68" i="2"/>
  <c r="BS68" i="2"/>
  <c r="BP68" i="2"/>
  <c r="BO68" i="2"/>
  <c r="BN68" i="2"/>
  <c r="BM68" i="2"/>
  <c r="BK68" i="2"/>
  <c r="BA68" i="2"/>
  <c r="AZ68" i="2"/>
  <c r="AY68" i="2"/>
  <c r="AX68" i="2"/>
  <c r="AT68" i="2"/>
  <c r="AH68" i="2"/>
  <c r="AS68" i="2" s="1"/>
  <c r="AG68" i="2"/>
  <c r="AR68" i="2" s="1"/>
  <c r="AF68" i="2"/>
  <c r="AQ68" i="2" s="1"/>
  <c r="AE68" i="2"/>
  <c r="AP68" i="2" s="1"/>
  <c r="AB68" i="2"/>
  <c r="AM68" i="2" s="1"/>
  <c r="J68" i="2"/>
  <c r="I68" i="2"/>
  <c r="AJ68" i="2" s="1"/>
  <c r="AV68" i="2" s="1"/>
  <c r="H68" i="2"/>
  <c r="AI68" i="2" s="1"/>
  <c r="AU68" i="2" s="1"/>
  <c r="E68" i="2"/>
  <c r="AD68" i="2" s="1"/>
  <c r="AO68" i="2" s="1"/>
  <c r="CI63" i="2"/>
  <c r="BX63" i="2"/>
  <c r="BS63" i="2"/>
  <c r="BP63" i="2"/>
  <c r="BO63" i="2"/>
  <c r="BN63" i="2"/>
  <c r="BM63" i="2"/>
  <c r="BK63" i="2"/>
  <c r="BA63" i="2"/>
  <c r="AZ63" i="2"/>
  <c r="AY63" i="2"/>
  <c r="AX63" i="2"/>
  <c r="AT63" i="2"/>
  <c r="AH63" i="2"/>
  <c r="AS63" i="2" s="1"/>
  <c r="AG63" i="2"/>
  <c r="AR63" i="2" s="1"/>
  <c r="AF63" i="2"/>
  <c r="AQ63" i="2" s="1"/>
  <c r="AE63" i="2"/>
  <c r="AP63" i="2" s="1"/>
  <c r="AB63" i="2"/>
  <c r="AL63" i="2" s="1"/>
  <c r="J63" i="2"/>
  <c r="I63" i="2"/>
  <c r="AJ63" i="2" s="1"/>
  <c r="AV63" i="2" s="1"/>
  <c r="H63" i="2"/>
  <c r="AI63" i="2" s="1"/>
  <c r="AU63" i="2" s="1"/>
  <c r="E63" i="2"/>
  <c r="AC63" i="2" s="1"/>
  <c r="AN63" i="2" s="1"/>
  <c r="CI62" i="2"/>
  <c r="BX62" i="2"/>
  <c r="BS62" i="2"/>
  <c r="BP62" i="2"/>
  <c r="BO62" i="2"/>
  <c r="BN62" i="2"/>
  <c r="BM62" i="2"/>
  <c r="BK62" i="2"/>
  <c r="BA62" i="2"/>
  <c r="AZ62" i="2"/>
  <c r="AY62" i="2"/>
  <c r="AX62" i="2"/>
  <c r="AT62" i="2"/>
  <c r="AH62" i="2"/>
  <c r="AS62" i="2" s="1"/>
  <c r="AG62" i="2"/>
  <c r="AR62" i="2" s="1"/>
  <c r="AF62" i="2"/>
  <c r="AQ62" i="2" s="1"/>
  <c r="AE62" i="2"/>
  <c r="AP62" i="2" s="1"/>
  <c r="BE62" i="2" s="1"/>
  <c r="AB62" i="2"/>
  <c r="AM62" i="2" s="1"/>
  <c r="J62" i="2"/>
  <c r="I62" i="2"/>
  <c r="AJ62" i="2" s="1"/>
  <c r="AV62" i="2" s="1"/>
  <c r="H62" i="2"/>
  <c r="AI62" i="2" s="1"/>
  <c r="AU62" i="2" s="1"/>
  <c r="E62" i="2"/>
  <c r="AD62" i="2" s="1"/>
  <c r="AO62" i="2" s="1"/>
  <c r="CI61" i="2"/>
  <c r="CD61" i="2"/>
  <c r="CE61" i="2" s="1"/>
  <c r="BX61" i="2"/>
  <c r="BS61" i="2"/>
  <c r="BP61" i="2"/>
  <c r="BO61" i="2"/>
  <c r="BN61" i="2"/>
  <c r="BM61" i="2"/>
  <c r="BK61" i="2"/>
  <c r="BA61" i="2"/>
  <c r="AZ61" i="2"/>
  <c r="AY61" i="2"/>
  <c r="AT61" i="2"/>
  <c r="AJ61" i="2"/>
  <c r="AV61" i="2" s="1"/>
  <c r="AI61" i="2"/>
  <c r="AU61" i="2" s="1"/>
  <c r="AH61" i="2"/>
  <c r="AS61" i="2" s="1"/>
  <c r="AG61" i="2"/>
  <c r="AR61" i="2" s="1"/>
  <c r="AF61" i="2"/>
  <c r="AQ61" i="2" s="1"/>
  <c r="AE61" i="2"/>
  <c r="AP61" i="2" s="1"/>
  <c r="BE61" i="2" s="1"/>
  <c r="AD61" i="2"/>
  <c r="AO61" i="2" s="1"/>
  <c r="AC61" i="2"/>
  <c r="AN61" i="2" s="1"/>
  <c r="AB61" i="2"/>
  <c r="AM61" i="2" s="1"/>
  <c r="J61" i="2"/>
  <c r="Y61" i="2" s="1"/>
  <c r="Z61" i="2" s="1"/>
  <c r="CI59" i="2"/>
  <c r="BX59" i="2"/>
  <c r="BS59" i="2"/>
  <c r="BP59" i="2"/>
  <c r="BO59" i="2"/>
  <c r="BN59" i="2"/>
  <c r="BM59" i="2"/>
  <c r="BK59" i="2"/>
  <c r="BA59" i="2"/>
  <c r="AZ59" i="2"/>
  <c r="AY59" i="2"/>
  <c r="AX59" i="2"/>
  <c r="AT59" i="2"/>
  <c r="AH59" i="2"/>
  <c r="AS59" i="2" s="1"/>
  <c r="AG59" i="2"/>
  <c r="AR59" i="2" s="1"/>
  <c r="AF59" i="2"/>
  <c r="AQ59" i="2" s="1"/>
  <c r="AE59" i="2"/>
  <c r="AP59" i="2" s="1"/>
  <c r="AB59" i="2"/>
  <c r="AM59" i="2" s="1"/>
  <c r="J59" i="2"/>
  <c r="I59" i="2"/>
  <c r="AJ59" i="2" s="1"/>
  <c r="AV59" i="2" s="1"/>
  <c r="H59" i="2"/>
  <c r="AI59" i="2" s="1"/>
  <c r="AU59" i="2" s="1"/>
  <c r="E59" i="2"/>
  <c r="AD59" i="2" s="1"/>
  <c r="AO59" i="2" s="1"/>
  <c r="CI58" i="2"/>
  <c r="CD58" i="2"/>
  <c r="CE58" i="2" s="1"/>
  <c r="BX58" i="2"/>
  <c r="BS58" i="2"/>
  <c r="BP58" i="2"/>
  <c r="BO58" i="2"/>
  <c r="BN58" i="2"/>
  <c r="BM58" i="2"/>
  <c r="BK58" i="2"/>
  <c r="BA58" i="2"/>
  <c r="AZ58" i="2"/>
  <c r="AY58" i="2"/>
  <c r="AT58" i="2"/>
  <c r="AJ58" i="2"/>
  <c r="AV58" i="2" s="1"/>
  <c r="AI58" i="2"/>
  <c r="AU58" i="2" s="1"/>
  <c r="AH58" i="2"/>
  <c r="AS58" i="2" s="1"/>
  <c r="AG58" i="2"/>
  <c r="AR58" i="2" s="1"/>
  <c r="AF58" i="2"/>
  <c r="AQ58" i="2" s="1"/>
  <c r="AE58" i="2"/>
  <c r="AP58" i="2" s="1"/>
  <c r="AD58" i="2"/>
  <c r="AO58" i="2" s="1"/>
  <c r="AC58" i="2"/>
  <c r="AN58" i="2" s="1"/>
  <c r="AB58" i="2"/>
  <c r="AM58" i="2" s="1"/>
  <c r="J58" i="2"/>
  <c r="Y58" i="2" s="1"/>
  <c r="Z58" i="2" s="1"/>
  <c r="CI57" i="2"/>
  <c r="BX57" i="2"/>
  <c r="BS57" i="2"/>
  <c r="BP57" i="2"/>
  <c r="BO57" i="2"/>
  <c r="BN57" i="2"/>
  <c r="BM57" i="2"/>
  <c r="BK57" i="2"/>
  <c r="BA57" i="2"/>
  <c r="AZ57" i="2"/>
  <c r="AY57" i="2"/>
  <c r="AX57" i="2"/>
  <c r="AT57" i="2"/>
  <c r="AH57" i="2"/>
  <c r="AS57" i="2" s="1"/>
  <c r="AG57" i="2"/>
  <c r="AR57" i="2" s="1"/>
  <c r="AF57" i="2"/>
  <c r="AQ57" i="2" s="1"/>
  <c r="AE57" i="2"/>
  <c r="AP57" i="2" s="1"/>
  <c r="AB57" i="2"/>
  <c r="AM57" i="2" s="1"/>
  <c r="J57" i="2"/>
  <c r="I57" i="2"/>
  <c r="AJ57" i="2" s="1"/>
  <c r="AV57" i="2" s="1"/>
  <c r="H57" i="2"/>
  <c r="AI57" i="2" s="1"/>
  <c r="AU57" i="2" s="1"/>
  <c r="E57" i="2"/>
  <c r="AD57" i="2" s="1"/>
  <c r="AO57" i="2" s="1"/>
  <c r="CI56" i="2"/>
  <c r="CD56" i="2"/>
  <c r="CE56" i="2" s="1"/>
  <c r="BX56" i="2"/>
  <c r="BS56" i="2"/>
  <c r="BP56" i="2"/>
  <c r="BO56" i="2"/>
  <c r="BN56" i="2"/>
  <c r="BM56" i="2"/>
  <c r="BK56" i="2"/>
  <c r="BA56" i="2"/>
  <c r="AZ56" i="2"/>
  <c r="AY56" i="2"/>
  <c r="AT56" i="2"/>
  <c r="AJ56" i="2"/>
  <c r="AV56" i="2" s="1"/>
  <c r="AI56" i="2"/>
  <c r="AU56" i="2" s="1"/>
  <c r="AH56" i="2"/>
  <c r="AS56" i="2" s="1"/>
  <c r="AG56" i="2"/>
  <c r="AR56" i="2" s="1"/>
  <c r="AF56" i="2"/>
  <c r="AQ56" i="2" s="1"/>
  <c r="AE56" i="2"/>
  <c r="AP56" i="2" s="1"/>
  <c r="AD56" i="2"/>
  <c r="AO56" i="2" s="1"/>
  <c r="AC56" i="2"/>
  <c r="AN56" i="2" s="1"/>
  <c r="AB56" i="2"/>
  <c r="AM56" i="2" s="1"/>
  <c r="J56" i="2"/>
  <c r="Y56" i="2" s="1"/>
  <c r="Z56" i="2" s="1"/>
  <c r="CI55" i="2"/>
  <c r="BX55" i="2"/>
  <c r="BS55" i="2"/>
  <c r="BP55" i="2"/>
  <c r="BO55" i="2"/>
  <c r="BN55" i="2"/>
  <c r="BM55" i="2"/>
  <c r="BK55" i="2"/>
  <c r="BA55" i="2"/>
  <c r="AZ55" i="2"/>
  <c r="AY55" i="2"/>
  <c r="AX55" i="2"/>
  <c r="AT55" i="2"/>
  <c r="AH55" i="2"/>
  <c r="AS55" i="2" s="1"/>
  <c r="AG55" i="2"/>
  <c r="AR55" i="2" s="1"/>
  <c r="AF55" i="2"/>
  <c r="AQ55" i="2" s="1"/>
  <c r="AE55" i="2"/>
  <c r="AP55" i="2" s="1"/>
  <c r="AB55" i="2"/>
  <c r="AL55" i="2" s="1"/>
  <c r="J55" i="2"/>
  <c r="I55" i="2"/>
  <c r="AJ55" i="2" s="1"/>
  <c r="AV55" i="2" s="1"/>
  <c r="H55" i="2"/>
  <c r="AI55" i="2" s="1"/>
  <c r="AU55" i="2" s="1"/>
  <c r="E55" i="2"/>
  <c r="AC55" i="2" s="1"/>
  <c r="AN55" i="2" s="1"/>
  <c r="CI54" i="2"/>
  <c r="BX54" i="2"/>
  <c r="BS54" i="2"/>
  <c r="BP54" i="2"/>
  <c r="BO54" i="2"/>
  <c r="BN54" i="2"/>
  <c r="BM54" i="2"/>
  <c r="BK54" i="2"/>
  <c r="BA54" i="2"/>
  <c r="AZ54" i="2"/>
  <c r="AY54" i="2"/>
  <c r="AX54" i="2"/>
  <c r="AT54" i="2"/>
  <c r="AH54" i="2"/>
  <c r="AS54" i="2" s="1"/>
  <c r="AG54" i="2"/>
  <c r="AR54" i="2" s="1"/>
  <c r="AF54" i="2"/>
  <c r="AQ54" i="2" s="1"/>
  <c r="AE54" i="2"/>
  <c r="AP54" i="2" s="1"/>
  <c r="AB54" i="2"/>
  <c r="AL54" i="2" s="1"/>
  <c r="J54" i="2"/>
  <c r="I54" i="2"/>
  <c r="AJ54" i="2" s="1"/>
  <c r="AV54" i="2" s="1"/>
  <c r="H54" i="2"/>
  <c r="AI54" i="2" s="1"/>
  <c r="AU54" i="2" s="1"/>
  <c r="E54" i="2"/>
  <c r="AC54" i="2" s="1"/>
  <c r="AN54" i="2" s="1"/>
  <c r="CI52" i="2"/>
  <c r="CD52" i="2"/>
  <c r="CE52" i="2" s="1"/>
  <c r="BX52" i="2"/>
  <c r="BS52" i="2"/>
  <c r="BP52" i="2"/>
  <c r="BO52" i="2"/>
  <c r="BN52" i="2"/>
  <c r="BM52" i="2"/>
  <c r="BK52" i="2"/>
  <c r="BA52" i="2"/>
  <c r="AZ52" i="2"/>
  <c r="AY52" i="2"/>
  <c r="AT52" i="2"/>
  <c r="AJ52" i="2"/>
  <c r="AV52" i="2" s="1"/>
  <c r="AI52" i="2"/>
  <c r="AU52" i="2" s="1"/>
  <c r="AH52" i="2"/>
  <c r="AS52" i="2" s="1"/>
  <c r="AG52" i="2"/>
  <c r="AR52" i="2" s="1"/>
  <c r="AF52" i="2"/>
  <c r="AQ52" i="2" s="1"/>
  <c r="AE52" i="2"/>
  <c r="AP52" i="2" s="1"/>
  <c r="BG52" i="2" s="1"/>
  <c r="AD52" i="2"/>
  <c r="AO52" i="2" s="1"/>
  <c r="AC52" i="2"/>
  <c r="AN52" i="2" s="1"/>
  <c r="AB52" i="2"/>
  <c r="AM52" i="2" s="1"/>
  <c r="J52" i="2"/>
  <c r="Y52" i="2" s="1"/>
  <c r="Z52" i="2" s="1"/>
  <c r="CI53" i="2"/>
  <c r="BX53" i="2"/>
  <c r="BS53" i="2"/>
  <c r="BP53" i="2"/>
  <c r="BO53" i="2"/>
  <c r="BN53" i="2"/>
  <c r="BM53" i="2"/>
  <c r="BK53" i="2"/>
  <c r="BA53" i="2"/>
  <c r="AZ53" i="2"/>
  <c r="AY53" i="2"/>
  <c r="AX53" i="2"/>
  <c r="AT53" i="2"/>
  <c r="AH53" i="2"/>
  <c r="AS53" i="2" s="1"/>
  <c r="AG53" i="2"/>
  <c r="AR53" i="2" s="1"/>
  <c r="AF53" i="2"/>
  <c r="AQ53" i="2" s="1"/>
  <c r="AE53" i="2"/>
  <c r="AP53" i="2" s="1"/>
  <c r="AB53" i="2"/>
  <c r="AM53" i="2" s="1"/>
  <c r="J53" i="2"/>
  <c r="I53" i="2"/>
  <c r="AJ53" i="2" s="1"/>
  <c r="AV53" i="2" s="1"/>
  <c r="H53" i="2"/>
  <c r="AI53" i="2" s="1"/>
  <c r="AU53" i="2" s="1"/>
  <c r="E53" i="2"/>
  <c r="AD53" i="2" s="1"/>
  <c r="AO53" i="2" s="1"/>
  <c r="CI51" i="2"/>
  <c r="BX51" i="2"/>
  <c r="BS51" i="2"/>
  <c r="BP51" i="2"/>
  <c r="BO51" i="2"/>
  <c r="BN51" i="2"/>
  <c r="BM51" i="2"/>
  <c r="BK51" i="2"/>
  <c r="BA51" i="2"/>
  <c r="AZ51" i="2"/>
  <c r="AY51" i="2"/>
  <c r="AX51" i="2"/>
  <c r="AT51" i="2"/>
  <c r="AH51" i="2"/>
  <c r="AS51" i="2" s="1"/>
  <c r="AG51" i="2"/>
  <c r="AR51" i="2" s="1"/>
  <c r="AF51" i="2"/>
  <c r="AQ51" i="2" s="1"/>
  <c r="AE51" i="2"/>
  <c r="AP51" i="2" s="1"/>
  <c r="AB51" i="2"/>
  <c r="AM51" i="2" s="1"/>
  <c r="J51" i="2"/>
  <c r="I51" i="2"/>
  <c r="AJ51" i="2" s="1"/>
  <c r="AV51" i="2" s="1"/>
  <c r="H51" i="2"/>
  <c r="AI51" i="2" s="1"/>
  <c r="AU51" i="2" s="1"/>
  <c r="E51" i="2"/>
  <c r="AD51" i="2" s="1"/>
  <c r="AO51" i="2" s="1"/>
  <c r="O125" i="2"/>
  <c r="CI96" i="2"/>
  <c r="BX96" i="2"/>
  <c r="BS96" i="2"/>
  <c r="BP96" i="2"/>
  <c r="BO96" i="2"/>
  <c r="BN96" i="2"/>
  <c r="BM96" i="2"/>
  <c r="BK96" i="2"/>
  <c r="BA96" i="2"/>
  <c r="AZ96" i="2"/>
  <c r="AY96" i="2"/>
  <c r="AX96" i="2"/>
  <c r="AT96" i="2"/>
  <c r="AH96" i="2"/>
  <c r="AS96" i="2" s="1"/>
  <c r="AG96" i="2"/>
  <c r="AR96" i="2" s="1"/>
  <c r="AF96" i="2"/>
  <c r="AQ96" i="2" s="1"/>
  <c r="AE96" i="2"/>
  <c r="AP96" i="2" s="1"/>
  <c r="AB96" i="2"/>
  <c r="AM96" i="2" s="1"/>
  <c r="J96" i="2"/>
  <c r="AJ96" i="2"/>
  <c r="AV96" i="2" s="1"/>
  <c r="S18" i="6"/>
  <c r="R18" i="6"/>
  <c r="P18" i="6"/>
  <c r="S17" i="6"/>
  <c r="R17" i="6"/>
  <c r="P17" i="6"/>
  <c r="I88" i="2"/>
  <c r="AJ88" i="2" s="1"/>
  <c r="AV88" i="2" s="1"/>
  <c r="H88" i="2"/>
  <c r="AI88" i="2" s="1"/>
  <c r="AU88" i="2" s="1"/>
  <c r="E88" i="2"/>
  <c r="AD88" i="2" s="1"/>
  <c r="AO88" i="2" s="1"/>
  <c r="I46" i="2"/>
  <c r="H46" i="2"/>
  <c r="E46" i="2"/>
  <c r="CI106" i="2"/>
  <c r="BX106" i="2"/>
  <c r="BS106" i="2"/>
  <c r="BP106" i="2"/>
  <c r="BO106" i="2"/>
  <c r="BN106" i="2"/>
  <c r="BM106" i="2"/>
  <c r="BK106" i="2"/>
  <c r="BA106" i="2"/>
  <c r="AZ106" i="2"/>
  <c r="AY106" i="2"/>
  <c r="AT106" i="2"/>
  <c r="AH106" i="2"/>
  <c r="AS106" i="2" s="1"/>
  <c r="AG106" i="2"/>
  <c r="AR106" i="2" s="1"/>
  <c r="AF106" i="2"/>
  <c r="AQ106" i="2" s="1"/>
  <c r="AE106" i="2"/>
  <c r="AP106" i="2" s="1"/>
  <c r="BG106" i="2" s="1"/>
  <c r="AB106" i="2"/>
  <c r="AM106" i="2" s="1"/>
  <c r="J106" i="2"/>
  <c r="I106" i="2"/>
  <c r="AJ106" i="2" s="1"/>
  <c r="AV106" i="2" s="1"/>
  <c r="H106" i="2"/>
  <c r="AI106" i="2" s="1"/>
  <c r="AU106" i="2" s="1"/>
  <c r="E106" i="2"/>
  <c r="AD106" i="2" s="1"/>
  <c r="AO106" i="2" s="1"/>
  <c r="CI88" i="2"/>
  <c r="BX88" i="2"/>
  <c r="BS88" i="2"/>
  <c r="BP88" i="2"/>
  <c r="BO88" i="2"/>
  <c r="BN88" i="2"/>
  <c r="BM88" i="2"/>
  <c r="BK88" i="2"/>
  <c r="BA88" i="2"/>
  <c r="AZ88" i="2"/>
  <c r="AY88" i="2"/>
  <c r="AX88" i="2"/>
  <c r="AT88" i="2"/>
  <c r="AH88" i="2"/>
  <c r="AS88" i="2" s="1"/>
  <c r="AG88" i="2"/>
  <c r="AR88" i="2" s="1"/>
  <c r="AF88" i="2"/>
  <c r="AQ88" i="2" s="1"/>
  <c r="AE88" i="2"/>
  <c r="AP88" i="2" s="1"/>
  <c r="AB88" i="2"/>
  <c r="AL88" i="2" s="1"/>
  <c r="J88" i="2"/>
  <c r="CI100" i="2"/>
  <c r="BX100" i="2"/>
  <c r="BS100" i="2"/>
  <c r="BP100" i="2"/>
  <c r="BO100" i="2"/>
  <c r="BN100" i="2"/>
  <c r="BM100" i="2"/>
  <c r="BK100" i="2"/>
  <c r="BA100" i="2"/>
  <c r="AZ100" i="2"/>
  <c r="AY100" i="2"/>
  <c r="AX100" i="2"/>
  <c r="AT100" i="2"/>
  <c r="AH100" i="2"/>
  <c r="AS100" i="2" s="1"/>
  <c r="AG100" i="2"/>
  <c r="AR100" i="2" s="1"/>
  <c r="AF100" i="2"/>
  <c r="AQ100" i="2" s="1"/>
  <c r="AE100" i="2"/>
  <c r="AP100" i="2" s="1"/>
  <c r="AB100" i="2"/>
  <c r="AM100" i="2" s="1"/>
  <c r="J100" i="2"/>
  <c r="I100" i="2"/>
  <c r="AJ100" i="2" s="1"/>
  <c r="AV100" i="2" s="1"/>
  <c r="H100" i="2"/>
  <c r="AI100" i="2" s="1"/>
  <c r="AU100" i="2" s="1"/>
  <c r="E100" i="2"/>
  <c r="AD100" i="2" s="1"/>
  <c r="AO100" i="2" s="1"/>
  <c r="CI72" i="2"/>
  <c r="BX72" i="2"/>
  <c r="BS72" i="2"/>
  <c r="BP72" i="2"/>
  <c r="BO72" i="2"/>
  <c r="BN72" i="2"/>
  <c r="BM72" i="2"/>
  <c r="BK72" i="2"/>
  <c r="BA72" i="2"/>
  <c r="AZ72" i="2"/>
  <c r="AY72" i="2"/>
  <c r="AX72" i="2"/>
  <c r="AT72" i="2"/>
  <c r="AH72" i="2"/>
  <c r="AS72" i="2" s="1"/>
  <c r="AG72" i="2"/>
  <c r="AR72" i="2" s="1"/>
  <c r="AF72" i="2"/>
  <c r="AQ72" i="2" s="1"/>
  <c r="AE72" i="2"/>
  <c r="AP72" i="2" s="1"/>
  <c r="AB72" i="2"/>
  <c r="AM72" i="2" s="1"/>
  <c r="J72" i="2"/>
  <c r="I72" i="2"/>
  <c r="AJ72" i="2" s="1"/>
  <c r="AV72" i="2" s="1"/>
  <c r="H72" i="2"/>
  <c r="AI72" i="2" s="1"/>
  <c r="AU72" i="2" s="1"/>
  <c r="E72" i="2"/>
  <c r="AD72" i="2" s="1"/>
  <c r="AO72" i="2" s="1"/>
  <c r="CI60" i="2"/>
  <c r="BX60" i="2"/>
  <c r="BS60" i="2"/>
  <c r="BP60" i="2"/>
  <c r="BO60" i="2"/>
  <c r="BN60" i="2"/>
  <c r="BM60" i="2"/>
  <c r="BK60" i="2"/>
  <c r="BA60" i="2"/>
  <c r="AZ60" i="2"/>
  <c r="AY60" i="2"/>
  <c r="AX60" i="2"/>
  <c r="AT60" i="2"/>
  <c r="AH60" i="2"/>
  <c r="AS60" i="2" s="1"/>
  <c r="AG60" i="2"/>
  <c r="AR60" i="2" s="1"/>
  <c r="AF60" i="2"/>
  <c r="AQ60" i="2" s="1"/>
  <c r="AE60" i="2"/>
  <c r="AP60" i="2" s="1"/>
  <c r="AB60" i="2"/>
  <c r="AM60" i="2" s="1"/>
  <c r="J60" i="2"/>
  <c r="I60" i="2"/>
  <c r="AJ60" i="2" s="1"/>
  <c r="AV60" i="2" s="1"/>
  <c r="H60" i="2"/>
  <c r="AI60" i="2" s="1"/>
  <c r="AU60" i="2" s="1"/>
  <c r="E60" i="2"/>
  <c r="AD60" i="2" s="1"/>
  <c r="AO60" i="2" s="1"/>
  <c r="CI48" i="2"/>
  <c r="BX48" i="2"/>
  <c r="BS48" i="2"/>
  <c r="BP48" i="2"/>
  <c r="BO48" i="2"/>
  <c r="BN48" i="2"/>
  <c r="BM48" i="2"/>
  <c r="BK48" i="2"/>
  <c r="BA48" i="2"/>
  <c r="AZ48" i="2"/>
  <c r="AY48" i="2"/>
  <c r="AX48" i="2"/>
  <c r="AT48" i="2"/>
  <c r="AH48" i="2"/>
  <c r="AS48" i="2" s="1"/>
  <c r="AG48" i="2"/>
  <c r="AR48" i="2" s="1"/>
  <c r="AF48" i="2"/>
  <c r="AQ48" i="2" s="1"/>
  <c r="AE48" i="2"/>
  <c r="AP48" i="2" s="1"/>
  <c r="AB48" i="2"/>
  <c r="AM48" i="2" s="1"/>
  <c r="J48" i="2"/>
  <c r="I48" i="2"/>
  <c r="AJ48" i="2" s="1"/>
  <c r="AV48" i="2" s="1"/>
  <c r="H48" i="2"/>
  <c r="AI48" i="2" s="1"/>
  <c r="AU48" i="2" s="1"/>
  <c r="E48" i="2"/>
  <c r="AD48" i="2" s="1"/>
  <c r="AO48" i="2" s="1"/>
  <c r="CI47" i="2"/>
  <c r="BX47" i="2"/>
  <c r="BS47" i="2"/>
  <c r="BP47" i="2"/>
  <c r="BO47" i="2"/>
  <c r="BN47" i="2"/>
  <c r="BM47" i="2"/>
  <c r="BK47" i="2"/>
  <c r="BA47" i="2"/>
  <c r="AZ47" i="2"/>
  <c r="AY47" i="2"/>
  <c r="AT47" i="2"/>
  <c r="AH47" i="2"/>
  <c r="AS47" i="2" s="1"/>
  <c r="AG47" i="2"/>
  <c r="AR47" i="2" s="1"/>
  <c r="BI47" i="2" s="1"/>
  <c r="AF47" i="2"/>
  <c r="AQ47" i="2" s="1"/>
  <c r="AE47" i="2"/>
  <c r="AP47" i="2" s="1"/>
  <c r="AB47" i="2"/>
  <c r="AL47" i="2" s="1"/>
  <c r="J47" i="2"/>
  <c r="Y47" i="2" s="1"/>
  <c r="Z47" i="2" s="1"/>
  <c r="AJ47" i="2"/>
  <c r="AV47" i="2" s="1"/>
  <c r="AI47" i="2"/>
  <c r="AU47" i="2" s="1"/>
  <c r="AD47" i="2"/>
  <c r="AO47" i="2" s="1"/>
  <c r="CE45" i="2" l="1"/>
  <c r="BJ45" i="2"/>
  <c r="BI45" i="2"/>
  <c r="Y45" i="2"/>
  <c r="Z45" i="2" s="1"/>
  <c r="BF45" i="2"/>
  <c r="BG45" i="2"/>
  <c r="BE45" i="2"/>
  <c r="BH45" i="2"/>
  <c r="AM45" i="2"/>
  <c r="BD45" i="2" s="1"/>
  <c r="AL45" i="2"/>
  <c r="U19" i="6"/>
  <c r="T20" i="6"/>
  <c r="U20" i="6" s="1"/>
  <c r="BF70" i="2"/>
  <c r="AM70" i="2"/>
  <c r="K70" i="2"/>
  <c r="Y70" i="2" s="1"/>
  <c r="Z70" i="2" s="1"/>
  <c r="AD70" i="2"/>
  <c r="AO70" i="2" s="1"/>
  <c r="BW70" i="2"/>
  <c r="BV70" i="2"/>
  <c r="BU70" i="2"/>
  <c r="BL70" i="2"/>
  <c r="M70" i="2" s="1"/>
  <c r="BT70" i="2"/>
  <c r="BC70" i="2"/>
  <c r="BZ70" i="2"/>
  <c r="BQ70" i="2"/>
  <c r="N70" i="2" s="1"/>
  <c r="BY70" i="2"/>
  <c r="BJ70" i="2"/>
  <c r="BI70" i="2"/>
  <c r="BH70" i="2"/>
  <c r="BG70" i="2"/>
  <c r="BE70" i="2"/>
  <c r="AL108" i="2"/>
  <c r="AL95" i="2"/>
  <c r="BH108" i="2"/>
  <c r="BE95" i="2"/>
  <c r="BF95" i="2"/>
  <c r="BH95" i="2"/>
  <c r="BG95" i="2"/>
  <c r="BJ95" i="2"/>
  <c r="BI95" i="2"/>
  <c r="AC95" i="2"/>
  <c r="AN95" i="2" s="1"/>
  <c r="BC95" i="2" s="1"/>
  <c r="K95" i="2"/>
  <c r="Y95" i="2" s="1"/>
  <c r="Z95" i="2" s="1"/>
  <c r="BJ108" i="2"/>
  <c r="BI108" i="2"/>
  <c r="AC108" i="2"/>
  <c r="AN108" i="2" s="1"/>
  <c r="K108" i="2"/>
  <c r="Y108" i="2" s="1"/>
  <c r="Z108" i="2" s="1"/>
  <c r="BE108" i="2"/>
  <c r="BF108" i="2"/>
  <c r="BF86" i="2"/>
  <c r="BJ86" i="2"/>
  <c r="BI86" i="2"/>
  <c r="BH86" i="2"/>
  <c r="BG86" i="2"/>
  <c r="AC86" i="2"/>
  <c r="AN86" i="2" s="1"/>
  <c r="BD86" i="2" s="1"/>
  <c r="AL86" i="2"/>
  <c r="K86" i="2"/>
  <c r="Y86" i="2" s="1"/>
  <c r="Z86" i="2" s="1"/>
  <c r="BE86" i="2"/>
  <c r="BF85" i="2"/>
  <c r="BF50" i="2"/>
  <c r="BG50" i="2"/>
  <c r="BH50" i="2"/>
  <c r="BJ50" i="2"/>
  <c r="AC50" i="2"/>
  <c r="AN50" i="2" s="1"/>
  <c r="BD50" i="2" s="1"/>
  <c r="AL50" i="2"/>
  <c r="K50" i="2"/>
  <c r="Y50" i="2" s="1"/>
  <c r="Z50" i="2" s="1"/>
  <c r="BE50" i="2"/>
  <c r="AC77" i="2"/>
  <c r="AN77" i="2" s="1"/>
  <c r="BD77" i="2" s="1"/>
  <c r="BJ83" i="2"/>
  <c r="BJ85" i="2"/>
  <c r="BI85" i="2"/>
  <c r="BJ78" i="2"/>
  <c r="BJ80" i="2"/>
  <c r="BH85" i="2"/>
  <c r="BG85" i="2"/>
  <c r="AC85" i="2"/>
  <c r="AN85" i="2" s="1"/>
  <c r="BD85" i="2" s="1"/>
  <c r="AL85" i="2"/>
  <c r="AC79" i="2"/>
  <c r="AN79" i="2" s="1"/>
  <c r="BD79" i="2" s="1"/>
  <c r="K85" i="2"/>
  <c r="Y85" i="2" s="1"/>
  <c r="Z85" i="2" s="1"/>
  <c r="BE85" i="2"/>
  <c r="BJ81" i="2"/>
  <c r="BJ76" i="2"/>
  <c r="AC76" i="2"/>
  <c r="AN76" i="2" s="1"/>
  <c r="BD76" i="2" s="1"/>
  <c r="BJ82" i="2"/>
  <c r="BJ79" i="2"/>
  <c r="BJ77" i="2"/>
  <c r="AM75" i="2"/>
  <c r="BD75" i="2" s="1"/>
  <c r="AC80" i="2"/>
  <c r="AN80" i="2" s="1"/>
  <c r="BD80" i="2" s="1"/>
  <c r="AM84" i="2"/>
  <c r="AC78" i="2"/>
  <c r="AN78" i="2" s="1"/>
  <c r="BD78" i="2" s="1"/>
  <c r="BH76" i="2"/>
  <c r="BH77" i="2"/>
  <c r="BH78" i="2"/>
  <c r="BH79" i="2"/>
  <c r="BH80" i="2"/>
  <c r="BH81" i="2"/>
  <c r="BH82" i="2"/>
  <c r="BH83" i="2"/>
  <c r="AL76" i="2"/>
  <c r="AL77" i="2"/>
  <c r="AL78" i="2"/>
  <c r="AL79" i="2"/>
  <c r="AL80" i="2"/>
  <c r="AC81" i="2"/>
  <c r="AN81" i="2" s="1"/>
  <c r="BD81" i="2" s="1"/>
  <c r="AL81" i="2"/>
  <c r="AC82" i="2"/>
  <c r="AN82" i="2" s="1"/>
  <c r="BD82" i="2" s="1"/>
  <c r="AL82" i="2"/>
  <c r="AC83" i="2"/>
  <c r="AN83" i="2" s="1"/>
  <c r="BD83" i="2" s="1"/>
  <c r="AL83" i="2"/>
  <c r="AD92" i="2"/>
  <c r="AO92" i="2" s="1"/>
  <c r="K76" i="2"/>
  <c r="Y76" i="2" s="1"/>
  <c r="Z76" i="2" s="1"/>
  <c r="K77" i="2"/>
  <c r="Y77" i="2" s="1"/>
  <c r="Z77" i="2" s="1"/>
  <c r="K78" i="2"/>
  <c r="Y78" i="2" s="1"/>
  <c r="Z78" i="2" s="1"/>
  <c r="K79" i="2"/>
  <c r="Y79" i="2" s="1"/>
  <c r="Z79" i="2" s="1"/>
  <c r="K80" i="2"/>
  <c r="Y80" i="2" s="1"/>
  <c r="Z80" i="2" s="1"/>
  <c r="K81" i="2"/>
  <c r="Y81" i="2" s="1"/>
  <c r="Z81" i="2" s="1"/>
  <c r="K82" i="2"/>
  <c r="Y82" i="2" s="1"/>
  <c r="Z82" i="2" s="1"/>
  <c r="K83" i="2"/>
  <c r="Y83" i="2" s="1"/>
  <c r="Z83" i="2" s="1"/>
  <c r="BE76" i="2"/>
  <c r="BE77" i="2"/>
  <c r="BE78" i="2"/>
  <c r="BE79" i="2"/>
  <c r="BE80" i="2"/>
  <c r="BE81" i="2"/>
  <c r="BE82" i="2"/>
  <c r="BE83" i="2"/>
  <c r="AD84" i="2"/>
  <c r="AO84" i="2" s="1"/>
  <c r="BF76" i="2"/>
  <c r="BF77" i="2"/>
  <c r="BF78" i="2"/>
  <c r="BF79" i="2"/>
  <c r="BF80" i="2"/>
  <c r="BF81" i="2"/>
  <c r="BF82" i="2"/>
  <c r="BF83" i="2"/>
  <c r="CC75" i="2"/>
  <c r="K84" i="2"/>
  <c r="Y84" i="2" s="1"/>
  <c r="Z84" i="2" s="1"/>
  <c r="BF75" i="2"/>
  <c r="BH75" i="2"/>
  <c r="BG75" i="2"/>
  <c r="BE75" i="2"/>
  <c r="BT84" i="2"/>
  <c r="BC84" i="2"/>
  <c r="BW84" i="2"/>
  <c r="BZ84" i="2"/>
  <c r="BQ84" i="2"/>
  <c r="N84" i="2" s="1"/>
  <c r="BY84" i="2"/>
  <c r="BV84" i="2"/>
  <c r="BU84" i="2"/>
  <c r="BL84" i="2"/>
  <c r="M84" i="2" s="1"/>
  <c r="BJ75" i="2"/>
  <c r="BI75" i="2"/>
  <c r="BF84" i="2"/>
  <c r="BH84" i="2"/>
  <c r="BG84" i="2"/>
  <c r="BE84" i="2"/>
  <c r="BC75" i="2"/>
  <c r="BV75" i="2"/>
  <c r="BZ75" i="2"/>
  <c r="BY75" i="2"/>
  <c r="BQ75" i="2"/>
  <c r="BW75" i="2"/>
  <c r="BU75" i="2"/>
  <c r="BT75" i="2"/>
  <c r="BL75" i="2"/>
  <c r="BR75" i="2" s="1"/>
  <c r="BJ84" i="2"/>
  <c r="BI84" i="2"/>
  <c r="BF91" i="2"/>
  <c r="BF92" i="2"/>
  <c r="AM92" i="2"/>
  <c r="K92" i="2"/>
  <c r="Y92" i="2" s="1"/>
  <c r="Z92" i="2" s="1"/>
  <c r="BW92" i="2"/>
  <c r="BV92" i="2"/>
  <c r="BU92" i="2"/>
  <c r="BL92" i="2"/>
  <c r="M92" i="2" s="1"/>
  <c r="BT92" i="2"/>
  <c r="BC92" i="2"/>
  <c r="BZ92" i="2"/>
  <c r="BQ92" i="2"/>
  <c r="N92" i="2" s="1"/>
  <c r="BY92" i="2"/>
  <c r="BJ92" i="2"/>
  <c r="BI92" i="2"/>
  <c r="BH92" i="2"/>
  <c r="BG92" i="2"/>
  <c r="BE92" i="2"/>
  <c r="BJ91" i="2"/>
  <c r="BI91" i="2"/>
  <c r="BH91" i="2"/>
  <c r="BG91" i="2"/>
  <c r="BF90" i="2"/>
  <c r="AC91" i="2"/>
  <c r="AN91" i="2" s="1"/>
  <c r="BD91" i="2" s="1"/>
  <c r="AL91" i="2"/>
  <c r="K91" i="2"/>
  <c r="Y91" i="2" s="1"/>
  <c r="Z91" i="2" s="1"/>
  <c r="BE91" i="2"/>
  <c r="BJ90" i="2"/>
  <c r="BI90" i="2"/>
  <c r="BF89" i="2"/>
  <c r="BH90" i="2"/>
  <c r="BF98" i="2"/>
  <c r="BG90" i="2"/>
  <c r="AC90" i="2"/>
  <c r="AN90" i="2" s="1"/>
  <c r="BD90" i="2" s="1"/>
  <c r="AL90" i="2"/>
  <c r="K90" i="2"/>
  <c r="Y90" i="2" s="1"/>
  <c r="Z90" i="2" s="1"/>
  <c r="BE90" i="2"/>
  <c r="BJ98" i="2"/>
  <c r="BI98" i="2"/>
  <c r="BH98" i="2"/>
  <c r="BG98" i="2"/>
  <c r="AC98" i="2"/>
  <c r="AN98" i="2" s="1"/>
  <c r="BD98" i="2" s="1"/>
  <c r="AL98" i="2"/>
  <c r="K98" i="2"/>
  <c r="Y98" i="2" s="1"/>
  <c r="Z98" i="2" s="1"/>
  <c r="BE98" i="2"/>
  <c r="BJ97" i="2"/>
  <c r="BI97" i="2"/>
  <c r="BF97" i="2"/>
  <c r="BG97" i="2"/>
  <c r="BH97" i="2"/>
  <c r="AC97" i="2"/>
  <c r="AN97" i="2" s="1"/>
  <c r="BD97" i="2" s="1"/>
  <c r="AL97" i="2"/>
  <c r="K97" i="2"/>
  <c r="Y97" i="2" s="1"/>
  <c r="Z97" i="2" s="1"/>
  <c r="BE97" i="2"/>
  <c r="BJ89" i="2"/>
  <c r="BI89" i="2"/>
  <c r="BG89" i="2"/>
  <c r="BH89" i="2"/>
  <c r="AC89" i="2"/>
  <c r="AN89" i="2" s="1"/>
  <c r="BD89" i="2" s="1"/>
  <c r="AL89" i="2"/>
  <c r="K89" i="2"/>
  <c r="Y89" i="2" s="1"/>
  <c r="Z89" i="2" s="1"/>
  <c r="BE89" i="2"/>
  <c r="BF103" i="2"/>
  <c r="BF99" i="2"/>
  <c r="BJ103" i="2"/>
  <c r="BI103" i="2"/>
  <c r="BH103" i="2"/>
  <c r="AC103" i="2"/>
  <c r="AN103" i="2" s="1"/>
  <c r="BD103" i="2" s="1"/>
  <c r="AL103" i="2"/>
  <c r="BG103" i="2"/>
  <c r="K103" i="2"/>
  <c r="Y103" i="2" s="1"/>
  <c r="Z103" i="2" s="1"/>
  <c r="BE103" i="2"/>
  <c r="BJ99" i="2"/>
  <c r="BI99" i="2"/>
  <c r="BH99" i="2"/>
  <c r="BG99" i="2"/>
  <c r="AC99" i="2"/>
  <c r="AN99" i="2" s="1"/>
  <c r="BD99" i="2" s="1"/>
  <c r="AL99" i="2"/>
  <c r="K99" i="2"/>
  <c r="Y99" i="2" s="1"/>
  <c r="Z99" i="2" s="1"/>
  <c r="BE99" i="2"/>
  <c r="BF93" i="2"/>
  <c r="BJ93" i="2"/>
  <c r="BI93" i="2"/>
  <c r="BH93" i="2"/>
  <c r="BG93" i="2"/>
  <c r="AC93" i="2"/>
  <c r="AN93" i="2" s="1"/>
  <c r="BD93" i="2" s="1"/>
  <c r="AL93" i="2"/>
  <c r="K93" i="2"/>
  <c r="Y93" i="2" s="1"/>
  <c r="Z93" i="2" s="1"/>
  <c r="BE93" i="2"/>
  <c r="BF74" i="2"/>
  <c r="BF49" i="2"/>
  <c r="BJ74" i="2"/>
  <c r="BI74" i="2"/>
  <c r="BH74" i="2"/>
  <c r="BG74" i="2"/>
  <c r="AC74" i="2"/>
  <c r="AN74" i="2" s="1"/>
  <c r="BD74" i="2" s="1"/>
  <c r="AL74" i="2"/>
  <c r="K74" i="2"/>
  <c r="Y74" i="2" s="1"/>
  <c r="Z74" i="2" s="1"/>
  <c r="BE74" i="2"/>
  <c r="BJ49" i="2"/>
  <c r="BI49" i="2"/>
  <c r="BH49" i="2"/>
  <c r="BG49" i="2"/>
  <c r="AC49" i="2"/>
  <c r="AN49" i="2" s="1"/>
  <c r="BD49" i="2" s="1"/>
  <c r="AL49" i="2"/>
  <c r="K49" i="2"/>
  <c r="Y49" i="2" s="1"/>
  <c r="Z49" i="2" s="1"/>
  <c r="BE49" i="2"/>
  <c r="AM66" i="2"/>
  <c r="K66" i="2"/>
  <c r="Y66" i="2" s="1"/>
  <c r="Z66" i="2" s="1"/>
  <c r="BF66" i="2"/>
  <c r="BF65" i="2"/>
  <c r="AD66" i="2"/>
  <c r="AO66" i="2" s="1"/>
  <c r="BW66" i="2"/>
  <c r="BV66" i="2"/>
  <c r="BU66" i="2"/>
  <c r="BL66" i="2"/>
  <c r="M66" i="2" s="1"/>
  <c r="BT66" i="2"/>
  <c r="BC66" i="2"/>
  <c r="BZ66" i="2"/>
  <c r="BQ66" i="2"/>
  <c r="N66" i="2" s="1"/>
  <c r="BY66" i="2"/>
  <c r="BJ66" i="2"/>
  <c r="BI66" i="2"/>
  <c r="BH66" i="2"/>
  <c r="BG66" i="2"/>
  <c r="BJ67" i="2"/>
  <c r="BE66" i="2"/>
  <c r="BF64" i="2"/>
  <c r="BJ65" i="2"/>
  <c r="BI65" i="2"/>
  <c r="BH65" i="2"/>
  <c r="AC65" i="2"/>
  <c r="AN65" i="2" s="1"/>
  <c r="BD65" i="2" s="1"/>
  <c r="AL65" i="2"/>
  <c r="K65" i="2"/>
  <c r="Y65" i="2" s="1"/>
  <c r="Z65" i="2" s="1"/>
  <c r="BG65" i="2"/>
  <c r="BE65" i="2"/>
  <c r="BJ64" i="2"/>
  <c r="BI64" i="2"/>
  <c r="BH64" i="2"/>
  <c r="BG64" i="2"/>
  <c r="CE67" i="2"/>
  <c r="AC64" i="2"/>
  <c r="AN64" i="2" s="1"/>
  <c r="BD64" i="2" s="1"/>
  <c r="AL64" i="2"/>
  <c r="K64" i="2"/>
  <c r="Y64" i="2" s="1"/>
  <c r="Z64" i="2" s="1"/>
  <c r="BE64" i="2"/>
  <c r="BG67" i="2"/>
  <c r="BH67" i="2"/>
  <c r="BE67" i="2"/>
  <c r="BF67" i="2"/>
  <c r="BW67" i="2"/>
  <c r="BQ67" i="2"/>
  <c r="BY67" i="2"/>
  <c r="BZ67" i="2"/>
  <c r="BC67" i="2"/>
  <c r="BL67" i="2"/>
  <c r="BR67" i="2" s="1"/>
  <c r="BT67" i="2"/>
  <c r="BU67" i="2"/>
  <c r="BV67" i="2"/>
  <c r="BJ62" i="2"/>
  <c r="AM67" i="2"/>
  <c r="BD67" i="2" s="1"/>
  <c r="AM69" i="2"/>
  <c r="BF71" i="2"/>
  <c r="K69" i="2"/>
  <c r="Y69" i="2" s="1"/>
  <c r="Z69" i="2" s="1"/>
  <c r="AD69" i="2"/>
  <c r="AO69" i="2" s="1"/>
  <c r="BJ71" i="2"/>
  <c r="BI71" i="2"/>
  <c r="BF69" i="2"/>
  <c r="BH71" i="2"/>
  <c r="BG71" i="2"/>
  <c r="AC71" i="2"/>
  <c r="AN71" i="2" s="1"/>
  <c r="BD71" i="2" s="1"/>
  <c r="AL71" i="2"/>
  <c r="K71" i="2"/>
  <c r="Y71" i="2" s="1"/>
  <c r="Z71" i="2" s="1"/>
  <c r="BE71" i="2"/>
  <c r="BW69" i="2"/>
  <c r="BV69" i="2"/>
  <c r="BU69" i="2"/>
  <c r="BL69" i="2"/>
  <c r="M69" i="2" s="1"/>
  <c r="BT69" i="2"/>
  <c r="BC69" i="2"/>
  <c r="BZ69" i="2"/>
  <c r="BQ69" i="2"/>
  <c r="N69" i="2" s="1"/>
  <c r="BY69" i="2"/>
  <c r="BJ69" i="2"/>
  <c r="BI69" i="2"/>
  <c r="BH69" i="2"/>
  <c r="BE69" i="2"/>
  <c r="BF73" i="2"/>
  <c r="BF68" i="2"/>
  <c r="BJ73" i="2"/>
  <c r="BI73" i="2"/>
  <c r="BH73" i="2"/>
  <c r="AL62" i="2"/>
  <c r="BG73" i="2"/>
  <c r="AC73" i="2"/>
  <c r="AN73" i="2" s="1"/>
  <c r="BD73" i="2" s="1"/>
  <c r="AL73" i="2"/>
  <c r="K73" i="2"/>
  <c r="Y73" i="2" s="1"/>
  <c r="Z73" i="2" s="1"/>
  <c r="BE73" i="2"/>
  <c r="BJ68" i="2"/>
  <c r="BI68" i="2"/>
  <c r="BH68" i="2"/>
  <c r="AC68" i="2"/>
  <c r="AN68" i="2" s="1"/>
  <c r="BD68" i="2" s="1"/>
  <c r="AL68" i="2"/>
  <c r="BG68" i="2"/>
  <c r="K68" i="2"/>
  <c r="Y68" i="2" s="1"/>
  <c r="Z68" i="2" s="1"/>
  <c r="BE68" i="2"/>
  <c r="BF58" i="2"/>
  <c r="BJ61" i="2"/>
  <c r="CC61" i="2"/>
  <c r="K62" i="2"/>
  <c r="Y62" i="2" s="1"/>
  <c r="Z62" i="2" s="1"/>
  <c r="AL61" i="2"/>
  <c r="BU61" i="2" s="1"/>
  <c r="BF62" i="2"/>
  <c r="AM63" i="2"/>
  <c r="K63" i="2"/>
  <c r="Y63" i="2" s="1"/>
  <c r="Z63" i="2" s="1"/>
  <c r="BF63" i="2"/>
  <c r="AM54" i="2"/>
  <c r="BF61" i="2"/>
  <c r="AD63" i="2"/>
  <c r="AO63" i="2" s="1"/>
  <c r="K54" i="2"/>
  <c r="Y54" i="2" s="1"/>
  <c r="Z54" i="2" s="1"/>
  <c r="K55" i="2"/>
  <c r="Y55" i="2" s="1"/>
  <c r="Z55" i="2" s="1"/>
  <c r="AC62" i="2"/>
  <c r="AN62" i="2" s="1"/>
  <c r="BD61" i="2"/>
  <c r="BW63" i="2"/>
  <c r="BV63" i="2"/>
  <c r="BU63" i="2"/>
  <c r="BL63" i="2"/>
  <c r="M63" i="2" s="1"/>
  <c r="BT63" i="2"/>
  <c r="BC63" i="2"/>
  <c r="BZ63" i="2"/>
  <c r="BQ63" i="2"/>
  <c r="N63" i="2" s="1"/>
  <c r="BY63" i="2"/>
  <c r="BF59" i="2"/>
  <c r="BJ63" i="2"/>
  <c r="BI63" i="2"/>
  <c r="BG63" i="2"/>
  <c r="BG61" i="2"/>
  <c r="BG62" i="2"/>
  <c r="BH63" i="2"/>
  <c r="BH61" i="2"/>
  <c r="BH62" i="2"/>
  <c r="BD58" i="2"/>
  <c r="BJ59" i="2"/>
  <c r="BI61" i="2"/>
  <c r="BI62" i="2"/>
  <c r="BE63" i="2"/>
  <c r="BF55" i="2"/>
  <c r="BJ58" i="2"/>
  <c r="BF56" i="2"/>
  <c r="BG58" i="2"/>
  <c r="BG59" i="2"/>
  <c r="BF57" i="2"/>
  <c r="BH58" i="2"/>
  <c r="BH59" i="2"/>
  <c r="BI58" i="2"/>
  <c r="BI59" i="2"/>
  <c r="AL58" i="2"/>
  <c r="AC59" i="2"/>
  <c r="AN59" i="2" s="1"/>
  <c r="BD59" i="2" s="1"/>
  <c r="AL59" i="2"/>
  <c r="CC58" i="2"/>
  <c r="K59" i="2"/>
  <c r="Y59" i="2" s="1"/>
  <c r="Z59" i="2" s="1"/>
  <c r="BE58" i="2"/>
  <c r="BE59" i="2"/>
  <c r="BJ57" i="2"/>
  <c r="BI57" i="2"/>
  <c r="BJ56" i="2"/>
  <c r="BI56" i="2"/>
  <c r="BD56" i="2"/>
  <c r="BG56" i="2"/>
  <c r="BG57" i="2"/>
  <c r="BH56" i="2"/>
  <c r="BH57" i="2"/>
  <c r="AD55" i="2"/>
  <c r="AO55" i="2" s="1"/>
  <c r="AL56" i="2"/>
  <c r="AC57" i="2"/>
  <c r="AN57" i="2" s="1"/>
  <c r="BD57" i="2" s="1"/>
  <c r="AL57" i="2"/>
  <c r="CC56" i="2"/>
  <c r="K57" i="2"/>
  <c r="Y57" i="2" s="1"/>
  <c r="Z57" i="2" s="1"/>
  <c r="BE56" i="2"/>
  <c r="BE57" i="2"/>
  <c r="AM55" i="2"/>
  <c r="BG55" i="2"/>
  <c r="BW55" i="2"/>
  <c r="BV55" i="2"/>
  <c r="BU55" i="2"/>
  <c r="BL55" i="2"/>
  <c r="M55" i="2" s="1"/>
  <c r="BT55" i="2"/>
  <c r="BC55" i="2"/>
  <c r="BZ55" i="2"/>
  <c r="BQ55" i="2"/>
  <c r="N55" i="2" s="1"/>
  <c r="BY55" i="2"/>
  <c r="BJ55" i="2"/>
  <c r="BI55" i="2"/>
  <c r="BH52" i="2"/>
  <c r="BF54" i="2"/>
  <c r="BH55" i="2"/>
  <c r="AD54" i="2"/>
  <c r="AO54" i="2" s="1"/>
  <c r="BE55" i="2"/>
  <c r="BW54" i="2"/>
  <c r="BV54" i="2"/>
  <c r="BT54" i="2"/>
  <c r="BC54" i="2"/>
  <c r="BU54" i="2"/>
  <c r="BZ54" i="2"/>
  <c r="BQ54" i="2"/>
  <c r="N54" i="2" s="1"/>
  <c r="BL54" i="2"/>
  <c r="M54" i="2" s="1"/>
  <c r="BY54" i="2"/>
  <c r="BJ54" i="2"/>
  <c r="BI54" i="2"/>
  <c r="BG54" i="2"/>
  <c r="BH54" i="2"/>
  <c r="CC52" i="2"/>
  <c r="BE54" i="2"/>
  <c r="BJ52" i="2"/>
  <c r="BI52" i="2"/>
  <c r="BD52" i="2"/>
  <c r="BF51" i="2"/>
  <c r="AL52" i="2"/>
  <c r="BE52" i="2"/>
  <c r="BF52" i="2"/>
  <c r="BF53" i="2"/>
  <c r="BJ53" i="2"/>
  <c r="BI53" i="2"/>
  <c r="BH53" i="2"/>
  <c r="BG53" i="2"/>
  <c r="AC53" i="2"/>
  <c r="AN53" i="2" s="1"/>
  <c r="BD53" i="2" s="1"/>
  <c r="AL53" i="2"/>
  <c r="K53" i="2"/>
  <c r="Y53" i="2" s="1"/>
  <c r="Z53" i="2" s="1"/>
  <c r="BE53" i="2"/>
  <c r="BJ51" i="2"/>
  <c r="BI51" i="2"/>
  <c r="BG51" i="2"/>
  <c r="BH51" i="2"/>
  <c r="AC51" i="2"/>
  <c r="AN51" i="2" s="1"/>
  <c r="BD51" i="2" s="1"/>
  <c r="AL51" i="2"/>
  <c r="K51" i="2"/>
  <c r="Y51" i="2" s="1"/>
  <c r="Z51" i="2" s="1"/>
  <c r="BE51" i="2"/>
  <c r="BF96" i="2"/>
  <c r="BJ96" i="2"/>
  <c r="BI96" i="2"/>
  <c r="BH96" i="2"/>
  <c r="BG96" i="2"/>
  <c r="AC96" i="2"/>
  <c r="AN96" i="2" s="1"/>
  <c r="BD96" i="2" s="1"/>
  <c r="AL96" i="2"/>
  <c r="K96" i="2"/>
  <c r="Y96" i="2" s="1"/>
  <c r="Z96" i="2" s="1"/>
  <c r="BE96" i="2"/>
  <c r="T17" i="6"/>
  <c r="U17" i="6" s="1"/>
  <c r="T18" i="6"/>
  <c r="U18" i="6" s="1"/>
  <c r="AC88" i="2"/>
  <c r="AN88" i="2" s="1"/>
  <c r="BC88" i="2" s="1"/>
  <c r="BH106" i="2"/>
  <c r="BJ106" i="2"/>
  <c r="BI106" i="2"/>
  <c r="AC106" i="2"/>
  <c r="AN106" i="2" s="1"/>
  <c r="BD106" i="2" s="1"/>
  <c r="AL106" i="2"/>
  <c r="K106" i="2"/>
  <c r="Y106" i="2" s="1"/>
  <c r="Z106" i="2" s="1"/>
  <c r="BE106" i="2"/>
  <c r="BF106" i="2"/>
  <c r="K88" i="2"/>
  <c r="Y88" i="2" s="1"/>
  <c r="Z88" i="2" s="1"/>
  <c r="AM88" i="2"/>
  <c r="BF88" i="2"/>
  <c r="BJ88" i="2"/>
  <c r="BI88" i="2"/>
  <c r="BH88" i="2"/>
  <c r="BG88" i="2"/>
  <c r="BE88" i="2"/>
  <c r="BF100" i="2"/>
  <c r="BJ100" i="2"/>
  <c r="BI100" i="2"/>
  <c r="BH100" i="2"/>
  <c r="BG100" i="2"/>
  <c r="AC100" i="2"/>
  <c r="AN100" i="2" s="1"/>
  <c r="BD100" i="2" s="1"/>
  <c r="AL100" i="2"/>
  <c r="K100" i="2"/>
  <c r="Y100" i="2" s="1"/>
  <c r="Z100" i="2" s="1"/>
  <c r="BE100" i="2"/>
  <c r="BJ72" i="2"/>
  <c r="BI72" i="2"/>
  <c r="BF72" i="2"/>
  <c r="BH47" i="2"/>
  <c r="BG72" i="2"/>
  <c r="BH72" i="2"/>
  <c r="BF60" i="2"/>
  <c r="AC72" i="2"/>
  <c r="AN72" i="2" s="1"/>
  <c r="BD72" i="2" s="1"/>
  <c r="AL72" i="2"/>
  <c r="K72" i="2"/>
  <c r="Y72" i="2" s="1"/>
  <c r="Z72" i="2" s="1"/>
  <c r="BE72" i="2"/>
  <c r="BF48" i="2"/>
  <c r="BJ60" i="2"/>
  <c r="BI60" i="2"/>
  <c r="BG60" i="2"/>
  <c r="BH60" i="2"/>
  <c r="AC60" i="2"/>
  <c r="AN60" i="2" s="1"/>
  <c r="BD60" i="2" s="1"/>
  <c r="AL60" i="2"/>
  <c r="K60" i="2"/>
  <c r="Y60" i="2" s="1"/>
  <c r="Z60" i="2" s="1"/>
  <c r="BE60" i="2"/>
  <c r="BJ48" i="2"/>
  <c r="BI48" i="2"/>
  <c r="BG48" i="2"/>
  <c r="BH48" i="2"/>
  <c r="AM47" i="2"/>
  <c r="BF47" i="2"/>
  <c r="AC48" i="2"/>
  <c r="AN48" i="2" s="1"/>
  <c r="BD48" i="2" s="1"/>
  <c r="AL48" i="2"/>
  <c r="K48" i="2"/>
  <c r="Y48" i="2" s="1"/>
  <c r="Z48" i="2" s="1"/>
  <c r="BE48" i="2"/>
  <c r="BG47" i="2"/>
  <c r="BJ47" i="2"/>
  <c r="AC47" i="2"/>
  <c r="AN47" i="2" s="1"/>
  <c r="BV47" i="2" s="1"/>
  <c r="BE47" i="2"/>
  <c r="CI101" i="2"/>
  <c r="BX101" i="2"/>
  <c r="BS101" i="2"/>
  <c r="BP101" i="2"/>
  <c r="BO101" i="2"/>
  <c r="BN101" i="2"/>
  <c r="BM101" i="2"/>
  <c r="BK101" i="2"/>
  <c r="BA101" i="2"/>
  <c r="AZ101" i="2"/>
  <c r="AY101" i="2"/>
  <c r="AX101" i="2"/>
  <c r="AT101" i="2"/>
  <c r="AH101" i="2"/>
  <c r="AS101" i="2" s="1"/>
  <c r="AG101" i="2"/>
  <c r="AR101" i="2" s="1"/>
  <c r="AF101" i="2"/>
  <c r="AQ101" i="2" s="1"/>
  <c r="AE101" i="2"/>
  <c r="AP101" i="2" s="1"/>
  <c r="AB101" i="2"/>
  <c r="AL101" i="2" s="1"/>
  <c r="J101" i="2"/>
  <c r="I101" i="2"/>
  <c r="AJ101" i="2" s="1"/>
  <c r="AV101" i="2" s="1"/>
  <c r="H101" i="2"/>
  <c r="AI101" i="2" s="1"/>
  <c r="AU101" i="2" s="1"/>
  <c r="E101" i="2"/>
  <c r="AC101" i="2" s="1"/>
  <c r="AN101" i="2" s="1"/>
  <c r="CI94" i="2"/>
  <c r="BX94" i="2"/>
  <c r="BS94" i="2"/>
  <c r="BP94" i="2"/>
  <c r="BO94" i="2"/>
  <c r="BN94" i="2"/>
  <c r="BM94" i="2"/>
  <c r="BK94" i="2"/>
  <c r="BA94" i="2"/>
  <c r="AZ94" i="2"/>
  <c r="AY94" i="2"/>
  <c r="AX94" i="2"/>
  <c r="AT94" i="2"/>
  <c r="AH94" i="2"/>
  <c r="AS94" i="2" s="1"/>
  <c r="AG94" i="2"/>
  <c r="AR94" i="2" s="1"/>
  <c r="AF94" i="2"/>
  <c r="AQ94" i="2" s="1"/>
  <c r="AE94" i="2"/>
  <c r="AP94" i="2" s="1"/>
  <c r="AB94" i="2"/>
  <c r="AM94" i="2" s="1"/>
  <c r="J94" i="2"/>
  <c r="AJ94" i="2"/>
  <c r="AV94" i="2" s="1"/>
  <c r="AI94" i="2"/>
  <c r="AU94" i="2" s="1"/>
  <c r="AD94" i="2"/>
  <c r="AO94" i="2" s="1"/>
  <c r="CI102" i="2"/>
  <c r="BX102" i="2"/>
  <c r="BS102" i="2"/>
  <c r="BP102" i="2"/>
  <c r="BO102" i="2"/>
  <c r="BN102" i="2"/>
  <c r="BM102" i="2"/>
  <c r="BK102" i="2"/>
  <c r="BA102" i="2"/>
  <c r="AZ102" i="2"/>
  <c r="AY102" i="2"/>
  <c r="AX102" i="2"/>
  <c r="AT102" i="2"/>
  <c r="AH102" i="2"/>
  <c r="AS102" i="2" s="1"/>
  <c r="AG102" i="2"/>
  <c r="AR102" i="2" s="1"/>
  <c r="AF102" i="2"/>
  <c r="AQ102" i="2" s="1"/>
  <c r="AE102" i="2"/>
  <c r="AP102" i="2" s="1"/>
  <c r="AB102" i="2"/>
  <c r="AM102" i="2" s="1"/>
  <c r="J102" i="2"/>
  <c r="I102" i="2"/>
  <c r="AJ102" i="2" s="1"/>
  <c r="AV102" i="2" s="1"/>
  <c r="H102" i="2"/>
  <c r="AI102" i="2" s="1"/>
  <c r="AU102" i="2" s="1"/>
  <c r="E102" i="2"/>
  <c r="AD102" i="2" s="1"/>
  <c r="AO102" i="2" s="1"/>
  <c r="S21" i="6"/>
  <c r="R21" i="6"/>
  <c r="P21" i="6"/>
  <c r="CI105" i="2"/>
  <c r="BX105" i="2"/>
  <c r="BS105" i="2"/>
  <c r="BP105" i="2"/>
  <c r="BO105" i="2"/>
  <c r="BN105" i="2"/>
  <c r="BM105" i="2"/>
  <c r="BK105" i="2"/>
  <c r="BA105" i="2"/>
  <c r="AZ105" i="2"/>
  <c r="AY105" i="2"/>
  <c r="AT105" i="2"/>
  <c r="AH105" i="2"/>
  <c r="AS105" i="2" s="1"/>
  <c r="AG105" i="2"/>
  <c r="AR105" i="2" s="1"/>
  <c r="AF105" i="2"/>
  <c r="AQ105" i="2" s="1"/>
  <c r="AE105" i="2"/>
  <c r="AP105" i="2" s="1"/>
  <c r="BG105" i="2" s="1"/>
  <c r="AB105" i="2"/>
  <c r="AM105" i="2" s="1"/>
  <c r="J105" i="2"/>
  <c r="I105" i="2"/>
  <c r="AJ105" i="2" s="1"/>
  <c r="AV105" i="2" s="1"/>
  <c r="H105" i="2"/>
  <c r="AI105" i="2" s="1"/>
  <c r="AU105" i="2" s="1"/>
  <c r="E105" i="2"/>
  <c r="AD105" i="2" s="1"/>
  <c r="AO105" i="2" s="1"/>
  <c r="CI104" i="2"/>
  <c r="CD104" i="2"/>
  <c r="CE104" i="2" s="1"/>
  <c r="BX104" i="2"/>
  <c r="BS104" i="2"/>
  <c r="BP104" i="2"/>
  <c r="BO104" i="2"/>
  <c r="BN104" i="2"/>
  <c r="BM104" i="2"/>
  <c r="BK104" i="2"/>
  <c r="BA104" i="2"/>
  <c r="AZ104" i="2"/>
  <c r="AY104" i="2"/>
  <c r="AX104" i="2"/>
  <c r="AT104" i="2"/>
  <c r="AJ104" i="2"/>
  <c r="AV104" i="2" s="1"/>
  <c r="AI104" i="2"/>
  <c r="AU104" i="2" s="1"/>
  <c r="AH104" i="2"/>
  <c r="AS104" i="2" s="1"/>
  <c r="AG104" i="2"/>
  <c r="AR104" i="2" s="1"/>
  <c r="AF104" i="2"/>
  <c r="AQ104" i="2" s="1"/>
  <c r="AE104" i="2"/>
  <c r="AP104" i="2" s="1"/>
  <c r="AD104" i="2"/>
  <c r="AO104" i="2" s="1"/>
  <c r="AC104" i="2"/>
  <c r="AN104" i="2" s="1"/>
  <c r="AB104" i="2"/>
  <c r="AM104" i="2" s="1"/>
  <c r="J104" i="2"/>
  <c r="CI43" i="2"/>
  <c r="BX43" i="2"/>
  <c r="BS43" i="2"/>
  <c r="BP43" i="2"/>
  <c r="BO43" i="2"/>
  <c r="BN43" i="2"/>
  <c r="BM43" i="2"/>
  <c r="BK43" i="2"/>
  <c r="BA43" i="2"/>
  <c r="AZ43" i="2"/>
  <c r="AY43" i="2"/>
  <c r="AX43" i="2"/>
  <c r="AT43" i="2"/>
  <c r="AH43" i="2"/>
  <c r="AS43" i="2" s="1"/>
  <c r="AG43" i="2"/>
  <c r="AR43" i="2" s="1"/>
  <c r="BI43" i="2" s="1"/>
  <c r="AF43" i="2"/>
  <c r="AQ43" i="2" s="1"/>
  <c r="AE43" i="2"/>
  <c r="AP43" i="2" s="1"/>
  <c r="AB43" i="2"/>
  <c r="AM43" i="2" s="1"/>
  <c r="AJ43" i="2"/>
  <c r="AV43" i="2" s="1"/>
  <c r="AI43" i="2"/>
  <c r="AU43" i="2" s="1"/>
  <c r="AD43" i="2"/>
  <c r="AO43" i="2" s="1"/>
  <c r="CI87" i="2"/>
  <c r="CD87" i="2"/>
  <c r="CE87" i="2" s="1"/>
  <c r="BX87" i="2"/>
  <c r="BS87" i="2"/>
  <c r="BP87" i="2"/>
  <c r="BO87" i="2"/>
  <c r="BN87" i="2"/>
  <c r="BM87" i="2"/>
  <c r="BK87" i="2"/>
  <c r="BA87" i="2"/>
  <c r="AZ87" i="2"/>
  <c r="AY87" i="2"/>
  <c r="AX87" i="2"/>
  <c r="AT87" i="2"/>
  <c r="AJ87" i="2"/>
  <c r="AV87" i="2" s="1"/>
  <c r="AI87" i="2"/>
  <c r="AU87" i="2" s="1"/>
  <c r="AH87" i="2"/>
  <c r="AS87" i="2" s="1"/>
  <c r="AG87" i="2"/>
  <c r="AR87" i="2" s="1"/>
  <c r="AF87" i="2"/>
  <c r="AQ87" i="2" s="1"/>
  <c r="AE87" i="2"/>
  <c r="AP87" i="2" s="1"/>
  <c r="AD87" i="2"/>
  <c r="AO87" i="2" s="1"/>
  <c r="AC87" i="2"/>
  <c r="AN87" i="2" s="1"/>
  <c r="AB87" i="2"/>
  <c r="AL87" i="2" s="1"/>
  <c r="J87" i="2"/>
  <c r="BW45" i="2" l="1"/>
  <c r="BC45" i="2"/>
  <c r="BB45" i="2" s="1"/>
  <c r="BT45" i="2"/>
  <c r="BV45" i="2"/>
  <c r="BZ45" i="2"/>
  <c r="BL45" i="2"/>
  <c r="BU45" i="2"/>
  <c r="BY45" i="2"/>
  <c r="BQ45" i="2"/>
  <c r="BD70" i="2"/>
  <c r="BB70" i="2"/>
  <c r="BW108" i="2"/>
  <c r="O70" i="2"/>
  <c r="CD70" i="2" s="1"/>
  <c r="BB95" i="2"/>
  <c r="BL95" i="2"/>
  <c r="M95" i="2" s="1"/>
  <c r="BL108" i="2"/>
  <c r="M108" i="2" s="1"/>
  <c r="BV108" i="2"/>
  <c r="BZ108" i="2"/>
  <c r="BY108" i="2"/>
  <c r="BT95" i="2"/>
  <c r="BD95" i="2"/>
  <c r="BU108" i="2"/>
  <c r="BQ108" i="2"/>
  <c r="N108" i="2" s="1"/>
  <c r="BV95" i="2"/>
  <c r="BW95" i="2"/>
  <c r="BY95" i="2"/>
  <c r="BT108" i="2"/>
  <c r="BZ95" i="2"/>
  <c r="BQ95" i="2"/>
  <c r="N95" i="2" s="1"/>
  <c r="BU95" i="2"/>
  <c r="BC108" i="2"/>
  <c r="BD108" i="2"/>
  <c r="BW86" i="2"/>
  <c r="BV86" i="2"/>
  <c r="BU86" i="2"/>
  <c r="BL86" i="2"/>
  <c r="M86" i="2" s="1"/>
  <c r="BT86" i="2"/>
  <c r="BC86" i="2"/>
  <c r="BB86" i="2" s="1"/>
  <c r="BZ86" i="2"/>
  <c r="BQ86" i="2"/>
  <c r="N86" i="2" s="1"/>
  <c r="BY86" i="2"/>
  <c r="BD84" i="2"/>
  <c r="BW50" i="2"/>
  <c r="BV50" i="2"/>
  <c r="BZ50" i="2"/>
  <c r="BU50" i="2"/>
  <c r="BL50" i="2"/>
  <c r="M50" i="2" s="1"/>
  <c r="BT50" i="2"/>
  <c r="BC50" i="2"/>
  <c r="BB50" i="2" s="1"/>
  <c r="BQ50" i="2"/>
  <c r="N50" i="2" s="1"/>
  <c r="BY50" i="2"/>
  <c r="BW85" i="2"/>
  <c r="BV85" i="2"/>
  <c r="BU85" i="2"/>
  <c r="BL85" i="2"/>
  <c r="M85" i="2" s="1"/>
  <c r="BT85" i="2"/>
  <c r="BC85" i="2"/>
  <c r="BB85" i="2" s="1"/>
  <c r="BZ85" i="2"/>
  <c r="BQ85" i="2"/>
  <c r="N85" i="2" s="1"/>
  <c r="BY85" i="2"/>
  <c r="O84" i="2"/>
  <c r="CD84" i="2" s="1"/>
  <c r="CC84" i="2" s="1"/>
  <c r="BW81" i="2"/>
  <c r="BV81" i="2"/>
  <c r="BU81" i="2"/>
  <c r="BT81" i="2"/>
  <c r="BL81" i="2"/>
  <c r="BZ81" i="2"/>
  <c r="BC81" i="2"/>
  <c r="BY81" i="2"/>
  <c r="BQ81" i="2"/>
  <c r="N81" i="2" s="1"/>
  <c r="O92" i="2"/>
  <c r="CD92" i="2" s="1"/>
  <c r="CE92" i="2" s="1"/>
  <c r="BW80" i="2"/>
  <c r="BV80" i="2"/>
  <c r="BZ80" i="2"/>
  <c r="BU80" i="2"/>
  <c r="BT80" i="2"/>
  <c r="BL80" i="2"/>
  <c r="BC80" i="2"/>
  <c r="BY80" i="2"/>
  <c r="BQ80" i="2"/>
  <c r="N80" i="2" s="1"/>
  <c r="BW79" i="2"/>
  <c r="BV79" i="2"/>
  <c r="BU79" i="2"/>
  <c r="BZ79" i="2"/>
  <c r="BT79" i="2"/>
  <c r="BL79" i="2"/>
  <c r="BC79" i="2"/>
  <c r="BY79" i="2"/>
  <c r="BQ79" i="2"/>
  <c r="N79" i="2" s="1"/>
  <c r="BW83" i="2"/>
  <c r="BV83" i="2"/>
  <c r="BU83" i="2"/>
  <c r="BT83" i="2"/>
  <c r="BL83" i="2"/>
  <c r="BC83" i="2"/>
  <c r="BZ83" i="2"/>
  <c r="BY83" i="2"/>
  <c r="BQ83" i="2"/>
  <c r="N83" i="2" s="1"/>
  <c r="BW78" i="2"/>
  <c r="BV78" i="2"/>
  <c r="BU78" i="2"/>
  <c r="BT78" i="2"/>
  <c r="BL78" i="2"/>
  <c r="BZ78" i="2"/>
  <c r="BC78" i="2"/>
  <c r="BY78" i="2"/>
  <c r="BQ78" i="2"/>
  <c r="N78" i="2" s="1"/>
  <c r="BW77" i="2"/>
  <c r="BV77" i="2"/>
  <c r="BU77" i="2"/>
  <c r="BT77" i="2"/>
  <c r="BL77" i="2"/>
  <c r="BC77" i="2"/>
  <c r="BZ77" i="2"/>
  <c r="BY77" i="2"/>
  <c r="BQ77" i="2"/>
  <c r="N77" i="2" s="1"/>
  <c r="BD92" i="2"/>
  <c r="BW82" i="2"/>
  <c r="BV82" i="2"/>
  <c r="BU82" i="2"/>
  <c r="BZ82" i="2"/>
  <c r="BT82" i="2"/>
  <c r="BL82" i="2"/>
  <c r="BC82" i="2"/>
  <c r="BY82" i="2"/>
  <c r="BQ82" i="2"/>
  <c r="N82" i="2" s="1"/>
  <c r="BW76" i="2"/>
  <c r="BV76" i="2"/>
  <c r="BU76" i="2"/>
  <c r="BZ76" i="2"/>
  <c r="BT76" i="2"/>
  <c r="BL76" i="2"/>
  <c r="BC76" i="2"/>
  <c r="BY76" i="2"/>
  <c r="BQ76" i="2"/>
  <c r="N76" i="2" s="1"/>
  <c r="BB84" i="2"/>
  <c r="BB92" i="2"/>
  <c r="BW91" i="2"/>
  <c r="BV91" i="2"/>
  <c r="BU91" i="2"/>
  <c r="BL91" i="2"/>
  <c r="M91" i="2" s="1"/>
  <c r="BT91" i="2"/>
  <c r="BC91" i="2"/>
  <c r="BB91" i="2" s="1"/>
  <c r="BZ91" i="2"/>
  <c r="BQ91" i="2"/>
  <c r="N91" i="2" s="1"/>
  <c r="BY91" i="2"/>
  <c r="BW90" i="2"/>
  <c r="BV90" i="2"/>
  <c r="BU90" i="2"/>
  <c r="BL90" i="2"/>
  <c r="M90" i="2" s="1"/>
  <c r="BT90" i="2"/>
  <c r="BC90" i="2"/>
  <c r="BB90" i="2" s="1"/>
  <c r="BZ90" i="2"/>
  <c r="BQ90" i="2"/>
  <c r="N90" i="2" s="1"/>
  <c r="BY90" i="2"/>
  <c r="BW98" i="2"/>
  <c r="BV98" i="2"/>
  <c r="BU98" i="2"/>
  <c r="BL98" i="2"/>
  <c r="M98" i="2" s="1"/>
  <c r="BT98" i="2"/>
  <c r="BC98" i="2"/>
  <c r="BB98" i="2" s="1"/>
  <c r="BZ98" i="2"/>
  <c r="BQ98" i="2"/>
  <c r="N98" i="2" s="1"/>
  <c r="BY98" i="2"/>
  <c r="BW97" i="2"/>
  <c r="BV97" i="2"/>
  <c r="BU97" i="2"/>
  <c r="BL97" i="2"/>
  <c r="M97" i="2" s="1"/>
  <c r="BT97" i="2"/>
  <c r="BC97" i="2"/>
  <c r="BB97" i="2" s="1"/>
  <c r="BZ97" i="2"/>
  <c r="BQ97" i="2"/>
  <c r="N97" i="2" s="1"/>
  <c r="BY97" i="2"/>
  <c r="BW89" i="2"/>
  <c r="BV89" i="2"/>
  <c r="BU89" i="2"/>
  <c r="BL89" i="2"/>
  <c r="M89" i="2" s="1"/>
  <c r="BT89" i="2"/>
  <c r="BC89" i="2"/>
  <c r="BB89" i="2" s="1"/>
  <c r="BZ89" i="2"/>
  <c r="BQ89" i="2"/>
  <c r="N89" i="2" s="1"/>
  <c r="BY89" i="2"/>
  <c r="BW103" i="2"/>
  <c r="BV103" i="2"/>
  <c r="BU103" i="2"/>
  <c r="BL103" i="2"/>
  <c r="M103" i="2" s="1"/>
  <c r="BT103" i="2"/>
  <c r="BC103" i="2"/>
  <c r="BB103" i="2" s="1"/>
  <c r="BZ103" i="2"/>
  <c r="BQ103" i="2"/>
  <c r="N103" i="2" s="1"/>
  <c r="BY103" i="2"/>
  <c r="BW99" i="2"/>
  <c r="BV99" i="2"/>
  <c r="BU99" i="2"/>
  <c r="BL99" i="2"/>
  <c r="M99" i="2" s="1"/>
  <c r="BT99" i="2"/>
  <c r="BC99" i="2"/>
  <c r="BB99" i="2" s="1"/>
  <c r="BZ99" i="2"/>
  <c r="BQ99" i="2"/>
  <c r="N99" i="2" s="1"/>
  <c r="BY99" i="2"/>
  <c r="BW93" i="2"/>
  <c r="BV93" i="2"/>
  <c r="BU93" i="2"/>
  <c r="BL93" i="2"/>
  <c r="M93" i="2" s="1"/>
  <c r="BT93" i="2"/>
  <c r="BC93" i="2"/>
  <c r="BB93" i="2" s="1"/>
  <c r="BZ93" i="2"/>
  <c r="BQ93" i="2"/>
  <c r="N93" i="2" s="1"/>
  <c r="BY93" i="2"/>
  <c r="BW74" i="2"/>
  <c r="BV74" i="2"/>
  <c r="BU74" i="2"/>
  <c r="BL74" i="2"/>
  <c r="M74" i="2" s="1"/>
  <c r="BT74" i="2"/>
  <c r="BC74" i="2"/>
  <c r="BB74" i="2" s="1"/>
  <c r="BZ74" i="2"/>
  <c r="BQ74" i="2"/>
  <c r="N74" i="2" s="1"/>
  <c r="BY74" i="2"/>
  <c r="BW49" i="2"/>
  <c r="BV49" i="2"/>
  <c r="BU49" i="2"/>
  <c r="BL49" i="2"/>
  <c r="M49" i="2" s="1"/>
  <c r="BT49" i="2"/>
  <c r="BC49" i="2"/>
  <c r="BB49" i="2" s="1"/>
  <c r="BZ49" i="2"/>
  <c r="BQ49" i="2"/>
  <c r="N49" i="2" s="1"/>
  <c r="BY49" i="2"/>
  <c r="BD66" i="2"/>
  <c r="BB66" i="2"/>
  <c r="O66" i="2"/>
  <c r="CD66" i="2" s="1"/>
  <c r="BW65" i="2"/>
  <c r="BV65" i="2"/>
  <c r="BU65" i="2"/>
  <c r="BL65" i="2"/>
  <c r="M65" i="2" s="1"/>
  <c r="BT65" i="2"/>
  <c r="BC65" i="2"/>
  <c r="BB65" i="2" s="1"/>
  <c r="BZ65" i="2"/>
  <c r="BQ65" i="2"/>
  <c r="N65" i="2" s="1"/>
  <c r="BY65" i="2"/>
  <c r="BD69" i="2"/>
  <c r="BW64" i="2"/>
  <c r="BV64" i="2"/>
  <c r="BU64" i="2"/>
  <c r="BL64" i="2"/>
  <c r="M64" i="2" s="1"/>
  <c r="BT64" i="2"/>
  <c r="BC64" i="2"/>
  <c r="BB64" i="2" s="1"/>
  <c r="BZ64" i="2"/>
  <c r="BQ64" i="2"/>
  <c r="N64" i="2" s="1"/>
  <c r="BY64" i="2"/>
  <c r="BW62" i="2"/>
  <c r="BD55" i="2"/>
  <c r="BW71" i="2"/>
  <c r="BV71" i="2"/>
  <c r="BU71" i="2"/>
  <c r="BL71" i="2"/>
  <c r="M71" i="2" s="1"/>
  <c r="BT71" i="2"/>
  <c r="BC71" i="2"/>
  <c r="BB71" i="2" s="1"/>
  <c r="BZ71" i="2"/>
  <c r="BQ71" i="2"/>
  <c r="N71" i="2" s="1"/>
  <c r="BY71" i="2"/>
  <c r="BT61" i="2"/>
  <c r="BB69" i="2"/>
  <c r="BL61" i="2"/>
  <c r="BR61" i="2" s="1"/>
  <c r="BC61" i="2"/>
  <c r="O69" i="2"/>
  <c r="CD69" i="2" s="1"/>
  <c r="BQ61" i="2"/>
  <c r="BW61" i="2"/>
  <c r="BZ61" i="2"/>
  <c r="BY61" i="2"/>
  <c r="BW73" i="2"/>
  <c r="BV73" i="2"/>
  <c r="BU73" i="2"/>
  <c r="BL73" i="2"/>
  <c r="M73" i="2" s="1"/>
  <c r="BT73" i="2"/>
  <c r="BC73" i="2"/>
  <c r="BB73" i="2" s="1"/>
  <c r="BZ73" i="2"/>
  <c r="BQ73" i="2"/>
  <c r="N73" i="2" s="1"/>
  <c r="BY73" i="2"/>
  <c r="BC62" i="2"/>
  <c r="BB62" i="2" s="1"/>
  <c r="BW68" i="2"/>
  <c r="BV68" i="2"/>
  <c r="BU68" i="2"/>
  <c r="BL68" i="2"/>
  <c r="M68" i="2" s="1"/>
  <c r="BT68" i="2"/>
  <c r="BC68" i="2"/>
  <c r="BB68" i="2" s="1"/>
  <c r="BZ68" i="2"/>
  <c r="BQ68" i="2"/>
  <c r="N68" i="2" s="1"/>
  <c r="BY68" i="2"/>
  <c r="BU62" i="2"/>
  <c r="BZ62" i="2"/>
  <c r="BY62" i="2"/>
  <c r="BL62" i="2"/>
  <c r="M62" i="2" s="1"/>
  <c r="BQ62" i="2"/>
  <c r="N62" i="2" s="1"/>
  <c r="BD54" i="2"/>
  <c r="BD62" i="2"/>
  <c r="BT62" i="2"/>
  <c r="BV62" i="2"/>
  <c r="BV61" i="2"/>
  <c r="BD63" i="2"/>
  <c r="O63" i="2"/>
  <c r="CD63" i="2" s="1"/>
  <c r="BB63" i="2"/>
  <c r="BW59" i="2"/>
  <c r="BV59" i="2"/>
  <c r="BU59" i="2"/>
  <c r="BL59" i="2"/>
  <c r="M59" i="2" s="1"/>
  <c r="BT59" i="2"/>
  <c r="BC59" i="2"/>
  <c r="BB59" i="2" s="1"/>
  <c r="BZ59" i="2"/>
  <c r="BQ59" i="2"/>
  <c r="N59" i="2" s="1"/>
  <c r="BY59" i="2"/>
  <c r="BV58" i="2"/>
  <c r="BU58" i="2"/>
  <c r="BT58" i="2"/>
  <c r="BL58" i="2"/>
  <c r="BR58" i="2" s="1"/>
  <c r="BC58" i="2"/>
  <c r="BZ58" i="2"/>
  <c r="BY58" i="2"/>
  <c r="BQ58" i="2"/>
  <c r="BW58" i="2"/>
  <c r="BV56" i="2"/>
  <c r="BU56" i="2"/>
  <c r="BT56" i="2"/>
  <c r="BL56" i="2"/>
  <c r="BR56" i="2" s="1"/>
  <c r="BC56" i="2"/>
  <c r="BZ56" i="2"/>
  <c r="BW56" i="2"/>
  <c r="BY56" i="2"/>
  <c r="BQ56" i="2"/>
  <c r="BW57" i="2"/>
  <c r="BV57" i="2"/>
  <c r="BU57" i="2"/>
  <c r="BL57" i="2"/>
  <c r="M57" i="2" s="1"/>
  <c r="BT57" i="2"/>
  <c r="BC57" i="2"/>
  <c r="BB57" i="2" s="1"/>
  <c r="BZ57" i="2"/>
  <c r="BQ57" i="2"/>
  <c r="N57" i="2" s="1"/>
  <c r="BY57" i="2"/>
  <c r="BB55" i="2"/>
  <c r="O55" i="2"/>
  <c r="CD55" i="2" s="1"/>
  <c r="O54" i="2"/>
  <c r="CD54" i="2" s="1"/>
  <c r="CE54" i="2" s="1"/>
  <c r="BB54" i="2"/>
  <c r="BW52" i="2"/>
  <c r="BV52" i="2"/>
  <c r="BU52" i="2"/>
  <c r="BT52" i="2"/>
  <c r="BL52" i="2"/>
  <c r="BR52" i="2" s="1"/>
  <c r="BC52" i="2"/>
  <c r="BZ52" i="2"/>
  <c r="BY52" i="2"/>
  <c r="BQ52" i="2"/>
  <c r="BW53" i="2"/>
  <c r="BV53" i="2"/>
  <c r="BU53" i="2"/>
  <c r="BL53" i="2"/>
  <c r="M53" i="2" s="1"/>
  <c r="BT53" i="2"/>
  <c r="BC53" i="2"/>
  <c r="BB53" i="2" s="1"/>
  <c r="BY53" i="2"/>
  <c r="BZ53" i="2"/>
  <c r="BQ53" i="2"/>
  <c r="N53" i="2" s="1"/>
  <c r="BW51" i="2"/>
  <c r="BV51" i="2"/>
  <c r="BU51" i="2"/>
  <c r="BL51" i="2"/>
  <c r="M51" i="2" s="1"/>
  <c r="BT51" i="2"/>
  <c r="BC51" i="2"/>
  <c r="BB51" i="2" s="1"/>
  <c r="BZ51" i="2"/>
  <c r="BQ51" i="2"/>
  <c r="N51" i="2" s="1"/>
  <c r="BY51" i="2"/>
  <c r="BW96" i="2"/>
  <c r="BV96" i="2"/>
  <c r="BU96" i="2"/>
  <c r="BL96" i="2"/>
  <c r="M96" i="2" s="1"/>
  <c r="BT96" i="2"/>
  <c r="BC96" i="2"/>
  <c r="BB96" i="2" s="1"/>
  <c r="BZ96" i="2"/>
  <c r="BQ96" i="2"/>
  <c r="N96" i="2" s="1"/>
  <c r="BY96" i="2"/>
  <c r="BZ88" i="2"/>
  <c r="BU88" i="2"/>
  <c r="BT88" i="2"/>
  <c r="BD88" i="2"/>
  <c r="BL88" i="2"/>
  <c r="M88" i="2" s="1"/>
  <c r="BW88" i="2"/>
  <c r="BY88" i="2"/>
  <c r="BV88" i="2"/>
  <c r="BQ88" i="2"/>
  <c r="N88" i="2" s="1"/>
  <c r="BW106" i="2"/>
  <c r="BV106" i="2"/>
  <c r="BU106" i="2"/>
  <c r="BT106" i="2"/>
  <c r="BL106" i="2"/>
  <c r="BC106" i="2"/>
  <c r="BZ106" i="2"/>
  <c r="BY106" i="2"/>
  <c r="BQ106" i="2"/>
  <c r="N106" i="2" s="1"/>
  <c r="BB88" i="2"/>
  <c r="BW100" i="2"/>
  <c r="BV100" i="2"/>
  <c r="BU100" i="2"/>
  <c r="BL100" i="2"/>
  <c r="M100" i="2" s="1"/>
  <c r="BT100" i="2"/>
  <c r="BC100" i="2"/>
  <c r="BB100" i="2" s="1"/>
  <c r="BZ100" i="2"/>
  <c r="BQ100" i="2"/>
  <c r="N100" i="2" s="1"/>
  <c r="BY100" i="2"/>
  <c r="BW72" i="2"/>
  <c r="BV72" i="2"/>
  <c r="BU72" i="2"/>
  <c r="BL72" i="2"/>
  <c r="M72" i="2" s="1"/>
  <c r="BT72" i="2"/>
  <c r="BC72" i="2"/>
  <c r="BB72" i="2" s="1"/>
  <c r="BZ72" i="2"/>
  <c r="BQ72" i="2"/>
  <c r="N72" i="2" s="1"/>
  <c r="BY72" i="2"/>
  <c r="BC47" i="2"/>
  <c r="BT47" i="2"/>
  <c r="BW60" i="2"/>
  <c r="BV60" i="2"/>
  <c r="BU60" i="2"/>
  <c r="BL60" i="2"/>
  <c r="M60" i="2" s="1"/>
  <c r="BT60" i="2"/>
  <c r="BC60" i="2"/>
  <c r="BB60" i="2" s="1"/>
  <c r="BZ60" i="2"/>
  <c r="BQ60" i="2"/>
  <c r="N60" i="2" s="1"/>
  <c r="BY60" i="2"/>
  <c r="BW48" i="2"/>
  <c r="BV48" i="2"/>
  <c r="BU48" i="2"/>
  <c r="BL48" i="2"/>
  <c r="M48" i="2" s="1"/>
  <c r="BT48" i="2"/>
  <c r="BC48" i="2"/>
  <c r="BB48" i="2" s="1"/>
  <c r="BZ48" i="2"/>
  <c r="BQ48" i="2"/>
  <c r="N48" i="2" s="1"/>
  <c r="BY48" i="2"/>
  <c r="BZ47" i="2"/>
  <c r="BQ47" i="2"/>
  <c r="BY47" i="2"/>
  <c r="BL47" i="2"/>
  <c r="BD47" i="2"/>
  <c r="BU47" i="2"/>
  <c r="BW47" i="2"/>
  <c r="K101" i="2"/>
  <c r="Y101" i="2" s="1"/>
  <c r="Z101" i="2" s="1"/>
  <c r="AM101" i="2"/>
  <c r="BJ105" i="2"/>
  <c r="AD101" i="2"/>
  <c r="AO101" i="2" s="1"/>
  <c r="BF101" i="2"/>
  <c r="BW101" i="2"/>
  <c r="BV101" i="2"/>
  <c r="BU101" i="2"/>
  <c r="BL101" i="2"/>
  <c r="M101" i="2" s="1"/>
  <c r="BT101" i="2"/>
  <c r="BC101" i="2"/>
  <c r="BZ101" i="2"/>
  <c r="BQ101" i="2"/>
  <c r="N101" i="2" s="1"/>
  <c r="BY101" i="2"/>
  <c r="BJ101" i="2"/>
  <c r="BI101" i="2"/>
  <c r="BH101" i="2"/>
  <c r="BG101" i="2"/>
  <c r="BE101" i="2"/>
  <c r="BJ94" i="2"/>
  <c r="BI94" i="2"/>
  <c r="BF94" i="2"/>
  <c r="BE94" i="2"/>
  <c r="BH94" i="2"/>
  <c r="BG94" i="2"/>
  <c r="AC94" i="2"/>
  <c r="AN94" i="2" s="1"/>
  <c r="BD94" i="2" s="1"/>
  <c r="AL94" i="2"/>
  <c r="K94" i="2"/>
  <c r="Y94" i="2" s="1"/>
  <c r="Z94" i="2" s="1"/>
  <c r="BJ102" i="2"/>
  <c r="BI102" i="2"/>
  <c r="BF102" i="2"/>
  <c r="BE102" i="2"/>
  <c r="BH102" i="2"/>
  <c r="BG102" i="2"/>
  <c r="BE105" i="2"/>
  <c r="K104" i="2"/>
  <c r="Y104" i="2" s="1"/>
  <c r="Z104" i="2" s="1"/>
  <c r="AC102" i="2"/>
  <c r="AN102" i="2" s="1"/>
  <c r="BD102" i="2" s="1"/>
  <c r="AL102" i="2"/>
  <c r="BF104" i="2"/>
  <c r="CC104" i="2"/>
  <c r="K102" i="2"/>
  <c r="Y102" i="2" s="1"/>
  <c r="Z102" i="2" s="1"/>
  <c r="BD104" i="2"/>
  <c r="T21" i="6"/>
  <c r="U21" i="6" s="1"/>
  <c r="K105" i="2"/>
  <c r="Y105" i="2" s="1"/>
  <c r="Z105" i="2" s="1"/>
  <c r="AL105" i="2"/>
  <c r="AC105" i="2"/>
  <c r="AN105" i="2" s="1"/>
  <c r="BH105" i="2"/>
  <c r="BI105" i="2"/>
  <c r="BF105" i="2"/>
  <c r="BJ104" i="2"/>
  <c r="BI104" i="2"/>
  <c r="BG104" i="2"/>
  <c r="BH104" i="2"/>
  <c r="AL104" i="2"/>
  <c r="BE104" i="2"/>
  <c r="K87" i="2"/>
  <c r="Y87" i="2" s="1"/>
  <c r="Z87" i="2" s="1"/>
  <c r="BF43" i="2"/>
  <c r="BF87" i="2"/>
  <c r="BG43" i="2"/>
  <c r="BH43" i="2"/>
  <c r="AC43" i="2"/>
  <c r="AN43" i="2" s="1"/>
  <c r="BD43" i="2" s="1"/>
  <c r="AL43" i="2"/>
  <c r="AM87" i="2"/>
  <c r="BD87" i="2" s="1"/>
  <c r="Y43" i="2"/>
  <c r="Z43" i="2" s="1"/>
  <c r="BJ43" i="2"/>
  <c r="BE43" i="2"/>
  <c r="BJ87" i="2"/>
  <c r="BI87" i="2"/>
  <c r="BW87" i="2"/>
  <c r="BV87" i="2"/>
  <c r="BU87" i="2"/>
  <c r="BL87" i="2"/>
  <c r="BT87" i="2"/>
  <c r="BC87" i="2"/>
  <c r="BZ87" i="2"/>
  <c r="BQ87" i="2"/>
  <c r="BY87" i="2"/>
  <c r="BH87" i="2"/>
  <c r="BG87" i="2"/>
  <c r="CC87" i="2"/>
  <c r="BE87" i="2"/>
  <c r="CA45" i="2" l="1"/>
  <c r="CA70" i="2"/>
  <c r="O108" i="2"/>
  <c r="CD108" i="2" s="1"/>
  <c r="CE108" i="2" s="1"/>
  <c r="BR108" i="2"/>
  <c r="O96" i="2"/>
  <c r="O95" i="2"/>
  <c r="CD95" i="2" s="1"/>
  <c r="CC95" i="2" s="1"/>
  <c r="CE70" i="2"/>
  <c r="CC70" i="2"/>
  <c r="CA95" i="2"/>
  <c r="CA86" i="2"/>
  <c r="O86" i="2"/>
  <c r="CD86" i="2" s="1"/>
  <c r="CA84" i="2"/>
  <c r="CA92" i="2"/>
  <c r="CA85" i="2"/>
  <c r="CA50" i="2"/>
  <c r="O50" i="2"/>
  <c r="CD50" i="2" s="1"/>
  <c r="CE84" i="2"/>
  <c r="O85" i="2"/>
  <c r="CD85" i="2" s="1"/>
  <c r="M80" i="2"/>
  <c r="O80" i="2" s="1"/>
  <c r="CD80" i="2" s="1"/>
  <c r="BR80" i="2"/>
  <c r="M76" i="2"/>
  <c r="O76" i="2" s="1"/>
  <c r="CD76" i="2" s="1"/>
  <c r="BR76" i="2"/>
  <c r="M81" i="2"/>
  <c r="O81" i="2" s="1"/>
  <c r="CD81" i="2" s="1"/>
  <c r="BR81" i="2"/>
  <c r="CC92" i="2"/>
  <c r="M82" i="2"/>
  <c r="O82" i="2" s="1"/>
  <c r="CD82" i="2" s="1"/>
  <c r="BR82" i="2"/>
  <c r="M77" i="2"/>
  <c r="O77" i="2" s="1"/>
  <c r="CD77" i="2" s="1"/>
  <c r="BR77" i="2"/>
  <c r="M78" i="2"/>
  <c r="O78" i="2" s="1"/>
  <c r="CD78" i="2" s="1"/>
  <c r="BR78" i="2"/>
  <c r="BR83" i="2"/>
  <c r="M83" i="2"/>
  <c r="O83" i="2" s="1"/>
  <c r="CD83" i="2" s="1"/>
  <c r="M79" i="2"/>
  <c r="O79" i="2" s="1"/>
  <c r="CD79" i="2" s="1"/>
  <c r="BR79" i="2"/>
  <c r="CA91" i="2"/>
  <c r="O91" i="2"/>
  <c r="CD91" i="2" s="1"/>
  <c r="CA90" i="2"/>
  <c r="O90" i="2"/>
  <c r="CD90" i="2" s="1"/>
  <c r="CA98" i="2"/>
  <c r="O98" i="2"/>
  <c r="CD98" i="2" s="1"/>
  <c r="CA97" i="2"/>
  <c r="O97" i="2"/>
  <c r="CD97" i="2" s="1"/>
  <c r="CA89" i="2"/>
  <c r="O89" i="2"/>
  <c r="CD89" i="2" s="1"/>
  <c r="CA103" i="2"/>
  <c r="O103" i="2"/>
  <c r="CD103" i="2" s="1"/>
  <c r="CA99" i="2"/>
  <c r="O99" i="2"/>
  <c r="CD99" i="2" s="1"/>
  <c r="CA93" i="2"/>
  <c r="O93" i="2"/>
  <c r="CD93" i="2" s="1"/>
  <c r="CA74" i="2"/>
  <c r="O74" i="2"/>
  <c r="CD74" i="2" s="1"/>
  <c r="CA49" i="2"/>
  <c r="O49" i="2"/>
  <c r="CD49" i="2" s="1"/>
  <c r="CA54" i="2"/>
  <c r="CA55" i="2"/>
  <c r="CA69" i="2"/>
  <c r="CA66" i="2"/>
  <c r="CE66" i="2"/>
  <c r="CC66" i="2"/>
  <c r="O64" i="2"/>
  <c r="CD64" i="2" s="1"/>
  <c r="CE64" i="2" s="1"/>
  <c r="CA65" i="2"/>
  <c r="O65" i="2"/>
  <c r="CD65" i="2" s="1"/>
  <c r="CA64" i="2"/>
  <c r="O71" i="2"/>
  <c r="CD71" i="2" s="1"/>
  <c r="CE71" i="2" s="1"/>
  <c r="CA71" i="2"/>
  <c r="CE69" i="2"/>
  <c r="CC69" i="2"/>
  <c r="O68" i="2"/>
  <c r="CD68" i="2" s="1"/>
  <c r="CE68" i="2" s="1"/>
  <c r="CA73" i="2"/>
  <c r="O73" i="2"/>
  <c r="CD73" i="2" s="1"/>
  <c r="O62" i="2"/>
  <c r="CD62" i="2" s="1"/>
  <c r="CA68" i="2"/>
  <c r="CA62" i="2"/>
  <c r="CA63" i="2"/>
  <c r="O57" i="2"/>
  <c r="CD57" i="2" s="1"/>
  <c r="CE57" i="2" s="1"/>
  <c r="CE63" i="2"/>
  <c r="CC63" i="2"/>
  <c r="CA59" i="2"/>
  <c r="O59" i="2"/>
  <c r="CD59" i="2" s="1"/>
  <c r="CA57" i="2"/>
  <c r="CC54" i="2"/>
  <c r="O53" i="2"/>
  <c r="CD53" i="2" s="1"/>
  <c r="CE53" i="2" s="1"/>
  <c r="CE55" i="2"/>
  <c r="CC55" i="2"/>
  <c r="CA53" i="2"/>
  <c r="CA51" i="2"/>
  <c r="O51" i="2"/>
  <c r="CD51" i="2" s="1"/>
  <c r="CA96" i="2"/>
  <c r="CD96" i="2"/>
  <c r="O88" i="2"/>
  <c r="CD88" i="2" s="1"/>
  <c r="CE88" i="2" s="1"/>
  <c r="CA88" i="2"/>
  <c r="M106" i="2"/>
  <c r="O106" i="2" s="1"/>
  <c r="CD106" i="2" s="1"/>
  <c r="BR106" i="2"/>
  <c r="CA100" i="2"/>
  <c r="O100" i="2"/>
  <c r="CD100" i="2" s="1"/>
  <c r="CA72" i="2"/>
  <c r="O72" i="2"/>
  <c r="CD72" i="2" s="1"/>
  <c r="CA60" i="2"/>
  <c r="O60" i="2"/>
  <c r="CD60" i="2" s="1"/>
  <c r="CE60" i="2" s="1"/>
  <c r="CA48" i="2"/>
  <c r="O48" i="2"/>
  <c r="CD48" i="2" s="1"/>
  <c r="CD47" i="2"/>
  <c r="BR47" i="2"/>
  <c r="BD101" i="2"/>
  <c r="O101" i="2"/>
  <c r="CD101" i="2" s="1"/>
  <c r="CE101" i="2" s="1"/>
  <c r="BB101" i="2"/>
  <c r="BT105" i="2"/>
  <c r="BW94" i="2"/>
  <c r="BV94" i="2"/>
  <c r="BU94" i="2"/>
  <c r="BL94" i="2"/>
  <c r="BT94" i="2"/>
  <c r="BC94" i="2"/>
  <c r="BB94" i="2" s="1"/>
  <c r="BZ94" i="2"/>
  <c r="BQ94" i="2"/>
  <c r="BY94" i="2"/>
  <c r="BW105" i="2"/>
  <c r="BW102" i="2"/>
  <c r="BV102" i="2"/>
  <c r="BU102" i="2"/>
  <c r="BL102" i="2"/>
  <c r="M102" i="2" s="1"/>
  <c r="BT102" i="2"/>
  <c r="BC102" i="2"/>
  <c r="BB102" i="2" s="1"/>
  <c r="BZ102" i="2"/>
  <c r="BQ102" i="2"/>
  <c r="N102" i="2" s="1"/>
  <c r="BY102" i="2"/>
  <c r="BZ105" i="2"/>
  <c r="BV105" i="2"/>
  <c r="BU105" i="2"/>
  <c r="BY105" i="2"/>
  <c r="BQ105" i="2"/>
  <c r="N105" i="2" s="1"/>
  <c r="BD105" i="2"/>
  <c r="BL105" i="2"/>
  <c r="M105" i="2" s="1"/>
  <c r="BC105" i="2"/>
  <c r="BW104" i="2"/>
  <c r="BV104" i="2"/>
  <c r="BU104" i="2"/>
  <c r="BL104" i="2"/>
  <c r="BT104" i="2"/>
  <c r="BC104" i="2"/>
  <c r="BB104" i="2" s="1"/>
  <c r="BZ104" i="2"/>
  <c r="BQ104" i="2"/>
  <c r="BY104" i="2"/>
  <c r="BW43" i="2"/>
  <c r="BV43" i="2"/>
  <c r="BU43" i="2"/>
  <c r="BL43" i="2"/>
  <c r="BQ43" i="2"/>
  <c r="BT43" i="2"/>
  <c r="BC43" i="2"/>
  <c r="BZ43" i="2"/>
  <c r="BY43" i="2"/>
  <c r="BB87" i="2"/>
  <c r="CA87" i="2" s="1"/>
  <c r="CC108" i="2" l="1"/>
  <c r="CE95" i="2"/>
  <c r="CE86" i="2"/>
  <c r="CC86" i="2"/>
  <c r="CE50" i="2"/>
  <c r="CC50" i="2"/>
  <c r="CE85" i="2"/>
  <c r="CC85" i="2"/>
  <c r="CE83" i="2"/>
  <c r="CC83" i="2"/>
  <c r="CE77" i="2"/>
  <c r="CC77" i="2"/>
  <c r="CE82" i="2"/>
  <c r="CC82" i="2"/>
  <c r="CE76" i="2"/>
  <c r="CC76" i="2"/>
  <c r="CE78" i="2"/>
  <c r="CC78" i="2"/>
  <c r="CE80" i="2"/>
  <c r="CC80" i="2"/>
  <c r="CE79" i="2"/>
  <c r="CC79" i="2"/>
  <c r="CE81" i="2"/>
  <c r="CC81" i="2"/>
  <c r="CE91" i="2"/>
  <c r="CC91" i="2"/>
  <c r="CE90" i="2"/>
  <c r="CC90" i="2"/>
  <c r="CE98" i="2"/>
  <c r="CC98" i="2"/>
  <c r="CE97" i="2"/>
  <c r="CC97" i="2"/>
  <c r="CE89" i="2"/>
  <c r="CC89" i="2"/>
  <c r="CE103" i="2"/>
  <c r="CC103" i="2"/>
  <c r="CE99" i="2"/>
  <c r="CC99" i="2"/>
  <c r="CE93" i="2"/>
  <c r="CC93" i="2"/>
  <c r="CE74" i="2"/>
  <c r="CC74" i="2"/>
  <c r="CE49" i="2"/>
  <c r="CC49" i="2"/>
  <c r="CC64" i="2"/>
  <c r="CE65" i="2"/>
  <c r="CC65" i="2"/>
  <c r="CC71" i="2"/>
  <c r="CC68" i="2"/>
  <c r="CE73" i="2"/>
  <c r="CC73" i="2"/>
  <c r="CE62" i="2"/>
  <c r="CC62" i="2"/>
  <c r="CC57" i="2"/>
  <c r="CE59" i="2"/>
  <c r="CC59" i="2"/>
  <c r="CC53" i="2"/>
  <c r="CE51" i="2"/>
  <c r="CC51" i="2"/>
  <c r="CE96" i="2"/>
  <c r="CC96" i="2"/>
  <c r="CC88" i="2"/>
  <c r="CE106" i="2"/>
  <c r="CC106" i="2"/>
  <c r="CE100" i="2"/>
  <c r="CC100" i="2"/>
  <c r="CC60" i="2"/>
  <c r="CE72" i="2"/>
  <c r="CC72" i="2"/>
  <c r="CE48" i="2"/>
  <c r="CC48" i="2"/>
  <c r="CE47" i="2"/>
  <c r="CC47" i="2"/>
  <c r="CA101" i="2"/>
  <c r="CC101" i="2"/>
  <c r="CA94" i="2"/>
  <c r="CD94" i="2"/>
  <c r="CA102" i="2"/>
  <c r="O102" i="2"/>
  <c r="CD102" i="2" s="1"/>
  <c r="O105" i="2"/>
  <c r="CD105" i="2" s="1"/>
  <c r="CE105" i="2" s="1"/>
  <c r="BR105" i="2"/>
  <c r="BB43" i="2"/>
  <c r="CA43" i="2" s="1"/>
  <c r="CA104" i="2"/>
  <c r="CD43" i="2"/>
  <c r="CC43" i="2" s="1"/>
  <c r="CE94" i="2" l="1"/>
  <c r="CC94" i="2"/>
  <c r="CC105" i="2"/>
  <c r="CE102" i="2"/>
  <c r="CC102" i="2"/>
  <c r="CE43" i="2"/>
  <c r="CI46" i="2" l="1"/>
  <c r="BX46" i="2"/>
  <c r="BS46" i="2"/>
  <c r="BP46" i="2"/>
  <c r="BO46" i="2"/>
  <c r="BN46" i="2"/>
  <c r="BM46" i="2"/>
  <c r="BK46" i="2"/>
  <c r="BA46" i="2"/>
  <c r="AZ46" i="2"/>
  <c r="AY46" i="2"/>
  <c r="AX46" i="2"/>
  <c r="AT46" i="2"/>
  <c r="AH46" i="2"/>
  <c r="AS46" i="2" s="1"/>
  <c r="AG46" i="2"/>
  <c r="AR46" i="2" s="1"/>
  <c r="AF46" i="2"/>
  <c r="AQ46" i="2" s="1"/>
  <c r="AE46" i="2"/>
  <c r="AP46" i="2" s="1"/>
  <c r="AB46" i="2"/>
  <c r="AL46" i="2" s="1"/>
  <c r="J46" i="2"/>
  <c r="AJ46" i="2"/>
  <c r="AV46" i="2" s="1"/>
  <c r="AI46" i="2"/>
  <c r="AU46" i="2" s="1"/>
  <c r="AC46" i="2"/>
  <c r="AN46" i="2" s="1"/>
  <c r="AM46" i="2" l="1"/>
  <c r="K46" i="2"/>
  <c r="Y46" i="2" s="1"/>
  <c r="Z46" i="2" s="1"/>
  <c r="AD46" i="2"/>
  <c r="AO46" i="2" s="1"/>
  <c r="BF46" i="2"/>
  <c r="BW46" i="2"/>
  <c r="BV46" i="2"/>
  <c r="BU46" i="2"/>
  <c r="BL46" i="2"/>
  <c r="M46" i="2" s="1"/>
  <c r="BT46" i="2"/>
  <c r="BC46" i="2"/>
  <c r="BZ46" i="2"/>
  <c r="BQ46" i="2"/>
  <c r="N46" i="2" s="1"/>
  <c r="BY46" i="2"/>
  <c r="BJ46" i="2"/>
  <c r="BI46" i="2"/>
  <c r="BH46" i="2"/>
  <c r="BG46" i="2"/>
  <c r="BE46" i="2"/>
  <c r="BD46" i="2" l="1"/>
  <c r="BB46" i="2"/>
  <c r="O46" i="2"/>
  <c r="CD46" i="2" s="1"/>
  <c r="CA46" i="2" l="1"/>
  <c r="CE46" i="2"/>
  <c r="CC46" i="2"/>
  <c r="J32" i="3" l="1"/>
  <c r="J28" i="3"/>
  <c r="O38" i="2"/>
  <c r="O109" i="19" l="1"/>
  <c r="I106" i="19"/>
  <c r="F106" i="19"/>
  <c r="O135" i="2" l="1"/>
  <c r="P27" i="20"/>
  <c r="O27" i="20"/>
  <c r="O26" i="20"/>
  <c r="N22" i="20"/>
  <c r="M22" i="20"/>
  <c r="R20" i="20"/>
  <c r="P20" i="20"/>
  <c r="R19" i="20"/>
  <c r="P19" i="20"/>
  <c r="R18" i="20"/>
  <c r="P18" i="20"/>
  <c r="R17" i="20"/>
  <c r="P17" i="20"/>
  <c r="R16" i="20"/>
  <c r="P16" i="20"/>
  <c r="R15" i="20"/>
  <c r="P15" i="20"/>
  <c r="L15" i="20"/>
  <c r="K15" i="20" s="1"/>
  <c r="AD14" i="20"/>
  <c r="R14" i="20"/>
  <c r="P14" i="20"/>
  <c r="W5" i="20"/>
  <c r="W3" i="20"/>
  <c r="N113" i="18"/>
  <c r="N111" i="16"/>
  <c r="N110" i="16"/>
  <c r="N109" i="16"/>
  <c r="N111" i="18"/>
  <c r="N110" i="18"/>
  <c r="N109" i="18"/>
  <c r="R22" i="19"/>
  <c r="R23" i="19"/>
  <c r="S23" i="19" s="1"/>
  <c r="R24" i="19"/>
  <c r="R21" i="19"/>
  <c r="S21" i="19" s="1"/>
  <c r="R19" i="19"/>
  <c r="S19" i="19" s="1"/>
  <c r="R20" i="19"/>
  <c r="H109" i="19"/>
  <c r="J89" i="19"/>
  <c r="K89" i="19" s="1"/>
  <c r="K88" i="19"/>
  <c r="K106" i="19" s="1"/>
  <c r="J87" i="19"/>
  <c r="K87" i="19" s="1"/>
  <c r="J86" i="19"/>
  <c r="K86" i="19" s="1"/>
  <c r="J85" i="19"/>
  <c r="K85" i="19" s="1"/>
  <c r="J84" i="19"/>
  <c r="K84" i="19" s="1"/>
  <c r="J74" i="19"/>
  <c r="K74" i="19" s="1"/>
  <c r="J107" i="19" s="1"/>
  <c r="K73" i="19"/>
  <c r="J72" i="19"/>
  <c r="K72" i="19" s="1"/>
  <c r="J71" i="19"/>
  <c r="K71" i="19" s="1"/>
  <c r="J70" i="19"/>
  <c r="K70" i="19" s="1"/>
  <c r="J69" i="19"/>
  <c r="K69" i="19" s="1"/>
  <c r="J58" i="19"/>
  <c r="K58" i="19" s="1"/>
  <c r="G107" i="19" s="1"/>
  <c r="K57" i="19"/>
  <c r="G106" i="19" s="1"/>
  <c r="J56" i="19"/>
  <c r="K56" i="19" s="1"/>
  <c r="G105" i="19" s="1"/>
  <c r="J55" i="19"/>
  <c r="K55" i="19" s="1"/>
  <c r="J54" i="19"/>
  <c r="K54" i="19" s="1"/>
  <c r="J53" i="19"/>
  <c r="K53" i="19" s="1"/>
  <c r="J41" i="19"/>
  <c r="K41" i="19" s="1"/>
  <c r="K40" i="19"/>
  <c r="J39" i="19"/>
  <c r="K39" i="19" s="1"/>
  <c r="J38" i="19"/>
  <c r="K38" i="19" s="1"/>
  <c r="J37" i="19"/>
  <c r="J36" i="19"/>
  <c r="K36" i="19" s="1"/>
  <c r="S24" i="19"/>
  <c r="J24" i="19"/>
  <c r="S22" i="19"/>
  <c r="J22" i="19"/>
  <c r="J21" i="19"/>
  <c r="S20" i="19"/>
  <c r="J20" i="19"/>
  <c r="J19" i="19"/>
  <c r="K5" i="19"/>
  <c r="K4" i="19"/>
  <c r="K3" i="19"/>
  <c r="R19" i="18"/>
  <c r="S19" i="18" s="1"/>
  <c r="R23" i="18"/>
  <c r="S23" i="18" s="1"/>
  <c r="R24" i="18"/>
  <c r="S24" i="18" s="1"/>
  <c r="R22" i="18"/>
  <c r="S22" i="18" s="1"/>
  <c r="R21" i="18"/>
  <c r="S21" i="18" s="1"/>
  <c r="H109" i="18"/>
  <c r="F106" i="18"/>
  <c r="J88" i="18"/>
  <c r="K88" i="18" s="1"/>
  <c r="K87" i="18"/>
  <c r="K106" i="18" s="1"/>
  <c r="J86" i="18"/>
  <c r="K86" i="18" s="1"/>
  <c r="J85" i="18"/>
  <c r="K85" i="18" s="1"/>
  <c r="J84" i="18"/>
  <c r="K84" i="18" s="1"/>
  <c r="K103" i="18" s="1"/>
  <c r="J83" i="18"/>
  <c r="K83" i="18" s="1"/>
  <c r="J73" i="18"/>
  <c r="K73" i="18" s="1"/>
  <c r="K72" i="18"/>
  <c r="J106" i="18" s="1"/>
  <c r="J71" i="18"/>
  <c r="K71" i="18" s="1"/>
  <c r="J70" i="18"/>
  <c r="K70" i="18" s="1"/>
  <c r="J104" i="18" s="1"/>
  <c r="J69" i="18"/>
  <c r="K69" i="18" s="1"/>
  <c r="J68" i="18"/>
  <c r="K68" i="18" s="1"/>
  <c r="J57" i="18"/>
  <c r="K57" i="18" s="1"/>
  <c r="G107" i="18" s="1"/>
  <c r="K56" i="18"/>
  <c r="G106" i="18" s="1"/>
  <c r="J55" i="18"/>
  <c r="K55" i="18" s="1"/>
  <c r="G105" i="18" s="1"/>
  <c r="J54" i="18"/>
  <c r="K54" i="18" s="1"/>
  <c r="G104" i="18" s="1"/>
  <c r="J53" i="18"/>
  <c r="K53" i="18" s="1"/>
  <c r="G103" i="18" s="1"/>
  <c r="J52" i="18"/>
  <c r="K52" i="18" s="1"/>
  <c r="J40" i="18"/>
  <c r="K40" i="18" s="1"/>
  <c r="K39" i="18"/>
  <c r="E106" i="18" s="1"/>
  <c r="J38" i="18"/>
  <c r="K38" i="18" s="1"/>
  <c r="J37" i="18"/>
  <c r="K37" i="18" s="1"/>
  <c r="F104" i="18" s="1"/>
  <c r="J36" i="18"/>
  <c r="K36" i="18" s="1"/>
  <c r="J35" i="18"/>
  <c r="K35" i="18" s="1"/>
  <c r="E102" i="18" s="1"/>
  <c r="J24" i="18"/>
  <c r="K24" i="18" s="1"/>
  <c r="J23" i="18"/>
  <c r="K23" i="18" s="1"/>
  <c r="J22" i="18"/>
  <c r="K22" i="18" s="1"/>
  <c r="J21" i="18"/>
  <c r="K21" i="18" s="1"/>
  <c r="R20" i="18"/>
  <c r="S20" i="18" s="1"/>
  <c r="J20" i="18"/>
  <c r="K20" i="18" s="1"/>
  <c r="J19" i="18"/>
  <c r="K19" i="18" s="1"/>
  <c r="K5" i="18"/>
  <c r="K4" i="18"/>
  <c r="K3" i="18"/>
  <c r="S20" i="16"/>
  <c r="R20" i="16"/>
  <c r="S19" i="16"/>
  <c r="R19" i="16"/>
  <c r="E105" i="16"/>
  <c r="F105" i="16"/>
  <c r="H109" i="16"/>
  <c r="H110" i="16" s="1"/>
  <c r="H111" i="16" s="1"/>
  <c r="J85" i="16"/>
  <c r="K85" i="16" s="1"/>
  <c r="J70" i="16"/>
  <c r="K70" i="16" s="1"/>
  <c r="J104" i="16" s="1"/>
  <c r="J54" i="16"/>
  <c r="K54" i="16" s="1"/>
  <c r="G104" i="16" s="1"/>
  <c r="J37" i="16"/>
  <c r="K37" i="16" s="1"/>
  <c r="E104" i="16" s="1"/>
  <c r="J21" i="16"/>
  <c r="K21" i="16" s="1"/>
  <c r="J88" i="16"/>
  <c r="K88" i="16" s="1"/>
  <c r="K87" i="16"/>
  <c r="J86" i="16"/>
  <c r="K86" i="16" s="1"/>
  <c r="J84" i="16"/>
  <c r="K84" i="16" s="1"/>
  <c r="K103" i="16" s="1"/>
  <c r="J83" i="16"/>
  <c r="K83" i="16" s="1"/>
  <c r="K102" i="16" s="1"/>
  <c r="J73" i="16"/>
  <c r="K73" i="16" s="1"/>
  <c r="J107" i="16" s="1"/>
  <c r="K72" i="16"/>
  <c r="J106" i="16" s="1"/>
  <c r="J71" i="16"/>
  <c r="K71" i="16" s="1"/>
  <c r="I105" i="16" s="1"/>
  <c r="J69" i="16"/>
  <c r="K69" i="16" s="1"/>
  <c r="I103" i="16" s="1"/>
  <c r="J68" i="16"/>
  <c r="K68" i="16" s="1"/>
  <c r="I102" i="16" s="1"/>
  <c r="J57" i="16"/>
  <c r="K57" i="16" s="1"/>
  <c r="G107" i="16" s="1"/>
  <c r="K56" i="16"/>
  <c r="G106" i="16" s="1"/>
  <c r="J55" i="16"/>
  <c r="K55" i="16" s="1"/>
  <c r="G105" i="16" s="1"/>
  <c r="J53" i="16"/>
  <c r="K53" i="16" s="1"/>
  <c r="G103" i="16" s="1"/>
  <c r="J52" i="16"/>
  <c r="K52" i="16" s="1"/>
  <c r="G102" i="16" s="1"/>
  <c r="J40" i="16"/>
  <c r="K40" i="16" s="1"/>
  <c r="E107" i="16" s="1"/>
  <c r="K39" i="16"/>
  <c r="E106" i="16" s="1"/>
  <c r="J38" i="16"/>
  <c r="K38" i="16" s="1"/>
  <c r="J36" i="16"/>
  <c r="K36" i="16" s="1"/>
  <c r="F103" i="16" s="1"/>
  <c r="J35" i="16"/>
  <c r="K35" i="16" s="1"/>
  <c r="E102" i="16" s="1"/>
  <c r="J22" i="16"/>
  <c r="K22" i="16" s="1"/>
  <c r="K105" i="19" l="1"/>
  <c r="F105" i="19"/>
  <c r="F102" i="19"/>
  <c r="K102" i="19"/>
  <c r="E102" i="19"/>
  <c r="K107" i="19"/>
  <c r="F107" i="19"/>
  <c r="F103" i="19"/>
  <c r="E103" i="19"/>
  <c r="E104" i="19"/>
  <c r="F104" i="19"/>
  <c r="L16" i="20"/>
  <c r="K16" i="20" s="1"/>
  <c r="R22" i="20"/>
  <c r="E106" i="19"/>
  <c r="K62" i="19"/>
  <c r="G102" i="19"/>
  <c r="G109" i="19" s="1"/>
  <c r="J105" i="19"/>
  <c r="I105" i="19"/>
  <c r="K78" i="19"/>
  <c r="J102" i="19"/>
  <c r="I102" i="19"/>
  <c r="K93" i="19"/>
  <c r="H110" i="19"/>
  <c r="H111" i="19" s="1"/>
  <c r="I107" i="19"/>
  <c r="L106" i="18"/>
  <c r="I106" i="18"/>
  <c r="K77" i="18"/>
  <c r="K78" i="18" s="1"/>
  <c r="K79" i="18" s="1"/>
  <c r="K104" i="18"/>
  <c r="L104" i="18" s="1"/>
  <c r="I105" i="18"/>
  <c r="J105" i="18"/>
  <c r="J103" i="18"/>
  <c r="I103" i="18"/>
  <c r="F107" i="18"/>
  <c r="E107" i="18"/>
  <c r="J107" i="18"/>
  <c r="I107" i="18"/>
  <c r="K107" i="18"/>
  <c r="L107" i="18" s="1"/>
  <c r="F103" i="18"/>
  <c r="E103" i="18"/>
  <c r="K28" i="18"/>
  <c r="G102" i="18"/>
  <c r="G109" i="18" s="1"/>
  <c r="K61" i="18"/>
  <c r="L102" i="18"/>
  <c r="K92" i="18"/>
  <c r="K102" i="18"/>
  <c r="L103" i="18"/>
  <c r="H110" i="18"/>
  <c r="H111" i="18" s="1"/>
  <c r="F102" i="18"/>
  <c r="I104" i="18"/>
  <c r="K105" i="18"/>
  <c r="L105" i="18" s="1"/>
  <c r="K44" i="18"/>
  <c r="I102" i="18"/>
  <c r="J102" i="18"/>
  <c r="E104" i="18"/>
  <c r="F105" i="18"/>
  <c r="E105" i="18" s="1"/>
  <c r="E109" i="18" s="1"/>
  <c r="F102" i="16"/>
  <c r="F107" i="16"/>
  <c r="K107" i="16"/>
  <c r="L107" i="16" s="1"/>
  <c r="F104" i="16"/>
  <c r="F106" i="16"/>
  <c r="K106" i="16"/>
  <c r="L106" i="16" s="1"/>
  <c r="J103" i="16"/>
  <c r="L102" i="16"/>
  <c r="L103" i="16"/>
  <c r="I107" i="16"/>
  <c r="I106" i="16"/>
  <c r="I104" i="16"/>
  <c r="K105" i="16"/>
  <c r="K104" i="16"/>
  <c r="L104" i="16" s="1"/>
  <c r="E103" i="16"/>
  <c r="J102" i="16"/>
  <c r="J105" i="16"/>
  <c r="K92" i="16"/>
  <c r="K93" i="16" s="1"/>
  <c r="K94" i="16" s="1"/>
  <c r="K77" i="16"/>
  <c r="K61" i="16"/>
  <c r="K62" i="16" s="1"/>
  <c r="K63" i="16" s="1"/>
  <c r="K44" i="16"/>
  <c r="H41" i="17"/>
  <c r="H40" i="17"/>
  <c r="H42" i="17" s="1"/>
  <c r="G38" i="17"/>
  <c r="F38" i="17"/>
  <c r="J22" i="17"/>
  <c r="K22" i="17" s="1"/>
  <c r="J21" i="17"/>
  <c r="K21" i="17" s="1"/>
  <c r="J20" i="17"/>
  <c r="E36" i="17" s="1"/>
  <c r="K19" i="17"/>
  <c r="J19" i="17"/>
  <c r="G35" i="17" s="1"/>
  <c r="K5" i="17"/>
  <c r="K4" i="17"/>
  <c r="K3" i="17"/>
  <c r="CI107" i="2"/>
  <c r="BX107" i="2"/>
  <c r="BS107" i="2"/>
  <c r="BP107" i="2"/>
  <c r="BO107" i="2"/>
  <c r="BN107" i="2"/>
  <c r="BM107" i="2"/>
  <c r="BK107" i="2"/>
  <c r="BA107" i="2"/>
  <c r="AZ107" i="2"/>
  <c r="AY107" i="2"/>
  <c r="AT107" i="2"/>
  <c r="AH107" i="2"/>
  <c r="AS107" i="2" s="1"/>
  <c r="AG107" i="2"/>
  <c r="AR107" i="2" s="1"/>
  <c r="AF107" i="2"/>
  <c r="AQ107" i="2" s="1"/>
  <c r="AE107" i="2"/>
  <c r="AP107" i="2" s="1"/>
  <c r="AB107" i="2"/>
  <c r="AM107" i="2" s="1"/>
  <c r="J107" i="2"/>
  <c r="I107" i="2"/>
  <c r="AJ107" i="2" s="1"/>
  <c r="AV107" i="2" s="1"/>
  <c r="H107" i="2"/>
  <c r="AI107" i="2" s="1"/>
  <c r="AU107" i="2" s="1"/>
  <c r="E107" i="2"/>
  <c r="M17" i="2" l="1"/>
  <c r="BK109" i="2"/>
  <c r="BM109" i="2"/>
  <c r="BO109" i="2"/>
  <c r="BP109" i="2"/>
  <c r="BN109" i="2"/>
  <c r="AY109" i="2"/>
  <c r="AZ109" i="2"/>
  <c r="BX109" i="2"/>
  <c r="BS109" i="2"/>
  <c r="BA109" i="2"/>
  <c r="F109" i="19"/>
  <c r="F110" i="19" s="1"/>
  <c r="F111" i="19" s="1"/>
  <c r="L17" i="20"/>
  <c r="I109" i="19"/>
  <c r="I110" i="19" s="1"/>
  <c r="E109" i="19"/>
  <c r="J109" i="19"/>
  <c r="K94" i="19"/>
  <c r="K95" i="19" s="1"/>
  <c r="K79" i="19"/>
  <c r="K80" i="19" s="1"/>
  <c r="K109" i="19"/>
  <c r="L109" i="19"/>
  <c r="G110" i="19"/>
  <c r="G111" i="19" s="1"/>
  <c r="K63" i="19"/>
  <c r="K64" i="19" s="1"/>
  <c r="E110" i="18"/>
  <c r="E111" i="18" s="1"/>
  <c r="F109" i="18"/>
  <c r="K29" i="18"/>
  <c r="K30" i="18" s="1"/>
  <c r="G110" i="18"/>
  <c r="G111" i="18" s="1"/>
  <c r="J109" i="18"/>
  <c r="K109" i="18"/>
  <c r="I109" i="18"/>
  <c r="K93" i="18"/>
  <c r="K94" i="18" s="1"/>
  <c r="K45" i="18"/>
  <c r="K46" i="18" s="1"/>
  <c r="L109" i="18"/>
  <c r="K62" i="18"/>
  <c r="K63" i="18" s="1"/>
  <c r="K109" i="16"/>
  <c r="L105" i="16"/>
  <c r="L109" i="16" s="1"/>
  <c r="I109" i="16"/>
  <c r="K110" i="16"/>
  <c r="K111" i="16" s="1"/>
  <c r="I110" i="16"/>
  <c r="I111" i="16" s="1"/>
  <c r="J109" i="16"/>
  <c r="J110" i="16" s="1"/>
  <c r="J111" i="16" s="1"/>
  <c r="K78" i="16"/>
  <c r="K79" i="16" s="1"/>
  <c r="K45" i="16"/>
  <c r="K46" i="16" s="1"/>
  <c r="F37" i="17"/>
  <c r="G37" i="17"/>
  <c r="G40" i="17" s="1"/>
  <c r="K20" i="17"/>
  <c r="K26" i="17" s="1"/>
  <c r="E35" i="17"/>
  <c r="E40" i="17" s="1"/>
  <c r="F35" i="17"/>
  <c r="BG107" i="2"/>
  <c r="BF107" i="2"/>
  <c r="BE107" i="2"/>
  <c r="BE109" i="2" s="1"/>
  <c r="AD107" i="2"/>
  <c r="AO107" i="2" s="1"/>
  <c r="AC107" i="2"/>
  <c r="AN107" i="2" s="1"/>
  <c r="BJ107" i="2"/>
  <c r="BI107" i="2"/>
  <c r="BH107" i="2"/>
  <c r="AL107" i="2"/>
  <c r="K107" i="2"/>
  <c r="Y107" i="2" s="1"/>
  <c r="Z107" i="2" s="1"/>
  <c r="N32" i="2" l="1"/>
  <c r="M30" i="2"/>
  <c r="N30" i="2"/>
  <c r="BJ109" i="2"/>
  <c r="BI109" i="2"/>
  <c r="BF109" i="2"/>
  <c r="BG109" i="2"/>
  <c r="M32" i="2" s="1"/>
  <c r="BH109" i="2"/>
  <c r="K17" i="20"/>
  <c r="L18" i="20"/>
  <c r="N109" i="19"/>
  <c r="I111" i="19"/>
  <c r="L110" i="19"/>
  <c r="L111" i="19" s="1"/>
  <c r="K110" i="19"/>
  <c r="K111" i="19" s="1"/>
  <c r="J110" i="19"/>
  <c r="J111" i="19" s="1"/>
  <c r="E110" i="19"/>
  <c r="E111" i="19" s="1"/>
  <c r="L110" i="18"/>
  <c r="L111" i="18" s="1"/>
  <c r="J110" i="18"/>
  <c r="J111" i="18" s="1"/>
  <c r="F110" i="18"/>
  <c r="F111" i="18" s="1"/>
  <c r="I110" i="18"/>
  <c r="I111" i="18"/>
  <c r="K110" i="18"/>
  <c r="K111" i="18" s="1"/>
  <c r="L110" i="16"/>
  <c r="L111" i="16"/>
  <c r="K27" i="17"/>
  <c r="K28" i="17"/>
  <c r="G41" i="17"/>
  <c r="G42" i="17" s="1"/>
  <c r="E41" i="17"/>
  <c r="E42" i="17" s="1"/>
  <c r="F40" i="17"/>
  <c r="BD107" i="2"/>
  <c r="BD109" i="2" s="1"/>
  <c r="BW107" i="2"/>
  <c r="BV107" i="2"/>
  <c r="BU107" i="2"/>
  <c r="BT107" i="2"/>
  <c r="BL107" i="2"/>
  <c r="BC107" i="2"/>
  <c r="BZ107" i="2"/>
  <c r="BY107" i="2"/>
  <c r="BQ107" i="2"/>
  <c r="N107" i="2" s="1"/>
  <c r="O32" i="2" l="1"/>
  <c r="O30" i="2"/>
  <c r="M29" i="2"/>
  <c r="M28" i="2"/>
  <c r="N111" i="2"/>
  <c r="O111" i="2" s="1"/>
  <c r="BC109" i="2"/>
  <c r="BL109" i="2"/>
  <c r="BU109" i="2"/>
  <c r="BQ109" i="2"/>
  <c r="BZ109" i="2"/>
  <c r="BT109" i="2"/>
  <c r="BW109" i="2"/>
  <c r="BY109" i="2"/>
  <c r="BV109" i="2"/>
  <c r="L119" i="19"/>
  <c r="L115" i="19"/>
  <c r="S20" i="20" s="1"/>
  <c r="T20" i="20" s="1"/>
  <c r="U20" i="20" s="1"/>
  <c r="E115" i="19"/>
  <c r="K18" i="20"/>
  <c r="L19" i="20"/>
  <c r="K19" i="20" s="1"/>
  <c r="N110" i="19"/>
  <c r="N111" i="19"/>
  <c r="V11" i="20" s="1"/>
  <c r="F42" i="17"/>
  <c r="F41" i="17"/>
  <c r="M107" i="2"/>
  <c r="O107" i="2" s="1"/>
  <c r="CD107" i="2" s="1"/>
  <c r="BR107" i="2"/>
  <c r="BR109" i="2" l="1"/>
  <c r="AE15" i="20"/>
  <c r="AE14" i="20"/>
  <c r="AE20" i="20"/>
  <c r="S14" i="20"/>
  <c r="J121" i="19"/>
  <c r="J122" i="19" s="1"/>
  <c r="J123" i="19" s="1"/>
  <c r="J114" i="19"/>
  <c r="K114" i="19"/>
  <c r="L114" i="19"/>
  <c r="E114" i="19"/>
  <c r="I114" i="19"/>
  <c r="F114" i="19"/>
  <c r="G114" i="19"/>
  <c r="CE107" i="2"/>
  <c r="CC107" i="2"/>
  <c r="K115" i="19" l="1"/>
  <c r="G115" i="19"/>
  <c r="S16" i="20" s="1"/>
  <c r="T16" i="20" s="1"/>
  <c r="U16" i="20" s="1"/>
  <c r="F115" i="19"/>
  <c r="I115" i="19"/>
  <c r="J115" i="19"/>
  <c r="S19" i="20" s="1"/>
  <c r="T19" i="20" s="1"/>
  <c r="U19" i="20" s="1"/>
  <c r="M114" i="19"/>
  <c r="T14" i="20"/>
  <c r="J20" i="16"/>
  <c r="J19" i="16"/>
  <c r="O124" i="2"/>
  <c r="J24" i="16"/>
  <c r="J23" i="16"/>
  <c r="K23" i="16" s="1"/>
  <c r="K5" i="16"/>
  <c r="K4" i="16"/>
  <c r="K3" i="16"/>
  <c r="U14" i="20" l="1"/>
  <c r="S18" i="20"/>
  <c r="T18" i="20" s="1"/>
  <c r="U18" i="20" s="1"/>
  <c r="S17" i="20"/>
  <c r="T17" i="20" s="1"/>
  <c r="U17" i="20" s="1"/>
  <c r="S15" i="20"/>
  <c r="M115" i="19"/>
  <c r="K19" i="16"/>
  <c r="K24" i="16"/>
  <c r="G109" i="16"/>
  <c r="K20" i="16"/>
  <c r="E109" i="16"/>
  <c r="T15" i="20" l="1"/>
  <c r="T22" i="20" s="1"/>
  <c r="S22" i="20"/>
  <c r="V14" i="20"/>
  <c r="K28" i="16"/>
  <c r="K29" i="16" s="1"/>
  <c r="K30" i="16" s="1"/>
  <c r="F109" i="16"/>
  <c r="F110" i="16" s="1"/>
  <c r="F111" i="16" s="1"/>
  <c r="G110" i="16"/>
  <c r="G111" i="16" s="1"/>
  <c r="E110" i="16"/>
  <c r="E111" i="16" s="1"/>
  <c r="U15" i="20" l="1"/>
  <c r="U22" i="20" s="1"/>
  <c r="L20" i="20"/>
  <c r="K20" i="20" s="1"/>
  <c r="V15" i="20" l="1"/>
  <c r="V16" i="20" s="1"/>
  <c r="V17" i="20" s="1"/>
  <c r="V18" i="20" s="1"/>
  <c r="V19" i="20" s="1"/>
  <c r="V20" i="20" s="1"/>
  <c r="O133" i="2" l="1"/>
  <c r="N7" i="4" l="1"/>
  <c r="R15" i="6" l="1"/>
  <c r="CD38" i="2" l="1"/>
  <c r="CE38" i="2" s="1"/>
  <c r="O134" i="2"/>
  <c r="CD134" i="2" s="1"/>
  <c r="CE134" i="2" s="1"/>
  <c r="CD142" i="2"/>
  <c r="CC142" i="2" s="1"/>
  <c r="M198" i="2"/>
  <c r="E19" i="3"/>
  <c r="E22" i="3" s="1"/>
  <c r="J36" i="3"/>
  <c r="R22" i="6"/>
  <c r="S15" i="6"/>
  <c r="T15" i="6" s="1"/>
  <c r="R16" i="6"/>
  <c r="P15" i="6"/>
  <c r="P16" i="6"/>
  <c r="P22" i="6"/>
  <c r="O14" i="2"/>
  <c r="CD14" i="2" s="1"/>
  <c r="O15" i="2"/>
  <c r="CD15" i="2" s="1"/>
  <c r="CC15" i="2" s="1"/>
  <c r="H2" i="8"/>
  <c r="I75" i="8"/>
  <c r="N17" i="2"/>
  <c r="O18" i="2"/>
  <c r="CD18" i="2" s="1"/>
  <c r="CC18" i="2" s="1"/>
  <c r="O19" i="2"/>
  <c r="CD19" i="2" s="1"/>
  <c r="O21" i="2"/>
  <c r="CD21" i="2" s="1"/>
  <c r="N22" i="2"/>
  <c r="O22" i="2" s="1"/>
  <c r="CD22" i="2" s="1"/>
  <c r="CC22" i="2" s="1"/>
  <c r="N23" i="2"/>
  <c r="O23" i="2" s="1"/>
  <c r="CD23" i="2" s="1"/>
  <c r="CC23" i="2" s="1"/>
  <c r="N24" i="2"/>
  <c r="O24" i="2" s="1"/>
  <c r="CD24" i="2" s="1"/>
  <c r="H7" i="8"/>
  <c r="I6" i="8"/>
  <c r="H6" i="8" s="1"/>
  <c r="H8" i="8"/>
  <c r="H10" i="8"/>
  <c r="H9" i="8"/>
  <c r="H11" i="8"/>
  <c r="O27" i="2"/>
  <c r="CD27" i="2" s="1"/>
  <c r="CC27" i="2" s="1"/>
  <c r="O28" i="2"/>
  <c r="CD28" i="2" s="1"/>
  <c r="CE28" i="2" s="1"/>
  <c r="I7" i="8"/>
  <c r="I8" i="8"/>
  <c r="I10" i="8"/>
  <c r="I9" i="8"/>
  <c r="I11" i="8"/>
  <c r="O31" i="2"/>
  <c r="CD31" i="2" s="1"/>
  <c r="N150" i="2"/>
  <c r="M39" i="2" s="1"/>
  <c r="N39" i="2" s="1"/>
  <c r="N151" i="2"/>
  <c r="N152" i="2"/>
  <c r="O35" i="2"/>
  <c r="CD35" i="2" s="1"/>
  <c r="CC35" i="2" s="1"/>
  <c r="N36" i="2"/>
  <c r="O36" i="2" s="1"/>
  <c r="CD36" i="2" s="1"/>
  <c r="H57" i="8"/>
  <c r="O110" i="2"/>
  <c r="CD110" i="2" s="1"/>
  <c r="CE110" i="2" s="1"/>
  <c r="H62" i="8"/>
  <c r="H63" i="8"/>
  <c r="H67" i="8"/>
  <c r="N117" i="2" s="1"/>
  <c r="H68" i="8"/>
  <c r="N118" i="2"/>
  <c r="O122" i="2"/>
  <c r="CD122" i="2" s="1"/>
  <c r="O123" i="2"/>
  <c r="CD123" i="2" s="1"/>
  <c r="CD124" i="2"/>
  <c r="CC124" i="2" s="1"/>
  <c r="CD125" i="2"/>
  <c r="H69" i="8"/>
  <c r="H70" i="8"/>
  <c r="O132" i="2"/>
  <c r="CD133" i="2"/>
  <c r="H71" i="8"/>
  <c r="H72" i="8"/>
  <c r="O141" i="2"/>
  <c r="CD141" i="2" s="1"/>
  <c r="O143" i="2"/>
  <c r="CD143" i="2" s="1"/>
  <c r="CE143" i="2" s="1"/>
  <c r="O144" i="2"/>
  <c r="CD144" i="2" s="1"/>
  <c r="CE144" i="2" s="1"/>
  <c r="O145" i="2"/>
  <c r="CD145" i="2" s="1"/>
  <c r="G82" i="8"/>
  <c r="CG148" i="2"/>
  <c r="Y42" i="2"/>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P2" i="14"/>
  <c r="CI23" i="2"/>
  <c r="CI27" i="2"/>
  <c r="CI117" i="2"/>
  <c r="CI36" i="2"/>
  <c r="CI14" i="2"/>
  <c r="CI18" i="2"/>
  <c r="CI22" i="2"/>
  <c r="CI24" i="2"/>
  <c r="CI118" i="2"/>
  <c r="CI21" i="2"/>
  <c r="CI31" i="2"/>
  <c r="CI110" i="2"/>
  <c r="CI133" i="2"/>
  <c r="CI15" i="2"/>
  <c r="CI121" i="2"/>
  <c r="CI124" i="2"/>
  <c r="CI143" i="2"/>
  <c r="CI19" i="2"/>
  <c r="CI33" i="2"/>
  <c r="CI111" i="2"/>
  <c r="CI120" i="2"/>
  <c r="CI126" i="2"/>
  <c r="CI128" i="2"/>
  <c r="CI135" i="2"/>
  <c r="CI137" i="2"/>
  <c r="CI141" i="2"/>
  <c r="CI146" i="2"/>
  <c r="CI16" i="2"/>
  <c r="CI30" i="2"/>
  <c r="CI39" i="2"/>
  <c r="CI123" i="2"/>
  <c r="CI17" i="2"/>
  <c r="CI26" i="2"/>
  <c r="CI29" i="2"/>
  <c r="CI32" i="2"/>
  <c r="CI35" i="2"/>
  <c r="CI38" i="2"/>
  <c r="CI40" i="2"/>
  <c r="CI109" i="2"/>
  <c r="CI119" i="2"/>
  <c r="CI122" i="2"/>
  <c r="CI125" i="2"/>
  <c r="CI127" i="2"/>
  <c r="CI132" i="2"/>
  <c r="CI134" i="2"/>
  <c r="CI136" i="2"/>
  <c r="CI139" i="2"/>
  <c r="CI142" i="2"/>
  <c r="CI145" i="2"/>
  <c r="CI28" i="2"/>
  <c r="CI37" i="2"/>
  <c r="CI113" i="2"/>
  <c r="CI144" i="2"/>
  <c r="CI112" i="2"/>
  <c r="B11" i="14"/>
  <c r="A11" i="14"/>
  <c r="T113" i="2"/>
  <c r="BP42" i="2"/>
  <c r="BO42" i="2"/>
  <c r="BN42" i="2"/>
  <c r="CD34" i="2"/>
  <c r="CC34" i="2" s="1"/>
  <c r="AM181" i="2"/>
  <c r="AM184" i="2" s="1"/>
  <c r="AG181" i="2"/>
  <c r="AG184" i="2" s="1"/>
  <c r="AS181" i="2"/>
  <c r="AS184" i="2" s="1"/>
  <c r="AP181" i="2"/>
  <c r="AP184" i="2" s="1"/>
  <c r="AD181" i="2"/>
  <c r="AD184" i="2" s="1"/>
  <c r="AJ181" i="2"/>
  <c r="AJ184" i="2" s="1"/>
  <c r="X181" i="2"/>
  <c r="X184" i="2" s="1"/>
  <c r="U181" i="2"/>
  <c r="U184" i="2" s="1"/>
  <c r="AP180" i="2"/>
  <c r="AP183" i="2" s="1"/>
  <c r="X180" i="2"/>
  <c r="X183" i="2" s="1"/>
  <c r="AD180" i="2"/>
  <c r="AD183" i="2" s="1"/>
  <c r="AM180" i="2"/>
  <c r="AM183" i="2" s="1"/>
  <c r="AJ180" i="2"/>
  <c r="AJ183" i="2" s="1"/>
  <c r="AG180" i="2"/>
  <c r="AG183" i="2" s="1"/>
  <c r="AS180" i="2"/>
  <c r="AS183" i="2" s="1"/>
  <c r="U180" i="2"/>
  <c r="U183" i="2" s="1"/>
  <c r="N15" i="2"/>
  <c r="N18" i="2"/>
  <c r="S22" i="6"/>
  <c r="T22" i="6" s="1"/>
  <c r="S16" i="6"/>
  <c r="T16" i="6" s="1"/>
  <c r="N164" i="2"/>
  <c r="N166" i="2"/>
  <c r="N168" i="2"/>
  <c r="N170" i="2"/>
  <c r="I4" i="11"/>
  <c r="H4" i="12"/>
  <c r="H5" i="12"/>
  <c r="H3" i="12"/>
  <c r="G43" i="10"/>
  <c r="I5" i="11"/>
  <c r="I3" i="11"/>
  <c r="H5" i="10"/>
  <c r="H4" i="10"/>
  <c r="H3" i="10"/>
  <c r="I19" i="12"/>
  <c r="I18" i="12"/>
  <c r="I16" i="12"/>
  <c r="I15" i="12"/>
  <c r="I14" i="12"/>
  <c r="I13" i="12"/>
  <c r="J13" i="11"/>
  <c r="I20" i="11"/>
  <c r="I21" i="11" s="1"/>
  <c r="I22" i="11"/>
  <c r="G45" i="10"/>
  <c r="H45" i="10" s="1"/>
  <c r="F45" i="10"/>
  <c r="G44" i="10"/>
  <c r="F44" i="10"/>
  <c r="F43" i="10"/>
  <c r="H43" i="10" s="1"/>
  <c r="H46" i="10" s="1"/>
  <c r="F27" i="10"/>
  <c r="N154" i="2"/>
  <c r="I22" i="8"/>
  <c r="I21" i="8"/>
  <c r="I20" i="8"/>
  <c r="I19" i="8"/>
  <c r="I18" i="8"/>
  <c r="I17" i="8"/>
  <c r="I16" i="8"/>
  <c r="I15" i="8"/>
  <c r="I14" i="8"/>
  <c r="I13" i="8"/>
  <c r="I12" i="8"/>
  <c r="H65" i="8"/>
  <c r="H64" i="8"/>
  <c r="AT42" i="2"/>
  <c r="AJ42" i="2"/>
  <c r="AV42" i="2" s="1"/>
  <c r="AI42" i="2"/>
  <c r="AU42" i="2" s="1"/>
  <c r="AH42" i="2"/>
  <c r="AS42" i="2" s="1"/>
  <c r="AG42" i="2"/>
  <c r="AR42" i="2" s="1"/>
  <c r="BI42" i="2" s="1"/>
  <c r="AF42" i="2"/>
  <c r="AQ42" i="2" s="1"/>
  <c r="AE42" i="2"/>
  <c r="AP42" i="2" s="1"/>
  <c r="BE42" i="2" s="1"/>
  <c r="AD42" i="2"/>
  <c r="AO42" i="2" s="1"/>
  <c r="AC42" i="2"/>
  <c r="AN42" i="2" s="1"/>
  <c r="BK42" i="2"/>
  <c r="AY42" i="2"/>
  <c r="BX42" i="2"/>
  <c r="BS42" i="2"/>
  <c r="BA42" i="2"/>
  <c r="C42" i="9"/>
  <c r="C39" i="9"/>
  <c r="C41" i="9"/>
  <c r="C40" i="9"/>
  <c r="G5" i="9"/>
  <c r="G4" i="9"/>
  <c r="G3" i="9"/>
  <c r="W5" i="6"/>
  <c r="W3" i="6"/>
  <c r="K4" i="4"/>
  <c r="K5" i="4"/>
  <c r="K3" i="4"/>
  <c r="K4" i="3"/>
  <c r="K5" i="3"/>
  <c r="K3" i="3"/>
  <c r="P5" i="2"/>
  <c r="P3" i="2"/>
  <c r="AB42" i="2"/>
  <c r="H22" i="8"/>
  <c r="H21" i="8"/>
  <c r="H20" i="8"/>
  <c r="H19" i="8"/>
  <c r="H18" i="8"/>
  <c r="H17" i="8"/>
  <c r="H16" i="8"/>
  <c r="H15" i="8"/>
  <c r="H14" i="8"/>
  <c r="H13" i="8"/>
  <c r="H12" i="8"/>
  <c r="H44" i="10"/>
  <c r="AZ42" i="2"/>
  <c r="AX42" i="2"/>
  <c r="I21" i="12"/>
  <c r="BM42" i="2"/>
  <c r="V113" i="2"/>
  <c r="U113" i="2"/>
  <c r="R113" i="2"/>
  <c r="AS179" i="2"/>
  <c r="AS182" i="2" s="1"/>
  <c r="AP179" i="2"/>
  <c r="AP182" i="2" s="1"/>
  <c r="AG179" i="2"/>
  <c r="AG182" i="2" s="1"/>
  <c r="AM179" i="2"/>
  <c r="AM182" i="2" s="1"/>
  <c r="AJ179" i="2"/>
  <c r="AJ182" i="2" s="1"/>
  <c r="AD179" i="2"/>
  <c r="AD182" i="2" s="1"/>
  <c r="X179" i="2"/>
  <c r="X182" i="2" s="1"/>
  <c r="U179" i="2"/>
  <c r="U182" i="2" s="1"/>
  <c r="AX56" i="2" l="1"/>
  <c r="AX106" i="2"/>
  <c r="AX81" i="2"/>
  <c r="AX77" i="2"/>
  <c r="AX47" i="2"/>
  <c r="AX82" i="2"/>
  <c r="AX78" i="2"/>
  <c r="AX75" i="2"/>
  <c r="AX61" i="2"/>
  <c r="AX52" i="2"/>
  <c r="AX108" i="2"/>
  <c r="AX83" i="2"/>
  <c r="AX79" i="2"/>
  <c r="AX80" i="2"/>
  <c r="AX76" i="2"/>
  <c r="AX67" i="2"/>
  <c r="AX58" i="2"/>
  <c r="AX105" i="2"/>
  <c r="AX107" i="2"/>
  <c r="BB67" i="2"/>
  <c r="BB75" i="2"/>
  <c r="BB61" i="2"/>
  <c r="BB80" i="2"/>
  <c r="BB77" i="2"/>
  <c r="BB106" i="2"/>
  <c r="BB56" i="2"/>
  <c r="BB78" i="2"/>
  <c r="BB52" i="2"/>
  <c r="BB47" i="2"/>
  <c r="BB58" i="2"/>
  <c r="BB82" i="2"/>
  <c r="BB83" i="2"/>
  <c r="BB76" i="2"/>
  <c r="BB79" i="2"/>
  <c r="BB81" i="2"/>
  <c r="BB108" i="2"/>
  <c r="BB105" i="2"/>
  <c r="BB107" i="2"/>
  <c r="O120" i="2"/>
  <c r="CD120" i="2" s="1"/>
  <c r="CE120" i="2" s="1"/>
  <c r="O118" i="2"/>
  <c r="CD118" i="2" s="1"/>
  <c r="O117" i="2"/>
  <c r="CD117" i="2" s="1"/>
  <c r="E21" i="3"/>
  <c r="U22" i="6"/>
  <c r="E20" i="3"/>
  <c r="D25" i="10"/>
  <c r="D48" i="10"/>
  <c r="H47" i="10"/>
  <c r="H48" i="10" s="1"/>
  <c r="Z42" i="2"/>
  <c r="CC110" i="2"/>
  <c r="CC144" i="2"/>
  <c r="CC122" i="2"/>
  <c r="CE122" i="2"/>
  <c r="AP185" i="2"/>
  <c r="CE23" i="2"/>
  <c r="CE142" i="2"/>
  <c r="CE34" i="2"/>
  <c r="CE35" i="2"/>
  <c r="CE123" i="2"/>
  <c r="CC123" i="2"/>
  <c r="CE24" i="2"/>
  <c r="CC24" i="2"/>
  <c r="BG42" i="2"/>
  <c r="BH42" i="2"/>
  <c r="BF42" i="2"/>
  <c r="CE36" i="2"/>
  <c r="CC36" i="2"/>
  <c r="M191" i="2"/>
  <c r="BJ42" i="2"/>
  <c r="CE31" i="2"/>
  <c r="CC31" i="2"/>
  <c r="CC134" i="2"/>
  <c r="CE27" i="2"/>
  <c r="CE18" i="2"/>
  <c r="U185" i="2"/>
  <c r="AJ185" i="2"/>
  <c r="CC19" i="2"/>
  <c r="CE19" i="2"/>
  <c r="X185" i="2"/>
  <c r="AS185" i="2"/>
  <c r="CE15" i="2"/>
  <c r="AG185" i="2"/>
  <c r="CI148" i="2"/>
  <c r="AD185" i="2"/>
  <c r="AM185" i="2"/>
  <c r="U15" i="6"/>
  <c r="CC125" i="2"/>
  <c r="CE125" i="2"/>
  <c r="M206" i="2"/>
  <c r="M210" i="2" s="1"/>
  <c r="CC38" i="2"/>
  <c r="CC14" i="2"/>
  <c r="CE14" i="2"/>
  <c r="CE22" i="2"/>
  <c r="CC21" i="2"/>
  <c r="CE21" i="2"/>
  <c r="AL42" i="2"/>
  <c r="AM42" i="2"/>
  <c r="BD42" i="2" s="1"/>
  <c r="CC145" i="2"/>
  <c r="CE145" i="2"/>
  <c r="CC143" i="2"/>
  <c r="CE133" i="2"/>
  <c r="CC133" i="2"/>
  <c r="CE141" i="2"/>
  <c r="CC141" i="2"/>
  <c r="CE124" i="2"/>
  <c r="CD132" i="2"/>
  <c r="M222" i="2"/>
  <c r="M227" i="2" s="1"/>
  <c r="N153" i="2"/>
  <c r="E23" i="3"/>
  <c r="U16" i="6"/>
  <c r="CA76" i="2" l="1"/>
  <c r="CA78" i="2"/>
  <c r="CA80" i="2"/>
  <c r="CA82" i="2"/>
  <c r="CA75" i="2"/>
  <c r="CA67" i="2"/>
  <c r="CA79" i="2"/>
  <c r="CA47" i="2"/>
  <c r="AX109" i="2"/>
  <c r="M16" i="2"/>
  <c r="CA83" i="2"/>
  <c r="CA77" i="2"/>
  <c r="CA107" i="2"/>
  <c r="CA108" i="2"/>
  <c r="CA81" i="2"/>
  <c r="CA105" i="2"/>
  <c r="CA52" i="2"/>
  <c r="CA106" i="2"/>
  <c r="M26" i="2"/>
  <c r="O26" i="2" s="1"/>
  <c r="BB109" i="2"/>
  <c r="CA58" i="2"/>
  <c r="CA61" i="2"/>
  <c r="CA56" i="2"/>
  <c r="E12" i="17"/>
  <c r="E12" i="19"/>
  <c r="E12" i="18"/>
  <c r="G14" i="20"/>
  <c r="G15" i="20" s="1"/>
  <c r="G16" i="20" s="1"/>
  <c r="G17" i="20" s="1"/>
  <c r="G18" i="20" s="1"/>
  <c r="G19" i="20" s="1"/>
  <c r="G20" i="20" s="1"/>
  <c r="G14" i="6"/>
  <c r="G15" i="6" s="1"/>
  <c r="G16" i="6" s="1"/>
  <c r="E12" i="16"/>
  <c r="CE117" i="2"/>
  <c r="CC117" i="2"/>
  <c r="CE118" i="2"/>
  <c r="CC118" i="2"/>
  <c r="CC120" i="2"/>
  <c r="CD16" i="2"/>
  <c r="CC16" i="2" s="1"/>
  <c r="D47" i="10"/>
  <c r="G27" i="10" s="1"/>
  <c r="D26" i="10"/>
  <c r="D27" i="10"/>
  <c r="N29" i="2"/>
  <c r="O29" i="2" s="1"/>
  <c r="N126" i="2"/>
  <c r="O126" i="2" s="1"/>
  <c r="N136" i="2"/>
  <c r="O136" i="2" s="1"/>
  <c r="BQ42" i="2"/>
  <c r="BV42" i="2"/>
  <c r="BT42" i="2"/>
  <c r="BU42" i="2"/>
  <c r="BC42" i="2"/>
  <c r="BB42" i="2" s="1"/>
  <c r="BL42" i="2"/>
  <c r="BR42" i="2" s="1"/>
  <c r="BZ42" i="2"/>
  <c r="BW42" i="2"/>
  <c r="BY42" i="2"/>
  <c r="CE132" i="2"/>
  <c r="CC132" i="2"/>
  <c r="M190" i="2"/>
  <c r="M192" i="2" s="1"/>
  <c r="M33" i="2"/>
  <c r="O33" i="2" s="1"/>
  <c r="M109" i="2"/>
  <c r="O109" i="2" s="1"/>
  <c r="CD109" i="2" s="1"/>
  <c r="M178" i="2"/>
  <c r="G17" i="6" l="1"/>
  <c r="G18" i="6" s="1"/>
  <c r="G19" i="6" s="1"/>
  <c r="G20" i="6" s="1"/>
  <c r="G21" i="6" s="1"/>
  <c r="G22" i="6" s="1"/>
  <c r="CA109" i="2"/>
  <c r="M196" i="2"/>
  <c r="CD30" i="2"/>
  <c r="CE30" i="2" s="1"/>
  <c r="CD32" i="2"/>
  <c r="CC32" i="2" s="1"/>
  <c r="CE16" i="2"/>
  <c r="O17" i="2"/>
  <c r="CD17" i="2" s="1"/>
  <c r="CE17" i="2" s="1"/>
  <c r="N28" i="2"/>
  <c r="H27" i="10"/>
  <c r="G25" i="10"/>
  <c r="H25" i="10" s="1"/>
  <c r="G26" i="10"/>
  <c r="H26" i="10" s="1"/>
  <c r="G24" i="10"/>
  <c r="H24" i="10" s="1"/>
  <c r="S113" i="2"/>
  <c r="Q113" i="2"/>
  <c r="W113" i="2"/>
  <c r="X113" i="2"/>
  <c r="CD135" i="2"/>
  <c r="M218" i="2"/>
  <c r="M223" i="2" s="1"/>
  <c r="M181" i="2"/>
  <c r="M184" i="2" s="1"/>
  <c r="CD33" i="2"/>
  <c r="M221" i="2"/>
  <c r="M226" i="2" s="1"/>
  <c r="CD139" i="2"/>
  <c r="CE109" i="2"/>
  <c r="CC109" i="2"/>
  <c r="CA42" i="2"/>
  <c r="O39" i="2" l="1"/>
  <c r="CD39" i="2" s="1"/>
  <c r="CD111" i="2"/>
  <c r="CC17" i="2"/>
  <c r="CE32" i="2"/>
  <c r="CC30" i="2"/>
  <c r="AK113" i="2"/>
  <c r="M195" i="2"/>
  <c r="CE135" i="2"/>
  <c r="CC135" i="2"/>
  <c r="M127" i="2"/>
  <c r="O127" i="2" s="1"/>
  <c r="CE33" i="2"/>
  <c r="CC33" i="2"/>
  <c r="M137" i="2"/>
  <c r="CE139" i="2"/>
  <c r="CC139" i="2"/>
  <c r="M193" i="2"/>
  <c r="M197" i="2" s="1"/>
  <c r="CC39" i="2" l="1"/>
  <c r="CE39" i="2"/>
  <c r="CD26" i="2"/>
  <c r="CE26" i="2" s="1"/>
  <c r="M179" i="2"/>
  <c r="M182" i="2" s="1"/>
  <c r="CD29" i="2"/>
  <c r="M194" i="2"/>
  <c r="M199" i="2" s="1"/>
  <c r="M200" i="2" s="1"/>
  <c r="CD113" i="2"/>
  <c r="M219" i="2"/>
  <c r="M224" i="2" s="1"/>
  <c r="CD136" i="2"/>
  <c r="M220" i="2"/>
  <c r="M225" i="2" s="1"/>
  <c r="CD137" i="2"/>
  <c r="M208" i="2"/>
  <c r="M212" i="2" s="1"/>
  <c r="CD127" i="2"/>
  <c r="CC111" i="2"/>
  <c r="CE111" i="2"/>
  <c r="M207" i="2"/>
  <c r="M211" i="2" s="1"/>
  <c r="CD126" i="2"/>
  <c r="CC26" i="2" l="1"/>
  <c r="M112" i="2"/>
  <c r="M201" i="2"/>
  <c r="M202" i="2" s="1"/>
  <c r="N165" i="2" s="1"/>
  <c r="CE113" i="2"/>
  <c r="CC113" i="2"/>
  <c r="CC126" i="2"/>
  <c r="CE126" i="2"/>
  <c r="CC127" i="2"/>
  <c r="CE127" i="2"/>
  <c r="CE137" i="2"/>
  <c r="CC137" i="2"/>
  <c r="CE136" i="2"/>
  <c r="CC136" i="2"/>
  <c r="M228" i="2"/>
  <c r="CE29" i="2"/>
  <c r="CC29" i="2"/>
  <c r="O112" i="2" l="1"/>
  <c r="P41" i="2" s="1"/>
  <c r="O40" i="2"/>
  <c r="M229" i="2"/>
  <c r="M230" i="2" s="1"/>
  <c r="N169" i="2" s="1"/>
  <c r="O146" i="2"/>
  <c r="CD112" i="2" l="1"/>
  <c r="CC112" i="2" s="1"/>
  <c r="CD40" i="2"/>
  <c r="CE40" i="2" s="1"/>
  <c r="I12" i="4"/>
  <c r="N12" i="4" s="1"/>
  <c r="F40" i="9"/>
  <c r="I29" i="4"/>
  <c r="CD146" i="2"/>
  <c r="P129" i="2"/>
  <c r="CC40" i="2" l="1"/>
  <c r="CE112" i="2"/>
  <c r="I14" i="4"/>
  <c r="N14" i="4" s="1"/>
  <c r="F42" i="9"/>
  <c r="I31" i="4"/>
  <c r="CE146" i="2"/>
  <c r="CC146" i="2"/>
  <c r="K12" i="4"/>
  <c r="F12" i="4"/>
  <c r="K14" i="4" l="1"/>
  <c r="F14" i="4"/>
  <c r="G23" i="19" l="1"/>
  <c r="K23" i="19" s="1"/>
  <c r="S14" i="6"/>
  <c r="T14" i="6" s="1"/>
  <c r="L15" i="6" l="1"/>
  <c r="L16" i="6" s="1"/>
  <c r="L17" i="6" s="1"/>
  <c r="L18" i="6" s="1"/>
  <c r="L19" i="6" s="1"/>
  <c r="P14" i="6"/>
  <c r="N24" i="6"/>
  <c r="R14" i="6"/>
  <c r="R24" i="6" s="1"/>
  <c r="AD14" i="6"/>
  <c r="S24" i="6"/>
  <c r="M24" i="6" l="1"/>
  <c r="K15" i="6"/>
  <c r="U14" i="6"/>
  <c r="T24" i="6"/>
  <c r="U24" i="6" l="1"/>
  <c r="K16" i="6"/>
  <c r="K19" i="6" l="1"/>
  <c r="L20" i="6"/>
  <c r="K17" i="6"/>
  <c r="K20" i="6" l="1"/>
  <c r="L21" i="6"/>
  <c r="K18" i="6"/>
  <c r="O119" i="2"/>
  <c r="L22" i="6" l="1"/>
  <c r="K22" i="6" s="1"/>
  <c r="K21" i="6"/>
  <c r="CD119" i="2"/>
  <c r="M205" i="2"/>
  <c r="M209" i="2" s="1"/>
  <c r="M213" i="2" l="1"/>
  <c r="CC119" i="2"/>
  <c r="CE119" i="2"/>
  <c r="M214" i="2" l="1"/>
  <c r="M215" i="2" s="1"/>
  <c r="N167" i="2" s="1"/>
  <c r="M37" i="2" s="1"/>
  <c r="M128" i="2"/>
  <c r="M38" i="2" l="1"/>
  <c r="N38" i="2" s="1"/>
  <c r="N37" i="2"/>
  <c r="O37" i="2" s="1"/>
  <c r="O128" i="2"/>
  <c r="CD37" i="2" l="1"/>
  <c r="M180" i="2"/>
  <c r="M183" i="2" s="1"/>
  <c r="M185" i="2" s="1"/>
  <c r="M186" i="2" s="1"/>
  <c r="M187" i="2" s="1"/>
  <c r="N163" i="2" s="1"/>
  <c r="P11" i="2"/>
  <c r="CD128" i="2"/>
  <c r="P114" i="2"/>
  <c r="Q163" i="2" l="1"/>
  <c r="Q165" i="2"/>
  <c r="Q167" i="2"/>
  <c r="N172" i="2"/>
  <c r="Q169" i="2"/>
  <c r="F33" i="3" s="1"/>
  <c r="R14" i="2"/>
  <c r="I11" i="4"/>
  <c r="I28" i="4"/>
  <c r="F39" i="9"/>
  <c r="CE37" i="2"/>
  <c r="CC37" i="2"/>
  <c r="I30" i="4"/>
  <c r="F41" i="9"/>
  <c r="P148" i="2"/>
  <c r="I13" i="4"/>
  <c r="CC128" i="2"/>
  <c r="CE128" i="2"/>
  <c r="CD148" i="2"/>
  <c r="CC148" i="2" l="1"/>
  <c r="CE148" i="2"/>
  <c r="F12" i="3"/>
  <c r="F34" i="3"/>
  <c r="F36" i="3"/>
  <c r="F35" i="3"/>
  <c r="T167" i="2"/>
  <c r="N174" i="2"/>
  <c r="T165" i="2"/>
  <c r="T169" i="2"/>
  <c r="N173" i="2"/>
  <c r="P169" i="2"/>
  <c r="E33" i="3" s="1"/>
  <c r="F29" i="3"/>
  <c r="N11" i="4"/>
  <c r="Q12" i="4" s="1"/>
  <c r="K11" i="4"/>
  <c r="F11" i="4"/>
  <c r="F24" i="3"/>
  <c r="F27" i="3" s="1"/>
  <c r="P167" i="2"/>
  <c r="E29" i="3" s="1"/>
  <c r="F19" i="3"/>
  <c r="F22" i="3" s="1"/>
  <c r="P165" i="2"/>
  <c r="E24" i="3" s="1"/>
  <c r="E27" i="3" s="1"/>
  <c r="F43" i="9"/>
  <c r="T163" i="2"/>
  <c r="P150" i="2"/>
  <c r="Q150" i="2" s="1"/>
  <c r="K13" i="4"/>
  <c r="F13" i="4"/>
  <c r="I10" i="4"/>
  <c r="N13" i="4"/>
  <c r="T41" i="2"/>
  <c r="T129" i="2"/>
  <c r="N114" i="2"/>
  <c r="N114" i="19"/>
  <c r="M41" i="2"/>
  <c r="T11" i="2"/>
  <c r="N41" i="2"/>
  <c r="N11" i="2"/>
  <c r="N113" i="16"/>
  <c r="N129" i="2"/>
  <c r="M129" i="2"/>
  <c r="M11" i="2"/>
  <c r="M114" i="2"/>
  <c r="T114" i="2"/>
  <c r="I27" i="4"/>
  <c r="F10" i="4" l="1"/>
  <c r="K10" i="4"/>
  <c r="K17" i="4" s="1"/>
  <c r="K16" i="4" s="1"/>
  <c r="K20" i="4" s="1"/>
  <c r="G24" i="3"/>
  <c r="G27" i="3" s="1"/>
  <c r="F25" i="3"/>
  <c r="F26" i="3"/>
  <c r="F28" i="3"/>
  <c r="E32" i="3"/>
  <c r="E30" i="3"/>
  <c r="E31" i="3"/>
  <c r="F30" i="3"/>
  <c r="F32" i="3"/>
  <c r="F31" i="3"/>
  <c r="G29" i="3"/>
  <c r="E25" i="3"/>
  <c r="E28" i="3"/>
  <c r="E26" i="3"/>
  <c r="G33" i="3"/>
  <c r="E34" i="3"/>
  <c r="E36" i="3"/>
  <c r="E35" i="3"/>
  <c r="G19" i="3"/>
  <c r="G22" i="3" s="1"/>
  <c r="F20" i="3"/>
  <c r="F21" i="3"/>
  <c r="F23" i="3"/>
  <c r="F12" i="18"/>
  <c r="G12" i="18" s="1"/>
  <c r="G12" i="3"/>
  <c r="F12" i="16"/>
  <c r="G12" i="16" s="1"/>
  <c r="F12" i="19"/>
  <c r="G12" i="19" s="1"/>
  <c r="AE12" i="6"/>
  <c r="F12" i="17"/>
  <c r="G12" i="17" s="1"/>
  <c r="AE12" i="20"/>
  <c r="N10" i="4"/>
  <c r="N46" i="3" s="1"/>
  <c r="Q13" i="4"/>
  <c r="N157" i="2"/>
  <c r="AC13" i="6"/>
  <c r="AC13" i="20"/>
  <c r="M157" i="2"/>
  <c r="I22" i="3" l="1"/>
  <c r="K22" i="3" s="1"/>
  <c r="H22" i="3"/>
  <c r="I27" i="3"/>
  <c r="K27" i="3" s="1"/>
  <c r="H27" i="3"/>
  <c r="AC14" i="6"/>
  <c r="H33" i="3"/>
  <c r="I33" i="3"/>
  <c r="G34" i="3"/>
  <c r="G35" i="3"/>
  <c r="G36" i="3"/>
  <c r="H12" i="18"/>
  <c r="I12" i="18"/>
  <c r="L46" i="3"/>
  <c r="H12" i="17"/>
  <c r="I12" i="17"/>
  <c r="H12" i="3"/>
  <c r="L12" i="3" s="1"/>
  <c r="I12" i="3"/>
  <c r="N17" i="4"/>
  <c r="N16" i="4" s="1"/>
  <c r="N20" i="4" s="1"/>
  <c r="P20" i="4" s="1"/>
  <c r="G21" i="3"/>
  <c r="G23" i="3"/>
  <c r="G20" i="3"/>
  <c r="H19" i="3"/>
  <c r="I19" i="3"/>
  <c r="G20" i="19" s="1"/>
  <c r="K20" i="19" s="1"/>
  <c r="I29" i="3"/>
  <c r="G31" i="3"/>
  <c r="G30" i="3"/>
  <c r="H29" i="3"/>
  <c r="G32" i="3"/>
  <c r="I12" i="19"/>
  <c r="G19" i="19" s="1"/>
  <c r="K19" i="19" s="1"/>
  <c r="H12" i="19"/>
  <c r="H12" i="16"/>
  <c r="I12" i="16"/>
  <c r="I24" i="3"/>
  <c r="G28" i="3"/>
  <c r="G25" i="3"/>
  <c r="H24" i="3"/>
  <c r="G26" i="3"/>
  <c r="M158" i="2"/>
  <c r="K21" i="4"/>
  <c r="K22" i="4"/>
  <c r="AC20" i="20"/>
  <c r="AD20" i="20"/>
  <c r="AC14" i="20"/>
  <c r="AD15" i="20"/>
  <c r="AC15" i="20"/>
  <c r="AD22" i="6"/>
  <c r="AC22" i="6"/>
  <c r="AC15" i="6"/>
  <c r="AD15" i="6"/>
  <c r="N158" i="2"/>
  <c r="N117" i="19" l="1"/>
  <c r="N118" i="19" s="1"/>
  <c r="N36" i="4"/>
  <c r="N22" i="4"/>
  <c r="V11" i="6" s="1"/>
  <c r="V14" i="6" s="1"/>
  <c r="V15" i="6" s="1"/>
  <c r="N21" i="4"/>
  <c r="N115" i="18"/>
  <c r="N116" i="18" s="1"/>
  <c r="Q20" i="4"/>
  <c r="I23" i="3"/>
  <c r="H23" i="3"/>
  <c r="I20" i="3"/>
  <c r="K20" i="3" s="1"/>
  <c r="H20" i="3"/>
  <c r="H32" i="3"/>
  <c r="I32" i="3"/>
  <c r="K32" i="3" s="1"/>
  <c r="I25" i="3"/>
  <c r="K25" i="3" s="1"/>
  <c r="H25" i="3"/>
  <c r="I21" i="3"/>
  <c r="H21" i="3"/>
  <c r="I28" i="3"/>
  <c r="H28" i="3"/>
  <c r="I30" i="3"/>
  <c r="K30" i="3" s="1"/>
  <c r="H30" i="3"/>
  <c r="H36" i="3"/>
  <c r="I36" i="3"/>
  <c r="K36" i="3" s="1"/>
  <c r="I31" i="3"/>
  <c r="K31" i="3" s="1"/>
  <c r="H31" i="3"/>
  <c r="H35" i="3"/>
  <c r="I35" i="3"/>
  <c r="K35" i="3" s="1"/>
  <c r="I26" i="3"/>
  <c r="H26" i="3"/>
  <c r="I34" i="3"/>
  <c r="K34" i="3" s="1"/>
  <c r="H34" i="3"/>
  <c r="V16" i="6" l="1"/>
  <c r="AE15" i="6"/>
  <c r="AE22" i="6"/>
  <c r="AE14" i="6"/>
  <c r="G14" i="4"/>
  <c r="H14" i="4" s="1"/>
  <c r="L33" i="3"/>
  <c r="N33" i="3" s="1"/>
  <c r="J31" i="4" s="1"/>
  <c r="K31" i="4" s="1"/>
  <c r="L29" i="3"/>
  <c r="N29" i="3" s="1"/>
  <c r="J30" i="4" s="1"/>
  <c r="K30" i="4" s="1"/>
  <c r="G13" i="4"/>
  <c r="H13" i="4" s="1"/>
  <c r="K26" i="3"/>
  <c r="G22" i="19"/>
  <c r="K22" i="19" s="1"/>
  <c r="K28" i="3"/>
  <c r="G24" i="19"/>
  <c r="K24" i="19" s="1"/>
  <c r="G37" i="19"/>
  <c r="K37" i="19" s="1"/>
  <c r="K45" i="19" s="1"/>
  <c r="K46" i="19" s="1"/>
  <c r="K47" i="19" s="1"/>
  <c r="K21" i="3"/>
  <c r="K23" i="3"/>
  <c r="G21" i="19"/>
  <c r="K21" i="19" s="1"/>
  <c r="V17" i="6" l="1"/>
  <c r="V18" i="6" s="1"/>
  <c r="V19" i="6" s="1"/>
  <c r="G11" i="4"/>
  <c r="H11" i="4" s="1"/>
  <c r="L24" i="3"/>
  <c r="N24" i="3" s="1"/>
  <c r="J29" i="4" s="1"/>
  <c r="K29" i="4" s="1"/>
  <c r="G12" i="4"/>
  <c r="H12" i="4" s="1"/>
  <c r="K39" i="3"/>
  <c r="K41" i="3" s="1"/>
  <c r="L39" i="3"/>
  <c r="L41" i="3" s="1"/>
  <c r="N45" i="3" s="1"/>
  <c r="K28" i="19"/>
  <c r="K29" i="19" s="1"/>
  <c r="K30" i="19" s="1"/>
  <c r="L19" i="3"/>
  <c r="N19" i="3" s="1"/>
  <c r="J28" i="4" s="1"/>
  <c r="K28" i="4" s="1"/>
  <c r="V20" i="6" l="1"/>
  <c r="V21" i="6" s="1"/>
  <c r="V22" i="6" s="1"/>
  <c r="H10" i="4"/>
  <c r="K34" i="4"/>
  <c r="L34" i="4" s="1"/>
  <c r="K27" i="4"/>
  <c r="M45" i="3"/>
  <c r="L13" i="3"/>
  <c r="K46" i="3"/>
  <c r="L45" i="3"/>
  <c r="L20" i="4" s="1"/>
  <c r="G10" i="4"/>
  <c r="M13" i="3" l="1"/>
  <c r="M14" i="3" s="1"/>
  <c r="L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H5" authorId="0" shapeId="0" xr:uid="{00000000-0006-0000-0100-000001000000}">
      <text>
        <r>
          <rPr>
            <b/>
            <sz val="9"/>
            <color indexed="81"/>
            <rFont val="Tahoma"/>
            <family val="2"/>
          </rPr>
          <t>Alberto:</t>
        </r>
        <r>
          <rPr>
            <sz val="9"/>
            <color indexed="81"/>
            <rFont val="Tahoma"/>
            <family val="2"/>
          </rPr>
          <t xml:space="preserve">
Normal 0.1</t>
        </r>
      </text>
    </comment>
    <comment ref="I6" authorId="0" shapeId="0" xr:uid="{00000000-0006-0000-0100-000002000000}">
      <text>
        <r>
          <rPr>
            <b/>
            <sz val="9"/>
            <color indexed="81"/>
            <rFont val="Tahoma"/>
            <family val="2"/>
          </rPr>
          <t>Alberto:</t>
        </r>
        <r>
          <rPr>
            <sz val="9"/>
            <color indexed="81"/>
            <rFont val="Tahoma"/>
            <family val="2"/>
          </rPr>
          <t xml:space="preserve">
Normal 1/3</t>
        </r>
      </text>
    </comment>
    <comment ref="H43" authorId="0" shapeId="0" xr:uid="{00000000-0006-0000-0100-000003000000}">
      <text>
        <r>
          <rPr>
            <b/>
            <sz val="9"/>
            <color indexed="81"/>
            <rFont val="Tahoma"/>
            <family val="2"/>
          </rPr>
          <t>Alberto:</t>
        </r>
        <r>
          <rPr>
            <sz val="9"/>
            <color indexed="81"/>
            <rFont val="Tahoma"/>
            <family val="2"/>
          </rPr>
          <t xml:space="preserve">
Normal 0.1</t>
        </r>
      </text>
    </comment>
    <comment ref="H61" authorId="0" shapeId="0" xr:uid="{00000000-0006-0000-0100-000004000000}">
      <text>
        <r>
          <rPr>
            <b/>
            <sz val="9"/>
            <color indexed="81"/>
            <rFont val="Tahoma"/>
            <family val="2"/>
          </rPr>
          <t>Alberto:</t>
        </r>
        <r>
          <rPr>
            <sz val="9"/>
            <color indexed="81"/>
            <rFont val="Tahoma"/>
            <family val="2"/>
          </rPr>
          <t xml:space="preserve">
Normal 0.1</t>
        </r>
      </text>
    </comment>
    <comment ref="H66" authorId="0" shapeId="0" xr:uid="{00000000-0006-0000-0100-000005000000}">
      <text>
        <r>
          <rPr>
            <b/>
            <sz val="9"/>
            <color indexed="81"/>
            <rFont val="Tahoma"/>
            <family val="2"/>
          </rPr>
          <t>Alberto:</t>
        </r>
        <r>
          <rPr>
            <sz val="9"/>
            <color indexed="81"/>
            <rFont val="Tahoma"/>
            <family val="2"/>
          </rPr>
          <t xml:space="preserve">
Normal 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AB41" authorId="0" shapeId="0" xr:uid="{00000000-0006-0000-0300-000001000000}">
      <text>
        <r>
          <rPr>
            <b/>
            <sz val="9"/>
            <color indexed="81"/>
            <rFont val="Tahoma"/>
            <family val="2"/>
          </rPr>
          <t>TAMAÑO
Mini:</t>
        </r>
        <r>
          <rPr>
            <sz val="9"/>
            <color indexed="81"/>
            <rFont val="Tahoma"/>
            <family val="2"/>
          </rPr>
          <t xml:space="preserve">                             1 -  10 controles 
</t>
        </r>
        <r>
          <rPr>
            <b/>
            <sz val="9"/>
            <color indexed="81"/>
            <rFont val="Tahoma"/>
            <family val="2"/>
          </rPr>
          <t>Pequeña:</t>
        </r>
        <r>
          <rPr>
            <sz val="9"/>
            <color indexed="81"/>
            <rFont val="Tahoma"/>
            <family val="2"/>
          </rPr>
          <t xml:space="preserve">             11 - 20 controles
</t>
        </r>
        <r>
          <rPr>
            <b/>
            <sz val="9"/>
            <color indexed="81"/>
            <rFont val="Tahoma"/>
            <family val="2"/>
          </rPr>
          <t>Chica:</t>
        </r>
        <r>
          <rPr>
            <sz val="9"/>
            <color indexed="81"/>
            <rFont val="Tahoma"/>
            <family val="2"/>
          </rPr>
          <t xml:space="preserve">                     21 - 30 controles
</t>
        </r>
        <r>
          <rPr>
            <b/>
            <sz val="9"/>
            <color indexed="81"/>
            <rFont val="Tahoma"/>
            <family val="2"/>
          </rPr>
          <t xml:space="preserve">Mediana:      </t>
        </r>
        <r>
          <rPr>
            <sz val="9"/>
            <color indexed="81"/>
            <rFont val="Tahoma"/>
            <family val="2"/>
          </rPr>
          <t xml:space="preserve">    31 - 40 controles
</t>
        </r>
        <r>
          <rPr>
            <b/>
            <sz val="9"/>
            <color indexed="81"/>
            <rFont val="Tahoma"/>
            <family val="2"/>
          </rPr>
          <t>Grande:</t>
        </r>
        <r>
          <rPr>
            <sz val="9"/>
            <color indexed="81"/>
            <rFont val="Tahoma"/>
            <family val="2"/>
          </rPr>
          <t xml:space="preserve">                41 - 50 controles
</t>
        </r>
        <r>
          <rPr>
            <b/>
            <sz val="9"/>
            <color indexed="81"/>
            <rFont val="Tahoma"/>
            <family val="2"/>
          </rPr>
          <t>Muy grande:</t>
        </r>
        <r>
          <rPr>
            <sz val="9"/>
            <color indexed="81"/>
            <rFont val="Tahoma"/>
            <family val="2"/>
          </rPr>
          <t xml:space="preserve">    51 - 60 controles
</t>
        </r>
        <r>
          <rPr>
            <b/>
            <sz val="9"/>
            <color indexed="81"/>
            <rFont val="Tahoma"/>
            <family val="2"/>
          </rPr>
          <t xml:space="preserve">Extra grande: </t>
        </r>
        <r>
          <rPr>
            <sz val="9"/>
            <color indexed="81"/>
            <rFont val="Tahoma"/>
            <family val="2"/>
          </rPr>
          <t>61 -70 controles</t>
        </r>
      </text>
    </comment>
    <comment ref="AC41" authorId="0" shapeId="0" xr:uid="{00000000-0006-0000-0300-000002000000}">
      <text>
        <r>
          <rPr>
            <b/>
            <sz val="9"/>
            <color indexed="81"/>
            <rFont val="Tahoma"/>
            <family val="2"/>
          </rPr>
          <t>COMPLEJIDAD
Baja:</t>
        </r>
        <r>
          <rPr>
            <sz val="9"/>
            <color indexed="81"/>
            <rFont val="Tahoma"/>
            <family val="2"/>
          </rPr>
          <t xml:space="preserve">     realiza una acción y/o usan de una a dos tablas.
</t>
        </r>
        <r>
          <rPr>
            <b/>
            <sz val="9"/>
            <color indexed="81"/>
            <rFont val="Tahoma"/>
            <family val="2"/>
          </rPr>
          <t>Media:</t>
        </r>
        <r>
          <rPr>
            <sz val="9"/>
            <color indexed="81"/>
            <rFont val="Tahoma"/>
            <family val="2"/>
          </rPr>
          <t xml:space="preserve"> realiza una o más acciones y/o usan de tres a cuatro tablas.
</t>
        </r>
        <r>
          <rPr>
            <b/>
            <sz val="9"/>
            <color indexed="81"/>
            <rFont val="Tahoma"/>
            <family val="2"/>
          </rPr>
          <t>Alta:</t>
        </r>
        <r>
          <rPr>
            <sz val="9"/>
            <color indexed="81"/>
            <rFont val="Tahoma"/>
            <family val="2"/>
          </rPr>
          <t xml:space="preserve">       realiza una o más acciones y/o usan cinco o tablas.</t>
        </r>
      </text>
    </comment>
    <comment ref="AE41" authorId="0" shapeId="0" xr:uid="{00000000-0006-0000-0300-000003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G41" authorId="0" shapeId="0" xr:uid="{00000000-0006-0000-0300-000004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I41" authorId="0" shapeId="0" xr:uid="{00000000-0006-0000-0300-000005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X41" authorId="0" shapeId="0" xr:uid="{00000000-0006-0000-0300-000006000000}">
      <text>
        <r>
          <rPr>
            <b/>
            <sz val="9"/>
            <color indexed="81"/>
            <rFont val="Tahoma"/>
            <family val="2"/>
          </rPr>
          <t>Alberto:</t>
        </r>
        <r>
          <rPr>
            <sz val="9"/>
            <color indexed="81"/>
            <rFont val="Tahoma"/>
            <family val="2"/>
          </rPr>
          <t xml:space="preserve">
</t>
        </r>
        <r>
          <rPr>
            <sz val="9"/>
            <color indexed="81"/>
            <rFont val="Tahoma"/>
            <family val="2"/>
          </rPr>
          <t>=Modelo!$H$2</t>
        </r>
      </text>
    </comment>
    <comment ref="AY41" authorId="0" shapeId="0" xr:uid="{00000000-0006-0000-0300-000007000000}">
      <text>
        <r>
          <rPr>
            <b/>
            <sz val="9"/>
            <color indexed="81"/>
            <rFont val="Tahoma"/>
            <family val="2"/>
          </rPr>
          <t xml:space="preserve">Alberto:
</t>
        </r>
        <r>
          <rPr>
            <sz val="9"/>
            <color indexed="81"/>
            <rFont val="Tahoma"/>
            <family val="2"/>
          </rPr>
          <t>=REDONDEAR.MAS(AN37*Modelo!$H$3*Modelo!$I$75,2)</t>
        </r>
      </text>
    </comment>
    <comment ref="AZ41" authorId="0" shapeId="0" xr:uid="{00000000-0006-0000-0300-000008000000}">
      <text>
        <r>
          <rPr>
            <b/>
            <sz val="9"/>
            <color indexed="81"/>
            <rFont val="Tahoma"/>
            <family val="2"/>
          </rPr>
          <t>Alberto:</t>
        </r>
        <r>
          <rPr>
            <sz val="9"/>
            <color indexed="81"/>
            <rFont val="Tahoma"/>
            <family val="2"/>
          </rPr>
          <t xml:space="preserve">
</t>
        </r>
        <r>
          <rPr>
            <sz val="9"/>
            <color indexed="81"/>
            <rFont val="Tahoma"/>
            <family val="2"/>
          </rPr>
          <t>=REDONDEAR.MAS(AN37*Modelo!$H$3*Modelo!$H$4*Modelo!$I$75,3)</t>
        </r>
      </text>
    </comment>
    <comment ref="BA41" authorId="0" shapeId="0" xr:uid="{00000000-0006-0000-0300-000009000000}">
      <text>
        <r>
          <rPr>
            <b/>
            <sz val="9"/>
            <color indexed="81"/>
            <rFont val="Tahoma"/>
            <family val="2"/>
          </rPr>
          <t>Alberto:</t>
        </r>
        <r>
          <rPr>
            <sz val="9"/>
            <color indexed="81"/>
            <rFont val="Tahoma"/>
            <family val="2"/>
          </rPr>
          <t xml:space="preserve">
</t>
        </r>
        <r>
          <rPr>
            <sz val="9"/>
            <color indexed="81"/>
            <rFont val="Tahoma"/>
            <family val="2"/>
          </rPr>
          <t>=Modelo!$H$5</t>
        </r>
      </text>
    </comment>
    <comment ref="BB41" authorId="0" shapeId="0" xr:uid="{00000000-0006-0000-0300-00000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)*Modelo!$H$6,1)</t>
        </r>
      </text>
    </comment>
    <comment ref="BC41" authorId="0" shapeId="0" xr:uid="{00000000-0006-0000-0300-00000B000000}">
      <text>
        <r>
          <rPr>
            <b/>
            <sz val="9"/>
            <color indexed="81"/>
            <rFont val="Tahoma"/>
            <family val="2"/>
          </rPr>
          <t>Alberto:</t>
        </r>
        <r>
          <rPr>
            <sz val="9"/>
            <color indexed="81"/>
            <rFont val="Tahoma"/>
            <family val="2"/>
          </rPr>
          <t xml:space="preserve">
=REDONDEAR.MAS((AB37*AD37+0.1)*Modelo!$I$75,1)</t>
        </r>
      </text>
    </comment>
    <comment ref="BD41" authorId="0" shapeId="0" xr:uid="{00000000-0006-0000-0300-00000C000000}">
      <text>
        <r>
          <rPr>
            <b/>
            <sz val="9"/>
            <color indexed="81"/>
            <rFont val="Tahoma"/>
            <family val="2"/>
          </rPr>
          <t>Alberto:</t>
        </r>
        <r>
          <rPr>
            <sz val="9"/>
            <color indexed="81"/>
            <rFont val="Tahoma"/>
            <family val="2"/>
          </rPr>
          <t xml:space="preserve">
=REDONDEAR.MAS(AC37*AD37*AE37*Modelo!$I$75,1)</t>
        </r>
      </text>
    </comment>
    <comment ref="BE41" authorId="0" shapeId="0" xr:uid="{00000000-0006-0000-0300-00000D000000}">
      <text>
        <r>
          <rPr>
            <b/>
            <sz val="9"/>
            <color indexed="81"/>
            <rFont val="Tahoma"/>
            <family val="2"/>
          </rPr>
          <t>Alberto:</t>
        </r>
        <r>
          <rPr>
            <sz val="9"/>
            <color indexed="81"/>
            <rFont val="Tahoma"/>
            <family val="2"/>
          </rPr>
          <t xml:space="preserve">
=REDONDEAR.MAS(P37*Modelo!$H$29*AF37*Modelo!$I$75,1)</t>
        </r>
      </text>
    </comment>
    <comment ref="BF41" authorId="0" shapeId="0" xr:uid="{00000000-0006-0000-0300-00000E000000}">
      <text>
        <r>
          <rPr>
            <b/>
            <sz val="9"/>
            <color indexed="81"/>
            <rFont val="Tahoma"/>
            <family val="2"/>
          </rPr>
          <t>Alberto:</t>
        </r>
        <r>
          <rPr>
            <sz val="9"/>
            <color indexed="81"/>
            <rFont val="Tahoma"/>
            <family val="2"/>
          </rPr>
          <t xml:space="preserve">
=REDONDEAR.MAS(P37*Modelo!$H$29*AF37*AG37*Modelo!$I$75,1)</t>
        </r>
      </text>
    </comment>
    <comment ref="BI41" authorId="0" shapeId="0" xr:uid="{00000000-0006-0000-0300-00000F000000}">
      <text>
        <r>
          <rPr>
            <b/>
            <sz val="9"/>
            <color indexed="81"/>
            <rFont val="Tahoma"/>
            <family val="2"/>
          </rPr>
          <t>Alberto:</t>
        </r>
        <r>
          <rPr>
            <sz val="9"/>
            <color indexed="81"/>
            <rFont val="Tahoma"/>
            <family val="2"/>
          </rPr>
          <t xml:space="preserve">
=REDONDEAR.MAS(Q37*Modelo!$H$36*AH37*Modelo!$I$75,1)</t>
        </r>
      </text>
    </comment>
    <comment ref="BJ41" authorId="0" shapeId="0" xr:uid="{00000000-0006-0000-0300-000010000000}">
      <text>
        <r>
          <rPr>
            <b/>
            <sz val="9"/>
            <color indexed="81"/>
            <rFont val="Tahoma"/>
            <family val="2"/>
          </rPr>
          <t>Alberto:</t>
        </r>
        <r>
          <rPr>
            <sz val="9"/>
            <color indexed="81"/>
            <rFont val="Tahoma"/>
            <family val="2"/>
          </rPr>
          <t xml:space="preserve">
=REDONDEAR.MAS(Q37*Modelo!$H$36*AH37*AI37*Modelo!$I$75,1)</t>
        </r>
      </text>
    </comment>
    <comment ref="BK41" authorId="0" shapeId="0" xr:uid="{00000000-0006-0000-0300-000011000000}">
      <text>
        <r>
          <rPr>
            <b/>
            <sz val="9"/>
            <color indexed="81"/>
            <rFont val="Tahoma"/>
            <family val="2"/>
          </rPr>
          <t>Alberto:</t>
        </r>
        <r>
          <rPr>
            <sz val="9"/>
            <color indexed="81"/>
            <rFont val="Tahoma"/>
            <family val="2"/>
          </rPr>
          <t xml:space="preserve">
</t>
        </r>
        <r>
          <rPr>
            <sz val="9"/>
            <color indexed="81"/>
            <rFont val="Tahoma"/>
            <family val="2"/>
          </rPr>
          <t>=Modelo!$H$43</t>
        </r>
      </text>
    </comment>
    <comment ref="BL41" authorId="0" shapeId="0" xr:uid="{00000000-0006-0000-0300-000012000000}">
      <text>
        <r>
          <rPr>
            <b/>
            <sz val="9"/>
            <color indexed="81"/>
            <rFont val="Tahoma"/>
            <family val="2"/>
          </rPr>
          <t>Alberto:</t>
        </r>
        <r>
          <rPr>
            <sz val="9"/>
            <color indexed="81"/>
            <rFont val="Tahoma"/>
            <family val="2"/>
          </rPr>
          <t xml:space="preserve">
=REDONDEAR.MAS(
    SUMA(
                    REDONDEAR.MAS(AB37*AD37+0.1,1),
                    REDONDEAR.MAS(P37*Modelo!$H$29*AF37,1),
                    REDONDEAR.MAS(Q37*Modelo!$H$36*AH37,1)
                   )*AK37*AJ37*Modelo!$I$75,1)</t>
        </r>
      </text>
    </comment>
    <comment ref="BQ41" authorId="0" shapeId="0" xr:uid="{00000000-0006-0000-0300-000013000000}">
      <text>
        <r>
          <rPr>
            <b/>
            <sz val="9"/>
            <color indexed="81"/>
            <rFont val="Tahoma"/>
            <family val="2"/>
          </rPr>
          <t>Alberto:</t>
        </r>
        <r>
          <rPr>
            <sz val="9"/>
            <color indexed="81"/>
            <rFont val="Tahoma"/>
            <family val="2"/>
          </rPr>
          <t xml:space="preserve">
=REDONDEAR.MAS(
     SUMA(
       REDONDEAR.MAS(AB37*AD37+0.1,1),
       REDONDEAR.MAS(P37*Modelo!$H$29*AF37,1),
       REDONDEAR.MAS(Q37*Modelo!$H$36*AH37,1)
                   )*AJ37*AL37*Modelo!$H$57,1)</t>
        </r>
      </text>
    </comment>
    <comment ref="BS41" authorId="0" shapeId="0" xr:uid="{00000000-0006-0000-0300-000014000000}">
      <text>
        <r>
          <rPr>
            <b/>
            <sz val="9"/>
            <color indexed="81"/>
            <rFont val="Tahoma"/>
            <family val="2"/>
          </rPr>
          <t>Alberto:</t>
        </r>
        <r>
          <rPr>
            <sz val="9"/>
            <color indexed="81"/>
            <rFont val="Tahoma"/>
            <family val="2"/>
          </rPr>
          <t xml:space="preserve">
</t>
        </r>
        <r>
          <rPr>
            <sz val="9"/>
            <color indexed="81"/>
            <rFont val="Tahoma"/>
            <family val="2"/>
          </rPr>
          <t>=Modelo!$H$61</t>
        </r>
      </text>
    </comment>
    <comment ref="BT41" authorId="0" shapeId="0" xr:uid="{00000000-0006-0000-0300-000015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)*Modelo!$H$62*Modelo!$I$75,1)</t>
        </r>
      </text>
    </comment>
    <comment ref="BU41" authorId="0" shapeId="0" xr:uid="{00000000-0006-0000-0300-000016000000}">
      <text>
        <r>
          <rPr>
            <b/>
            <sz val="9"/>
            <color indexed="81"/>
            <rFont val="Tahoma"/>
            <family val="2"/>
          </rPr>
          <t>Alberto:</t>
        </r>
        <r>
          <rPr>
            <sz val="9"/>
            <color indexed="81"/>
            <rFont val="Tahoma"/>
            <family val="2"/>
          </rPr>
          <t xml:space="preserve">
=REDONDEAR.MAS(
     REDONDEAR.MAS(
       SUMA(
         REDONDEAR.MAS(AB37*AD37+0.1,1),
         REDONDEAR.MAS(P37*Modelo!$H$29*AF37,1),
         REDONDEAR.MAS(Q37*Modelo!$H$36*AH37,1)
                      )*Modelo!$H$62,1)
                                                 *Modelo!$H$63*Modelo!$I$75,1)</t>
        </r>
      </text>
    </comment>
    <comment ref="BV41" authorId="0" shapeId="0" xr:uid="{00000000-0006-0000-0300-000017000000}">
      <text>
        <r>
          <rPr>
            <b/>
            <sz val="9"/>
            <color indexed="81"/>
            <rFont val="Tahoma"/>
            <family val="2"/>
          </rPr>
          <t>Alberto:</t>
        </r>
        <r>
          <rPr>
            <sz val="9"/>
            <color indexed="81"/>
            <rFont val="Tahoma"/>
            <family val="2"/>
          </rPr>
          <t xml:space="preserve">
=SUMA(
     REDONDEAR.MAS(AB37*AD37+0.1,1),
     REDONDEAR.MAS(P37*Modelo!$H$29*AF37,1),
     REDONDEAR.MAS(Q37*Modelo!$H$36*AH37,1)
                 )*Modelo!$H$64*Modelo!$I$75</t>
        </r>
      </text>
    </comment>
    <comment ref="BW41" authorId="0" shapeId="0" xr:uid="{00000000-0006-0000-0300-000018000000}">
      <text>
        <r>
          <rPr>
            <b/>
            <sz val="9"/>
            <color indexed="81"/>
            <rFont val="Tahoma"/>
            <family val="2"/>
          </rPr>
          <t>Alberto:</t>
        </r>
        <r>
          <rPr>
            <sz val="9"/>
            <color indexed="81"/>
            <rFont val="Tahoma"/>
            <family val="2"/>
          </rPr>
          <t xml:space="preserve">
=REDONDEAR.MAS(
     SUMA(
       REDONDEAR.MAS(AB37*AD37+0.1,1),
       REDONDEAR.MAS(P37*Modelo!$H$29*AF37,1),
       REDONDEAR.MAS(Q37*Modelo!$H$36*AH37,1)
                   )*Modelo!$H$64*Modelo!$H$65*Modelo!$I$75,1)</t>
        </r>
      </text>
    </comment>
    <comment ref="BX41" authorId="0" shapeId="0" xr:uid="{00000000-0006-0000-0300-000019000000}">
      <text>
        <r>
          <rPr>
            <b/>
            <sz val="9"/>
            <color indexed="81"/>
            <rFont val="Tahoma"/>
            <family val="2"/>
          </rPr>
          <t>Alberto:</t>
        </r>
        <r>
          <rPr>
            <sz val="9"/>
            <color indexed="81"/>
            <rFont val="Tahoma"/>
            <family val="2"/>
          </rPr>
          <t xml:space="preserve">
</t>
        </r>
        <r>
          <rPr>
            <sz val="9"/>
            <color indexed="81"/>
            <rFont val="Tahoma"/>
            <family val="2"/>
          </rPr>
          <t>=Modelo!$H$66</t>
        </r>
      </text>
    </comment>
    <comment ref="BY41" authorId="0" shapeId="0" xr:uid="{00000000-0006-0000-0300-00001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)*Modelo!$H$69,1)</t>
        </r>
      </text>
    </comment>
    <comment ref="BZ41" authorId="0" shapeId="0" xr:uid="{00000000-0006-0000-0300-00001B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)*Modelo!$H$62,1
                                               )*Modelo!$H$71</t>
        </r>
      </text>
    </comment>
    <comment ref="E42" authorId="0" shapeId="0" xr:uid="{00000000-0006-0000-0300-00001D000000}">
      <text>
        <r>
          <rPr>
            <b/>
            <sz val="9"/>
            <color indexed="81"/>
            <rFont val="Tahoma"/>
            <family val="2"/>
          </rPr>
          <t>Alberto:</t>
        </r>
        <r>
          <rPr>
            <sz val="9"/>
            <color indexed="81"/>
            <rFont val="Tahoma"/>
            <family val="2"/>
          </rPr>
          <t xml:space="preserve">
Bajo (B):     Tiene hasta 15 controles.
Medio (M): Tiene más de 15 controles.
Alto (A):       Tiene más de 50 controles.</t>
        </r>
      </text>
    </comment>
    <comment ref="H42" authorId="0" shapeId="0" xr:uid="{00000000-0006-0000-0300-00001E000000}">
      <text>
        <r>
          <rPr>
            <b/>
            <sz val="9"/>
            <color indexed="81"/>
            <rFont val="Tahoma"/>
            <family val="2"/>
          </rPr>
          <t>Alberto:</t>
        </r>
        <r>
          <rPr>
            <sz val="9"/>
            <color indexed="81"/>
            <rFont val="Tahoma"/>
            <family val="2"/>
          </rPr>
          <t xml:space="preserve">
Bajo (B):     Tiene hasta 5 CU y/o servicios.
Medio (M): Tiene más de 5 CU y/o servicios.
Alto (A):       Tiene más de 20 CU y/o servicios.</t>
        </r>
      </text>
    </comment>
    <comment ref="I42" authorId="0" shapeId="0" xr:uid="{00000000-0006-0000-0300-00001F000000}">
      <text>
        <r>
          <rPr>
            <b/>
            <sz val="9"/>
            <color indexed="81"/>
            <rFont val="Tahoma"/>
            <family val="2"/>
          </rPr>
          <t>Alberto:</t>
        </r>
        <r>
          <rPr>
            <sz val="9"/>
            <color indexed="81"/>
            <rFont val="Tahoma"/>
            <family val="2"/>
          </rPr>
          <t xml:space="preserve">
Bajo (B):     Tiene hasta 4 CU y/o servicios.
Medio (M): Tiene más de 4 CU y/o servicios.
Alto (A):       Tiene más de 15 CU y/o servicios.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Eliseo</author>
  </authors>
  <commentList>
    <comment ref="D23" authorId="0" shapeId="0" xr:uid="{00000000-0006-0000-0900-000001000000}">
      <text>
        <r>
          <rPr>
            <b/>
            <sz val="9"/>
            <color indexed="81"/>
            <rFont val="Tahoma"/>
            <family val="2"/>
          </rPr>
          <t xml:space="preserve">HORAS AL MES MODIFICABLES PARA LA POLIZA
</t>
        </r>
      </text>
    </comment>
  </commentList>
</comments>
</file>

<file path=xl/sharedStrings.xml><?xml version="1.0" encoding="utf-8"?>
<sst xmlns="http://schemas.openxmlformats.org/spreadsheetml/2006/main" count="2331" uniqueCount="805">
  <si>
    <t>ESTIMACIÓN DE TIEMPOS Y COSTOS</t>
  </si>
  <si>
    <t>Versión: 0.2</t>
  </si>
  <si>
    <t>Proyecto: SISAP</t>
  </si>
  <si>
    <t>INFORMACION PARA PROPUESTA DE VENTAS</t>
  </si>
  <si>
    <t>NECESIDAD DE NEGOCIO</t>
  </si>
  <si>
    <t>CONSIDERACIONES</t>
  </si>
  <si>
    <t>Supuestos</t>
  </si>
  <si>
    <t>Restricciones</t>
  </si>
  <si>
    <t>Análisis y Diseño</t>
  </si>
  <si>
    <t>ALCANCE Y TIEMPOS</t>
  </si>
  <si>
    <t>Concepto</t>
  </si>
  <si>
    <t>ANÁLISIS Y DISEÑO</t>
  </si>
  <si>
    <t>N/A</t>
  </si>
  <si>
    <t>Diagrama de arquitectura</t>
  </si>
  <si>
    <t>Diccionario de datos</t>
  </si>
  <si>
    <t>CONSTRUCCIÓN</t>
  </si>
  <si>
    <t>DOCUMENTACIÓN</t>
  </si>
  <si>
    <t>M</t>
  </si>
  <si>
    <t>P</t>
  </si>
  <si>
    <t>Registro de rastreo</t>
  </si>
  <si>
    <t>INTEGRACIÓN</t>
  </si>
  <si>
    <t>PRUEBAS DE INTEGRACIÓN</t>
  </si>
  <si>
    <t>Ajustes al sistema</t>
  </si>
  <si>
    <t>Manual de usuario</t>
  </si>
  <si>
    <t>Manual de operación</t>
  </si>
  <si>
    <t>Manual de mantenimiento</t>
  </si>
  <si>
    <t>IMPLEMENTACIÓN</t>
  </si>
  <si>
    <t>Instalación de la base de datos en el servidor del cliente</t>
  </si>
  <si>
    <t>Configuración del sistema</t>
  </si>
  <si>
    <t>CAPACITACIÓN</t>
  </si>
  <si>
    <t>TIEMPO PRESUPUESTADO</t>
  </si>
  <si>
    <t>Catálogos:</t>
  </si>
  <si>
    <t>Pantallas:</t>
  </si>
  <si>
    <t>Reportes:</t>
  </si>
  <si>
    <t>Componentes:</t>
  </si>
  <si>
    <t>FECHAS Y COSTOS</t>
  </si>
  <si>
    <t>Duración del proyecto</t>
  </si>
  <si>
    <t>Fecha inicio proyecto</t>
  </si>
  <si>
    <t>Fecha fin proyecto</t>
  </si>
  <si>
    <t>Días calendario</t>
  </si>
  <si>
    <t>Meses</t>
  </si>
  <si>
    <t>Recursos</t>
  </si>
  <si>
    <t>N°</t>
  </si>
  <si>
    <t>Tipo de recurso</t>
  </si>
  <si>
    <t>Sueldo mensual</t>
  </si>
  <si>
    <t>Costo Estimado</t>
  </si>
  <si>
    <t>DETALLE DE LA INVERSIÓN</t>
  </si>
  <si>
    <t>Cantidad</t>
    <phoneticPr fontId="1" type="noConversion"/>
  </si>
  <si>
    <t>Precio Unitario</t>
    <phoneticPr fontId="1" type="noConversion"/>
  </si>
  <si>
    <t>Monto Total</t>
    <phoneticPr fontId="1" type="noConversion"/>
  </si>
  <si>
    <t>HORAS DE DESARROLLO DEL PROYECTO</t>
  </si>
  <si>
    <t>Construcción</t>
  </si>
  <si>
    <t>Integración</t>
  </si>
  <si>
    <t>Implementación</t>
  </si>
  <si>
    <t>CALENDARIO</t>
  </si>
  <si>
    <t>Anexo 1</t>
  </si>
  <si>
    <t>FLUJO DE PAGOS</t>
  </si>
  <si>
    <t>Anexo 2</t>
  </si>
  <si>
    <t>IVA</t>
    <phoneticPr fontId="1" type="noConversion"/>
  </si>
  <si>
    <t>FINAL</t>
  </si>
  <si>
    <t>% Avance</t>
  </si>
  <si>
    <t>Entrega Axsis</t>
  </si>
  <si>
    <t>Libera cliente</t>
  </si>
  <si>
    <t>No de Pago</t>
  </si>
  <si>
    <t>No Factura</t>
  </si>
  <si>
    <t>Monto</t>
    <phoneticPr fontId="1" type="noConversion"/>
  </si>
  <si>
    <t>Total</t>
    <phoneticPr fontId="1" type="noConversion"/>
  </si>
  <si>
    <t>Restante</t>
    <phoneticPr fontId="1" type="noConversion"/>
  </si>
  <si>
    <t>Facturada</t>
  </si>
  <si>
    <t>Pagada</t>
  </si>
  <si>
    <t>Observaciones</t>
  </si>
  <si>
    <t>ANTICIPO</t>
  </si>
  <si>
    <t>Pago parcial</t>
  </si>
  <si>
    <t>*Fuera de alcance</t>
  </si>
  <si>
    <t>Mínimo a lo que se puede vender:</t>
  </si>
  <si>
    <t>Margen de contribución del proyecto:</t>
  </si>
  <si>
    <t>C</t>
  </si>
  <si>
    <t>V</t>
  </si>
  <si>
    <t>L</t>
  </si>
  <si>
    <t>E</t>
  </si>
  <si>
    <t>RR</t>
  </si>
  <si>
    <t>PU</t>
  </si>
  <si>
    <t>PI</t>
  </si>
  <si>
    <t>PA</t>
  </si>
  <si>
    <t>Especificación técnica</t>
  </si>
  <si>
    <t>Controles</t>
  </si>
  <si>
    <t>Módulos:</t>
  </si>
  <si>
    <t>Desarrollador</t>
  </si>
  <si>
    <t>Pantalla</t>
  </si>
  <si>
    <t>Tipos</t>
  </si>
  <si>
    <t>En base a algunos parámetros regresa información</t>
  </si>
  <si>
    <t>Catálogo</t>
  </si>
  <si>
    <t>Captura de elementos que serán utilizados en otras partes del sistema</t>
  </si>
  <si>
    <t>Captura</t>
  </si>
  <si>
    <t>Introduce información de operación en el sistema</t>
  </si>
  <si>
    <t>Configuración</t>
  </si>
  <si>
    <t>Administración de parámetros que definen el sistema</t>
  </si>
  <si>
    <t>Filtro</t>
  </si>
  <si>
    <t>Pantalla de dónde se establecen los datos para generar un reporte</t>
  </si>
  <si>
    <t>Operación</t>
  </si>
  <si>
    <t>Maneja la información introducida en las capturas</t>
  </si>
  <si>
    <t>Procedimiento</t>
  </si>
  <si>
    <t>Actividad que se realiza de manera automática o semiautomática</t>
  </si>
  <si>
    <t>Reporte</t>
  </si>
  <si>
    <t>Contra parte del filtro, muesta los resultados encontrados según el filtro</t>
  </si>
  <si>
    <t>Tamaños</t>
  </si>
  <si>
    <t>Chica 1</t>
  </si>
  <si>
    <t xml:space="preserve">  1 - 6 controles </t>
  </si>
  <si>
    <t>Chica 2</t>
  </si>
  <si>
    <t>7 - 12 controles</t>
  </si>
  <si>
    <t>Chica 3</t>
  </si>
  <si>
    <t>13 - 18 controles</t>
  </si>
  <si>
    <t>Chica 4</t>
  </si>
  <si>
    <t>19 - 24 controles</t>
  </si>
  <si>
    <t>Mediana 1</t>
  </si>
  <si>
    <t>25 - 30 controles</t>
  </si>
  <si>
    <t>Mediana 2</t>
  </si>
  <si>
    <t>31 - 36 controles</t>
  </si>
  <si>
    <t>Mediana 3</t>
  </si>
  <si>
    <t>37 - 42 controles</t>
  </si>
  <si>
    <t>Mediana 4</t>
  </si>
  <si>
    <t>43 - 48 controles</t>
  </si>
  <si>
    <t>Grande 1</t>
  </si>
  <si>
    <t>49 - 54 controles</t>
  </si>
  <si>
    <t>Grande 2</t>
  </si>
  <si>
    <t>55 - 60 controles</t>
  </si>
  <si>
    <t>Grande 3</t>
  </si>
  <si>
    <t>61 - 66 controles</t>
  </si>
  <si>
    <t>Grande 4</t>
  </si>
  <si>
    <t>67 - 72 controles</t>
  </si>
  <si>
    <t>M. grande 1</t>
  </si>
  <si>
    <t>73 - 78 controles</t>
  </si>
  <si>
    <t>M. grande 2</t>
  </si>
  <si>
    <t>79 - 84 controles</t>
  </si>
  <si>
    <t>M. grande 3</t>
  </si>
  <si>
    <t>85 - 90 controles</t>
  </si>
  <si>
    <t>M. grande 4</t>
  </si>
  <si>
    <t>91 - 96 controles</t>
  </si>
  <si>
    <t>Complej</t>
  </si>
  <si>
    <t>Baja</t>
  </si>
  <si>
    <t>Controles comunes</t>
  </si>
  <si>
    <t>Media</t>
  </si>
  <si>
    <t>Incluye combos y/o hasta dos grids</t>
  </si>
  <si>
    <t>Alta</t>
  </si>
  <si>
    <t>Controles no comunes</t>
  </si>
  <si>
    <t>CU</t>
  </si>
  <si>
    <t>Unitario</t>
  </si>
  <si>
    <t>Tiempo estándar</t>
  </si>
  <si>
    <t>Realiza una acción y/o usan de una a dos tablas</t>
  </si>
  <si>
    <t>Realiza una o más acciones y/o usan de tres a cuatro tablas</t>
  </si>
  <si>
    <t>Realiza una o más acciones y/o usan cinco o tablas</t>
  </si>
  <si>
    <t>Serv</t>
  </si>
  <si>
    <t>Según testing</t>
  </si>
  <si>
    <t>Tipo</t>
  </si>
  <si>
    <t>Tamaño</t>
  </si>
  <si>
    <t>Informativa</t>
  </si>
  <si>
    <t>Por si sola no realiza nada, solo muestra datos, estatus, etc.</t>
  </si>
  <si>
    <t>Fecha inicio</t>
  </si>
  <si>
    <t>Fecha fin</t>
  </si>
  <si>
    <t>Descripción de requerimientos</t>
  </si>
  <si>
    <t>Requerimientos de infraestructura</t>
  </si>
  <si>
    <t>ARQUITECTURA DEL SISTEMA</t>
  </si>
  <si>
    <t>ANÁLISIS DE COMPONENTES</t>
  </si>
  <si>
    <t>ARQUITECTURA DE BASE DE DATOS</t>
  </si>
  <si>
    <t>Diagrama de entidad - relación</t>
  </si>
  <si>
    <t>Levantamiento de requerimientos</t>
  </si>
  <si>
    <t>CASOS DE PRUEBA DE ACEPTACIÓN</t>
  </si>
  <si>
    <t>PRESENTACIÓN DE ENTREGABLES</t>
  </si>
  <si>
    <t>Instalación del sistema</t>
  </si>
  <si>
    <t>Migración de la información</t>
  </si>
  <si>
    <t>Actualización del sistema</t>
  </si>
  <si>
    <t>PUESTA EN MARCHA</t>
  </si>
  <si>
    <t>Factor de elaboración</t>
  </si>
  <si>
    <t>Factor de verificación</t>
  </si>
  <si>
    <t>ERS</t>
  </si>
  <si>
    <t>Factor de levantamiento de AyD</t>
  </si>
  <si>
    <t>Factor de PU</t>
  </si>
  <si>
    <t>Factor de PI</t>
  </si>
  <si>
    <t>MU</t>
  </si>
  <si>
    <t>EMU</t>
  </si>
  <si>
    <t>VMU</t>
  </si>
  <si>
    <t>Factor de elaboración de MU</t>
  </si>
  <si>
    <t>Factor de verificación de MU</t>
  </si>
  <si>
    <t>ECPA</t>
  </si>
  <si>
    <t>Factor de elaboración de CPA</t>
  </si>
  <si>
    <t>Tamaño D</t>
  </si>
  <si>
    <t>Tamaño T</t>
  </si>
  <si>
    <t>AYD</t>
  </si>
  <si>
    <t>CONS</t>
  </si>
  <si>
    <t>INT</t>
  </si>
  <si>
    <t>CPS</t>
  </si>
  <si>
    <t>IMP</t>
  </si>
  <si>
    <t>Constante de RR</t>
  </si>
  <si>
    <t>ED</t>
  </si>
  <si>
    <t>VD</t>
  </si>
  <si>
    <t>ECU</t>
  </si>
  <si>
    <t>VCU</t>
  </si>
  <si>
    <t>ES</t>
  </si>
  <si>
    <t>VS</t>
  </si>
  <si>
    <t>CPA</t>
  </si>
  <si>
    <t>AJPI</t>
  </si>
  <si>
    <t>Factor de AJPI</t>
  </si>
  <si>
    <t>AJPA</t>
  </si>
  <si>
    <t>Factor de AJPA</t>
  </si>
  <si>
    <t>Factor de capacitación</t>
  </si>
  <si>
    <t>MO</t>
  </si>
  <si>
    <t>MM</t>
  </si>
  <si>
    <t>Factor de MM</t>
  </si>
  <si>
    <t>Factor de MO</t>
  </si>
  <si>
    <t>Factor de productividad</t>
  </si>
  <si>
    <t>Cantidad Ser</t>
  </si>
  <si>
    <t>VCPA</t>
  </si>
  <si>
    <t>Factor de verificación de CPA</t>
  </si>
  <si>
    <t>Analisis</t>
  </si>
  <si>
    <t>Diseño</t>
  </si>
  <si>
    <t>Análisis</t>
  </si>
  <si>
    <t>Factor</t>
  </si>
  <si>
    <t>VMO</t>
  </si>
  <si>
    <t>VMM</t>
  </si>
  <si>
    <t>EPI</t>
  </si>
  <si>
    <t>EPA</t>
  </si>
  <si>
    <t>Componente</t>
  </si>
  <si>
    <t>CAP</t>
  </si>
  <si>
    <t>ECAP</t>
  </si>
  <si>
    <t>Factor de PA</t>
  </si>
  <si>
    <t>Constante/Factror</t>
  </si>
  <si>
    <t>Fase</t>
  </si>
  <si>
    <t>Actividad</t>
  </si>
  <si>
    <t>Tarea</t>
  </si>
  <si>
    <t>Opción</t>
  </si>
  <si>
    <t>Descripción</t>
  </si>
  <si>
    <t>Constante de levantamiento</t>
  </si>
  <si>
    <t>Actividades consideradas en paralelo:</t>
  </si>
  <si>
    <t>Analisis de componentes</t>
  </si>
  <si>
    <t>Manual de Usuario</t>
  </si>
  <si>
    <t>Manual de Operación</t>
  </si>
  <si>
    <t>Manual de Mantenimiento</t>
  </si>
  <si>
    <t>Registro de Rastreo</t>
  </si>
  <si>
    <t>Código fuente y estructura de BD</t>
  </si>
  <si>
    <t>Sistema compilado</t>
  </si>
  <si>
    <t>Servicio</t>
  </si>
  <si>
    <t>Pruebas</t>
  </si>
  <si>
    <t>Tiene más de 15 CU y/o servicios</t>
  </si>
  <si>
    <t>Tiene hasta 4 CU y/o servicios</t>
  </si>
  <si>
    <t>Tiene más de 4 CU y/o servicios</t>
  </si>
  <si>
    <t>2.- La fecha de inicio y fecha fin del proyecto se consideraron tomando en cuenta que el Cliente no se atrase y cumpla con los tiempos que vienen en el calendario.</t>
  </si>
  <si>
    <t>ENTREGABLES</t>
  </si>
  <si>
    <t>Especificación de Requerimientos</t>
  </si>
  <si>
    <t>Tiempo</t>
  </si>
  <si>
    <t>PRECIO TOTAL</t>
  </si>
  <si>
    <t>Complejidad</t>
  </si>
  <si>
    <t>Acciones</t>
  </si>
  <si>
    <t>Funcionalidad especial que se debe cumplir cuando sucede un evento.</t>
  </si>
  <si>
    <t>1.- La estimación de los tiempos se realizó en base a la información proporcionada por el cliente por lo que, después la fase de  ANÁLISIS Y DISEÑO ESTRUCTURAL, se podrá tener el tamaño real del proyecto.</t>
  </si>
  <si>
    <t>3.- Se incluye un diseño gráfico básico de acuerdo a la imagen corporativa.</t>
  </si>
  <si>
    <t>Generalidades</t>
  </si>
  <si>
    <t>EDT</t>
  </si>
  <si>
    <t>VDT</t>
  </si>
  <si>
    <t>Documentación técnica</t>
  </si>
  <si>
    <t>Cons</t>
  </si>
  <si>
    <t>Int</t>
  </si>
  <si>
    <t>Imp</t>
  </si>
  <si>
    <t>F1</t>
  </si>
  <si>
    <t>Costo</t>
  </si>
  <si>
    <t>Analistas</t>
  </si>
  <si>
    <t>Levantamiento</t>
  </si>
  <si>
    <t>Actividades</t>
  </si>
  <si>
    <t>Componentes</t>
  </si>
  <si>
    <t>Entrega y revisión de componentes</t>
  </si>
  <si>
    <t>Semanas de actividades</t>
  </si>
  <si>
    <t>Semanas lineales de validación</t>
  </si>
  <si>
    <t>Horas de entregas</t>
  </si>
  <si>
    <t>Semanas de entrega</t>
  </si>
  <si>
    <t>Semanas de levantamiento</t>
  </si>
  <si>
    <t>Semanas totales</t>
  </si>
  <si>
    <t>Desarrolladores</t>
  </si>
  <si>
    <t>Documentación</t>
  </si>
  <si>
    <t>Semanas</t>
  </si>
  <si>
    <t>Puesta en marcha</t>
  </si>
  <si>
    <t>Versión: 0.1</t>
  </si>
  <si>
    <t>Tiene hasta 3 CU y/o servicios</t>
  </si>
  <si>
    <t>Tiene más de 5 CU y/o servicios</t>
  </si>
  <si>
    <t>Tiene más de 10 CU y/o servicios</t>
  </si>
  <si>
    <t>ANÁLISIS</t>
  </si>
  <si>
    <t>Precio</t>
  </si>
  <si>
    <t>Semanas totales AyD</t>
  </si>
  <si>
    <t>Semanas totales Construcción</t>
  </si>
  <si>
    <t>Semanas documentación</t>
  </si>
  <si>
    <t>Semanas pruebas</t>
  </si>
  <si>
    <t>Semanas ajustes</t>
  </si>
  <si>
    <t>Semanas totales Integración</t>
  </si>
  <si>
    <t>Semanas totales Implementación</t>
  </si>
  <si>
    <t>Festivos</t>
  </si>
  <si>
    <t>Días</t>
  </si>
  <si>
    <t>Formato</t>
  </si>
  <si>
    <t>Tipo
De Componente</t>
  </si>
  <si>
    <t>Semanas capacitación</t>
  </si>
  <si>
    <t>Margen de utilidad</t>
  </si>
  <si>
    <t>Esperado</t>
  </si>
  <si>
    <t>Real</t>
  </si>
  <si>
    <t>%  del tiempo total del proyecto</t>
  </si>
  <si>
    <t>Casos de prueba de aceptación</t>
  </si>
  <si>
    <t>Casos de prueba de integración</t>
  </si>
  <si>
    <t>Reportes de pruebas de integración</t>
  </si>
  <si>
    <t>Reportes de pruebas de aceptación</t>
  </si>
  <si>
    <t>Costo elaboración</t>
  </si>
  <si>
    <t>Precio de hora sugerido por fase</t>
  </si>
  <si>
    <t>Implementadores</t>
  </si>
  <si>
    <t>F2</t>
  </si>
  <si>
    <t>F3</t>
  </si>
  <si>
    <t>F4</t>
  </si>
  <si>
    <t>Analista</t>
  </si>
  <si>
    <t>Implementador</t>
  </si>
  <si>
    <t>Líder de proyecto 50%</t>
  </si>
  <si>
    <t>2.- No se desarrollará nada que no esté contemplado en el alcance del proyecto a menos que pase por un proceso de análisis para su cotización (Control de cambios).</t>
  </si>
  <si>
    <t>3.- Cualquier punto contemplado en el alcance, será sujeto a un control de cambios si este cambia en su tamaño, acciones a realizar o complejidad.</t>
  </si>
  <si>
    <t>6.- Los tiempos no incluyen retrasos ocasionados por fallas en equipo, servidores o software propiedad del cliente.</t>
  </si>
  <si>
    <t>7.- Los tiempos no incluyen realización de documentación requeridos por el cliente que no estén contemplados en los entregables de la presente propuesta. Documentación que forme parte de los entregables se realizará con formato de Axsis Tecnología, el quererlos en un formato propio del cliente incurriría en un costo.</t>
  </si>
  <si>
    <t>10.- Los tiempos no incluyen la instalación ni compra del dispositivo de hardware o software, solamente la configuración al sistema en el servidor de elección.</t>
  </si>
  <si>
    <t>1.- El alcance considera lo anunciado en el mismo de forma explicita en la propuesta, cualquier otro requerimiento y/o especificación que haya sido transmitido de forma documentada o verbal y que no este descrito en la presente propuesta queda fuera del alcance.</t>
  </si>
  <si>
    <t>5.- Cualquier atraso por parte del cliente impactará en tiempo y costo del proyecto
    -Visitas pactada 
     -Retrasos en revisiones
     -Revisión de documentos</t>
  </si>
  <si>
    <t>8.- En el alcance no se contempla el diseño gráfico (Logos, Imágenes, Banners, Interfaces artísticas).</t>
  </si>
  <si>
    <t>9.- Los tiempos no incluyen la configuración del servidor, solamente la instalación del sistema y base de datos.</t>
  </si>
  <si>
    <t>Pre integración</t>
  </si>
  <si>
    <t>Semanas pre integración</t>
  </si>
  <si>
    <t>Pre aceptación</t>
  </si>
  <si>
    <t>Semanas pre aceptación</t>
  </si>
  <si>
    <t>Hras DMS</t>
  </si>
  <si>
    <t>Hras CCS</t>
  </si>
  <si>
    <t>Tiempo (Hras)</t>
  </si>
  <si>
    <t>Total Hras</t>
  </si>
  <si>
    <t>Complejo.</t>
  </si>
  <si>
    <t>Verifica.</t>
  </si>
  <si>
    <t>A yd</t>
  </si>
  <si>
    <t>Observaciones a considerar para Análisis y Desarrollo</t>
  </si>
  <si>
    <t>1.-</t>
  </si>
  <si>
    <t>2.-</t>
  </si>
  <si>
    <t>3.-</t>
  </si>
  <si>
    <t>4.-</t>
  </si>
  <si>
    <t>5.-</t>
  </si>
  <si>
    <t>Pago final (10%)</t>
  </si>
  <si>
    <t>POLIZA DE SOFTWARE</t>
  </si>
  <si>
    <t>Anexo 3</t>
  </si>
  <si>
    <t xml:space="preserve"> ALCANCE POLIZA DE SERVICIO DE SOFTWARE</t>
  </si>
  <si>
    <t>1.- Incluye horas para ser usadas en: cambios o adecuaciones al sistema, capacitación o soporte fuera de garantias.</t>
  </si>
  <si>
    <t xml:space="preserve">2.- Incluye la atención inmediata, vía telefónica o por correo electrónico  </t>
  </si>
  <si>
    <t>3.- Tiempos de solución provisional, por concepto de errores que SI detienen la operación, el mismo día.</t>
  </si>
  <si>
    <t>4.- Tiempos de solución definitiva, por concepto de errores que NO detienen la operación, se estimarían y se programarían.</t>
  </si>
  <si>
    <t>5.- Horario de atención de Lunes a Viernes de 8:30 a 6:30.</t>
  </si>
  <si>
    <t>6.- Incluye un coordinador, Desarrollador y Tester, para manetener la operación y soporte en linea en el horario de atención.</t>
  </si>
  <si>
    <t>7.- Las horas de soporte y desarrollo no son acumulables</t>
  </si>
  <si>
    <t>8.- Una visita por mes, para ver temas de retroalimentación acerca de la operación del sistema y del  servicio brindado (Contempla 2 horas máximo)</t>
  </si>
  <si>
    <t>9.- Periodo del contrato, ANUAL.</t>
  </si>
  <si>
    <t>Horas al mes de la póliza:</t>
  </si>
  <si>
    <t>HORAS</t>
  </si>
  <si>
    <t>PRECIO X HORA</t>
  </si>
  <si>
    <t>TOTAL / MES</t>
  </si>
  <si>
    <t>Pago de póliza mensual (antes de IVA):</t>
  </si>
  <si>
    <t>Pago de póliza semestral (antes de IVA):</t>
  </si>
  <si>
    <t>Pago de póliza anual (antes de IVA):</t>
  </si>
  <si>
    <t>Costo mensual</t>
  </si>
  <si>
    <t>Horas mensuales</t>
  </si>
  <si>
    <t>Coordinador</t>
  </si>
  <si>
    <t>Tester</t>
  </si>
  <si>
    <t>* Representa el porcentaje del costo del total del ingreso</t>
  </si>
  <si>
    <t>* Representa el porcentaje de contribución a al utilidad</t>
  </si>
  <si>
    <t>Precio por hora de póliza min:</t>
  </si>
  <si>
    <t>Costo por hora de póliza:</t>
  </si>
  <si>
    <t>CONSIDERACIONES ESPECIALES DE LA PÓLIZA</t>
  </si>
  <si>
    <t>HOSTING (SERVIDOR DEDICADO)</t>
  </si>
  <si>
    <t>Anexo 4</t>
  </si>
  <si>
    <t>ALCANCE POLIZA DE HOSTING</t>
  </si>
  <si>
    <t>SERVICIO</t>
  </si>
  <si>
    <t>COSTO</t>
  </si>
  <si>
    <t>Hospedaje para la aplicación WEB y para la base de datos del sistema</t>
  </si>
  <si>
    <t>SI</t>
  </si>
  <si>
    <t>Monitoreo y optimización de rendimiento, liberando servicios, memoria y espacio en disco.</t>
  </si>
  <si>
    <t>Garantías de Configuración, solo en aplicaciones desarrolladas por Axsis Tecnología</t>
  </si>
  <si>
    <t>Respaldos de la base de datos, los cuales serán proporcionados mediante una liga de FTP al cliente cada que se solicite (2 respaldos parciales diarios y 1 respaldo completo cada semana).</t>
  </si>
  <si>
    <t>Envío de respaldos  (2 por mes)</t>
  </si>
  <si>
    <t>Redundancia de BD</t>
  </si>
  <si>
    <t>SSL</t>
  </si>
  <si>
    <t>No requiere</t>
  </si>
  <si>
    <t>Pago Mensual ( antes de IVA )</t>
  </si>
  <si>
    <t>Pago Semestral ( antes de IVA )</t>
  </si>
  <si>
    <t>Pago Anual ( antes de IVA )</t>
  </si>
  <si>
    <t>PREMISAS DE HOSTING</t>
  </si>
  <si>
    <t>Para que aplique la póliza de Hosting, debe tener contratada una poliza de servicio de software</t>
  </si>
  <si>
    <t>* Procesador Intel Core i7, 3.4 GHZ, RAM 32 Gb, Disco Duro 1 TB, SO Windows, Panel de Control Plesk, Ancho de Banda Ilimitado, IP Fija Incluida 1, Configuración de aplicaciones IIS 7.5, Uptime, Firewall, Configuración FTP.</t>
  </si>
  <si>
    <t>Horario de atención de Lunes a Viernes de 8:30 a 6:30.</t>
  </si>
  <si>
    <t xml:space="preserve">Tema </t>
  </si>
  <si>
    <t># Interesados</t>
  </si>
  <si>
    <t># Personas x grupo</t>
  </si>
  <si>
    <t>Rol</t>
  </si>
  <si>
    <t>Horas</t>
  </si>
  <si>
    <t>Grupos</t>
  </si>
  <si>
    <t>Total Horas por grupo</t>
  </si>
  <si>
    <t>Configuración
-Sistema
-Catálogos</t>
  </si>
  <si>
    <t>Rol (Sistemas)</t>
  </si>
  <si>
    <t>Rol (Operativo)</t>
  </si>
  <si>
    <t>Rol (Administrativo)</t>
  </si>
  <si>
    <t>Rol (Gerencia)</t>
  </si>
  <si>
    <t>Practica</t>
  </si>
  <si>
    <t>Implantación operativa</t>
  </si>
  <si>
    <t>TOTAL:</t>
  </si>
  <si>
    <t>Periodo del contrato ANUAL</t>
  </si>
  <si>
    <t>Costo/mes por póliza</t>
  </si>
  <si>
    <t>Horas/mes por póliza</t>
  </si>
  <si>
    <t>Costo/hora</t>
  </si>
  <si>
    <t>SECCIÓN INTERNA PARA AXSIS</t>
  </si>
  <si>
    <t>Anexo 5</t>
  </si>
  <si>
    <t xml:space="preserve">Tema 1: </t>
  </si>
  <si>
    <t xml:space="preserve">Tema 2: </t>
  </si>
  <si>
    <t xml:space="preserve">Tema 3: </t>
  </si>
  <si>
    <t>ESPECIFICACIONES PARA OPERAR EL SISTEMA (servidor de base de datos)</t>
  </si>
  <si>
    <t>ESPECIFICACIONES PARA OPERAR EL SISTEMA (servidor de aplicación)</t>
  </si>
  <si>
    <t>ESPECIFICACIONES PARA OPERAR EL SISTEMA (Cliente PC y Laptops)</t>
  </si>
  <si>
    <t>13.- La estimación es en base a componentes que genera tamaños y acciones  no a funcionales o ideas generales cuyo tamaño pueda variar una vez terminado el análisis.</t>
  </si>
  <si>
    <t>14.- La falta de Vo.Bo. puede detener el calendario de trabajo ya que se consideran disparadores de actividades subsecuentes.</t>
  </si>
  <si>
    <t>Días recorrido</t>
  </si>
  <si>
    <t>Conocimiento del proceso de negocio</t>
  </si>
  <si>
    <t>Diagramas AS-IS</t>
  </si>
  <si>
    <t>Diagramas TO-BE</t>
  </si>
  <si>
    <t>B</t>
  </si>
  <si>
    <t>Entrega y revisión de Diagrama AS-IS, TO-BE, Propuesta</t>
  </si>
  <si>
    <t>4.- El tiempo estimado o duración del proyecto supone que hay una disponibilidad del 100% para realizar las tareas y que este pudiera cambiar en base a la disponibilidad real del cliente, por lo que se tendría que ajustar en calendario y recorrería fechas finales.</t>
  </si>
  <si>
    <t>5.- Se considera que las especificaciones para operar el sistema ya se tienen para la fase de implementación, el software adicional y dispositivos ya se tienen para la fase de construcción.</t>
  </si>
  <si>
    <t>COSTO FINAL</t>
  </si>
  <si>
    <t xml:space="preserve">COSTO DIRECTO PRESUPUESTADO </t>
  </si>
  <si>
    <t>6.- En el alcance se contempla las pruebas unitarias de los componentes y las pruebas de integración que son a todo el sistema una vez terminada la fase de construcción.</t>
  </si>
  <si>
    <t>DESCUENTOS</t>
  </si>
  <si>
    <t>12.- La puesta en marcha del software terminado esta contemplado para ponerlo en producción en matriz, ubicada en Nuevo León.</t>
  </si>
  <si>
    <t xml:space="preserve">Descuento </t>
  </si>
  <si>
    <t>Precio
 por hora</t>
  </si>
  <si>
    <t>Validación</t>
  </si>
  <si>
    <t>Documentos</t>
  </si>
  <si>
    <t>Semanas por Tester</t>
  </si>
  <si>
    <t>Semanas por documentación</t>
  </si>
  <si>
    <t>Ajustes</t>
  </si>
  <si>
    <t>Capacitación</t>
  </si>
  <si>
    <t>7.- Esta contemplado dentro del alcance la migración de información de:
Productos
Clientes
Proveedores
Catálogos Básicos (Usuario, Tipo de cliente, Formas de pago, Servicios, direcciones, etc.)</t>
  </si>
  <si>
    <t>Lineas:</t>
  </si>
  <si>
    <t>Horas:</t>
  </si>
  <si>
    <t>Horas 10%:</t>
  </si>
  <si>
    <t>Nota: Ocultar los dos renglones en el caso de no aplicar ningun descuento.</t>
  </si>
  <si>
    <t xml:space="preserve">ANALISIS DE NEGOCIO </t>
  </si>
  <si>
    <t>4.- Los tiempos no incluyen pruebas de carga y volumen. 
Nota: Este servicio se aplica para caso de mas de mil usuarios interactuando con el sistema simultáneamente.</t>
  </si>
  <si>
    <t>Tester 50%</t>
  </si>
  <si>
    <t>ESPECIFICACIONES PARA EL DESARROLLO MOVIL ANDROID</t>
  </si>
  <si>
    <t>ESPECIFICACIONES PARA EL DESARROLLO MOVIL IOS</t>
  </si>
  <si>
    <t>DESCUENTO ESPECIAL VIG: DD-MM-YY</t>
  </si>
  <si>
    <t>11.- En el alcance no incluye la conexión a sistemas de terceros en ninguno de sus módulos.</t>
  </si>
  <si>
    <t>Fecha Pago</t>
  </si>
  <si>
    <t>Historias de usuario</t>
  </si>
  <si>
    <t>Horas por semana</t>
  </si>
  <si>
    <t>*</t>
  </si>
  <si>
    <t>Diagrama de clases</t>
  </si>
  <si>
    <t>Mejor</t>
  </si>
  <si>
    <t>Peor</t>
  </si>
  <si>
    <t>Diagramas</t>
  </si>
  <si>
    <t>Casos de uso</t>
  </si>
  <si>
    <t>Incluir</t>
  </si>
  <si>
    <t>x</t>
  </si>
  <si>
    <t>SCRIPTS DE MIGRACIÓN</t>
  </si>
  <si>
    <t>Inspección</t>
  </si>
  <si>
    <t>Revisión D</t>
  </si>
  <si>
    <t>Revisión C</t>
  </si>
  <si>
    <t>I</t>
  </si>
  <si>
    <t>RD</t>
  </si>
  <si>
    <t>RC</t>
  </si>
  <si>
    <t>PL</t>
  </si>
  <si>
    <t>Retrabajo</t>
  </si>
  <si>
    <t>Rt</t>
  </si>
  <si>
    <t>ret</t>
  </si>
  <si>
    <t>lev req</t>
  </si>
  <si>
    <t>diag</t>
  </si>
  <si>
    <t>interfaz</t>
  </si>
  <si>
    <t>HU</t>
  </si>
  <si>
    <t>DT</t>
  </si>
  <si>
    <t>rev D</t>
  </si>
  <si>
    <t>revc / ins</t>
  </si>
  <si>
    <t>Semanas por retrabajo</t>
  </si>
  <si>
    <t>sin rev</t>
  </si>
  <si>
    <t>Con rev</t>
  </si>
  <si>
    <t>Mas 
probable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</si>
  <si>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</si>
  <si>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</si>
  <si>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</si>
  <si>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</si>
  <si>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</si>
  <si>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</si>
  <si>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</si>
  <si>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</si>
  <si>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</si>
  <si>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</si>
  <si>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</si>
  <si>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</si>
  <si>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79498cf9-0bcf-4136-9200-e392470344cc</t>
  </si>
  <si>
    <t>CB_Block_0</t>
  </si>
  <si>
    <t>㜸〱敤㕣㕢㡣㈴㔵ㄹ敥慡改敥改敡㤹搹ㄹ㜶㜶㠱攵㍡摣㉦戳㘹㜶㤶㕤㉥挲扡捣㘵㙦戰㤷㘱㘷㜶㤱㈰㌶㌵摤愷㘶㙡户慢㙡愸慡㥥摤㐱㠴㐵ㄱ挴㑢っ昸愰㈰㉡㈱〶昵㐱ㄳ㌴㈱愰㄰㘳㌴搱ㄸ㔰ㅦ㠸〹て㈶㐸㡣㍥㘸捣㈶扥㤰㐸㠲摦㜷慡慡扢扡㝢扡㘶㘸㐰〷㌳戵摢晦㥥㍡昷㜳晥敢昹晦㔳㥢㔲㔲愹搴扢㜸昸㉦㥦㌴ㄳ攷㑤㉤㝡扥戰ち攳㑥愵㈲㑡扥改搸㕥㘱搴㜵昵挵晤愶攷㜷愱㐲戶㘸愲摣换ㄴ㍤昳㍥㤱㉢㉥〸搷㐳愵㑣㉡㤵换㘹㉡捡搹〹㝦〳搱㡢挶㔶扤㘹㠰改昱戱㐳㌳挷搰敢㤴敦戸㘲昳搰搱愰敤㡥㤱㤱挲㐸㘱摢昵㈳搷ㄵ戶㙣ㅥㅡ慦㔶晣慡㉢㜶搸愲敡扢㝡㘵昳搰㘴㜵愶㘲㤶㙥ㄳ㡢搳捥㜱㘱敦㄰㌳㕢慥㥤搱户摤㌰戲㙤晢㜶攳挶ㅢ㙦攸挵搰愹㠳攳㘳㤳慥㌰扣て愸捦っ愷扣㙤㐲㤴㑣慥㑤〸搷戴㘷ぢ攳㘳昸ㅢ㥢㍦摥慥㉦㑣捤〹攱㜳㘸攱ち扢㈴㍣つつ㝢慣㔱捦慢㕡昳摣㍣捤摡㡤愵㤶㜴捦捦㔸攳愲㔲搱慣愸搷㥣㜵〸㝢㔷搱ㄷ㝢慤㈹㘱㝢愶㙦㉥㤸晥㘲搶㥡㐶㐷攵㍥敢㠸㈷づ敢昶慣㌸愸㕢㈲㘳敤愹㥡攵㜴昰愴扡慥㠸扡㠸㑦㑣㉥扦㌰敡㔹攳㜳扡㉢㘷攴㜱㘳ㄲ敡敥㜶㑢㡤㜵㉦㘹摦㉦愷㉥㐷㘰㥦㤷戵慦㠷㤲愳扡㕢慢㌹摣扥㘶戸昸挶ㄹ㕣搳扥㝥㙣㡦ㅡ摢㕣搵扥㡤摣捡挶摡㑡㑦㐸摦㜲㐷戱ㄸ㉤㑢搰㑤㤰㈳㈰〲戵㍣㐱て㐱㉦㠰㤲晥ㄷ戸㈴摥㤰㐵㙡㔱㔷㡢㌳㙡戱愴ㄶ换㙡㔱愸㐵㐳㉤捥慡挵㌹戵㘸慡挵㘳㙡昱㌸敡㐴㑦慥扢㕢つ㥦摦晦晣晡㥢晦敤㍣㜰昰㝢㑦扥㌸晢捡て摦㌸搹扢づ㤵㙥て㈷㌵攱敡㈷㐰㙡㜵㉡摥㕡搸挲㍦换㜳〵㤸挲搸㙥㕣㙦㡣㡣㤴户㙦搱慦搵㌳㕣㔶〲昲ㅢ〸㘵〰㜵㝢㡤㍢㑣扢散㥣㤰戸㍢㙦㑣昷㐴㝤攳㠶挳戲㌱愷㙡㤷扤㜳㤷㉥㥣昲㜵㕦㥣搳㕣㔶敦愴愵搹ㄴ搸㑡㜸㜲扣ぢ㥡㥢ㅤ搵㉢㔵㌱㝡搲っ㡡捦㙦㉡戶㈶㕤㘷愶㝤改㙥㔷摣㕢㉢㙤㤹搱㈸㠴摡㠲散扢㘵㤵㐱㔱㌰慦愱昱㌹挷ㄳ戶㥣摥戰㌵㘹㤶㡥ぢ㜷㑡㔰㈴㡡戲㕣敡㐶ㄶ㠵㕣㍦㝣挸挶㐲挱慤攵㡢攳戹挶慥㤳㍥㤸㔹㤴㌱摦㜹攱晡㡢搳晡㑣㐵㥣搹㔰㈵ㄸㄳ〵㥢ㅡ戲㜷㍢愵慡㌷敥搸扥敢㔴ㅡ㑢㐶换ぢ㍡㈴㑤昹㠰㔳ㄶ改㜴㑡ち〵〸摣慥㉥㐵㐹㕤摤㥥ㄷ㈴㈲㘲㈸㈶㈳㥦摤㐸㜶㠵挳㔸ㅤ㔶㔱ㄱ愴㐹昵搲㘵㍡攳㝣愵㡣㐹攰挰搸㥡愸㍦㌸攸㤵换㜴㕢挳摣㠷㕢㔹㔵〷挳搵敦㕡㄰戶扦㔷户换ㄵ攱㈶㙡㍦㠵㌳搲晡〱㌲愷㈱㄰摡敥ㅥ㔵㥤㜲㔲㔹捣㥣㌰换晥㕣㜶㑥㤸戳㜳㍥昲愰㈱㜳㌹㙥㙤换愳㥤㠱㉣㙤㍤挱㈰㐰㍥㥦捡㙥㘰愵㙣ㅥ㑦㉡㐳改㤴挰换つ㠲㥣敤ㅡ㜸戹搷搸㙤㔶㝣ㄱ〸攵㝥〳ㄸ〹戴㥡㐴㕦ㅦ㐹搴搵㑢㠱挲搸㘰㡣㠳㑡㜵搳昶ㄷ敢㝣摢挲㈵〱ㄱ慤挹㠲㔵㈷ぢ㈸ちㅡ攵㐱〲慦㠱㘸㥡愴㐱㜲攵ㄸㄱ㤱つㄲ㌴㍢㝡㙥㈴㌲搶㑦㤰ㄱ愸ㅦ㈷㐲搶摥搲㕥㐶㤰搸㕢㠹㤴㡤摡昲攳㥡㌴㕢捡㤶て愴搹㐶㙣㥣㜶㈶挱㔹〴㘷ㄳ㙣〲㔰晥ち〹㐷㈹㠷㜴攳愳㥤㡢㜷敤㍣㠲昳〱㈰㥦㌴捡㥣㔰㔴搱㠶㕡㠹ㅤ挹㝡㝤戰㤳愵㔱ㅣ㠸㈲㕡挶㌵㍢戳捦㤲㠸づ慤捥搵愱㙢搳㔲挷㕥摥㥥㌶攳换㈱㐵㈶㔴㡤慦㜵㤹慡昱㡤㘰搵づ昵搶㠵㘸慡つㄱ㕣〴㄰㈸ㄶㅡ扢㉢戳收㘹㑥㝥㈴㑣愲挰㄰敡㔰戹㠷㐴㑣昳㍦㐱挰戵ㅣ㕤搶散㘷㥡㠲挳挶㐷摥㝥摥摣㥥户㐳愴㌷改捣㌵㥤㐳㕦搱㝢戴愰㉦〶㝢㈹㝦㙡慢㕦㉥㐵戱㜶ㄹ挱攵〰㑤晡㠵㈷敦昷敡㈵㤰㈶戱ㄵ挳摣㝡㝡㕣愴㠵㍢扤㌸㉦愴昶改㌵愶㜵㜷㔶昸昰㕥散㥢㠰ㅤ散戸慥愸攰㐰㕢㤶ㄹ㍣扢㥣搵㤸改敤㜶ㅤ㡢昹㙢昶戱昷㤱㔰っ改戴摡㤵㙡戲㡦ㄳ散捣㤸扦㈹㐶㌹搴扦搷戶ㄷㄲ戱㐶㡤攴挵㜶挹㘷换㌵㐹搲㠱㈴戹ㄲ摢慡㕤〵〰㈹愱晣戱慤㐴ㄹ㘶戵捤戲㕡愳戵㑡敦㕥挲挹愴挹㝦搸㈲㐷㝡〲㘷敤ㄸ㝣〷㕥㥦㌵㘵㕡㌵㘱搱㘳㑤ち户〴扦㠲㔹ㄱ昹挰㈵㑢㔱戳㈶㉢㍥㈲戲愲慢慢攵㉣㥤攰㕢㤳㜴搲㈴㈵ㄲ戹㍤戱㌰攱ㅣ㕥㈷㉡扡㈰㈹㔴ㄲ摣㐲㌵〹㐴捡㘳摤㌵ㄱ搳㠱㠸㈹㘰攳戴㙢〸戶㄰㡣〰㘴㝥〷㐹戳搲㡤㘷㈸慣㝢㠱敥散㘲㌱㤵㈳ㅡ愴㝢昰戵戶挲㙡ㅢ㠷搹㑥㜰ㅤ㐰㤳昹㐳攷㘳〲㈱㑡㤴挷〸㤱搶㤲㘶ㅣ㌵挵〹搲挰㍡〳㐱愵昱慡攷㍢ㄶ愳㑡㝤挶㠴㜳搰昱㈷㑣㙦ㅥ㔱愸㐱㈳㑣摣㌱㈷㙣㔰㤷ぢ摢愷㈹捦㤹㥦ㄷ㘵捤㤸㜲慡㄰㙤晢㈶㔶挳愱ㅣ敢㠳㉤㈹捦攵慡㠲愷戳戳㌱扡㔰攴㠹ㄸ扥㔶㝡㘲㔷攴昹收愱慦扦扥愳搳愶㕦ㄱ㍤㐶挰㜴㑣攷っ散㈲愲〶攵㙥㘳㝡捥ㄵ㘲愲捦搸攳㥡攵㡡㘹ぢ㈲〳㌶㈶〳㜵晢挵㉣㈲〴㤳づ攳㝦㡥摤㘷㑣扢扡敤捤敢っ㈶㉥慥㙦㜸㤳㈱㤱㡣㌱㘶摡ㅥ㠶㤱㔸㘴扡摦㤸㥡㜳㑥㈰㕡㕢戵散㍤晡扣户㉡戰㐲愲てㅥ㠹ㅡ㐵㔵㔴㔵挹愹戹㑥昱挳〳㜹㉡戵ㄵ扦㌴㠱挴㔵㉡㐳㝦㜹㠲昶愶㕤ㅦ挶㘷㘸愷㜳㑥扤㠸ㅣ搵㌲扢ㄲ愵㌰㌹㔵扢㠱㙤㙥〴戸㜵捦㤱㝤昵愸摣晢㡡㔷㘷攸攱㑦㤰昱㤲㉣㙡㐱㄰晡攷搶〵愴挲㍣㔲づ㌸㄰ㄸ攷㕢㌳昹攵つ㔹㠷搴户慥㥥摣㡤㈸㔲慦戱㕦㥦ㄱㄵ挴愲㉤摤㕦ㄷ扣搰㡣戵昴㡡ㄷ㤶㡤㍢㤶愵㤳戴㐸㤶㔳㈵㥤ㄴ㍣㕡昵㥤〳愶慤ㄹ〰㤲晥挲㉣晤㈴戲昴㤳㌲慢搷㌸捣戰愰㑣戳㉦㘷㔶㜷㑤㝦捥㌲㑢㌹扥㌰㜴户㉡㘸ㄲ㑣㑥挹ㅢ㍤㤱捣ㄸ㙡戲收㡦挰㘴昳ち㐰㜷〱㜲㤴㕢㐷昴㠳㜲㔵㈵㡢㍦㑡㠷㡥㈵〸ㄸ改㈵搵㙥㐲㙦ㄹ㜹㌳〲㈲㐷㍥愷愳晢ㄷ愷ㅦ㐴㑥攰㤷㈳搶ㄳ㐸〴ㅥ挱㤸㤰愷㝢㍢㙢ㅣ戱㑤ㅦ搸㈳挶㜶㥢晥㠴〷㤴〳㈰㈹㡦户攷㐸慣挶ㅡつ搷戴挲㠵慤㐵つ㙡攲㠲搶昲戸摥戸㜴㠹攲㐰愳挴ㄴ挹㜲㤵愴㘶㔹㘲㡥慢㐹搵㈸㔲㜱㐷摡㐶㐹㜲㥢搶昷㥤㔲攴㝤㈸㈶㐹㌳㈹㙤㠷㈴ㄴ〴㜹㐹ㅤ搰㔱昴搷㈷㤳㐷㉣㕡㐳ㅢ㈰㑦㍤ㄵ攴昵㠵攱挰㝤戸㜲㔲ㄶ昹昰つ晣扤㉥㑣ㅥ慡晡つ㈵晡挹挱戰㘴戴㔲㌹㘴挳㑡㈸改㙥㜹㤵戰㌴搶ㄶ㘸ㄸ挹㥤㥤㙡晦㘰㝢㘳㡣ㄸ戲㈱㐳㈲〹㝥㘰戰㈱㤸㉢ㄶ㑤愵㜵搶挷慤慥㘵攷昸㜶㐰攸戶挴挰㤴㕦㥥㄰ぢ搲っ慢㕢昲㠳戲㐱敤戴㈸攵愸㘶㡣捥㜸㔰改㍥攵㜸㤸㤲っ慥ㄹ㠷改㤶挲〵〶㠸摤㌰㌵㔹昲ㄱ搶慤㜵挰㤳挱敡挱づ㜶㈴〸㥢搰㍡愳〴捤㈶㄰㙥攳㈲挸㍢ㅤ㘲ㄴ㠲搴㤰捦㍦㜷㉡㑦㍤挹攷〷㍢㔳㔱㈲㘴㈲㠶扡ㄲ慣〷㈰㌷ㅥ㤵㈴ㄷつ㐶挱昲㐰戲㐹愱搵ㅢ攵搱挴攸愳挹攷晡戸挱挳㌸㔶㍦搹愶㠲㍢㙥扥〹㙤㕡㔹㕣㘷散戳㑢㤵㙡㔹㐸㔵ㅣ挹㙡愹㤱㔷〵扥攴昵扦㠰㥢ㄲ昶㈵摣㤴㝤㌸㑡㜱挹㐴㔲攷㜶户昶㜱㌴㤷㐲づ㝤〴戲㡤挱挷〴户㥣っ㠶戵摣㔱愰㝤戸扥㝥㜹㐱㕥㥣㠳㐸㙢挹愲㉣摢㡦扢㜸戵〸戲攴戶㔸戵晤捥㝥㠷㌶㝢㉣㙢慦ㄹ㘴慤ちㅣ㘱㥤㠱挰换㘶㘱㡣㜴挸ㅤ散㈴㜵㍡㡣散㥥㝥㔰扥愶㑥敦っ㡤て㠵昱㕤㥥㠲㔲搸㔵㌰ㄲつ㙥戵㙥㜵㉢㡣晣搲昲搶㙥〱㔰ㄸ〲愶㐱㡢㥡㠱㠱㌳㠶昴昲〶づ㠳㤱〹搱搱㜸㈰㤵㌱捡㐱㌸散㠱㌴㜰ㄳて搲搳づ㤴㤰扦㐱㕥ち㡢敥㈵づ㕢㌸〲㌹敥㤹㑤㤹㤳扡㡦慢㉦昶愶愶散搱㜲㤹收㉥晣㜳慢〲慢戸戶ㄱ㤸愳ㅢ㥡㉥㘴挹㌵搱扥扢愴愹㈰扣㈸戸㜵愲戰㔷昷㑢㜳㔳晥㘲㜰㘹慢㔳㤲挸扣〲㝦挴㤲愳搳㘶㑥摢扣㠴扡挰扤捦ㅦ户㥤ㄳ戶㥣㔷挶攳㡤㍦㕡戱㕡㜷㌷㈷㤹㑦扤㡢㍦昲㔱㔳㤹㤷搱攳㑡愶捤づ敡づㄲ昶㈳㥦㐰ㅡっ㈱㥤㐰㈷戰摤㙢㌷〶㐸㈷ㅢ㥡攸㐴ち㠲㌵㐲戱㘷㍦㌰㐲㔱㝥〶戴㤲㔸㠲㈳㌹昶晣㌹戰扥昲㔳攴㄰攱㜸て挵㐸收㈲愴ㄲ㔰㈷〵㜹㜸扤㠳㤷㐱晥㝦戰ㄴ㜱昳㤲散昴㕦㘰㘶攵愵㘶ㄴ㕤㐰ㄴ扤搸㡡㈲〶㘲摦㔳挸㥢戳㕦㍢㙡㝥攸搷㝡晦㠷㐷捤㕢㠱㘱㍥搲ㅡ㐳㔰㡤挱昸㥡㌱搰搵㘲っ㕣㠶㘲㘹っ摣挶㌶㡣搷〷挶㐰攸敤㌸㠰㡣攵㡤〱㐶昱ㄲ㑣扥㔸㔰㌵收挰攰㔹敢㑣㡢㥥戰扤戸㕥㉢㍣㐴敥愱㥥扣㜱昸㥥捥㙡捤㥥搴㕤摤摡㈴昳昷戸〲㙡换㥤挶㝤㙤搹㠴㉤捥㔹戲㐴㌶㕡挲㉢ㄱ昹搳搷㍣㈷㉢扢愵づ㑣〵㑦攰愸㔷㜲㑡昶㝤昸㐴ㄴ㥥㄰㔲㥦摥昰愳㍤㝦扥敦攱㥤扣㤷ㄶ搲㙡㠶㠱攰㑥㠲昳戴ㅣ㄰扥㡤㕤〹搹挸捦㙦づ攰㐳㈴㜳扥㈲挶㜴㔷摡㍢㥥㘶㐵挹㠰昰㘲㠴ㄹ㄰摦㙡㌰㈶㜱挳㈱㌰㈶ぢ㑤㡥㑤昹昹㤲㜴〶ㄶ㘲ㄳ㤷摥扢㈸㐰愸戴㔵㔹ㅤ摡㤵㤹ㅦ㐳改扣挷㠹㌴摡㠳㍣㕦昲㔱㤴攷㥢戵摡㜶㙡㌵㘹㈶㉡挳愸ㄱ㐹㈹㐴ㅡ㐸㈱昱㈳ぢ㐳晦㔲㑡㑤㈲㤱㈹〰㈴挴搰㥡㠳戹㍣昹慦〹〱㔱扢摥搷攱愷㉡搸㐵㘰㌱昲扡㜷㝡㜶愵搵ㄹ愹㈶〶㘵攵改攳㜶㈴攴㌱㠵ㄹ㡣搲捡摣挳㐸㐴㑦㘶〴愹ㄵ㍢㥥㌸㐸㥦ㄵ㠴搸〲挶捥㔸昴慡攵慤㕤㜶ㄵ㜷㍣愰㘷戲㔲㘱搸敢㤹㡤愳愷㡣挶〵㔵昳㐱ㄶ㘱㝦㤰慣㌵敡〹㡢愰戳散㑤㌸㝦㈲捣挷敦㠱㔸㍥㕣敦㝡㘳㜳〹㜵㥣摤㡤〵昲〷晢敢㠲〴挶挶愸攴ㄸ㐸搸ㄵ搵捡〵㤷挰愷搰㐴摡昳㡡㔶㑦㜲㉣㐵㘱㌴㍡攲慣㉥戵㐵晦㌳㑥㉤㌹㙢㥡戵ㄹ戰㙥搰晦㐷㤱戱慣晥㔷ㄸ㘵㤳㈸扢㈳㑣昰㈵挳㐸挹戲挱ㄹ敥〸㝣搸〸搳挸㈳戰㈶㤳っ㙥〷愹㈹㝣愲ㅡㄴ㑢〹づて㔷扡昹ㄲ㐴慤㉤㙤摢㥥戶〲㤰㔱愰捣昷㈱㠲摡戶攷愴㕢捦戱搹㍢㤱扤攱㠰㔹㜲ㅤ捦㌱晣愱㈹㠴㜷㠷昸㠵㤹〱㥢㘷㔴㜹慥㔹愸㕤㠲㥤攸扤ぢ㙤づㅥ㠲挰㍥㈸晣て㉡敡挸ㄸ挲捡㘲ㄶ晣摡㘸㈰ㄶ㐸愲㜶昰捥㌰㙥慦敡ㄵ㝣愰㝡〸㕥㑤㥦㔹慢㐲搹〵扥攵收扢ㄸ摣㍡摣挶扡つ㥥ㅦ㔱㈹㈰っ㈶㤷㜰搷摤摣搷收㍤㘸慣ㅢ慥捤㘳捤捥扣㙢昹捣㜷㠱搳㤵㡤搲㐸㌲ㅣ㤳摦ㅤ攷戵扢〹ㄱ攷愱㜷㜴攵慥㔸昶㌶〸㍡て㍦摢愶换㙢戸〲㐷搹ち攲摣㥦㐲㔳攵ㄶ〲晣戴㘲㤸攰㡢㐲㝦摥㑤㑣㍣㠳㘵㤱〱㤰㑥㘵㜵㠰昶㔴晤敤愵愸㕡攱搱㠲㔴㤸㔷扥㠵㜲敥㔲戰摡㌲昳㜰搴㤰㐷〸愴戵戸攴㔶㜸㠴㤰攳㍦㠵〶戵昱㘷㤱摢㝥晣㙦㉣㌹㍥㤵扦㕣㕦扣晦㠱㐸㜹㘸挷㌸昴㜱㠲ち㠱〵㌰㄰搵散愷㔸愴慣挹〶㐱㠴㤷㜶㈲㡤攷て攱扦㙦敥㝣敤㔵㍥晦搸愹㐸㐱㠸愲挶㔵㔰㄰捡㔵㍣ㅥ㕦挵㍣㜲摢慦攲慢㑢慤㘲㠰㌲㤲㌳搱㕣㠰扥㉥㠵戴㈲㔷攵㈱挱つ攵㑦㤱〸㐵愲㘱ㄶ〳㐴慣㙣㕢㐵〲㙤戹昳戲敤〲ㄲ㔱摢っ㌷㈲攱ㄳㅥ㘹ㅦ昱捡㈳扤㌶搹挰敤㥡つ戴㘲捥ち晤慤慢㐲㌶㘰㐹晣㈶戶慤㐸捦㜶ㄸ换㔷ㅥ㡢㄰戳㜷㙦昴㝤㤴ㅡ㐶㤷㐰ㄸ㠱㐵㑡㐲攲㐶㉡㕦㠸㉡㍦晦㐲摤㌹㡡〲㍣愰㥥愰㌲〹㑥㔶㝥㌴慡扣ㄵ摦㕥挹㍡㈹摥ㄵ攰昳㘶㔴㤹㠴㈹㉢㍦ㄲ㔵晥晢搶㑤戵捡ㄱㅤ〶㍤㘷㐸㈴〹戶慥戴晥㘳摦㘱昳㔰㥤㌱愸㍦㝢㡣㈰㥢㤲㔳〶㠹㉢㔲㠳昶攲摡㠷㡢㉦愱昷攳ㄶㄳ㉥㝢㐰挸〶晦㈱挲㍥摣㙥㥡搰㝤ㅤㅦ㍡㉦㈰慣散㙡昲㡤㡤戳挶㈱ㄷㄹ摤挶㍥て㘷慡昲慡㈲ㄱ㤸〳改㘰㝦㤷㜱扦㈷㤸㡥昵晤㠸挲㘱㉡㙦㡢㜴愶㍣㘴〸㈵慤㍣ㅣ㘱㌶㜵慡㑥㌳摡㘷㠰ㅣ㠸㐹㐰㈶戴〷〰㠳㤰换〶㘶っ㤰晦㈵㜳㥦㐲㐲㝢㠸攰戳〰㜹㠵捣㑥㍡挸㝥づ㘰㈳慣㔴晣㠷ㄴ摥㔰㔹っ捤扢㘲〱晦挱挵㉦㝦㘲慢捡晤搱㤰㜱㘲搲㍥捦㘶㡦〰㜴挱㕤慢㠴愴㤸搷ㅥ㐵㑥㝣㘸㡡て㌹昴㘳㉣昸㈲挱㤷〰昲ㄹ㑥㜹挵㝢挷㤵㜵愸扦扥㡣愶ち㌷㐴㑡戳慦㠴〹扥㘴㑥〱摣搴摥㘲收㠱㌸晡㠸ㅦ愱捤㠶慦昵㜷攱敢晢㐵㉥扡ぢ晦昹㐸㐶㥡昷㘹昵㘳㥤昵㐵㔶愰㘵㉥㝦㉥㌶晢㝤昴挳㜵搵㉤㑤昶㜸㌳㝥㌹㌵慢㍣㠴㝦㑦攱愷摣㡢ㄱ㌸ち昵㙤づ捥ㄶ㔲㠲㉣㤸てぢ愸戸戴挷〱ㄴ攲㤸㜸搲㥥攰ㅢ㔱换晥戵慦㠵〹扥㈸挴敢㈹㈶㉡㘱昳㘸㐰攲㕡ㄶㅣ㙦ㅡ㤰昸㤷〵挷攲〳㝥ㅤ戹㡡㐴ㄶㄲ㡤扡㠹㐸㑢㌳昷㐹㠰扥慥㝥捥㡤扡㑥㍤愹㤴敥㈹摦㜳捦摢晤改愱㜳搲㥦戸愵昷挹㌷㝦晢搶ㄳ慦㝦㜲挷摦摥㜹晡改搷晦昲挴慢敦扣㍣戳攳搷捦㍥晢慢㕢扦昳敡㕢敢㡤㘷搴ㄷ摥摥晦捣晤㈳挷敦扦搷㌸㜲昵㥥晢敦㍣㜶晢挸攴ㄹ挳㕤㕤摤摤㔷っ晥收散㉢〷㑥摤晢愲昲㡢㌷捥戲ㄵ戹㕣づ㜸ㄸ㈰㝡〶戸㙣㌹㡤㙦㈲㠱㘹㜰挶ㅦ敡㌴戸摣㔳昸㈹攵㜰愳挶昰㤲㠳㘷㠳ㄳ㤰〵愵挶㠲㥥晦〰挰愰戶㤶</t>
  </si>
  <si>
    <t>Decisioneering:7.0.0.0</t>
  </si>
  <si>
    <t>8a6785a5-d924-4926-9962-558eaa4e0125</t>
  </si>
  <si>
    <t>CB_Block_7.0.0.0:1</t>
  </si>
  <si>
    <t>㜸〱敤㕣㕢㙣ㅣ㔷ㄹ摥ㄹ敦慥㜷搶㜶散挶㑥摡昴㤲扡昷㡢挳㌶㑥㤳㕥㈸挱昵愵㐹摣收攲挴㑥㑡㔵捡㜶扣㝢挶㥥㘴㘷搶㥤㤹㜵攲ㄲ㈰㠵搲㔲㉥㠲㤶〷㘸㈹㔰㔵愸㠲ㄷ愴㠲㔴戵㔰㠴戸㐸愰慡㐵㝤㈸㐸㍣㈰㤵ち㠱〴〸㐵攲愵て㤵捡昷㥤㤹搹㥤摤昵㡥摤㙤ぢ㉥昲㈴晢攷捣戹㥦昳㕦捦晦㥦㐹㐲㐹㈴ㄲ㙦攳攱扦㝣㤲㑣㕣㌸扤攴㝡挲捡㡤㤷㑢㈵㔱昰捣戲敤收㐶ㅤ㐷㕦摡㙦扡㕥〷㉡愴昳㈶捡摤㔴摥㌵敦ㄷ㤹晣愲㜰㕣㔴㑡㈵ㄲ㤹㡣愶愲㥣㥤昰搷ㄷ扥㘸㙣搵㥤〴㤸ㄹㅦ㍢㌴㝢ㅣ扤㑥㝢㘵㐷㙣ㅢ㍣收户摤㍤㍣㥣ㅢ捥敤扣㜱昸㠶摣昶㙤㠳攳㤵㤲㔷㜱挴㙥㕢㔴㍣㐷㉦㙤ㅢ㥣慡捣㤶捣挲ㅤ㘲㘹愶㝣㐲搸扢挵散昶敢㘷昵㥤㌷つ敦摣戵换戸昹收㥢扡㌱㜴攲攰昸搸㤴㈳っ昷㍤敡㌳挵㈹敦㥣㄰〵㤳㙢ㄳ挲㌱敤戹摣昸ㄸ晥㐶收㡦户ㅢ㜳搳昳㐲㜸ㅣ㕡㌸挲㉥〸㔷㐳挳㉥㙢搴㜵㉢搶〲㌷㑦戳昶㘰愹〵摤昵㔲搶戸㈸㤵㌴㉢散㌵㘳ㅤ挲摥㤵昴愵㙥㙢㕡搸慥改㤹㡢愶户㤴戶㘶搰㔱戱挷㍡敡㡡㈳扡㍤㈷づ敡㤶㐸㔹㝢㉢㘶㌱改㍦㠹㡥慢挲㉥愲ㄳ㤳换捦㡤扡搶昸扣敥挸ㄹ戹摣㤸㤸扡㝢㥣㐲㝤摤换㕡昷换愹换ㄱ搸攷ㄵ慤敢愱攴㤸敥㔴㙢づ戵慥ㄹ㉣扥㝥〶搷戵慥ㅦ搹愳晡㌶搷戴㙥㈳户戲扥戶搲ㄵ搰户摣㔱㉣㐶㑢ㄳ㜴ㄲ㘴〸㠸㐰㉤㑢搰㐵搰つ愰㈴晦つ㉥㠹㌶㘴㤱㥡搷搵晣慣㥡㉦愸昹愲㥡ㄷ㙡摥㔰昳㜳㙡㝥㕥捤㥢㙡晥戸㥡㍦㠱㍡攱㤳改散㔴㠳攷捤慦晤晣㐳扦晣晢敦㈷㥥ㅣ㜹改㜲㌷昱㙡㝦昷〶㔴㍡ㅣ㑣㙡挲搱㑦㠲搴㙡㔴扣㈳户㥤㝦㔶收ち㌰㠵戱换戸搱ㄸㅥ㉥敥摡慥㕦慦愷戸慣ㄸ攴搷ㄱ㑡ㅦ敡㜶ㅢ㜷㥡㜶戱㝣㔲攲敥挲㌱摤ㄵ戵㡤ㅢち捡挶捡ㄵ扢攸㕥戰㝣攱戴愷㝢攲晣挶戲㕡㈷㑤捤愶挱㔶挲㤵攳㙤㙤㙣㜶㑣㉦㔵挴攸㈹搳㉦扥愸愱搸㥡㜲捡戳慤㑢昷㌸攲扥㙡㘹搳㡣㐶㈱搴ㄶ㘵摦㑤慢昴㡢晣㜹つ㡥捦㤷㕤㘱换改つ㔹㔳㘶攱㠴㜰愶〵㐵愲㈸捡愵㙥㘲㔱挰昵㐳㠷㙣㉣ㄴ摣㕡扣㌴㥡㙢摣㜶捡〳㌳㡢㈲收扢㈰ㅣ㙦㘹㐶㥦㉤㠹捤㜵㔵晣㌱㔱戰愵㉥㝢㑦戹㔰㜱挷换戶攷㤴㑢昵㈵愳挵㐵ㅤ㤲愶㜸愰㕣ㄴ挹㘴㐲ち〵〸摣㡥づ㐵㐹㕣摢㥡ㄷ㈴㈲㈲㈸㈶㈳㥦㔷㑦㜶戹㈳㔸ㅤ㔶㔱ㄲ愴㐹昵昲ㄵ㍡攳㝣愵㡣㠹攱挰挸㥡愸㍦㌸攸搵㉢㜴㕢挵摣晢㕢㔹㔵晢㠳搵摦戶㈸㙣㙦㥦㙥ㄷ㑢挲㠹搵㝥ち㘷愴昵〲愴捥㐲㈰戴摣㍤慡㍡攵㤴戲㤴㍡㘹ㄶ扤昹昴扣㌰攷收㍤攴㐱㐳㘶㌲摣摡愶㐷㍢〷㔹摡㐶㠲㝥㠰㙣㌶㤱ㅥ㘰愵㜴ㄶ㑦㈲㐵改ㄴ挳换㜵㠲㥣敤敡㜸戹摢搸㘳㤶㍣攱ぢ攵㕥〳ㄸ昱戵㥡㐴㕦て㐹搴搱ぢ扥挲ㄸ㌰挶㐱愵扡㘹㝢㑢㌵扥㙤攲ㄲ㥦㠸搶㘵挱㥡㤳〵ㄴ〵昵昲㈰㠶搷㐰㌴つ搲㈰扥㜲㠴㠸挸〶㌱㥡ㅤ㍤搷ㄳㄹ敢挷挸〸搴㡦ㄲ㈱㙢㙦㙦㉤㈳㐸散捤㐴捡㐶㉤昹㜱㕤㥡㉤㘷换晢搲㙣ㄳ㌶㑥摢㑣㜰㉥挱㜹〴㕢〰㤴扦㐲挲㔱捡㈱㕤晦㘸ㄷ攰㕤扢㤰攰㈲〰挸㈷㡤㌲㈷㄰㔵戴愱㔶㘳㐷戲㕥て散㘴㘹ㄴ晢愲㠸㤶㜱搵捥散戱㈴愲〳慢㜳㙤攸摡愴搴戱㔷戶愶捤攸㜲㐸㤱㌱㔵愳㙢㕤愱㙡㜴㈳㔸戵㑤扤㜵㌱㥡㙡㠳〴㤷〰昸㡡㠵挶敥敡慣㜹㥡㤳ㅦ〸㤳挸㌷㠴摡㔴敥〱ㄱ搳晣㡦ㄱ㜰㑤㐷㤷㜵晢㤹愶攰㤰昱㠱户㥦户戵收敤〰改つ㍡㜳㕤攷搰㔷昴づ㉤攸㑢挱㕥捡㥦㕡敡㤷换㔱慣㕤㐱㜰㈵㐰㠳㝥攱挹晢㥤㝡〹愴㐹㙣㐵㌰户㤱ㅥㄷ㘹攱捥㉣㉤〸愹㝤扡㡤ㄹ摤㤹ㄳㅥ扣ㄷ㤳ㄳ戰㠳换㡥㈳㑡㌸搰ㄶ㘵〶捦㉥攷搶㘷扡㝢㥣戲挵晣㜵晢搸晤㐰㈸㠶㘴㔲敤㐸㌴搸挷㌱㜶㘶挴摦ㄴ愱ㅣ敡摦敢㕢ぢ㠹㐸愳㝡昲㘲扢昸戳攵扡㈴㘹㐳㤲㕣㡤㙤搵慥〱㠰㤴㔰晥搰㔲愲っ戱摡㌶㔹慤摥㕡愵㜷㉦收㘴搲攰㍦㙣㤲㈳㕤扥戳㜶っ扥〳户挷㥡㌶慤慡戰攸戲愶㠴㔳㠰㕦挱㉣㠹慣敦㤲愵愸㔹㤷ㄵㅦ㄰㔹搱搱搱㜴㤶㡥昱慤㐹㍡㘹㤰ㄲ戱摣ㅥ㕢ㄸ㜳づ慦ㄱㄵ㕤㤰ㄴ㉡㌱㙥愱慡〴㈲攵戱敥扡㠸㘹㐳挴攴戰㜱摡㜵〴摢〹㠶〱㔲扦㠳愴㔹敤挶㌳ㄴ搶戹㐸㜷㜶㍥㥦挸㄰つ搲㍤昸㑡㑢㘱戵㤳挳散㈲戸〱愰挱晣愱昳㌱㠶㄰㈵捡㈳㠴㐸㙢㐹㌳㡥㤹攲㈴㘹㘰㠳㠱愰搲㜸挵昵捡ㄶ愳㑡㍤挶㐴昹㘰搹㥢㌰摤〵㐴愱晡㡤㈰㜱攷扣戰㐱㕤づ㙣㥦㠶扣昲挲㠲㈸㙡挶㜴戹〲搱㌶㌹戱ㄶづ攵㔸ㅦ㙣㐹㜹㉥㔷ㄵ㍣敤㥤㡤搱㠵㈲㑦挴昰戵搲ㄳ扢㉡捦㌷て㝤扤戵ㅤ㥤㌱扤㤲攸㌲㝣愶㘳㍡㘳㘰ㄷㄱ㌵㈸㜶ㅡ㌳昳㡥㄰ㄳ㍤挶㕥挷㉣㤶㑣㕢㄰ㄹ戰㌱ㄹ愸摢㉦收㄰㈱㤸㉡㌳晥㔷戶㝢㡣ㄹ㐷户摤〵㥤挱挴愵㡤㜵㙦㌲㈴㤲㌲挶㑣摢挵㌰ㄲ㡢㑣昷ㅡ搳昳攵㤳㠸搶㔶㉣㝢慦扥攰慥〹慣㤰攸晤㐷愲㐶㔱ㄵ㔵㔵㌲㙡愶㕤晣昰㐰㥥㐸散挰㉦㐹㈰㜱㤵㐸搱㕦ㅥ愳扤㘹搷〷昱ㄹ摡改㥣㔳㌷㈲㐷搵捣㡥㔸㈹㑣㑥搵㙥㘲㥢㥢〱㙥摦㝢㜴戲ㄶ㤵㝢㔷昱敡ㄴ㍤晣㌱㌲㕥㤲㐵㌵〸㐲晦摣〶㥦㔴㤸㐷捡〱〷〲攳㝣㙢㈴扦慣㈱敢㤰晡㌶搴㤲㝢㄰㐵敡㌶昶敢戳愲㠴㔸戴愵㝢ㅢ晣ㄷ㥡戱㤶㕥㜲㠳戲昱戲㘵改㈴㉤㤲攵㜴㐱㈷〵㡦㔶扣昲〱搳搶っ〰㐹㝦㐱㤶㝥ち㔹晡㈹㤹搵㙤ㅣ㘱㔸㔰愶搹㔷㜹㑥㜷㑣㙦摥㌲ぢㄹ扥㌰㜴户㈶㘸ㄲ㑣㑥挹ㅢ㍥愱捣ㄸ㙣戰收㡦挲㘴㜳㜳㐰㜷づ㜲㤴㕢㐷昴㠳㜲㔵㈵㡤㍦㑡㥢㡥㈵〸ㄸ改㈵搵㙥㐱㙦㈹㜹㌳〲㈲㐷㍥㘷挳晢ㄷ㘷㍦㠳ㅣ摦㉦㐷慣挷㤰〸㍣㠲ㄱ㈱㑦昷㜶摡㌸㙡㥢ㅥ戰㐷㡣敤㌱扤〹ㄷ㈸〷㐰㔲ㅥ㙦捦㤷㔸㡤㌴ㅡ慡㙡㠵㡢㥢㡢敡搴挴搶收昲愸摥戸㝣㤹㘲㕦愳㐴ㄴ挹㑡㤵愴㘶㔹㘶㡥㙢㐹搵㈸㔲㜱㠷摡㐶㠹㜳㥢搶昶㥤㔲攴㕤㈸㈶㐹㌳〹㙤户㈴ㄴ〴㜹㐹ㅤ搰㔱昴搷挷㤳㐷㈴㕡㐳ㅢ㈰㑢㍤攵攷昵〴攱挰㐹㕣㌹㈹㡡㙣昰〶晥摥㄰㈴て㔵扣扡ㄲ晤㔴㝦㔰㌲㕡㉡ㅤ戲㘱㈵ㄴ㜴愷戸㐶㔸ㅡ㙢昳㌵㡣攴捥㜶戵扦扦扤ㄱ㐶っ搸㤰㈱㤱ㄸ㍦㌰搸㄰捣ㄵ㠹愶搲㍡敢攱㔶㔷戳㌳㝣㍢㈰㜴㕢㘲㘰摡㉢㑥㠸㐵㘹㠶搵㉣昹㝥搹愰㝡㕡㤴㜲㔴㌳㐶㘷㕤愸㜴㡦㜲㍣㐸㐹〶搷㡣㈳㜴㑢攱〲〳挴㙥㤰㥡㉡㜸〸敢㔶㍢攰挹㘰敤㘰〷㍢攲㠷㑤㘸㥤㔱㠲愶㘳〸户㝥ㄱ攴㥤㌶㌱ち㐱㙡挸攷㕦㈳捡ㄳ㡦昳昹挱㐸㈲㑣〴㑣挴㔰㔷㡣昵〰攴㐶愳㤲攴愲晥㌰㔸敥㑢㌶㈹戴扡挳㍣㥡ㄸ㍤㌴昹ㅣて㌷㜸ㄸ挷敡㈵摢㤴㜰挷捤㌳愱㑤㑢㑢ㅢ㡣㐹扢㔰慡ㄴ㠵㔴挵愱慣㤶ㅡ㜹㑤攰㑢㕥晦昳戹㈹㘶㕦㠲㑤㤹挴㔱㡡㑢㈶㤲摡户扢戵㡦愲戹ㄴ㜲攸挳㤷㙤っ㍥挶戸攵㘴㌰慣改㡥〲敤挳㡤戵换ぢ昲攲ㅣ㐴㕡㔳ㄶ㘵搹㝥摣挵慢㐶㤰㈵户㐵慡敤㉦敦㉦搳㘶㡦㘴敤㌳晤慣㌵㠱㈳慣搳ㄷ㜸改㌴㡣㤱㌶戹㠳㥤㈴捥〶㤱摤戳㥦㤱慦㠹戳㈳㠱昱愱㌰扥换㔳㔰〲扢ち㐶愲挱慤搶慣㙥㠵㤱㕦㕡摥摡慤〰ち㐳挰㌴㘸㔱搳㌷㜰挶㤰㕥搹挰㘱㌰㌲㈶㍡ㅡつ愴㌲㐶搹て㠷㍤㤰〶㙥攲㐱㝡愶っ㈵攴つ挸㑢㘱攱扤挴㈱ぢ㐷愰戲戳戹㈱㜳㑡昷㜰昵挵摥搲㤰㍤㕡㉣搲摣㠵㝦㙥㑤㘰ㄵ搷㌶㝣㜳㜴愰攱㐲㤶㕣ㄳ敤扢换ㅡち㠲㡢㠲㍢㈶㜲晢㜴慦㌰㍦敤㉤昹㤷戶摡㈵㠹搴捦攰㡦㔸㜶㜴摡捣㐹㥢㤷㔰ㄷ戹昷搹ㄳ㜶昹愴㉤攷㤵㜲㜹攳㡦㔶慣搶搹挹㐹㘶ㄳ㙦攳㡦㝣搴㐴敡㐵昴戸㥡㘹戳㠳㥡㠳㠴晤挸挷㤷〶㠳㐸挷搰〹㙣昷敡㡤〱搲挹㐰〳㥤㐸㐱戰㑥㈸昶摣㝢㐶㈸捡㑦㠱㔶ㄲ㡢㝦㈴挷㥥㍦〳搶㔷㝥㠲ㅣ㈲ㅣ敦㠱ㄸ㐹㕤㠲㔴っ敡愴㈰て慥㜷昰㌲挸晦て㤶㐲㙥㕥㤶㥤晥ぢ捣慣扣搰㠸愲慤㐴搱昳捤㈸㘲㈰昶ㅤ㠵扣㌹晢昵愳收晢㝥慤昷㝦㜸搴扣ㅤㄸ收㈳慤㌱〴搵ㄸ㡣慦ㅡ〳ㅤ㑤挶挰ㄵ㈸㤶挶挰ㅤ㙣挳㜸扤㙦っ〴摥㡥〳挸㔸搹ㄸ㘰ㄴ㉦挶攴㡢〴㔵㈳づっ㥥戵㌶㕢昴㠴敤挳昵㕡攱㈲㜲て昵攴㡥挳昷㜴㙥㜳昶㤴敥攸搶ㄶ㤹扦搷ㄱ㔰㕢捥っ敥㙢换㈶㙣㜱晥戲㈵戲搱㌲㕥㠹搰㥦扥敥㌹㔹摤㉤㜵㘰捡㝦㝣㐷扤㤲㔱搲敦挲㈷愲昰㠴㤰昸攴挰て昷晥昹晥〷㐷㜸㉦㉤愰搵ㄴ〳挱敤〴攷㘹㌹㈰㝣ㅢ戹ㄲ戲㠹㥦摦ㅣ挰㠷㐸收㐲㐹㡣改㡥戴㜷㕣捤ち㤳㍥攱㐵〸搳㈷扥戵㘰㑣攲㠶㠳㙦㑣收ㅡㅣ㥢昲昳㈵改っ捣㐵㈶㉥扤㜷㘱㠰㔰㘹愹戲摡戴㉢㔳㍦㠲搲㜹㠷ㄳ愹户〷㜹扥攴愳㈸捦㌶㙡戵㕤搴㙡搲㑣㔴㠶㔰㈳㤴㔲㠸㌴㤰㐲愲㐷ㄶ㠶晥愵㤴㥡㐲㈲㤵〳㠸㠹愱㌵〶㜳㜹昲㕦ㄷ〲愲㝡扤慦捤㑦㔵戰㡢挰㘲攸㜵㙦昷散㑡慢㌳㔴㑤っ捡捡搳挷㘱㈴攴㌱㠵ㄹ㡣搲捡摣㈳㐸㠴㑦㙡ㄸ愹㔵㍢㥥㌸㐸㡦攵㠷搸㝣挶㑥㔹昴慡㘵慤摢散ち敥㜸㐰捦愴愵挲戰㌷㌲ㅢ㐷㑦ㄹ㡤昳慢㘶晤㉣挲㕥㍦㔹㙤搴ㄵㄴ㐱㘷搹㕢㜰晥㐴㤸㡦摦〳戱㝣愸搶昵愶挶ㄲ敡㌸扢ㄳぢ攴て昶搷搶ㄸ挶挶愸攴ㄸ㐸搸㔵搵捡昸㤷挰愷搱㐴摡昳㡡㔶㑢㜲㉣㐵㘱㌴㍡攴慣づ戵㐹晦㌳㑥㉤㌹㙢㠶戵ㄹ戰慥搳晦挷㤰戱愲晥㔷ㄸ㘵㤳㈸扢㌳㐸昰㈵挵㐸挹㡡挱ㄹ敥〸㝣搸〸搳挸㈳戰㈶㤳っ㙥晢愹㘹㝣愲敡ㄷ㑢〹づて㔷戲昱ㄲ㐴戵㉤㙤摢慥㤶〲㤰㔱愰搴昷㈱㠲㕡戶攷愴㥢捦戱改扢㤰㍤㜰挰㉣㌸㘵户㙣㜸㠳搳〸敦づ昲ぢ㌳〳㌶捦愸昲㑣愳㔰扢っ㍢搱㝤㌷摡ㅣ㍣〴㠱㝤㔰㜸敦㔵搴㤱㌱㠴搵挵㉣昸戵㔱㕦㈴㤰㐴敤攰㥥㘳ㅣ慥攸㈵㝣愰㝡〸㕥㑤㡦㔹㙢㐲搹昹扥攵挶扢ㄸ摣㍡摣挶扡〳㥥ㅦ㔱捡㈱っ㈶㤷㜰昷㍤摣搷挶㍤愸慦ㅢ慣捤㘵捤昶扣㙢搹搴昷㠰搳搵㡤㔲㑦㌲ㅣ㤳摦ㅤ㘷戵㝢〸ㄱ攷愱㜷㜴昵慥㔸昶搶て㍡て㍥摢愶换㙢愸〴㐷搹㉡攲摣㥦㐰㔳攵㔶〲晣戴㝣㤰攰㡢㐲㝦摥㉤㑣㍣㠵㘵㤱〱㤰㑥愴㜵㠰搶㔴晤㥤攵愸㕡攱搱㠲㔴㤸㔵扥㡤㜲敥㤲扦摡㈲昳㜰搴㤰㐷〸愴戵愸攴㔶㜸㠴㤰攳㍦㠱〶搵昱攷㤰摢㝡晣㙦㉥㍢㍥㤵扦㕣㕦戴晦扥㔰㜹㘸挷㌹昴〹㠲ㄲ㠱〵搰ㄷ搶散愵㔸愴慣㐹晢㐱㠴ㄷ㐶㤰挶昳㙡昰敦敢㈳慦扣捣攷㥦㈳㡡ㄴ㠴㈸慡㕦〵〵愱㕣挵愳搱㔵㉣㈰户昵㉡扥扡摣㉡晡㈸㈳㌹ㄳ捤〱攸改㔰㐸㉢㜲㔵㉥ㄲ摣㔰晥ㄴ㠹㔰㈴敡㘶搱㐷挴捡戶ㄵ㈴搰㤶㍢㉦摢㉥㈲ㄱ戶㑤㜱㈳㘲㍥攱㤱昶ㄱ慦㍣搲㙢㤳昶摤慥㘹㕦㉢㘶慣挰摦扡㈶㘴〳㤶挴㙦㘲㕢㡡昴㜴㥢戱㝣攵㤱㄰㌱晢昶㠵摦㐷愹㐱㜴〹㠴攱㕢愴㈴㈴㙥愴昲㠵戰昲戳捦搵㥣愳㈸挰〳敡昱㉢㤳攰㘴攵㠷挳捡㍢昰敤㤵慣㤳攰㕤〱㍥慦㠷㤵㐹㤸戲昲㐳㘱攵㝦散搸㔲慤ㅣ搲愱摦㜳㡡㐴ㄲ㘳敢㑡敢㍦昲ㅤ㌶て搵㈹㠳晡戳换昰戳㈹㌹㘵㤰戸㈴㌵㘸㌷慥㝤㌸昸ㄲ㝡㍦㙥㌱攱戲〷㠴慣晦ㅦ㈲㑣攲㜶搳㠴敥改昸搰㜹ㄱ㘱㘵㐷㤳㙦㙣㥣㌶づ㌹挸攸㌴㈶㕤㥣愹㡡㙢㡡㐴㘰づ㈴晤晤㕤挱晤ㅥ㘳㍡搶昶㈳っ㠷愹扣㉤搲㥥昲㤰㈱㤴愴昲㘰㠸搹挴㤹ㅡ捤㘸㥦〲㜲㈰㈶〱㤹搰㍥つ攸㠷㕣〶㤸搱㐷晥㤷捣㝤〶〹敤〱㠲捦〲㘴ㄵ㌲㍢改㈰晤㌹㠰㑤戰㔲昱ㅦ㔲戸㠳㐵㌱戸攰㠸㐵晣〷ㄷ扦晡戱慤㉡愷挳㈱愳挴愴㝤㥥捤ㅥ〲攸㠰扢㔶〹㐸㌱慢㍤㡣㥣攸搰ㄴㅦ㜲攸㐷㔸昰㐵㠲㉦〱㘴㔳㥣昲慡昷㡥㉢㙢㔳㝦㝤ㄹ㑤ㄵ㙥㠸㤴㘶㕦〹ㄲ㝣㐹㥤〱戸愵戵挵捣〳㜱昸ㄱ㍦㐲㥢㜵㕦敢摦㠶慦敦㤷戸攸づ晣攷㈳㈹㘹摥㈷搵て户搷ㄷ㔹㠱㤶戹晣㌹搸散㜷搱て搷㔵戳㌴搹攳㐷昰换愸㘹攵〱晣㝢〶㍦攵㍥㡣挰㔱愸㙦㌳㜰戶㤰ㄲ㘴挱㐲㔰㐰挵愵㍤ち愰㄰挷挴㤳昶ㄸ摦㠸㕡昶慦㝤㍤㐸昰㐵㈱㕥捦㌰㔱ち㥡㠷〳ㄲ搷戲攰㐴挳㠰挴扦㉣㌸ㅥㅤ昰ㅢ挸㔵㈴戲㤰愸搷㑤㐴㕡㤲戹㡦〳昴㜴昴㜲㙥搴㜵敡㈹愵㜰㙦昱摥㝢摦散㑤づ㥥㥦晣搸慤摤㡦扦晥搲ㅢ㡦扤昶昱摤㝦㝢敢挹㈷㕦晢换㘳㉦扦昵攲散敥摦㍣晤昴慦㙦晦敥换㙦㙣㌴㥥㔲㥦㝢㜳晦㔳愷㠷㑦㥣扥捦㌸㝡敤摥搳㜷ㅤ㍦㍣㍣㜵捥㔰㐷㐷㘷攷㔵晤扦㍤敦敡扥㌳昷㍤慦晣攲㡦攷摡㡡㕣㉥〷㍣〲㄰㍥㝤㕣戶㥣挶户㤰挰㌴㌸攳昷㜵ㅡ㕣敥ㄹ晣㤴㘲戰㔱㘳㜸挹挰戳挱〹挸㠲㐲㝤㐱搷㝦〰㙣敥戵㥤</t>
  </si>
  <si>
    <t>CB_Block_7.0.0.0:2</t>
  </si>
  <si>
    <t>CB_Block_7.0.0.0:3</t>
  </si>
  <si>
    <t>LOC</t>
  </si>
  <si>
    <t>Chica</t>
  </si>
  <si>
    <t>Grand</t>
  </si>
  <si>
    <t>M. gr</t>
  </si>
  <si>
    <t>㜸〱捤㝤〷㥣㔴搵搹晥㥥㘵昷戲㘷㈸㍢㉡ㅡ愲㈸㑢戳㠱㥢改〵㐴ㄶ㜶〱㔱㄰㄰散〵敦捣摣㠱㤵㉤戸扢㌴㉢搸愲㐶挵ㄲ㑤昴搳㐸㡣㍤昶ㄶ㑤㌰慥㘰㙦㠹㔱ㄳ㌵ㄶ散戱㐶㈳昶昶㝦㥥㜳换㥥㤹戹戳㤴㉦晦摦敦ㅢ㜶㕥敥晢㥥攷扣攷扤敦㜳晢㜹㘷愶㐲㔴㔴㔴晣㠸ㄷ晦攷慢㡡ぢ㐳收㉣敦散戲㕡敢ㅢ摢㕢㕡慣㙣㔷㜳㝢㕢㘷晤挴㡥づ㜳昹昴收捥慥㍥〰ㄸ昳㥡搱摥㔹㍤慦戳昹㔸慢㘶摥ㄲ慢愳ㄳ愰敡㡡㡡㥡ㅡ㔹㠹昶㥦㌸敦愰慢㐸昶㤲㔵ㄴ㐰㔵㐸㠳愲㉦㐵つ㠵愴〸㔰昴愳攸㑦㌱㠰㘲㈰㐵㉤㐵㤰㘲㉢㡡慤㈹戶愱ㄸ㐴戱㉤挵㜶ㄴㅣ㔵づ愶昸㈹㐴晦敤㈱收㌶㑥㥡㤹㌹ㅡ敢㌰愷慢扤挳ㅡ㔳㜷愰ㅤ改昸㜰戸㍥㕣ㅦ㑢㠶ㄳ昵愱㌱㜵㡤㡢㕢扡ㄶ㜷㔸攳摢慣挵㕤ㅤ㘶换㤸扡㔹㡢㌳㉤捤搹㝤慤攵㜳摢ㄷ㕡㙤攳慤㑣㈸㥡㌱㘳愹㜰㉣ㅥ捦愷搳愹晥㍢挰昳㝥㡤㤳㘶㜵㔸昹捥晦㤶捦㈱昴㌹戳㜱㔲晤㝥㔶搷㝦换攷㡥昰〹㤷㑤敤慤㘶㜳摢㝦挹㘹㌵㤹㡣㌷㔹搹㘶㔲㙥㔹ㅤ捤㙤昳敢ㄱ㜶㐱愲愱㈵敢㈷㜶㜶㉥㙥㕤挴慤愷搱㙡㘹搹摦捡㉢慡㕢㥢㍡扢㘶㤹ㅤ慤㥤晤㕢㤹㍦慢挳㙡换㕡㥤〳㕢㈷㉦换㕡㉤づ戰戳愶昵㐰戳㘳㍦戳搵慡攲㐲㙤慢捤攱戴㥣搵搶搵摣戵㝣㐰敢〱㥤搶晥㘶摢㝣㡢㤰敡搶愹㡢㥢㜳愲慡ち㝦ㄵ㝤㜶昱㡢㑣ㄱ㠵㜸㕡ㅢㄷ㤸ㅤ㕤㑡㈳㠵㘱㍦慣戶戹愸戵㈸㠸㡢㥢㔴㕤㔱㉦㜲㌶愷戹㜵㕦慢愳捤㙡攱㈰㘴㜲㜴ㄱ㐸㈵挸收挱换㤴扢㍡㘴㐹昴㜳㜶㌹慥ぢ㐷㌱㜶㠲ㄸ㍢户愳ㄹ慢戹戸挵散ㄸ㌳愳戹㙤㝣愸㍥㥥㡥㡦㤹摥扣搰㙡㘹戶㍡扢愰㈷挷捣㌰㤷攱晦㜴㌲慤扦㔲㐹㌹ㄴ晤㘵ㅤ㍤つ㠳愸㙡㙣㡡㠴攵㜰摡㐶㐰㠸慡㤷戱捦敢㘳㜲扦慢㥣㘷㔶捥换㔴捥换㔶捥换㔵捥戳㉡攷攵㉢攷捤慦㥣户愰㜲㕥㜳攵扣愳㉢攷㉤〴挶㝤搵昴敤㕢改扣㜶㌹㙡挳慥㜲㠷捦愶㥤㜹昲晥㍢㕥昳挴㌶摢〸敥收敡㈸㌱ちぢ挳㡢搷㐱㡦㕦㐵ㅦ㤶㍢〳㈷㜷㠱㌰㜶㠵㐰慣挹㤰摣㡤戶摤㈱㠴㜸ㅥ戱㌲㕥昹摢㤳㜷ㅦ㌹㘲收㤴ㄵ㉢㑦㑥扤扣收戶㡦〵て㈵㙡愰㌱㔸㐸ㄴつ㤴慣㑦挴昴㥣ㄴ㘴㉥㙤㡦ㅣ愹㑦挸㍤㌸㔰㍤㠴昱㌳〸っ㥥㠸捡㄰㙤㘱〸㈱㥥㜶〶て㉣㤸昲搲昷㝤ㄶ㌷摥昴敡㡣散㠰昷㔳㙢〴て㘱㙡昰㈸ㄶ㌶㘵㉤㘳㜴ㅡ㠷㌰ㄲ㄰ㄸ㈸㥥㤰㐹摡㔲㄰㐲㍣攲っ㌴㝥攱ぢ㕢ㅦ扡挷攸㈹愷㝤㜴㜱㔲扣㔴㝤愶攰㘱㔲つ㌴ㄶぢ挹愲戵㡣搷挷㈳〵慢愹㙦ㅦ㠹晡戸㕡捦㜴㝤㔸㡥攳㐸㝢㐲ㄸ攳㈱㤸攳㠸摣㡢戶〹㄰㐲㜴㍢愳㝦戱㜸晥愷㘳㈷捥㘸㍡攷敢敢捦ㅥ㍥㜰挵㔰挱㥤㔶㡤㍥ㄱぢ昱㤲搱挳ㅡ㥤〹㌵㔸慡㍥㕡㤰昶㔴㐲㑥攲㌸㡤㄰㐶ㄳ〴搷㍣㈶㈷搳㌶〵㐲㠸㝢㥤戱㘳晦摣晢晥ㄷ㕢攴挴戳㝥愸摤㙢挸㔹摢㕣㈹㜸㕡㔰㘳敦㡤㠵〳㡡挶㑥搶愷搳㈱敤ㄵ㐹㙢愱愴敢㘳㕡㔳㈸ㄴ㜵〸㡦搶㠷ㄳ㝡㐳㕣㑥㘳ㅣ晢㐰ㄸ晢㐲㌰㉦㔱㌹㥤戶ㄹ㄰㐲摣敥挴昶愷攷挶㘶摦ㅣ㝢晥摥户慤晥㜰晡搴㉢㔶晦㑢昰㙣愵㘲㥢㠹㠵晦捤㡥㍡㡢㠳捤㠶㌰昶㠷㐰〰㤱愸㥣㐳摢㕣〸㈱㝥敦〴㜰挳㔵搶㥡㔳慥晤㜴攲㡡㥤捦摡昹摥㤵戵㌷ぢ敥戱㉡㠰〳戱㤰㉥㑡㑥愸㍥㥣搴搲ㄱ慡㡦㈸㙥昰㝦攱㠱㈲㥤㤴〷㜱慣㠳㈱㡣㐳㈰㌰㝥㈲㉤て愵敤㌰〸㈱慥㜲挶晦㉥㝤昷ㅦ晥昲昹㡤晢㕣昳攵挹昱挳挷㡢愵㠲㈷㘹㌵晥ㄱ㔸ㄸ㕤㌴㝥愴㍥㔲戰扦㐵㥣㈳㔵戴㍥㤹㤲㐷搲晢㍣〸攳㈸〸㡥ㄸ㤳㈶㙤ㄹ〸㈱㉥㜷㐶摣晥敤㈳㕦戸昲昸昳愷㕥㜷攲ㄷ㙢㝥昱散ㄷ㑦〹㕥ㄱ愸ㄱ㜳㔸㐸ㄵ㡤㠸ㄳ扡扥〱攰散㙥敦攲昵改㜸挱收㤸㤴ㄶ㠷捡㐳ㄸ昳㈱㌰㝣㌴㉥ㄷ搰搶っ㈱挴挵捥昰㔶㘳㜲散ㄱ㌷扦扦捦昹晦㜹收㜳昳昳㕤扥ㄶ扣ㄶ㔱挳昳㌸戸㜳挹昰㝡扥敤㙣㐷敡㔳戲㠵㡥㕢㈱㡣㌶〸慥㙢㕣戶搳戶〸㐲㠸㔵捥㘰ぢ㍦摢敡㡡㑢て晦㙣敡㥤て慣晥㝢敥敦愳慦㄰扣收㔱㠳㜵㘰㘱换搷戵㤳㐳㜵㐱ㄸ㡢㈱㌰㝣㈴㈲㤷搰戶ㄴ㐲㠸㌳㥣攱㘷㕣㍥㙣攵敡挵て捣㍣敤㤷搹㔳㝥㔱昷挴㌹㠲㔷㕢㙡昸攵㔸㈸摥戸㤰敡㤰㝥㤸〹搷㐷㥤㕣愷挲〵戹㑥挹㘳㌹搶㜱㄰挶昱㄰ㄸ㍦ㅣ㤷㈷搰㜶㈲㠴㄰㉢㥤昱ㅦ晦搳戸㔷㙦晡捤㕦昶㍤㉢晢挱晦慣摢敢㥤慢〴㉦昴搴昸㉢戰戰愹戹㕥〹慣㍣ㄹ挲㌸〵㠲戹づ挹㔳㘹㍢つ㐲㠸㘳㥤挱挶㍣㝦搷愳摢ㅤ搳㌱昱挲敥㌷㌳㙦搴慥昹㔶昰㠲㔲つ昶㜳㉣ㄴ㥦㐶㈲昵㜱㝤㕤敤㌵㡤㘱㘳㉢㜸㐵攵ㄹㅣ攸㑣〸攳㉣〸慥㘹㑡晥㠲戶戳㈱㠴攸㜴〶㕦戴㘴捣摤搹つㅢ㈶慥㌸昱昹散挲摤㈳挳〵㉦㘴搵攰攷㘲㘱㔳㑥㈳慢攸昴㍣〸攳㝣〸っㄴつ挹ぢ㘸扢㄰㐲㠸ㄶ㘷愰ㄱ户㑥戸昷愲㑢晦㍥攳昴户扦扤昲戵㔵昱扣攰挵戲ㅡ攸㈲㉣ㄴㅦ㑣戱㕦ㄶㅥ戵愳摡搱㈳㔶㜴㐴挷㥥捤慢㡥㐴㝤戸㜰搷㡡捡㡢ㄹ挷慦㈰㡣㕦㐳㈰戶㘴㐲㕥㐲摢愵㄰㐲㔸㑥㙣慦捦㤸㜴㔶昰慤摣攴ㅢ收慦ㅤ搳扤攲挷㥢〵慦攱㔵㙣㤷㘱愱㜴㜳㡢㈴㜵ち挲捥㔹㉤㔲ㅦ㉡攰㈰㥤㤰㤷㜳慣摦㐰ㄸ㔷㐰㘰晣㐸㐲慥愶敤户㄰㐲ㅣ改㡣晦摥昴㝥㉢昶㘹晤搷扥昷㍣戱挷〵㉦敥戵晡㈲戱ㅤ㥡搵昸扦挳挲戸攲㕤㍢㕣ㅦ㠹㘸改〸㐷敢㈳晡㌹㈴ㄴ戶户晥㔴㝤㉣㈵慦攲㘸㔷㐳ㄸ搷㐰㈰〲㕣㑤㕣㑢摢㜵㄰㐲ㅣ攴㐴㌰攵て㕦㉦㍤㍡昳㤳㝤晦晣㑣㜸摥㔳㔳㑤㈹㝥㠲㘶ㄵ挱つ㔸搸扤㈸㠲㐸㝤㌸愲㘷〰摢愴ㅡ㌲㕡ㅦ㤷扦愷昳ㅢ㈱㡣㥢㈰㌰㘰㍣㉤㙦愶敤ㄶ〸㈱㘶㌹〳㈶㑦昹收㥢㉦㐶昴㥢㝥攳慡㤹㙦扤㍥晣㠲愳〴敦㤳搴㠰户㘱愱㌸攵愱晡㘸㑣㕢攳㤰㜳㌰挵昵㘷㈱攳改㤸扣㥤㘳摤〱㘱摣〹挱ㄵ㑥挹扢㘸扢ㅢ㐲㠸㘹捥昸摦㕥ㄴ搸㘶昸攸㐵㔳敦ㅥ昸挷㝦㍣㝣收㕤攷ち摥愲愹昱敦挱挲愶敥攱昷搲昱ㅦ㈱㡣㍦㐱㘰戰㔴㔴慥愱敤㍥〸㈱㈶㌹㠳敤㜸搶挳摢摥晥㜶㜰捡㌹捦慣㝢慥㜳愸晣㕢晦晢搱㍣摢戹挲㙥敡㌰㤷攲㥥愵攷㜶〸摢ㄱ晦㙤晣㍥㄰户㠱昹㜸㍥㤹て㠷㜳昱㤰ㄹ㌵慢㠷挲敤愶摥㜰昰㠸摡㍦㝦㔰㜳㕢慥㝤愹扡〳ㄹ㌲挹散戴㝡㙥㐸㐶㍢㙤㤳摡ㄷ户攵㍡㜷昰㙦㥣搳㘵㜶㔹摢ㄷ户昵㌸㈹改㌶〷昷㘷㔶愷ㅡ㙦愷攲㙥〷㥡㉤㡢慤㠹换㥡敤收ㅤ㡢㥡㜱㜷搶㥥㈹摦㍡愵挳㍡挶㙢㉤㠹㘸㈲ㅥㅡ㉣㔱扥㑢搶搲㙥戲攳慡㙢㕣搰摥㘹戵愹昰㐶户捥㙡捥㉥戴㍡收㔸㝣攴㘰攵搴慡㙥换㈶攷ㄶ㜱昴捣㌶慣㈸㙥晡㜲挳㜵㙢㝥昲戲㉥慢㉤㘷攵㄰敦㈲慢愳㙢昹㕣㌳搳㘲㙤㔷〰戱挷㐴挳㑦ぢ捣㔳摡戳㡢㍢ㅢ摢摢扡㍡摡㕢ち㕢㈶收㤶㤸戸㉤捤捤㘸捦㔹戸慢慣攲慢㐲㔴昴改㈳㐴挵敥㝥户㜶昴摢㔹慦㠸搰㈸摥〱㥣て㉥摣散敡昷挷摡㘱㉤㕡㉣㙥㤳㤵㈳㌷攲㑣昹愵㥢摤捡〳戵㜵攲昳ㄹ愲㜷㉤㡦㔶㌱㝡捣晤晦〵㔷㔶㙥攳慣晤攴㈵戸㜵摦摢㙣换戵㔸ㅤ扤㍥㕤ㄲ㡣㐸㜶㐳㔴㑦挰摥㕣㌶㝢㔵㐰㠸㘵㘲㜹昵搲收㕣搷〲㘳㠱搵㍣㝦〱慦㜳昰〴慡愶㠶愹㉤㜹挹戵㌰挹㜵ㄴて㐲〴〲ㄵ挶㐳〴ㄹ〱昹戰慤㔷搷攱晦捤㝦㈸㔰㠹㕥㔲㍤㠴挰ㄳ愳捥敡搶㈹敤ㅤ㥤㝤晡昸慤攵摥㘶攷㠲㉥㙥㥥扤㌶㙥㑦㝦㡦㔰㍣ち㔱㍤ㅣ㘲愳捦ㅣ㜸戹㔸挵㐷㉢〳㕡㥢慣扣㠹〷㕡㙡敦ㄶ㘶㜵慢晤㡣愴挹敡捣㑡㍥㑣㤹㠶㝤㘵㤹㠱㈵散晣晤㕢戹昵㕢换扡㥡捣㉥戳㙦㉢ㅥ换㠰㈵〹搰㘸搵换㕥㘲捦〱捡收昶づ㌸ㅡ㍣〴搵愲收愵㥦㌲搸㥥戰攳㘰㝦愹攸攳挸摥㔷〲戱て挱㑡ㄸ挵ㅢ㝡攱攳ㄵ㍣昵挹㑤戵摡收㉥㕦㘴㜵ㄲ㕥㘳昴㥡捡攲摤㡢捥㘶㘶㌳〷㜴㌵户㜴搶㈳搲愹ㅤ敤㡢ㄷ晤㌷晤搰㤷㝣っ挲㝤㔵㈷戰ㄵ㙦晡㍡㈱㕤ㄵ㝤㤷㤰㥢㜹昳㉡㙡攸㡤ㄶ攳〹㠸慡挶愹㜸㠴挳㑤ㄶㅥ㝦挴㝦敡㈵㥦挲㝦〱㐹㐰㤹戶敡ㄱ㘸摢㥣攷㔱搵挰昷㙦㐵㥡收㜶㔸敡〹㕢㡤㔲㤰昲〱慤〷戵㜷㉣捣戴户㉦攴㐶㌵㔰㘹㥤ぢ㉣慢㡢㑦慤晡㌹㑦改搴搳㌸㈱晡昴㈹㜸扣愴㍤摥摡ㄱ晥㡤㘷㈰㠲㜳摢㜳敤㥤㜵㉤㝣㌷㘷㍡摡㍢㡤扦挱摡〷㡦搰㡣㘷戱㄰㥢㍡敢㤰㜹㤳攷捣㥤㌶㘳㘲攳戴㤹晢敤摡㠸㠷㕥搸㕡昷挰㠱㝥㌹づ愲敤扢搵捤㕢㠲㜳㜷㕤㔳搳ㅥ㌳㘶散㜱挸㈱昵换㕡㍡㤷㠹㌱㐸づㅦㄶ㕤㝤摡晣戳㐶扥戸昳戴㑢㌲〷㥣㝢挳㝥㘲㤴ㄸ敤㌴㤴㍣慥摡ㄹ㘳昱㑣㉥晦づ㈱㜶〳㙣〲摥㔸㉥㝣挹ㄷ愰换ㄷ㈹㕥㠲挰昱㐳㈵ㅣ㠷㡦㤷㙤㔵散㠲晦敢昰㤶慦㔰扣ち㈱㜶㠳攰づ㉣㕦㠳㜰㕦愲づ晥戹㕤㈸㙥㕦㠷ㄹ摣攲㑥扣㠴摢㌷搱ㄴ㤰〴㤴㘹ㄳ扢愳㡤晣㑡收㔳㌲㝤㤲愹ㄳ摢挱扢㙦ㄶ戶㜵ㅡ㑡㥥愵敤㠱㙥㉡ぢㅦ戲晦㌶㠰㑤挰ㅢ换㠵㉦昹㌱㜴昹㙦㡡㑦㈰戴㉣晣挷㔶㐵㍤晥慦挳㕢㝥㐶戱〱㐲㠴㈰㔴ㄶ㍥挷㠲晢ㄲ〱昸昷戲昰㈵捣挸㐲㉡㔲扡愶㕦愳㈹㈰〹㈸搳㈶挲㘸昳换〲昷ㄴ摦㉣晣昸㠳摤㔰昲㔰㉦〶㑦㉡ぢ㤵攰㐶㝣て㤸㝦ㄶ㌸㑤㈲慢㈹っ〸㉤ぢ㌵戶㉡攲㜰㔴㠷户㤴〴〵㈰㐴ㄲ慡捡㐲㍦㘸敥㑢㙣挰ㄸ㕥ㄶ〶愰〵㔹㐸挶㑢搷戴ㄶ㑤〱㐹㐰㤹㌶㤱㠲㑦扦㉣扣敦慣㙣挹ㅥ昱㥥搳㔰昲挴㜱ㅣ㍣愹㉣っ挶㜰攲摤戲㔹搸㥥搱散㐰㌱〴㐲换挲㑥戶㉡昶㠴愳㍡扣攵㔰㠲敡㈰挴㕥㔰㔵ㄶ㠶㐱㜳㕦攲㔵㍤ぢ㈳搰挲㍤㈲㕤扡愶愳搰ㄴ㤰〴㤴㘹ㄳㄳ攰搳㉦ぢ捦㤵换挲戳㑥㐳挹㤳捦㐹昰愴戲㔰㡦攱挴㌳㘵戳㄰㘲㌴㘱㡡〸㠴㤶㠵㤸慤㡡㐶㌸慡挳㕢挶〹㑡㐰㠸挹㔰㔵ㄶ㤲搰摣㤷㜸㔴捦㐲ㅡ㉤摣㈳㝣㡥昹攳搰ㄴ㤰〴㤴㘶㐱戵㠹㈹昰改㤷㠵㍦㤷换挲㝤㑥㐳挹㌳搸㘹昰愴戲搰㠴攱挴㥦捡㘶㘱ち愳㤹㑡戱㌷㠴㤶㠵㝤㙣㔵散〳㐷㜵㜸换㝤〹㥡づ㈱愶㐳㔵㔹㤸〱捤㝤㠹摢昵㉣捣㐴㑢㜵攳搴㜰㈸㔴扡慡戳搱ㄶ㤰㐴㤴㘹ㄳ㌳攰搴㉦つ搷㤵㑢挳戵㑥㐳挹攳摥㔹昰愴搲㜰㈸㠶ㄳ㔷㤷㑤挳攱㡣收〸㡡㈳㈱戴㌴ㅣ㘵慢㘲㌶ㅣ搵攱㉤㑤㠲㌲㄰㘲づ㔴㤵㠶㉣㌴昷㈵㉥搳搳㘰愱〵ㅢ〳ㅥつ㤷㥣㈴收愳㈹㈰〹㈸搳㈶收挲愷㕦ㄶ㉥㈸㤷㠵昳㥤㠶㤲㘷捥〷挱㤳捡挲㈲っ㈷㔶㤵捤㐲〷愳改愴攸㠲搰戲戰挴㔶挵挱㜰㔴㠷户㕣㑡搰㌲〸㜱㈸㔴㤵㠵攵搰摣㤷㌸㕤捦挲㜱㘸攱㠱㈱㔱扡愶㈷愰㈹㈰〹㈸搳㈶づ㠳㑦扦㉣ㅣ㕦㉥ぢ挷㌹つ㈵㑦扥㡦㠴㈷㤵㠵搳㌱㥣㔸㕥㌶ぢ㘷㌰㥡㌳㈹捥㠲搰戲㜰戶慤㡡㜹㜰㔴㠷户㍣㠷愰㜳㈱㠴〹㔵㘵㘱ㄵ㌴昷㈵ㄶ改㔹㌸ㅦ㉤捣㠲捦㠱攱㐲㌴〵㈴〱愵㔹㔰㙤㈲〳㥦㝥㔹挸㤷换㠲攵㌴㤴㍣㡤户攰㐹㘵攱㌲っ㈷戲㘵戳昰ㅢ㐶㜳〵挵㙡〸㉤ぢ㔷摡慡挸挳㔱ㅤ摥昲㜷〴㕤〵㈱昸㌸㕥㘵攱㙡㘸敥㑢ㅣ慡㘷攱㕡戴㈰ぢ㜸㜶㕦戲㐷㕣㡦愶㠰㈴愰㑣㥢㘸㠶㑦扦㉣捣㉡㤷㠵㤹㑥㐳挹愴㐰ぢ㍣愹㉣摣㡥攱挴㡣戲㔹戸㤳搱摣㐵㜱㌷㠴㤶㠵㝢㙣㔵戴挲㔱ㅤ摥昲㕥㠲晥〸㈱摡愱慡㉣晣〹㥡晢ㄲ㑤㝡ㄶ敥㐳ぢ户〵㥦换愶晢搱ㄴ㤰〴㤴㘶㐱戵㠹㐵昰改㤷㠵戱攵戲㤰㜶ㅡ㑡㘶㉢㍡攱㐹㘵攱㔱っ㈷㤲㘵戳昰㌸愳㜹㠲攲㐹〸㉤ぢ㑦摢慡攰㉤㝣ㅤ摥昲㉦〴晤ㄵ㐲㉣㠱慡戲昰っ㌴昷㈵敡昵㉣㍣㡢ㄶ㘴〱㜳ㅢ㈵摢挲昳㘸ち㐸〲捡戴㠹愵昰改㤷㠵㤱攵戲㌰挲㘹㈸㤹㌴㌹ㄶ㥥㔴ㄶ㕥挵㜰㘲㔸搹㉣慣㘷㌴慦㔳扣〱愱㘵攱㉤㕢ㄵ挷挱㔱ㅤ摥昲㙤㠲摥㠱㄰㈷㐰㔵㔹㜸ㄷ㥡晢ㄲ㠳昵㉣扣㠷ㄶ㘴〱㌳㉣㈵㔹昸〰㑤〱㐹㐰㤹㌶㜱㈲㝣晡㘵㘱㘰戹㉣っ㜰ㅡ㑡愶㙥㔶挲㤳捡挲〶っ㈷晡㤵捤挲ㄷ㡣收㑢㡡慦㈰戴㉣㝣㘳慢攲㘴㌸慡挳㕢㝥㑢搰㜷㄰攲㔴愸㉡ぢ摦㐳㜳㕦愲㔲捦挲㡦㘸㐱ㄶ㔰〱㔱㤲〵㔱挹㉣㄰㔰愶㑤㥣〶㥦㝥㔹昸敡晢㌲㌷ㄲ㕦㍡つ㈵㜳㑡㥣づ㔲㔹〸㘰㔰昱㌹㘰晥㌷ㄲ晤搱㉣〷㔰っ㘴㜴㍤㌷㤵㉣㥤㌲戶愲戰ㅦ㈸〶㉡挴㤹昰㔹㠷户摣㥡昸㙤㈰〴㘷㤸㠶搳㌴〸㥡晢ㄲㅦ㘰㌸敦㥥㘲㍢戴㜰戳㐸㤵慥昴㘰㌴〵㈴〱㘵摡挴搹昰改㤷㤰搷换㈵㘴扤搳㔰㌲捦戵ち㥥㔴㐲㠶㘱㌸昱㙡搹㠴㡣㘰㌴㈳㈹㐶㐱㘸〹搹挵㔶挵㜹㜰㔴㠷户摣㤵愰摤㈰挴〵㔰㠷搳戴㍢㌴昷㈵㥥搷戳㌰〶㉤挸〲收捡㑡㌶㡢㝡㌴〵㈴〱㘵摡挴㠵昰改㤷㠵㈷捡㘵攱㜱愷愱㘴ㄲ敥㘲㜸㔲㔹㐸㘲㌸昱㘸搹㉣愴ㄹ捤㔸㡡㜱㄰㕡ㄶ挶摢慡昸ㄵㅣ搵攱㉤昷㈲㘸〲㠴戸〴敡㜰㥡ㅡ愰戹㉦㜱扦㥥㠵㐹㘸㔱㔷搳㍥搷㤱㑤㘸ぢ㐸㈲㑡搳愰摡挴愵㜰敡㤷㠶扢捡愵攱㑥愷愱㘴扥敦㜲㜸㔲㘹㤸㠱攱挴敤㘵搳㌰㤳搱捣愲㤸つ愱愵㘱㡥慤㡡摦挰㔱ㅤ摥㜲㉥㐱〷㐰㠸搵㔰㠷搳㜴㈰㌴昷㈵慥搷搳㜰㌰㕡戰㌱㘰㜲戰㘴㘳㌸ㄴ㑤〱㐹㐰㤹㌶昱㕢昸昴换挲ㄵ攵戲昰ㅢ愷愱㘴搶昱㉡㜸㔲㔹挸㘲㌸㜱㔹搹㉣㔸㡣㈶㑦㌱ㅦ㐲换㐲戳慤㡡慢攱愸づ㙦㜹㌴㐱ぢ㈱〴攷ㅣ㠷搳搴〲捤㝤㠹ぢ昵㉣戴愱〵㔹㐸晢散ㄲ㡢搰ㄴ㤰〴㤴㘶㐱戵〹㑥㘷晡㘵攱捣㜲㔹㌸挳㘹㈸㤹昹攴〴愶捡挲㜲っ㈷㑥㉦㥢㠵攳ㄸ捤昱ㄴ㈷㐰㘸㔹㌸挹㔶挵㡤㜰㔴㠷户㕣㐱搰㑡〸挱㠹搰攱㌴㥤っ捤㝤㠹ㄳ昴㉣㥣㡡ㄶ㘴〱㔵㑡㈵摢挲改㘸ち㐸〲捡戴㠹㕢攰搳㉦ぢ㥤攵戲搰攱㌴㤴㑣挷摥づ㑦㉡ぢ慢㌰㥣㔸㔴㌶ぢ攷㌳㥡ぢ㈸㉥㠴搰戲㜰㤱慤㡡㍢攰愸づ㙦㜹㌱㐱扦㠲㄰㥣㡥ㅤ㑥搳慦愱戹㉦㌱㕦捦挲愵㘸攱戶攰㜳敤㜰ㄹ㥡〲㤲㠰搲㉣愸㌶挱㤹㕥扦㉣ㅣ㔱㉥ぢ㠷㍢つ㈵㤳挲㥣摦㔵㔹戸ㅡ挳㠹㐳换㘶攱㕡㐶㜳ㅤ挵昵㄰㕡ㄶ㝥㙦慢攲㡦㜰㔴㠷户扣㤱愰㥢㈰挴ㅡ愸挳㘹扡ㄹ㥡晢ㄲ戳昵㉣摣㡡ㄶㅥㅥ挳㍥扢挴敤㘸ぢ㐸㈲㑡搳愰摡挴㝤㜰敡㤷㠶愹攵搲㌰挵㘹㈸㥥慥慥敥㠶愷捤㤸㘶散〷戸捣ㅦ搸㙣㉤攵扣挸挰㍣慡㘳ㅢㄷ㜷㜶戵慢㐹㥣〱昹愶昶晤摡扢㥡㥡㍢ㄷ戵㤸换户挹㍢ぢ〷㉤戰摡㌰挵摡㠱㤹搶㈲㕢晢愲㐵㔶㑥收攷戴㉦敥挸㕡搳㥡晥㉦㑣挱㘲晤㐰愰㥡㝤慤ㄴ㜸㙤搹慣㈲㕣〸㙣㉢㜸㔵㔴慦㠵挳攲挹㈱㔵愳慢㑤攴慡挵㈰㠰戵㍤ㄹ㥤摢摣搵㘲昵换慢㐹㔴戵㕣㤳㐷ㄶ㌱㙦㥤敢㥢㥦扢〰昳㈵㑤〳昲㔳㍢㥡㜳㉤捤㙤ㄶ挹ㄸ㘴㐳愷㕢昳㌱㐷㍤慢扤戳㤹攵搰〳昲㜳㍢捣戶捥㐵㥣㙥换㉥摦扡㐰㔳昳㜲搵昹㐹捤㙤㥤ㄸ㐶戱挸攵摡晣㥣〵敤㑢㔱㡦扦戸戵㙤慡戹愸昳晦〴㉢㠲戴愸㤷愲㐶㔴㡡捡㑡㔱㔳㔹戳愵晣ㄸ㝦挲摥㌵ㄸㅢ㘸㔷㐷㜳㘶㜱戶㜹摤ㅤ㙤㜵㍤㤵㌰㙡愰〸㘴ㄵ㠵㈲戲愲㝡ㅤ㤶㡡㘷搷㌴ㅥ㡢愶挶ㄹ㜰㐱搹戹敦㉣慤昷㐹〷㌵ㄵ扤〶㌱昵扦て㘲㥦愹〷㑣敢㈹ㅡ昹㕦㝤㠰愰晡㐱〴戲挹㜳昴摢〲㍣搰摥㡥㌸㙦捦捤ち扢㈷㌶〷㙡挵摢㘶㈰慦㌰摣㑣〷昶㉣㑥挱㌴㙦晦晣㜴㌳㘳戵㘰㜶扡搵散ㅡ㘸㉢㉣ㄳ㘸㌵㕢㍡㥤戶挶昶搶㔶㤳摢ㅤ换攴攷㘴捤ㄶ慢㈶㍦㜱㜱㔷㍢㙡捦㘵ㅥ㐲㙤㥣㡥挹㕣〶㤳戹捣㥥㐷捥敦捦慡ㄵ戵㑣㕦敤昳捤㡥收慥〵慤捤搹ㅡ㉡慣㉣昹㍦戱挱攲〸㔰㠵㘴扡㉦昷㠰㔲㍣㌱㙤㑦て㠳敥㝡摣㝡㌱㜵愴ㅦ㥢㜵愵㌰昰㑦㙣㘱㔱〳㡥㍥敡捣㈱敦㠷户㙡扣㘱㜰昶愰㑦㜸㑦捡搷㈷㈷㘱㐱ㅤ愱〴㙢ㄲ㘸㤵摤㠰㜲㠱敦㉡㤶〵昴㍡攳摤ㄷ㠰挰昴㜶㌳㌷挵挴ㄴ㘹㐷㕦攷〳㉦㌵愰㤶挷㥢㡥㈰㙢㄰ㅡ㔱搶㠲㔹搴㈵捤㌹慢愳㠶㠶㌹昸ㄸ㑦ㄵ慢ㄷっ㥢㐳捣挲昶愹愸慥敥㔷攳㌷搶㌴搷搷㐸㘷㔲㔷晦㤸搰戴ㄲ晦ㅦ捥㑥㑤㘰搶〳〱挶㈶ㅦ挰敡挸戵㕣㈷㔶㌷㜰㝤㡡〰敢〸㜸㄰愲晡㌱㌴ㄶ㜳㔳㔸づ㠰愲〱〹㔰㤵晡愸〸ぢㄵ㙡㌰愹慦㉡ㅣ慡搵㡡昴搳㉡ㄳっ扢㈸愱挶晤晣㠹㌱〷㕢戹㤵ぢ搸〷㔹㔶㐰㤰㡥捡捡㉡㔰㙤ㄴ㔷㜵㤵っぢ㘷慤㜳㉣㔵戲㈰㌸㑤㙦㍣㠴㠸晢㜳㘷㠱晦㜹敡搳ㄶ挵搷㤳㠱㠰㝣〴愰㡡㠰攰㥣扤扢收戵戴搸愹㜹㤴㙢晥ㄸ㠴攰㑣㜴㌷摥㔸㜴㑦㔹㠲搳捦㙢㘹㌲ㅥ〷㘴戳づ㤳㠲戳搶㍣㔴捡㈷攸晤㈵㉣昱〸攴㙤㤱㑦挱扡昱㉤㤲搳摣㙡㡢㝣㥡㑥ㅣ㐵㜰慥摢㕤ㄷ㡤收扦〰㈳晦㑡攰慢晥㠰㘷〸昸ㅢ〱慦〱㐰慡㡤㘷愱㘹㈹挴㠷㐰㝣㔲昸㍣㐰㐸攱㥢㥡㔷㉤㠵㝦愷搷㝦搰敢㠷〰㜴攳㡤㐵㉦㠵㥣扢㕥㑢㤳昱〲㈰㥢㤷挲㝦愳㥢㑡攱㡢昴晥〹戴㠲ㄴ晥ㄳ搶㡤愷昰㍦攸愶㔲昸㌲㥤㌸㡡昸っぢ㍥㈹㝣〵ㄸ昹㉡㠱㥣㐴昷〱扣㐶挰㝡〲㌸慦慥㔲昸㍡㌴㉤㠵昱搲敢㜹㙣㠵㙦〲㠴ㄴ㜲㕥摤昵慡愵昰㉤㝡㝤㥢㕥㉢ㄱ㘱㌷㐰㔸昴㔲㔸〵摢㕡㥡㡣㜷〰搹扣ㄴ㔶愳慦㑡攱扢昴捥㠹昳㠲ㄴ扥〷敢挶㔳挸〹㜶晣㔵挸昷改㠴戱昱㉤㈱摤㜵搱戶挲て㠰㤱ㅦㄲ挸ㄹ㜸ㅦ挰㐷〴㝣㑣〰㈷攵㔵ち晦つ㑤㑢㈱㙡㝡㝤戶挲㑦〱㐲ち㙢㌵慦㕡ち晦㐳慦㥦搱㉢㈷搰扢〱挵愲㤷㐲捥㥡慦愵挹搸〰挸收愵㜰〷昴㔵㈹晣㥣摥㌹敢㕥㤰挲㉦㘱摤㜸ち㌹㍢㡦㍦㍣㜸愵ㄳ挶挶昷㔰㐸㥦っ㝤つ㡣晣㠶挰㍡㝦挰户〴㝣㐷挰㌰〰㔴ち扦㠷愶愵㄰㥦㌴昲㐹攱㡦〰㈱㠵愳㌴慦㕢搳㘲ㅦぢ㔹ㅢ㉣〵㠴攰散㝢㌷ㅡ戰攸愵㤰㔳敥㙢㘹㌲㉡〱搹扣ㄴ㠶搱㔷愵㄰愷戸ち挱㈹晢㠲ㄴ昲昳㡤ㅢ㑦㈱愷昶昱㠷昲て㍡㘱㙣㝣㜳㝥摦㈷㠵㝤㠱㤱㌵〴㜲敥摦〷挰㑦挷捡〰〱㉣〷㔰㈹散〷㑤㑢㈱㍥㌰攵㤳挲〱〰㈱㠵攳㌴慦扣㕦㜱㔲㌸㤰㕥㙢改戵〹㠰㙥㌴㘰搱㑢㈱攷敢敤ㄴ〶〱搹扣ㄴ㑥㐵摦㜵昰㈶户愲㜷捥昷ㄷ愴㜰ㅢ㔸㌷㥥㐲搶〵攰て㡦慥改㠴戱昱捤攲〰㥦っ㙤ぢ㡣摣㡥㐰ㄶづ昸〰㝥㐲挰㘰〲㔸㑢愰㔲昸㔳㘸㕡ち昱戹㉥㥦ㄴ敥〰㄰㔲㌸㕢昳扡つ㉤昶㔶㌸㠴㕥㜷愴㔷㑥晢㜷愳〱㡢㕥ち㌹搷㙦愷㜰㈷㐰㌶㉦㠵㐷愰敦㍡㜸㤳㐳改㥤戵〲〵㈹ㅣ〶敢挶㔳㜸ㄴ扡攱慦㐲づ愷ㄳ挶挶户〹改㤳愱ㄱ挰挸㤱〴㘶晣〱愳〸搸㤹〰搶㈱愸ㄴ敥〲㑤㑢愱㑦昹〱㑥㈷扢〱㠴ㄴ捥搷扣㙡挷挲摤改㜵㌴扤戲㘶愰ㅢ㔰㉣㝡㈹㘴愱㠰㥤挲㌱㠰㙣㕥ち㍢搱㜷ㅤ扣挹㍤攸㥤㠵〶〵㈹晣ㄹ慣ㅢ㑦㈱ぢㄲ昰㔷㈱㐳㜴挲搸昸㘶㔵㠲㑦ち挳挰挸〸㠱慣㔸昰〱㐴〹㠸ㄱ挰㈲〶㤵挲㌸㌴㉤㠵昸㜰㥤捦㔶㤸〴〸㈹㍣㐱昳慡ㅤぢ㔳昴㥡愶㔷ㄶㅣ㜴〳㡡㐵㉦㠵慣㌲戰㔳㌸ㄶ㤰捤㑢攱㤹攸扢づ摥攴㌸㝡㘷㤵㐲㐱ち挷挳扡昱ㄴ戲㥡〱㝦㤸㡡愰ㄳ挶挶㌷㑢ㅡ㝣㌲㌴〱ㄸ搹㐰㈰换ㅤ㝣〰ㄳ〹㤸㐴〰㉢㈰㔴ちㅢ愱改㈹昴㍤ㄶ㑥〶〸㈹㘴㤵㠳敢㔵㑢攱ㄴ㝡㥤㑡慦慣㔶攸〶ㄴ㡢㕥ち㔹愲㘰愷㜰㙦㐰㌶㉦㠵㔷愰敦㍡㜸㤳搳攸㝤㌵戴㠲ㄴ敥ぢ敢挶㔳挸㔲〸晣愱㉣㡡㑥ㄸㅢ摦慣㠷㜰搷愵ち〶攷愰㌴〳ㄸ戹ㅦ㠱㔷昹〳㘶ㄲ㌰㡢〰㤶㑦愸ㄴ捥㠶愶愵搰愷㙡〲㍢昲ㅣ㠰㤰挲敢㌵慦摡㡥㍣㤷㕥て愰㔷㤶㍡㜴〳㡡㐵㉦㠵慣㙦戰㔳㜸㈰㈰㥢㤷㐲㤶㐵慣㠳㌷㜹㄰扤戳㍥愲㈰㠵㠷挰扡昱ㄴ戲㡥〲㝦ㄵ昲㔰㍡㘱㙣㝣戳㤸挲㈷㠵㠷〱㈳て㈷㤰㠵ㄶ㍥㠰㈳〸㌸㤲〰搶㕥愸ㄴ捥㠳愶愵㄰㥦攳昴搹㤱㑤㠰㤰挲晢㌵慦摡改㈴㐳慦㔹㝡㘵㥤㐴㌷愰㔸昴㔲挸攲〸㍢㠵㌹㐰㌶㉦㠵慣愹㔸〷㙦搲愲㜷ㄶ㔷ㄴ愴㜰㍥慣ㅢ㑦㈱㡢㌰昰㔷㈱ㄷ搰〹㘳攳㥢㤵ㄸ㍥ㄹ㙡〶㐶ㅥ㑤㈰慢㌴㝣〰ぢ〹㘸㈱㠰㠵ㅢ㉡㠵慤搰戴ㄴ晡搴㙢㘰㉢㙣〷〸㈹㘴攱㠶敢㔵摢ちㄷ搱敢㌱昴捡㈲㡢㙥㐰戱攸愵㜰㍤㙣㜶ち㍢〰搹扣ㄴ扥㡥扥敢攰㑤㜶搲㍢㉢㌳ち㔲戸ㄸ搶㡤愷昰㉤㜴挳㕦㠵㕣㐲㈷㡣㡤㙦㤶㜱戸敢愲敤挸㑢㠱㤱换〸㘴㠹㠷て㘰㌹〱挷ㄲ挰慡て㤵挲攳愰㘹㈹昴㈹昶㐰ち㑦〰〸㈹㘴搵㠷敢㔵㍢ㄶ㥥㐸慦㈷搱㉢㉢㌴扡〱挵愲㤷㐲㤶㘵搸㈹㕣〱挸收愵㤰搵ㅣ敢攰㑤慥愴㜷㤶㜵ㄴ愴昰ㄴ㔸㌷㥥㐲㤶㝦攰慦㐲㥥㑡㈷㡣㡤㙦搶㠰戸敢愲愵昰㌴㘰攴改〴戲㍥挴〷昰㜳〲捥㈰㠰㈵㈳㉡㠵㘷㐲搳㔲㠸て〹晢散挸扦〰〸㈹ㄴ㤵㍤㕥戵ㄴ㥥㑤慦攷搰㙢〰㠰㙥㐰戱攸愵戰㍦㙣㜶ち捦〵㘴昳㔲㌸〰㝤搷挱㥢㕣㐵敦〳愱ㄵ愴昰㝣㔸㌷㥥挲㈰扡㌱㙢昲〲㍡㘱㙣㝣㙦つ慢㑦㠶㉥〴㐶晥㤲挰㙤晣〱ㄷㄱ㜰㌱〱㉣㌲㔱㈹晣ㄵ㌴㉤㠵㍥戵㈵搸ち㉦〱〸㈹ㅣ慣㜹搵㔲㜸㈹扤晥て扤づ〳愰ㅢ㔰㉣㝡㈹ㅣ〱摢㕡㥡㡣换〰搹扣ㄴ㡥㐴摦㜵攸㉡㉦愷昷㔱搰ち㔲㜸〵慣ㅢ㑦攱㉥攸愶㔲戸㥡㑥ㄸㅢ摦㉣㌹昱㐹攱㙦㠱㤱㔷ㄲ戸㥢㍦攰㜷〴㕣㐵挰敥〰愸ㄴ㕥つ㑤㑢愱㑦㘱ち㔲㜸㉤㐰㐸㘱扤收㔵㍢ㄶ㕥㐷慦搷搳㉢慢㐹扡〱挵愲㤷㐲㤶㤰慣愵挹戸〱㤰捤㑢攱㔸昴㕤㠷慥昲昷昴㍥づ㕡㐱ち㙦㠲㜵攳㈹ㅣ㡦㙥㉡㠵㌷搳〹㘳攳㥢昵㉡㍥㈹扣〵ㄸ㜹㉢㠱ㄳ晣〱户ㄱ㜰㍢〱㉣㙦㔱㈹扣〳㥡㤶㐲㝣搶摣㘷㐷扥ぢ㈰愴戰㐹昳慡㙤㠵㜷搳敢ㅦ攸㜵〶〰摤㠰㘲搱㑢㈱换㑦搶搲㘴摣〳挸收愵㜰ㄶ晡慥㐳㔷㜹㉦扤戳㝣愵㈰㠵㝦㠲㜵攳㈹㥣㠳㙥㉡㠵㙢攸㠴戱昱捤㕡ㄷ㥦ㄴ摥〷㡣晣㌳㠱慣㠳昱〱摣㑦㐰㌷〱㉣㡤㔱㈹㝣〰㥡㤶㐲㥦㡡ㄸ㙣㠵敢〰㐲ちて搵扣㙡㕢攱㠳昴晡㄰扤㘶〱攸〶ㄴ㡢㕥ち㉤搸搶搲㘴㍣っ挸收愵㌰㡦扥敢搰㔵㍥㐲敦昳愱ㄵ愴昰㌱㔸㌷㥥挲㘶㜴㔳㈹㝣㥣㑥ㄸㅢ摦㐷挳敡㤳愱㈷㠰㤱㑦ㄲ挸㈲ㅡㅦ挰㔳〴㍣㑤〰敢㙡㔴ち晦〲㑤㑢㈱㍥敦敦戳ㄵ㍥〳㄰㔲戸㐸昳慡㙤㠵㝦愳搷㘷改㤵㌵㌰摤㠰㘲搱㑢攱㜱戰慤愵挹㜸づ㤰捤㑢攱昱攸扢づ㕤攵昳昴㝥〲戴㠲ㄴ晥〳搶㡤愷昰㈴㜴㔳㈹㝣㠱㑥ㄸㅢ摦慣戲昱挹搰㡢挰挸㤷〸㕣改て昸㈷〱㉦ㄳ挰愲ㅣ㤵挲㔷愰㘹㈹挴㌷ㄸ昸愴昰㌵㠰㤰挲搳㌵慦㕡ち搷搳敢敢昴捡〲㥡㙥㐰戱攸愵㤰㔵㌳㙢㘹㌲摥〰㘴昳㔲㜸〱晡慥㐳㔷昹㈶扤㕦〸慤㈰㠵㙦挳扡昱ㄴ戲㍡㐷愵昰ㅤ㍡㘱㙣㝣戳㐴挷㈷㠵敦〲㈳晦㐵㈰换㜷㝣〰敦ㄱ昰㍥〱慣攸㔱㈹晣〰㥡㤶㐲㝣〹㠳㑦ち㍦〲〸㈹扣㑣昳慡摤㥤㝣㑣慦晦愶搷慢〱攸〶ㄴ㡢㕥ち慦㠵㙤㉤㑤挶㈷㠰㙣㕥ち㔹愹戳づ㕤攵愷昴㝥㍤戴㠲ㄴ㝥〶敢挶㔳挸搲ㅥ㤵挲つ㜴挲搸昸㘶㝤㡦㑦㠶㍥〷㐶㝥㐱攰㑤晥㠰㉦〹昸㡡㠰㥢〱㔰㈹晣ㅡ㥡㤶㐲㝣戵㠴㑦ち扦〵〸㈹扣㕤昳慡㙤㠵摦搱敢昷昴扡〶〰ㄵ敤て搴搰㠷晤慡敦㠷戵㜸㐶戳㘴戶戹㡡㈳攴㌹敦㍣愷㙢㜹ぢ收晡戹挸ㄹ㑥㝢㠹㜳戵㜶㌳收㕤摢㍢㌰㈱㔳㔵晣㈹㜹慦敦晤㜰搵㙦㔰搱㌷㄰愸㙥㙣戹て搱㔴㡢敦㑡㍦㘵敦昵㘷攰㍤ㅦ㐷㘶ㅦ扥㡣ち㠴㌸㘸㐶㜳ㄶㅦ搹㙤捦㜷搵捤㐱㌱㑢ㅤ扦搱㈱㕦㔱ㄱ㥡㔸晤攳户㍦晥攸㍢㈶㔷慣慡㡤㕦搹户㠴㥦㜰づ㉣㙣㙢㕦摡愶愲愹敥攴ㄷ㕢愸㝣昵敤换㘱〲ㅣ㠷慦ㄱ㐸㕥㤰㔳攰散㉣㌱㌹㕢㌱愰㑦昰〱攸捣愷搱〷晡愸挶㐹㡤晢捦㑢攴㘳搱慣㘹愶愲攱㝣㌴ㄶ㡡㐵㌲攱㘴㍥ㄲ㡦㐵攲㤱㔴捣㑣㠴㈲〶扥挰挱㠱㐶㜲挹㔸㉡ㄴ㡢㥡搹㐸㉣㘶㕡昱㑣㍡㥢㡣㘵㐳戹㘴㌲㥤㡣挵㤳㜹愳摡㠳㕡㔶㉥ㄷ㡢㘶愲ㄹ戴挷㌲㠹㝣㉡㙡挵㌲㤹㐸〴摦〱㤲っ㥢挹㐸㤰ㄳ搹㡣㐴ㅡ攸㈳晢㔲搴㐰〴㌹㠹慤散晣捥㑢ㄹ愰攸㐷㍢攷戵㤵㥤㈸ㅢ捦㥥搵㡦挰扥愹㜳捥挰昳ㄹ㙥㔶攴㠴㔵搵户慦ㄸ㔵昴㘵て㈵㜳搵摥愷攵つ㠳㔳搵搵㥦㠲愰㑤敢㔴挸㍦㍢㈳㑥㝣ㄷ㈷㠳摦ち㈲㄰攴㥣㌵〳㌲戶㠶摣扡㜱搲㍣㝣㝡㕢晦㤰戸戱つ散晤㘱㔷昳昱昸ㄲ挸㑥㘳㄰㉣〳㘱搱㡡㜳㡣㙤㘱摢ち戶挲㉦㝡っ㍥收㜸㔷ㅦ㙡㤶㜵ㅣ㝢㈸挵㑦〱ㄷ㙡㉥㥢摡昶搴戰挰挴㡡愷搰㠵扢㤹㜸ㅢ㙢挹㡤ㅢ挶ち愹㘲挴挶㈹摥㠴㤵ㅢ㘸攱〶昶戴㍢捥㑥㜰㠵つ㡣戳搷昴㘶っ㠵敥㙥㘰挹㠸㤹㌱昱つ愰搹㑣㉣ㄴ㌶㔳昱㐴摥㡣㠴捤㔰㉡ㅣ挹㐶挳㐹愳捥㠳㘲摢㡡㘶ㄳ搱㤴㤵㐸攲㕢㐳捤㌴戶ㅥ㝣㘱㔶挲㡡㠷ㄲ㔱㌳㥥㡤ㅡ挳㍣㘸㍣㤶〸攷㘳㠹㘴㌶㘶㥡戱㘸㌸㥥戱㈲戱㜰㈴ㅣ㌶愳昱㘴〶〳〵㌹㠵慥㌶㤸攱攸㈳㐷㔰㡣㠴〸㜲晡㕣搹㐷搱戴㌳挵㉥戴晦捤戵ㄳ㈵扤㑥㠲搳收摣挸挴昳㔸㜹㙥〰㔸慥㤰㘳〸摡〳㈲㄰攴捣㌹ㄶ昰攱〲摡挸㥡㈴㔱㤲捣〴㌹愳㡥晦敤て㤷慢㙦㙡戴扦戳㌱づ愳㔰ㄳ攲㙣㑣㔰挳㠲攲㠱ㄳ攲㡡㠷挷㌰㔸㈹て㡦挰㕡捡挳换敥㌸㘳攱ち㍣扣〲㕤昱㌰づ扡捤㐳㌶㥢挹㤹㘶㈶㤹㑢挶㌳戱㐴㉣㤳捡收㜳㤱㑣㈶㤴㐸㈵戰㔷挶ㄲ挶㥥ㅥ㌴㤱挹㠴搳搹㐸〸晦攷㤱搵㘴㍡㥡捤愵捣㑣㍣㥦戱攲搱㘴㈶㙣㡣昷愰㤹㜸㌲㥤㠹㕡改㝣摡㡡挷㌲愱㙣㉡㠴㉥㠹㘴㉣ㅦ㡡㔸㔹㌳ㅦて㜲ㅥ㕥攵㝢㉦昴㤱㉣㘸㤱つ㄰挱搷㕣晢㐴㥡㈶㔱㌴搲扥摥戵ㄳ㘵攳搹㔳㜰敥㕤昱㜰慦捥挳摥〴㑤㠳〸〴㌹晤㡥〵㝦ㅥ摥㜶ㅢ㥦㈵㠲㥦戴户扦扥㜲㌶㕤扦㡢㐶㜵〸摤㥦㥡换挳㝢戰㉡ㅥ㙥昲攵攱昷扥㍣㜰㙥㕤〵㜱㈰㈴㜸攰㍣扡攲攱㈰攸㌶て㔶〸摢㘷㌴㤶㡢㈷㜲搹㔸㍥㥥㌱㜳ㄹ㉢㥢㑦㈵捤㜰ㄶ㕡㍡㘱ㅣ散㐱昳㤹㔰㌸㤱㡡㠷㐲挹㑣㈶ㄶ㐹㠷㔲愹㤸㤵㌰㔳搹〸づ搶㤹㐴㍣㘳ㅣ攲㐱㐳㤱㔴㈸㥣戶搲㠹㐴㈲ㅣ换愵攲㘹散㘹戹㕣ㄶ㙣愴昳昱㔴㌴ㄹ攴㘴扥攲攱㔰昴㤱㠷㔱ㅣづㄱ晣挸戵ㅦ㐱搳㤱ㄴ昳㘸晦搸戵ㄳ㈵扤㑥㠲ㄳ昸㡡㠷换㜵ㅥ㜲〴㔹㄰㠱攰㝦〰挰㠲㍦て㥣摢㔷㡤㡡〷㝥搶㕦昲㥢〳㘴㉢㡣㐲㑤捤㔳㙢愳㠶〵挶㉢㌸㌵慦㜸㌸㕦攳挱㔸〴㐸搹㌳愹㔸攵㑢づ㘷敤搵攰ㅤ㤰㈰㠷㌳昴㡡㥣㑥攸㌶㌹愹㜸㈶ㅢ㡡挷㤳愱㜴搶㡣攱散㤷㑡㐵挲搱㘴㌲ㅣつ攵愲戱㝣挶㌴扡㍣㘸ㄸ愷捣㕣㍣ㄵ〹㘵昳㘶㉣㥦㑢愷愳愹㘴搶㡣愷㔲挹㕣挲っ挷昳挶㘲て㥡㑢㘶ㄲ㔱㉢㥣换㘶㜱㐲㌴戳㔱昰㤴㐹攵㐳愹㕣㈸ㅢ㡥㘷攳挹㈰换〴ㄴ㌹㑢搰㐷㉥愵㔸〶ㄱ㘴㠹㠰戲㉦愷改㔸㡡攳㘸晦捥戵ㄳ㘵攳搹㔳晣〸扢㈲㘷愵㑥捥ち㠲㔶㐲〴㠲昴㠶㠵ち攳㘴㐸扦戳捥㈹戰ㄷ㥥㜵㑥㠵愵昴っ㘳㥣〶㜳搱挹㈸㈸ㅣ敦昶㔹㘷㑦㔲㜹〶㘰敡㉢㔴㔱㠵㙣㤳㉡捦㠲挹㘳户ㅡ㔶挵敥㘲㡤摤㥥戳㑥愷㉦㤱㠶㍢捥戹㜰〵㈲晢㐲挷㕦㠵戱ち扡㑤㘴〴扢〷戸㠹㐷㘳ㄹ㉢㠶㤳㐹㍡㤲戵㑣ㅣ昵㜰戴挳㕥ㄱ换ㅢ攷㜹㔰㌳ㅡ㑡攲搲㈶㤴戰㈲搱ㄸ㑥㉡改㜸㈸㤶换㘴ㄳ㐰挵愲㠹愴㘵㥣敦㐱㜱㐶ち㈷挲改㈸昶搹ㅣ㜶挸㈸づ㡣㜱换㑡攴㜳挹㝣㍣㡡㔳㔰戰挶㠹㐴㕥㠰㍥昲㐲㡡㕦㐲〴愵㙢扦㠸愶㡢㈹㝥㐵㝢挰戵ㄷ攲挵〰搸ㄵ㤱㤶㑥攴㘵散㜷㌹㐴㈰㌸㄰〰㉣昸敦㘵戵㙥愳摡换ㅡ〹㥢㐴㜱㌵㝡㠸慤搰愸㡥㜶搷㔰㠳ㄹ㍡ㅥ㘱㐲㉡ㅥづ搱㜹攰㕥挶㑢㔳㜱㤰㉦て㠳搰㐹〵㜱〳㈴㜸搸ㄶ㍡扤ㄹ扦㠷㙥昳㤰㌰㤳愱㙣㌶㤱捣㘵愳挹㔸㍡㥡㑦㈵昰摤戳㐹㉢ㄴ㡤挶攲㜹散㔴挶㡤ㅥ㌴㤹㐸㘴攲㜱㌳㤲㡦㔹攱ㄸ扥㡢〹㘷ㄴ㥣㝡挲愱㘴㍣㑡て㐹攳㈶て㥡戲戰㠷挵昳〹㉢ㄳ挹挵戰㤴挶㉥ㅢづ愷㘳搸〳慤戸㤹挸〶户㜳㈲㤱㌷愳㡦扣㠵攲㔶㠸攰㑦㕣晢㙤㌴摤㑥㜱〷敤㠳㕤扢挲ㄳ慡㍡㠹ㅤ㘰㔷㍣㑣搳㜹戸㠷敤昷㐲〴㠲㐳〰挰〲㍥㈸㐳ㅢ昷ㅥ挹ㅤ㐶㜲昷〸敥攸㌶㉡ㅥ昸㍤づ戲㥢㡤搳戰㈴㠶愲㔱昱戰ㄶ㈶㡦㠷㘱戰㉡ㅥ挶敢㍣愸㈱挸挳㌸㕦ㅥ㠶扢攳㍣っ㔷攰㘱〴㜴晣㔵ㄸ㡦㐰户㜹㠸㐷㔳㤹ㅣ㡥㘱㈹换挲㌵㝢㉡㡢ㄳ扦㠵㉤㍣㥡㌶攳戹㘴ㄴ㍣㍣敡㐱愳戱㐸㈸㥤㡡㈶昰㐵戴愹㔸㈲ㅡ㑡㕢搸挴㜳㘰㄰摦摦㠷捤㍦㙡㍣收㐱㜱捦㤰挴戹挹捡攳㝡〱㕦愶㥣㑢㠷搳ㄹ㌳㤳捥㘱㕦㑢㈷㜲搱㜰㜰愴ㄳ㠹㝣ㅣ㝤攴ㄳㄴ㑦㐲〴㐷戹昶愷㘸㝡㥡攲㉦戴敦散摡㠹戲昱散㈹㜶㠳㕤昱戰㠷捥挳㜳〴㍤てㄱ〸敥づ〰ㄶ晣昷㠷搱㙥愳攲㠱㕦㈴㈱㘷㔱扣㐲搷㝢愰㔱昱昰㉡㌵㤸愱㔷㠸㥦㐱㉡ㅥ㠶改㍣㜸晢挳㔰㕦ㅥ㐲敥㌸㙦挰ㄵ㜸〸㐳愷㌷攳㑤攸㌶て戱㠸㘹挵㜰ㄸ捡㈶捤㜸っ愹㑢㥢戹㙣㌲㠵㉤㍤ㄳ㑦攷昲㤱愸昱㤶〷㌵昳戸散㑤㘵昱つ㝤㠹㔴㉣㐲㌰攸㑢㐶昳戹㝣搴捡㘵㜳㔹攳㙤て㥡㠸愴㤲挹㜸㈲㥢〵㔵戱㜸㉡㙢㐶戲㈱㉢ㄷ户昲攱㑣㈶ㄹ㑥㥢挱㠸ㄳ㠹㝣〷㝤攴扢ㄴ晦㠲〸㐶㕤晢㝢㌴扤㑦昱〱敤㌱搷㑥㤴㡤㘷㑦㤱㠴㕤昱戰㤵捥挳㈷〴㝤ちㄱ〸愶〰挰㠲晦晥㤰㜶ㅢㄵて晣㉡ぢ昹ㄵ扢昲摢㌱挴㌸㌴㉡ㅥ扥㠱挹攳㘱㍣慣㡡㠷㙡㕦ㅥ晡昸昲戰㤷㍢捥て㜰〵ㅥ㈶㐰挷㕦㠵昱㈳㜴攷戸㤴㐸㈳㥢㐸ㄱづ㌳戸㤹㡤㥢搹㐴㈴㤹挴㈵㉢㑥ㅢ改㘸㈲㘱㔴㔴扢搰㐸㈶㤷挱㔵㔵摥捡攲㠷っ愲改㐴㈶ㄴ㌷戱㙢攴㐲戸㉤戱戲挹㥣挱慦㔳户扤收㜳㘶㌶㤷戶戲戹㕣㉥ㅥ戳㜲戱㑣っ昷㈶攰㌷㤷ぢ攵㜳攱愸ㄵ㙣㜰㈲㤱㤵攸㈳晢㔰㔴㐱〴㈷扡昶㙡㥡っ㡡扥戴㑦㜲敤㐴搹㜸昶ㄴ㤳㘱㔷㍣㝣晥㡤㜶㔷搲㥦愰〱㄰㠱攰ㄴ〰戰戲晥㍣㑣㜵ㅢㄵて昳〸ㅢ挴慥晣㝥づ㌱つ㡤㡡㠷敤㌸㄰㉣搰㔱㕥〶愹㜸㜸て〳㤶摥㤵扣ぢ㙢改㕤〹㡢㌲㔴㄰摢挳ㄵ㜸㤸〱㥤摥㡣ㅤ愰摢ㄹ换愴㐲挹㤸㠹㙤㌴ㅢ挵搱㈸㙣愵昲ㄶ㑥愵搸捣㔳昹㙣㍥ㄶ㌷㡤㈱ㅥ㌴ㄴ收㘵㤶㤹㑢㐷㜱㡡㐸攴㈳戸搵㐳㘲㑤㉢㤳㑢㠴慤㑣㍥㘷散攸㐱戱ㅦ挴戳〹㍣㜷挰㤳㡣㔸㈸㥡攴搱㈸ㄴ㑢㐶戰㍢㠴㜳改㝣㉡戸㥦ㄳ㠹摣〹㝤攴㔰㡡㍡㠸攰㑣搷㍥㡣愶攱ㄴ㈳㘸㥦攵摡㠹戲昱散㈹收挰慥㜸㜸㔱攷㘱㔷㠲㜶㠳〸〴攷〲愰㔲戰㌵㘴昱摤攱〱㙥愳攲〱て㠱㜰つ㑤ㄱ愶敢㠳搰愸㜸㠸㔰㠳ㄹ㝡㠵㌸〴㔲昱昰㤴捥㠳㜷㕣㝡挲㤷〷㔶㜶愸㈰ㄲ㜰〵ㅥづ㠳㑥㙦㐶ㄲ扡捤㐳〸户搱戸㜹戰慣〸ㅥ〳㠵㐳㔹摣㤶攰搷㍢㜲攱愴㘹㈵攳㈹㌳㘷愴㍣㈸㙥昸㌲㜹摥捥攷㤳改㔸㌶ㄷ挳㍤㘵㈶ㅣ㠹㈶㌲㌹㉢ㅡ〹㐷昲㐶摡㠳攲㘸㤴㡢挶㜱扤㥢挷つ㍤㐰愶ㄵ挲慤㐹㈲ㄶ㡢㘰扦〹㘵愳挱挳㥤㐸攴㔸昴㤱攳㈸昶㠴〸ㅥ攱摡挷搳戴ㄷ挵〴摡㡦㜴敤㠵㜸㘱挲慥㜸戸㑦攷愱㠹晤㈶㐳〴㠲ㄹ〰㔴ち晣捥搳㔹户㔱昱挰㉦ㄴ㤱搳搹㤵摦㔱㈲㉣㌴㉡ㅥ昶㠳挹攳㘱㍥慣㡡㠷摢㜴ㅥ搴㄰㍣㑦摦攲换挳〲㜷㥣晤攱ち㍣㌴㐳挷㕦㠵㌱〷扡捤〳㙥㈶昰昴㈲㠵挷㘷挹㝣㉣㠳慦㘹挶搱㍢㤵㌳昳㜸㔶㤲捣㘷㤳㔱㘳慥〷挵ㄵ㈸敥て㜹攷〸捡搲戹㈸慥㝢㔲挹㜸㈴ㄱ㑢㐵㘱㠹㠷㡤〳㍣㘸ㅥ〷愲㑣挲ち㤹㌹㌳ㅣ㑢挵挳㈹ㅣ扦㜰㡦ㅥ挵愹㍡㠲㥤㉤ㄲ㍣摡㠹㐴ㅥ㠸㍥昲㈰㡡㠳㈱㠲ぢ㕤晢㈱㌴ㅤ㑡㜱ㄸ敤㉣㑦㘱攴㍤㔰搵㔳戴挳愸㜸昸慤捥挳㔱散㘷㐲〴㠲㡢〰㈸扢㍦ㅣ攳㌶㉡ㅥ昸㤵㈶戲㤳愲ㄹ㕤㐵㈷ㅡㄵて㐷㔳㠳ㄹ㝡㠵㔸っ愹㜸戸㐸攳挱㘸〱愴晣摤攱㠵扥攴㉣㜱〷攷捦昱㠰㥣愵搰㌹㠴搱づ摤㈶㈷㡡㥦戳〹㐷㘳㘶㍡㤲㡢挴㜰愰㑡攳愶㉥㥢捡㈵㜱㑢ㄷ挶㝤㠶㘹㉣昲愰㘶㈲㡤晢〹ㄳ〹挷㜳搴㕣㍣㘲㐶㜰㥣挳捤㈴㡥㜷ㄱㅣ扡㌲挶㌱ㅥ㌴㤹㡢挵慣㄰㉥捥昰㤰㉢㤶㌴㑤㌳㤹挲㐹〶て挸捣㔰㌲ㅦ捡㥡挱㘵㑥㈴戲〳㝤㘴㈷㐵ㄷ㐴㜰戹㙢㕦㑣搳ㄲ㡡愵戴戳昰㠵㤱ㄷ攱挵〹㌰㉡㜲㑥搳挹㌹㥥晤㑥㠰〸〴㑦〴㠰攴ㄸ㈷㐲昵扢㍢㍣〹昶挲扢挳ㄵ戰昸摣ㅤ慥㠴戹昸敥昰㈴挷扢㝤㜷挸慦㙡㤱愷〲愶扥敡㕥慣㐴愳㘲昷㜴㤸㍣㜶㑦㠱㔵戱扢㕣㘳㔷㝡㐷扢愵扥㐴戲晣㐵㙤㘲㘷挱ㄵ㠸㍣つ㍡晥㉡㡣㕦㐰户㠹㑣㘶㔳愹㜴捥攴㘵㙥ちて扤昱挴㌱ㄵ㑦㘶ㄳ㔹㉢㥤㑡攱㕣㘲ㄹ㘷㝢搰㜰づ晢ㄳづ㙦㜸攴ㄲ㠹愵昲搱㜴ㄶ㝣攲㐱㔸㍡㘳攵昰㈸㈷㘲㥣攳㐱㜳㐹㉢ㄹ㡥攷昲戸攷挱ㅤ㘷㉡㥤挹挶搳㜸㄰㤰㑣收挲戸㍥㑢㐷㠳愷㍢㤱挸㜳搱㐷慥愲㌸て㈲昸㜳搷㝥㍥㑤ㄷ㔰㕣㐸晢ㄹ慥摤㠳慡㥥攲ㄷ戰㉢㈲㥢㜵㈲㝦捤㝥㤷㐰〴㠲㉣戳㈹㝢戴㍢挷㙤㔴㝢搹挹攴㘱㌵扢慥挴㤲㔸㠵㐶挵挳㤵㌰㜹㍣㥣て慢攲攱〸㥤〷敥㘵敡敥昰㌰㕦ㅥ㔸㐳愳㠲戸〶㌸昰㜰㈱㜴晣㔵ㄸ搷㐲户㜹㠸㘴戰挹攷昳㤱戴㤵捡挵戲㤸㜲挰敤㠵㠵㠷㈵戱㕣㈲㠴昳㜷搸戸捥㠳㐶昹攸〴㔷㔲愱㑣㌲ㄴ换㈶ㄳ搸〹㔳ㄱ敥㝦戱㑣ㄴ㔷〵㔱攳㝡て㡡敢㘶㍣つ挶㡤愰㠵挳㕥づ搷㜴戱㈴敥改昱㥢㔵搱㐸挴㡡㘶㤳挱㕦㍡㤱挸ㅢ搰㐷晥㥥攲㐶㠸攰㐵慥晤㈶㥡㙥愶戸㠵昶㡢㕤㍢㔱㍤㥤挴㈵戰㉢ㅥ㘶攸㍣摣㐹搰㕤㄰㠱㈰㙢㜵㔴ち戸㐳㐹敥㍤㤲㍢㡣攴敥ㄱ晣ㅦ户㔱昱㜰㈶㌲㈳搷戰㤱摦㠰㈳㉥㐷愳攲攱捦㌰㜹㍣㕣〱慢攲㘱愲捥㠳ㅡ㠲㘷㥤〹扥㍣慣㜶挷㔹ぢ㔷攰攱户搰昱㔷㘱慣㠳㙥昳㤰㐲ㅥ㤱戵㙣ㄶ㕢㉦づ㐱搹㔴〶㍢㐶ㅣ改挲㘹㥡昷㡡挶㠳ㅥ㌴㡦捤㍢㤶㐵㕥㐳㌸昵㐷㜱ㅥ㠹挴㈲ㄱ扣挳昱戰㠹㌹愰㤸昱㤰〷つ㠷昹ㅣ㉤ㄳ㡢愷捤㙣㉣㤷㑥㘵㜰攰㡢攱昹㍥攸つ㐵ㄲ㘹㉢㜸愵ㄳ㠹㝣ㄸ㝤攴㈳ㄴ㡦㐲〴㝦攷摡ㅦ愳改㜱㡡㈷㘸㘷㈱㄰㈳㔷㈸ㅢ捦㥥攲㕡ㄸㄵて㘱㥤㠷扦戲摦㌳㄰㠱攰㜵〰㈸ㅥ晣慥挲慥㜷ㅢㄵて攷搱晦㉡㡡ㄷ改晡昷㘸㔴㍣扣㐴つ㘶攸㤸ㅢ㠵㔴㍣㡣搲㜹昰㡥㑢㈳㝣㜹戸搹ㅤ攷㔵戸〲て户㐰愷㌷攳㌵攸㌶て昸㕤〶摣㐹攳㌰㤲㐲㤲ㄳ㠹㈴捥攷戸戶挲㈹㈳㥤挳慤㜸㌲㘳慣昷愰㌹㌳ㄱ㑥攲戲ㄶて㈹㐳㜸㔲㘹㠱戴㝣㌴㥦㠹㈴ㄲ㔹㌳㘵攵ㄳ挶敢ㅥ搴㑡㠵㌱ㅢ㘷攱〷㙣㌲㈹㍣㜱捥㥢㘶㍣㘱攲㐱㜲㉥ㄹ戶ㄲ㤹㔴㉡㜸慢ㄳ㠹㝣〳㝤攴㥢ㄴ㙦㐱〴㙦㜳敤㙦搳昴づ挵扢戴戳㥡㠸㤱摢㔰搵㠹㜸㜱ㄷ㡣㡡㠷㙤㜵ㅥ㍥㘴扦㡦㈰〲挱扢〱㈸㝢㕣晡㠳摢愸㜸攰昷昴挸つ散捡慦晥ㄱ昷愲㔱昱昰〵〷㠲〵㍡㙡㡣㈱ㄵて㔲攷挱摢ㅦ晡晡昲戰挶ㅤ攷ㅢ戸〲て昷㐱愷㌷攳㕢攸㌶て戹㠸㠹㐳っ昲㡡㈷㝢戱㙣㌴㥦㑥㘰㍥㌴㥡挰㡦㐹㜰㘲搳㑡ㄹ摦㜹搰㘴㍥㥦っ㈵戳愱㜴っ昷㤱搸㌱㌲㜸昸㡥摢㜶摣㉥收昱搸㌸㥣㌰扥昷愰戸换㡣㠶昲戸㜷挷晣ㄶ敦㍤㌳戹㜴ㄲ㤷㙡㠹㍣㍡㠷㑤㉢ㅢ晣戳ㄳ㠹晣〱㝤攴㡦ㄴ㤸㌳慥〸摥敦摡昹摢㔹戲㤲愲て敤摤慥㥤愸㥥㑥㘲ㅤ散㡡㠷慦扦搶敥づ㙢〸攲て〸〶㠲㉣㍤㉡扢㍦㍣攴㌶㉡ㅥ昸㐵㐱昶捦㠳㙣㠵慥攲ㄱ㌴㉡ㅥ戶愶收昲昰ㄸ慣㡡㠷㡦㌰愰㜷㜷攸敤てㅦ挰㕡㝡㜷昸戸㍢捥㜶㜰〵ㅥ㥥㠰㡥扦ち攳㈷搰㙤ㅥ愲愱っづ㉢㤸㝣挲摤㌴㑥扥㌸㤰攰愸㠴换㔷㑣㌵㘵㜱㈹㘵ㅡ㠳㍤㈸㥥换收㜰㘷ㅥ㑥㈷攲㜸搰ㄸづ攱攰㡦㜹ㄲ㄰㤷捦愶㐳戱㔴挲昸愹〷捤㘷㌰㘵㥤捦攱ち㌸捡㌹㉢㑣㐹㘶㤲㔶搸捣攰昲㌹㤴挱㔹㈷挸㐲㈶㐶㈲户㐷ㅦ戹〳挵㄰㠸攰㔳慥㝤㐷㥡㜶愲ㄸ㑡晢搳慥㥤㈸ㅢ捦㥥攲ㄹ搸ㄵて慦攸㍣㡣㈴㘸ㄴ㐴㈰挸晡愵戲晢挳戳㙥愳攲攱㙡挶㌳㠶㕤慦挲㤲㜸ㅥ㡤㡡㠷㝡づ〴ぢ昴ち昱て㐸挵挳㌳扥㍣晣挵㤷㠷ㄷ摣㜱㈲㜰〵ㅥ㕥㠴㑥㙦㐶ㄴ扡捤㐳㍡ㅦ挱戳㔶㕣攵㘶昰㐸㌰㤶㑣愴搲㤰㐸㉢㥥㐶攱搱㕦㈸㘹挴㍣㘸㈴㤵挰攳㐰㕣ㅡ攳换㘰㜰㔷㤲㌳㜱扢ㅤ㌵㜱愷㤱㐱户㜰㌲㙥挴㍤㘸ㅥ㤷捥㜱㙣晢愱っㅥ㑣㈶㜸挱ㄴ㑡㠱攰㘴㉡㤵挵ㄳ摦㔸㌶挸㙡㈸㐶㈲昱㌸愶㐲㈶㈹㔲㄰挱㝦扡昶㌴㑤㘳㈹挶搱晥戲㙢㈷慡愷㤳㜸つ㜶挵挳〳㍡てつ〴㑤㠴〸〴搷〳㔰㤶㠷搷摤㐶挵〳扦㉣㐹敥捤慥晣晥㈵昱㈶ㅡㄵて晢挰攴昱昰㌶慣㡡㠷扢㝣㜹戸挳㤷㠷㜷摣㜱昶㠳㉢昰昰㉥㜴晣㔵ㄸ㌳愱摢㍣㐴攲搹〸づㅦ㤸㥢戰昲㜸ㄶ㠸敢ㅢ㍣㙢捡愷攲搹ㄴㅥ㈸攲昱㠹㌱换㠳㐶㜱㤳㙥收搳戸敤㑥挶㌰㤷㥥㑦昳㔹㤷㤵㠹攷㈰㘳挰ㅡ戳㍤㈸敥捣㌱㌷ㅣ㑦攰ㄹ㘲づ㤴㈶挰㤴㤵挵㔵㉦㙥㜷攲㌹㌳㤵づ晥换㠹㐴敥㡦㍥㜲づ挵㕣㠸攰㝢慥晤〰㥡づ愴㌸㠸昶昷㕤㝢㈱㕥㝣〴扢攲攱㙡㥤㠷挳搹敦〸㠸㐰昰㘳〰捡昲昰㙦户㔱昱㜰〷㜹挸戱敢敤攴攱㔳㌴㉡ㅥ昲㌰㜹㍣㝣〶慢攲攱ㄲ㕦ㅥ㝥攵换挳〶㜷㥣愳攱ち㍣㝣づㅤ㝦ㄵ挶㐲攸㌶て㠹㘴㈸㤷挰捣㕦㌶ㅥ挶㤱挹㑡㤹㈶慥㐴昳昱㐴㈸ㄳ挲昳昴㑣捡㘸昱愰㔶㌶㘴攲收㍢ㄵ挳攵ㄴ㘶挵㑤㥣㠱慤㙣㌸㠷㠹つ㍣㈴捣㠶㉤愳搵㠳攲攸㠶㍢晣ㄴ㙥〴㌹㙤㤵换㘶㔲戹㑣〴㤳昵昱㜰〲㔳挶愶ㄵ晣挲㠹㐴戶愱㡦㙣愷㔸〴ㄱ晣搲戵ㅦ㐳㔳〷㐵㈷敤㕦戹㜶愲㝡㍡㠹㙦㘱㔷㍣㥣愹昳戰㡣愰攵㄰㠱攰㜷〰㤴攵攱㝢户㔱昱挰㉦㡣㤲㉢搸㤵摦㐱ㄵ晣挱㙤㍣ㄹ愶〱㝤慡㉢攱㘶㕣㔱㥤㡤晦昷捣㡣㉥晥㍤㥡挹昸㝤ㄹ㤶㜵㔶昴挱ㄷ㙣搸㕦㑢㔱㔵㌹㜶换㝣戱㤲㠷摦㑡挳㜷昵〹㔸敢晦㠵ㅦ㙥㕤㍤戵㕤昴愸㑡㙢㑥挵ち㔷ㅢ㔸摤㤰㕦㠸扤晤㍡㉡㍡㔶㙣摢㍡慤ㄳ㐵㍥昸㤵摤戹敤ㄳ扤㥦㘸摤捡㉤晥ㄹ敤晥㑣捡愸ㅥ换挴㑣㈷扥搶愸换㜲扢捤散昰晡攱㘷㐷㔰㈷㠶㠶搱晣㔱㤵㙤㝢㌴敤㙢㍤㜶攸戱㑥㙢敢挴て〰㔹㌹搷㘳㈷捡ㄷ慢㉡晢〸摦㙦摡㜱㝥㡣㤵摦攳㐱㙦昸〹愰㘹戹ㅤ戱〶㍢昸㝣愹挹愴收㉥昵愵㐰摢愳㕤挸㍥㐸㡥㜱㍡搶戶敦昸㤱㡤㡤㈳㈳攱敡攵㘰㘲㤳〷㈹捣㍢㠷攴挶ㄱ㤰㘷挰愳㘰〵ㄹ㤳㉦㘴ㄵ㤷捥㜲㐶㘹挲㈸㘲㌱㐶攱㐸搸㌴〱㍦㥢昰ㅡて㕥捤愵㜳ㅤ昸㘴挲㡦㜱攰㘸〰晣㍣挲㔹㡣㐶て㌴㠹㠰愳搰㥤㘰㜱ㅡ㕢ㄸ㑡㙤㄰ち攰敡㡤晦摣搷㈷ㄳ㥣愵〶晢晦ㅡ攷晦愰昳晦愰㠶摡慤摣㥥㐷㠸㘱ㄷ㑣慣㕥㝦搲ㄵ㥦摥㌰㙥搴攵户晣攸晣㝦㔲攰ㅦ扦㕢㌴㍥昰收㠴扣㝡扤㌳攱戰㔵㙢㍦摦昵昰㝦㑦㄰慣攸ㅡ〱扦挵㍦㘴搱㠲愰㝣㝦挲㘱愱搳㔰晣㜳ㅥ挱敤攱〹㝦戸攰挶㍡っ攸㈳㜶㠲挲摤㔷㌴愳〷昷ㄹ戵㤹晦㥡昹ㄸづ戳㥤敤愱㕣扡ㄴ㌶㜲摡㌴㌲㥤ㄴㄶ㤰㍤搹扥㡣昰ㄱㅥ扣㡥㑢扦㜱攰㡤㠴㥢づ摣收㜲㌵攱㈳㍤㌸敢扤㡣㉢ㅤ昸㘴挲㡦㜰攰㘸〰㌹㔷ㄱ㍥ち换ㅥ㌹㍢㍢㡡㈲㠷㠵㕤ㅥ㌹㘳愰〰扥〵攴戰捥㑢昵㉣㐷づ扣晡扣㍥㤹㈰㔸收攵㐷捥挱㔸ぢ㕦㜲づ㜲ㅡ㡡㝦㘵㈴㤸㠰㈷晣攱改〳㈲〱㌹㘳愱㈸㜲づ㐰て㡦㥣ㅢ㤹㡦扤搰㘴㤳挳攲㉦攳㘶搸散ㅤ㉥ㄵㄱ戳㥤昴搹搹扥㤵昰〹ㅥ㥣〵㘰挶敤づ扣㘹㈴攰㌳ㅣ㌸戳ㄹ㤰㜷ㄲ摥攰挱㔹〴㘶摣敤挰㈷ㄳ㍥捤㠱愳〱昰㝢〸㘷㜵㤷㐷捥㈴㐷㔱攴㌴㍡㡡摡㜳昶㠶〲昸ㄶ㤰挳攲㉦搵戳ㅣ㌹㤷愸搷㑥つ昰㡥搷昰㠶愸㝡敤搶㈰㘶愳愷ㅦ㌹㑤㔸ぢ㕦㜲ㅡ㥤㠶攲ㅦ㍦〹敥て㑦昸挳㠷㐸㄰〹挸㌹㄰㡡㈲㘷㈲㝡㜸攴㜴㌳ㅦ㠷愲挹㈶㠷ㄵ㘱挶㕡搸散㍤㈷ㄹㄷ攳㥤昴搹搹㝥㤰㜰搶㘹搹昰㠳戹昴戰〳㙦ㅣ〹㜸摡㠱摢㕣㍥㑡㌸㙢戵㙣㌸㉢挳㡣挷ㅤ昸㘴挲攳づㅣつ㈰攷㐹挲㔹昲攵㤱㜳愴愳㈸㜲收㌹㡡㈲㈷〷〵昰㉤㈰挷㜲㝢㤶㈳〷㕥㝤㕥搸㜳㔸㄰收㐷㑥〸㙢攱㑢捥捦㥣㠶攲摦㘴〹戶挱ㄳ晥昰㥤㐹㔸〷㤰搳〱㐵㤱戳〷㝡㜸攴㍣挷㝣戰㠶捡㑥ㅦ㉢挲㡣扦挳㘶敦㌹改戴搸捤㐹㥦㥤敤ㄷ〸㘷㥤㤶つ㘷㔵㤸昱㤲〳挷㔱㌰㉤㐶㌹㜰㥢换㤷〹㘷慤㤶つ㘷㘵㤸昱慡〳挷㘱㉤㉤㠶㌹㜰㌴㠰㥣昵㠴戳攴换㈳攷㔸㐷㔱攴戰〴㡣㉤㡡㥣ㄵ㔰〰摦〲㜲㔸ㄱ愶㝡㤶㈳㐷敤㌸㍦摤慥〱摥昱摡摥搹㜳㠶㌷㠸㌳搰搳㡦㥣㈱〸捡㤷㥣ㅤ㥣㠶攲㥦㡡〹㥥〵㑦昸挳挳㈵㐴〲㜲捥㠵愲挸昹㈹㝡㜸攴晣㡢昹戸〰㑤㜶晡㔸攵㘵扣てㅢ挹挱㠱㈷㉣戶〵摡捤㔵㐰㝥㐸㌸㙢慦㙣昸㜹㕣晡搸㠱攳戰ㄶㄶ㕢㌹㜰㥢㥣㑦〸㘷㤵㤶つ㍦㥦㑢晦㜱攰㡤㠴て㜰攰㌶昵ㅢ〸㘷ㄹ㤷㍢愰㘰㌹ㄷㄵ㐵づ换扡愸㈸㜲㔸戰〵昸ㄶ㤰挳㉡㉦搵戳ㅣ㌹昶㠵挰愰〶㜸挷㙢㜰挳㤳敡㔵搷㈰慥㐶㑦㍦㜲㙡㄰㤴㉦㌹㝤㥤㠶攲㕦戰〹㕥〳㑦昸挳户ㄸ㈱ㄲ㤰㜳〳ㄴ㐵㑥㌵㝡㜸攴㝣挷㝣戰㙣捡㑥ㅦ㑢扦㡣ㅦ㘰慢㔱攴攰昷㘷㠴〰摣㑤㔶㐰㔶昴〵㥥ㄵ㔹㌶晥㐶㉥㔵挲㐶㝣攳㐸攲扦晦捡挶摢昹慥㈲晥㔶て捦㈲㌰挳㜰昰㑤ち晦戵㠳户改慣㈱晥㌶愰摣㈱挵敤㡥愲昸㘱戹㤷挷てぢ戹㔴㤶㔵ㄲ㍤戱〹ㄷ㙣慣晥㔲㍤换昱昳昵慥㠷攳ㄲ㙤㘸挳㕦ㄴ㉦挳ㅢづ戸㘷愷搳㍥㤸扤㝢㠳攸㐶㑦㍦㝥㌶㘰㉤㝣昹昹捣㘹㈸晥㘹㥤攰㕡㜸挲ㅦ扥〱ㅦ慢っ㝥ㅥ㠶愲昸昹ㄴ㍤㍣㝥㠲捣挷攳㘸戲昳捤㤲㌰㘳㙢搸散㈳㕢㈴㉡㍥㜲搲㘷愷㝢㄰攱㉣搴戲攱㡦㜲㘹㍢〷㡥慢改愸㜸捦㠱摢搹ㅥ㑣㌸㡢戵㙣㌸㑢挳㡣敤ㅤ㌸慥愶愳攲㙤〷㡥〶ㅣ搹㠶㄰捥㥡㉦㡦ㅣ搶㝥㔱㔱攴戰〶捣㈳㠷搵㕤㕢㐶づ㑢挲㝡㈵愷散搵㌴㉢挲晣挸㔹㡦戵昰㈵攷㌵愷愱昸ㄷ㝦㠲慦挲ㄳ晥㔰㐴㠲㔵〶㌹㙦㐰㔱攴扣㠲ㅥㅥ㌹㈳㤹㡦㜷搰㘴愷㡦㜵㘲挶捥㑥晡㜰㜹㥣㄰㉦㍡改戳挹搹㤵㜰㔶㙦搹㜰搶㡡ㄹ扢㍢㜰㥣㜶ㄲ攲㜹〷㙥㤳㌳㠶昰㝦㜹昰户戹㔴敦挰㜱摡㐹㠸㘷ㅣ㌸ㅡ㐰㑥㠸㜰ㄶ㠲㜹攴扣敦㈸㡡ㅣㄶ㠶㜹攴㝣〲㘵换挸昹搴敤㔹㙥捦㔹㠷ㅢ㥢㔵㙢ㅦ㥡㜰愹㍡晦㍣㌶攱㠳搹摣㜵㥥㤹㈰㔸㉢收㐷捥㤳㔸ぢ㕦㜲㥥㜰ㅡ㡡㝦㠸㈸昸つ㍣攱て捦〸戱捡㈰攷〷㈸㡡㥣挷搰挳㈳㈷挵㝣㔴攲㈹扣㥤㙤摥晤ㄹ㘳㥤昴㠱㥣戰㜸挸㐹㥦㑤捥㥥㠴戳愴换㠶㔷㜰㘹㉦〷づ㜲挲攲〱〷㙥㤳搳㐰㜸㤵〷ㄷ㕣㥡攴挰㐱㑥㔸摣攷挰ㄹ㘸㐰㌶ㄱ捥敡㌰㡦ㅣ挳㔱ㄴ㌹慣ㄶ昳挸改㑦㕦攸挵户昶摡㠴挳ㅡ㡢挷㝡摤㜳㜸㔰摢昵昰捡〶㥢㥣敡㠶昱㙡㔷ㅡ搸㈰〶愱愷ㅦ㌹昷㘰㉤㝣挹昹㠳搳㔰晣晢㐸挱敤攰㐹㤱戳て㔶ㄹ攴㙣て㕤㤱㜳ㄷ㝡㜸攴㑣㘷㍥㜶㘲戸挰ち挹㡡㌲㘳㍦㈷㝤㡤㈳愳㜱㜱㥢㤳㍥㥢㥣㔹㠴て昵攰㐳戸戴扦〳㙦㈲晣㈶〷㙥㤳㌳㤷昰㍡て捥捡㌲攳㐰〷㍥㤹昰敢ㅤ戸㑤捥挱㠴て〳挸㈳㘷戸愳㈸㜲㔸㐲收㤱挳攲戰㉤㈳㠷ㄵ㘵扤㤲㘳ㅦ搶㍥㜳ㅥㄲ㝣攱㍣㈴昸㜱㠲㘰㐱㤹ㅦ㌹㔷㘱㉤㝣挹昹㥤搳㔰晣戳㑤㐱ㄶ愳㈹㜲㡥挴㉡㠳㥣〴㜴㐵捥㙦搱挳㈳攷㈸收㘳㉣挳㔵攴戰捣捣挸㜸改㑢㐷挴攵〵改换ㄱ捥攲㉦ㅢ捥㔲㌳㈳敦挰戱攷㐴挴㈵づ摣㈶㘷〱攱㝢㝡㜰㤶㥢ㄹ㐷㍢㜰散㤷ㄱ㜱㤱〳户愹㙦㈱㥣㜵㘴ㅥ㌹㝢㌹㡡㈲㘷㠲愳㄰㕣摢㐴㕦㔸攰㕢㝢㙤挲㥥挳㌲戳㕥挹戱敦㍢扦昵㥥〵搹ㄷ㜰㐶㠳㤸㡥㥥㝥攴㥣㠷戵昰㈵㘷㤵搳㔰晣㙢㔲㐱㔶愸㈹㜲㍡戰捡㈰㠷㘵㘶㡡㥣㜳搰挳㈳愷㡢昹㌸㤰攱㉡㜲㔸㝢㘶㉣昱搲ㄷ㠹㠸㌳ぢ搲户㡣㜰㔶㠴搹昰戹㕣㍡搶㠱攳っㅦㄱ愷㌹㜰㡥ㅣ㤰挷ㄳ捥摡㌱ㅢ捥ㅡ㌴攳㐴〷㡥敢㠷㠸㔸改挰㙤㉥㔷㄰捥攲㌲㡦㥣㐳ㅤ㐵㤱挳㘲㌳㙦捦㌹㡡扥㌰挸收㤳㘳扡㍤换㥤㜳捡敥㌹㉣㍤昳㈳攷㜸慣㠵㉦㌹挷㌹つ挵㍦㜲ㄵ㘴搹㥡㈲攷㜴慣㌲挸㘱㤹㤹㈲㘷㌹㝡㜸攴㥣挱㝣戰捥换㑥ㅦ㙢捦㡣戳㥣昴㑤ㅥㄹ㡥㡢挵㑥晡散㙣㥦㑤㌸㉢挲㙣㌸敢捦㡣㜳ㅤ㌸㉥㡥攳攲ㄸ〷㙥㘷晢㍣挲扢㍣㌸㙢搰㡣ぢㅣ㌸慥扤攳愲搵㠱摢㝢捥㉦〹㘷㜱㤹㐷捥ㄲ㐷㔱攴戰搸捣㈳攷㜸晡摡㈲㜲㔸㝢搶敢㥥㜳昳搴搷㡦ㅤ㜴昳愷ㄳ㥥㔲㤷搲ㅢ㈶昰㐲晡㥥㥤扥㥦㈰㑥㐵㑦㍦㜲ㄶ㘰㉤㝣挹㤹敦㌴ㄴ晦昶㔶昰㜴㜸㔲攴㕣㡡㔵〶㌹㉣ㅤ㔳攴㔸攸攱㤱㜳ㄹ昳挱摡㉤㍢摢慣㈷㌳㝥攳愵㉦㠵㠷㤹〵改㕢㑤㌸㑢户㙣昸搹㕣扡搲㠱攳戶ㄵて㌳ㅤ戸捤攵㔵㠴戳ㅥ捣㠶戳慥捣戸挶㠱攳戶㌵㈹づ㜱攰㌶㤷搷ㄱ捥㠲㌱㡦ㅣㄶ㡥㔱㔱攴戰㠰捣㈳㠷愵㘱㕢㐶づ敢挹㝡㈵愷散㘱㙤㌵㝡晡㤱㌳ㄷ㙢攱㑢捥ㅣ愷愱昸㈷挱㠲㔷挲㤳㈲攷㘶慣㌲挸戹〶扡㈲㘷㌶㝡㜸攴摣捡㝣戰愰换㑥ㅦ㡢捣㡣摢扤昴㠵㔳㘲㐶㐱晡敥㈴㥣愵㕦㌶㥣㠵㘶挶摤づㅣ扢㐲㑡㑣㜳攰昶慥㜰て攱㌷㝡㜰ㄶ㥢ㄹ㝦㜴攰搸㉦㔳㘲戲〳户戹㕣㐳㌸慢挸㍣㜲㔸㑤收㤱挳慡㌲㡦㥣㍢改㙢㡢昶ㅣㄶ㤹昵㑡㡥㝤㡥愹㙡㠰㜷扣㙡㥣㠷〴挱〶戱〶㍤晤挸㘹挰㕡昸㤲㌳挱㘹㈸晥㜹戲攰㥦攱㐹㤱戳ㄶ慢っ㜲搶㐲㔷攴㡣㐷て㡦㥣〷㤹㡦㠷ㄹ㉥戰㐲戲昲捣㜸搸㐹ㅦ慥搶㐲㈲敤愴捦捥昶愳㠴戳ㅥ捣㠶㍦挸愵挷ㅤ㌸慥搶㐲㈲敥挰敤㕤攱㐹挲㔹㌹㘶挳㔹㠱㘶㍣敤挰㜱戵ㄶㄲ㘱〷㙥㤳昳㔷挲㔹㕡收㤱挳ㄲ㌳㡦ㅣ㤶㥡㜹攴戰㠸㙣换挸㘱攵㔹慦攴搸愴ㄴ㑢㍣晢㘴攱㤹ㅦ㌹㘳戰ㄶ扥攴㡣㜶ㅡ㡡㝦㌵㉤昸ㄲ㍣㈹㜲晥㡥㔵〶㌹慦㐲㔷攴散㠶ㅥㅥ㌹㉦㌰ㅦ㙦㌰㕣㐵づ换搱㡣㤷㘰攳ㄳㄹ㍥㘱㠹㡡㔱㑥晥散㜴扦㑣㍣慢挴㙣晣㝡㉥扤敡攰戱㉦〰㍦捣挱摢昹㕥㑦晣㕢ㅥ㥥㠵㘹挶ㅢづ㥥㑦㝣愲㘲㐷〷㙦戳晦ㄶ昱㉣㌹昳昸㜹挷㔱㌸扥㘰〹㥡挷捦㠷㜴〶㉢摦摡㙢ㄳ㉥搸㔸㤱搶㉢㍦敦慢晢捥〱つ昶〴挲㔶つ㥣㠰晢挷敦〶㌷㠸つ攸改挷捦㘰慣㠵㉦㍦㍦㜱ㅡ㡡㝦捥㉤昸〵㍣㈹㝥摥挷㉡㠳㥦㙦愰㉢㝥戶㐵て㡦㥦て㤹㡦ㅦㄸ慥攲㠷㘵㙡挶挷戰搹ㄳ〷㤱㠴搸捡㐹㥦㑤捦㈷㠴戳㜸捣㠶㝦挷愵晦㌸㜰捣扡㈶挴〰〷㙥㘷㝢〳攱捣㠴つ㘷戹㥡昱㠵〳挷昵㕤㐲㐸〷㙥㤳昹ㄵ攱慣㐳昳挸㘱㍤ㅡㄵ㐵づ敢搲㍣㜲㙡攸ㄵ慣昰慤扤㌶㠱ㅣ㤶愹愹㥥攵㉥搸散㈳摢〶攷㙡晡慢〹昶攳捦㡡〶挱㉡㌵㍦㜲慡戰ㄶ扥攴昴㜱ㅡ㡡㝦㘵㉥戸㌵㍣㈹㜲㝥挰㉡㠳㥣敤愰㉢㜲〴㝡㜸攴㔴搴㈰ㅦ摢愳挹㑥ㅦ㙢搷㡣㑡搸㥣㠹〳㍣捤晣戲攰㘹㈶攱慣㈸戳攱㠳戹㘴㌸㜰摣敡㠴挴搷づ摣收戲㠶昰㈱ㅥ㥣㌵㙣㐶挰㠱攳㈱㐱㐸㝣敥挰㙤㜲晡ㄳ捥攲㌴㡦㥣㥤ㅣ㐵㤱挳㘲㌵㡦㥣㤱昴〵㔶昸搶㕥㥢㐰づ㙢搷㔴捦㜲攴ㅣ愳㥥ち散摣㌰㕦戱戴㝢挳㜱㠳㜸〹ㄷ㘹㄰㘳搰捤㡦㥣㑦戰ㄶ扥攴晣摢㘹㈸晥昱扢㘰㍤㍣㈹㜲戶挶㉡㠳㥣〸㜴㐵捥㐷攸攱㤱㌳㠸昹㐸愰挹捥㌶ぢ摡㡣敤㥣昴攱㤲㉡㈱摥㜳搲㘷㘷㝢㌰攱㉣㌳戳攱㌱㉥㙤敦挰㌱ㄳ㤰㄰㙦㍢㜰㝢捦ㄹ㐲㜸捡㠳戳戰捤搸挹㠱攳晡㉥㈱㕥㜷攰㌶㌹㜵㠴戳㘲捤㈳㘷慣愳㈸㜲㔸挱收㤱搳㐰㕦㘰㠵㙦敤戵〹攴戰愰㑤昵㉣㐷㡥敤㑥㌴搸晦㔷㌹晦昷㙦㄰㝢愳㥢ㅦ㌹㉦㘳㉤㝣挹昹愷搳㔰晣㥢㝣挱㝤攰㐹㤱戳㌳㔶ㄹ攴散〷㕤㤱昳㈲㝡㜸攴散捡㝣散㡦㈶㍢摢慣㜲㌳㜶昷搲㤷㡥㡢攷ぢ搲㌷㠶㜰搶㥥搹昰㔹㕣慡㜷攰搸㜳攲攲ㄹ〷㙥㜳ㄹ㈲㝣慥〷㘷戵㥢ㄱ㜱攰㜸㐸㄰ㄷ㑦㌹㜰㥢换ㄸ攱㉣㘳昳挸㌹搰㔱ㄴ㌹㉣㙢昳挸㌹㥣扥㤰㍥扥戵搷㈶㤰挳㉡㌷搵戳ㅣ㌹昶戳捦攷㥤㘷㥦㉦㍡捦㍥㕦㥦㈰㜲攸收㐷捥愳㔸ぢ㕦㜲ㅥ㜱ㅡ㡡㝦㉡㌰挸〲㌹㐵捥㔸慣㌲挸㌹ㅡ扡㈲攷㈱昴昰挸搹㤳昹㘸㐳㤳㥤㙤㤶扥ㄹ㝢挱收㕣ㄳ㠴㐳攲〱㈷㝦㜶扡ㅢ㠸㘷㐵㥡㡤㙦攱搲㈴〷㡦㜳㍣昰昷㌹㜸㍢摦㑤挴㉦昲昰㉣㠲㌳愶㌸㜸㕣㐳〰㝦慦㠳户㜷㥥扤㠹㘷㜹㥢挷㑦㠷愳㈸㝥㔸敥收昱戳㡣捥㐰っ摦摡㙢ㄳ昸㘱昵㥢敡㔹㡥㥦戲㜷㍢㉢搰捤㡦㥦㍢戱ㄶ扥晣摣攱㌴㤴晣㠶㈱ぢ攷㌶昶ㅢ㠶晣捥㌰慢㤳摦〳搵挹㉦㤴慣捥昳㕢捥晡攵㙤㌳㙢摤昰㍤㘷捤㉤㉤敡㉢挲晡攳搷挶㍡ㄶ㕡ㅤ搳昱换㝡昸㡤戱㌹捤慤捥㜷㐵攱ㄷ昷昸攳㑤敥敦㔹㐹愵戱戳㤱㥦搹㠱ㅦ戸敡㥢㥦搶㠹㕦㐴捣搵戴捥㌲扢扡慣㡥戶晦ぢ㍦㐵㠶㉦㙤慢攲ㄶ㠴慡挰㍥昸㡥扤㑡摦敦㑢扢ㅦ捤扥㘵㘵㉡㘳昵㍤昹㤸㡥㥦捣㘳〱㕦㈵㝦愴㙣换㝥ㅣ搱搸て㕢㘶搹㙦昵慢ㄲ户㠱㘷扢昶㝤㐵挵㡦㡣ㅢ愳攱敢〷搰挹㤸つ搱〷㕦晢愵敡㔵㈱〲㜲㝦㔸攴㐳㠰㈸㔱㔱㝤㉡戶㠵攲㌵攴搷搸㑤㘱ち慡㤷㌶攷扡ㄶㄸぢ慣收昹ぢ昰㔹挹㝥晤戸摡敥慢敡っ㜴敤慤㈴㡦扢㑤摦搶㜹㘶㐷㠷戹扣愶㜵㕥㡢搵㌶扦㙢㐱捤扣㈵愸㐰挴㉦㉤攲㡡愷愶愶㐶捥㐵㍣ㅣ㡡㙦㜱㌶㍣搲慢㍣㐰户㥥攷㕡て搴慤ㄷ挳捡つ搹㌸〸搶㕥戲㜳㥤㙦㜶づ㐱㈷挹散昴㘴收㌰㥡㝡㌲㈳㝥つ攷捣㡥晢ㄲ㤷㐱㔱搱ㅤ〱愴ㄷ昳㙡搷㝡愴㙥扤捡戵捥搳慤㌷挰慡㘲㍥ち搶㕥㘲扥挲㌷收っ㍡ㄵ挵㥣愳㐹㡢昹㐶っ㔰㄰昳慤㙥ㅣ㜹㍤㡥㍢㕤敢㝣摤㝡㡦㙢㕤愰㕢㔹㜰愴㘲㙥㠶戵㤷㤸㉦昶㡤㜹㈱㍡ㄵ挵摣㑡㤳ㄶ㜳㌷〶㈸㠸昹㐱㌷㡥㜶㍤㡥㐷㕤敢㈲摤晡愴㙢㍤㐶户晥つ㔶ㄵ㜳〷慣扤挴㝣㡥㙦捣㕤攸㘴㉣㠶㈸摣㜳㤶挰愲挷晤ㅣ〶㈹㠸晢〵㌷㤶㘵㐰㝡摢挷换慥㜵戹㙥㕤敦㕡㡦搵慤㉣㔱㔱㜱ㅦ〷㙢㉦㜱㥦敡ㅢ昷〹攸㔴㤴敢㤳㘸搲㜲晤㉦っ㔰㄰昳㠷㙥ㅣ㉢昵㌸㍥㜱慤㈷敢搶つ慥昵ㄴ摤捡捡つㄵ昳愹戰昶ㄲ昳㜱扥㌱㥦㡥㑥㤲戹敥搹て捦愰㐹㡢昹㍢っ㔰㄰㜳〵づㅤ㙡㍦㍣ぢ㐸㉦捦㔵慥昵ㄷ扡戵挶戵㥥慤㕢〷挲慡㘲㍥〷搶㕥㘲敥昰㡤㜹ㄵ㍡ㄵ攵昹㝣㥡戴㤸㠳ㄸ愰㈰收㐱㙥ㅣㄷ敡㜱っ㜶慤扦搴慤㐳㕣敢㐵扡㜵㌸慣㉡收㡢㘱敤㈵收㘶摦㤸㝦㡤㑥㐵㜹扥㤴㈶㉤收㤱ㄸ愰㈰收㕤摤㌸㉥搳攳ㄸ攳㕡㉦搷慤㈱搷晡ㅢ摤㥡㠰㔵挵㝣〵慣扤挴㝣㤴㙦捣扦㐵愷愲㤸㝦㐷㤳ㄶ㜳ち〳ㄴ挴扣愷ㅢ挷搵㝡ㅣつ慥昵ㅡ摤摡攴㕡慦搵慤晢挰慡㘲扥づ搶㕥㘲㍥挸㌷收ㅢ搰愹㘸摢戸㤱㈶㉤收改ㄸ愰㈰收㔹㙥ㅣ㌷敢㜱捣㜵慤户攸搶㠳㕤敢慤扡昵㐸㔸㔵捣户挱摡㑢捣晢昹挶㝣〷㍡ㄵ攵昹㉥㥡戴㤸㡦挲〰〵㌱攷摣㌸晥愰挷戱挰戵摥愳㕢㕢㕣敢扤扡㤵ㄳ㠸㉡收㍦挲摡㑢捣㤳㝤㘳㕥㠳㑥㐵㜹晥㌳㑤㕡捣㕤ㄸ愰㈰收㘵㙥ㅣ摤㝡ㅣ挷扢搶〷㜴敢ち搷扡㔶户㜲㕥㑤挵扣づ搶㕥㘲摥搳㌷收㠷搰挹㜸ㄸ愲昰扣昲〸㉣㝡摣㘷㘰㤰㠲戸捦㜶㘳㜹っ㐸敦㜸㜷㥥㙢㝤㕣户晥搲戵㍥愱㕢㌹攵愴攲㝥ㄲ搶㕥攲㡥晡挶晤㌴㍡ㄵ㙤ㅦ㝦愵㐹换昵㘵ㄸ愰㈰收搵㙥ㅣ㝦搳攳戸捡戵㍥慢㕢慦㜳慤捦改搶㥢㘱㔵㌱㍦て㙢㉦㌱敦敥ㅢ昳㍦搰㐹㌲搷㍤攷㤵ㄷ㘹搲㘲扥ㄵ〳ㄴ挴㝣愷ㅢ挷㍦㠱昴昲㝣㡦㙢㝤㔹户慥㜱慤慦攸㔶㑥㔰愸㤸㕦㠵戵㤷㤸㠷昹挶扣ㅥ㥤㡡戶改㌷㘸搲㘲㝥㄰〳ㄴ挴晣愸ㅢ挷㕢㝡ㅣ㑦扡搶户㜵敢㕦㕤敢㍢扡㤵捦敤㔵捣敦挲摡㑢捣㠳㝤㘳㝥て㥤㡡戶㡤て㘸搲㘲㝥〱〳ㄴ挴晣戲ㅢ挷㐷㝡ㅣ敢㕤敢挷扡昵㉤搷晡㙦摤捡㘷搹㉡收㑦㘰敤㈵收㕡摦㤸晦㠳㑥㐵㜹摥㐰㤳ㄶ昳㠷ㄸ愰㈰收㑦摣㌸扥搰攳搸攰㕡扦搴慤㕦戹搶慦㜴㉢ㅦ昱慡㤸扦㠶戵㤷㤸つ摦㤸扦㐵愷愲㍣㝦㑦㤳ㄶ㜳〵昴㠲㤸慢㘰㔰搷㐹㍦㘲挱摢㥥㙢㕣㉢㍥昹摤㘳敤敦㕡㠵㙥摤ㅡ㔶ㄵ㜳㈵慣扤挴晣晤ㄷ㝥㜷愰㔵攸㔴ㄴ戳㐱㤳ㄶ昳㈰っ㔰㄰昳㘰㌷㡥ㅡ㍤㡥㈱慥㔵敡搶㍡搷㡡㡡摦㥥㌵搹ㄹ㔶ㄵ㜳㍦㔸㝢㠹㜹㠳㙦捣〳搰愹㈸收㕡㥡戴㤸㜷挵〰〵㌱㡦㜱攳搸㑡㡦㈳攴㕡户搶慤㌱搷扡㡤㙥攵㜳㌲ㄵ昳㈰㔸㝢㠹昹〳摦㤸户㐳愷愲㤸〷搳愴挵扣㈷〶㈸㠸戹挱㡤㘳㝢㍤㡥㈶搷扡㠳㙥摤摢戵づ搱慣搵戳㘰摤攴㈷㈰晣㘰摤㌶㜸㔶搴㘲㘵扢㜰敦㍦〹扦㍡㍦扡〵㑦㐶晡昸晤㠸戹晡㍣㥦晢摣㐴敥㠸㐱挵晥ㄸ㡣㍥攴㑥搴㥣愳㝡敤㕣挷㕡挳㈷つ戵〷ㄴ㘸㝣㔶㐰愰㙡ㄳ㠷㐰㘳挰㜲㈸晢昳㑥㕦㜹慢搳扤ㅤ愱昷愸攵摤扣搷扦㤶㜷昱㥥㈶㜸㈳慥扣つ㘳晦㥣搳㈶㠷敢摥昲㝡㡦㕡摥㘷㝢晤㙢ㄷ攸㥡攰㉤戲昲㌶㠲晤㜹㜷慣㘲ㅢ愹㝢攳㥤㜰㑦晦㐵〵ㅡ敦㝣扤㌶搱〵㑤㜹ㅢ挵晥扣㘷㔵摥㜶搶扤㉤搳㝢搴㉥㉦搰㜸㍦摡攳敤〴㘸捡摢㉥散捦扢㐹攵㙤㔷摤ㅢ敦ㅣ扤ㅥ戵扣㘳散搱㜸愷攸㘹攲㜴㘸捡摢㙥散㝦㠶搳㈶㜷搷扤昱㥥捥敢㔱换㝢戹ㅥ敤㙣㕤ㄳ扣つ㔳摥㐶戳㍦敦挰㠸㤴㘳㜴㙦扣摢敡改晦换〲㡤㜷㔷㕥㥢昸㌵㌴攵㙤て昶攷扤㤱昲㔶慦㝢扢㑣敦㔱㝢㜹㠱挶晢㥥ㅥ㙦扣㜵㔱摥㝥挶晥扣㙢㔱摥㐲扡㌷摥愱㜸㍤㙡慦㈹搰㜸㐷攲戵〹摥㔴㈸㙦㘱昶扦搱㘹㤳ㄱ摤ㅢ敦ㅤ扣ㅥ戵扣㘷攸搱㙥搵㌵挱换㝤攵㉤捡晥扣搲㈷㔲挶㜴㙦扣慡敦改㝦㑦㠱㜶慦慥㠹㌵搰㤴户㌸晢昳ㅡ㕣㜹㑢攸摥扡昵ㅥ戵扣捥敥昱捤敢㙢㑦ㄳ扣㐴㔶摥㤲散捦㉢㘳攵㉤愵㝢攳㔵戰搷愳㤶㔷扦㍤ㅡ慦㝡㍤㑤昰挲㔵㜹㑢戳晦㕦㥤㌶㌹㔶昷挶敢㔳慦㐷㉤慦㑢㝢戴攷㜴㑤昰㤲㔲㜹ㅢ挷晥㉦㍡㙤㜲㑦摤ㅢ慦ㅣ㝢晡扦㕣愰扤愲㙢㘲㍤㌴攵㙤㍣晢昳㍡㡦晤攴㕥扡㌷㕥搳昵㜸攳戵㕣㡦昶㡥慥〹㕥㠶㈹㙦ㄳ搸㥦㔷㘰捡㕢㠳敥㡤㔷㕢㍤晤㜹㤵搵愳昱敡捡搳〴㉦㤰㤴户㠹散扦挱㘹㤳㤳㜴㙦扣づ昲㝡搴昲晡愷㐷晢㑡搷〴㉦㕤㤴户㐶昶晦摥㘹㤳㑤扡㌷㕥愱昴昴攷㤵㐹㡦挶㉢ㄲ㑦ㄳ扣愸㔰摥㈶搳捣敢〹戶挹㈹捥〲㤵㕡㕥㍢㜸㍤㙡㜹捤搰愳昱㕡挱搳〴㑦昷捡摢㔴㥡㜹愶㘷㥢摣摢㔹愰㔲换戳扡搷愳㤶㘷昳ㅥ㡤㘷㜱㑦ㄳ㍣ㄱ㉢㙦搳㘸收㌹㤸㙤㜲ㅦ㘷㠱㑡㉤捦户㕥㡦㕡㥥㘷㝢㌴㥥㕦㍤㑤愸ㄳㅦ晢敦ぢ戳晢ち昲〴愸收搶愶㘳〱㜳㙢敡㠴㔶㠲攲㠹㑤愱昶戳㔱敡㐴㔵㠲攲〹㑢愱㘶搹㈸㜵〲㉡㐱昱㐴愴㔰晢摢㈸㜵㘲㈱㙡づ㜴昷ㄵ攴〹㐶愱收摡㈸㜵挲㈰慡㈰㝡㥥㌸ㄴ敡㐰ㅢ愵㑥〴㐴ㄵ昸攲〹㐱愱づ戶㔱敡〰㕦攲㡢〷㝡㠵㍡搴㐶愹〳㜷㠹㉦ㅥ挰ㄵ敡㜰ㅢ愵づ挸㈵㈸ㅥ㤸ㄵ敡㐸ㅢ愵づ戴㈵㈳昲㠰慢㔰㐷搹㈸㜵〰㉤昱挵〳愹㐲㘵㙣㤴㍡㌰㤶昸攲〱㔲愱㜲㌶㑡ㅤ昰㠸戲愰扢慦㈰て㝣ち㤵户㔱敡㐰㐶㔴㐱扥㜸㐰㔳愸〵㌶㑡ㅤ愰㠸㉡昰挵〳㤵㐲ㅤ㙤愳搴㠱㠷愸〲㠶㜸〰㔲愸ㄶㅢ愵づ㈸㈵㈳昲挰愲㔰㙤㌶㑡ㅤ㈸㑡㝣昱㠰愱㔰㡢㙣㤴㍡〰㤴昸攲㠱㐰愱㍡㙣㤴摡戱㑢㔰摣挱ㄵ慡换㐶愹ㅤ戶〴挵ㅤ㔷愱㤶搸㈸戵㈳㤶愰戸㐳㉡搴㌲㠵ち扡〹㄰摣愷搴㐴昵捦㜱愱捤㠹敡㐹攸㕢㈳㉡〴㜷㈳搵㜰㝡㔱〳昷ㅣ搵㜰㕡㔱〳㜷ㄶ搵㜰㙡㘱㐳搰㘵㑥㜰㐷㔱㠸㔳ちㄱ㠲晢㠶㙡㌸戹愸㠱扢㠳㙡㔸㔹搴挰㍤㐰㌵慣㈸㙡攰㐶慦ㅡ㑥㉡㙡攰㜶慥ㅡ㑥㉣㙡攰愶慤ㅡ㑥㈸㙡攰搶慣ㅡ㡥㉦㙡攰〶慣ㅡ㡥㉢㙣〸扡㕢㥦攰挶慢㄰挷ㄶ㈲〴户㔷搵戰扣愸㠱㥢愸㙡㔸㔶搴挰慤㔲㌵㉣㉤㙡攰㠶愸ㅡ㤶ㄴ㌵㜰摢㔳つ㡢㡢ㅡ戸戹愹㠶慥愲〶㙥㘱慡愱戳愸㠱ㅢ㤵㙡攸㈸㙡攰㜶愴ㅡ㡥㈹㙣攸昷晦〰攴㜵户戳</t>
  </si>
  <si>
    <t>㜸〱敤㝤㜹㥣ㅣ㔵戵㝦摦㤹改捡摣捥㈴搳㄰昶㌵㘰㔸ㄳ㠶摥ㄷ㌰㘶㤲㤹㙣㤰㡤㑣㐲搸㠷敡慥慡愴㐹捦㑣攸敥㐹㈶㠰㠸ぢ㉡挸愲㠸㈸㡢戲改㠷㔵㥥愲戲挸愶㠸敢㐳㘵㤵敤愹愰㍣ㅦ㡡㉣愲愸敦㠹昰晢㝥㙦㉤㕤摤㕤㌳㈱㤱昷昹攵㡦㔷㘴㑥摦㝢捥昷摥㝢敡㥣㕢户敥㍤户慡〸㠹㔰㈸昴づづ晥昲攸㘰㘲慦㠱捤搵㥡㌹搴搳㌷㔲㉥㥢挵㕡㘹㘴戸摡㌳户㔲搱㌷㉦㈹㔵㙢敤〰㘸㠳㈵挸慢攱挱㙡改っ戳㜳㜰愳㔹愹〲ㄴづ㠵㍡㍢㘵ㅢ攴㤳㥤扦愸㥢㤱㉣㈵㍢㐸㠰ち㐹㡤㘴ㄲ㐹㈷㠹㈴㠹㤰戰愴散㈲㤹〲搲㌵ㄵ㘴㔵摦扣攵㠵搳愰挷㐰㙤愴㘲捥㥡㝥慣摤摡散㜸扣㈷摥㤳捡挶㌳㍤戱㔹搳晢㐶换戵搱㡡㌹㝢搸ㅣ慤㔵昴昲慣改㉢㐶ぢ攵㔲昱㘸㜳昳慡㤱昵收昰㙣戳㄰㑢ㄶ昴㔴㉥㥥㑡愷慤㝣㍥搷搵㡤㥡㤷昵捤㕢㔱㌱慤敡㝢㔵㘷㤴㜵㉥敦㥢搷戳捣慣扤㔷㜵敥㠰㍡㔱㘵晦挸㤰㕥ㅡ㝥㡦㉡つ搳ㅢ改㝥戳㔸愲摢㑣戳㔲ㅡ㕥摢〳戵ㅢっ㡤㕣戶㘷㙥戵㍡㍡戴㠱㍤愰捦㉣㤷㔷㥡㤶㜲搷㔰㝦戵戶㐲慦っ㔵扢㠶㘸㍦戳㘲づㄷ捤敡搴愱昹㘳㐵戳散〰慢㥤㐳挷敡㤵㘵晡㤰搹挱㐴昷㤰敤挳挵㠶㌹㕣㉢搵㌶㑦ㄹ㕡㕤㌵㔷敡挳㙢㑤㐲挲㐳ぢ㐷㑢㠶攸攸挰扦㔰晢㐱㐱㥡㈹㐷㐱㥦愱扥㜵㝡愵愶㜲㜴㘱㍣〸敢敢㉥敡㉣ㅡ昴㘲㤷㥡摥㔴㡡㍥ㅢ㈸つㅤ㙤㔶㠶捤㌲ㅢ愱㈷㘷㌶㠱㤴㠱㙣㍦㜸㤶㜲㑦㠷㕥ㄲ㤳㥤换㠶攷挲㔶戴ㅤ㐱づ㕣㔵㈹攱㌴㐷换㝡㘵搶搲搲昰散㜸㑦㜶搶㤲搲㝡戳㕣㌲慢戵搹㠹㔹㑢昵戱搹㠹㥥㥣㥣〶慣摣㠹愵㜶〶改攸敢㑦愶攴㉥攴敤ち㈲㍡㕥挲㌵敡慦㥦搷㐹摢愰摥㌶㔸㘸ㅢ㉣戶つㅡ㙤㠳㘶摢愰搵㌶戸戶㙤㜰㕤摢㘰愹㙤昰戴戶挱昵挰戸㐷攷愴㐹㙤捥戱敡昵攳慥晣愸昱挹㐵ㄷ㥦搳昷摡㉥㡦㍥㝦㤹攰㘵愹慥敡摤㤱㤸搹愴㙦愲㈷㤱㑦晢㌵㠶晥搴㌹搹㤳捤挹㍤㔰㐰敥〹愲敤〵〲愵攳㔹戹㌷㜹晢㠰〸昱〲㤴愶攲㙦晣改晣㡤㌷摣㤲㕥㜲攱㡦㜷㝥敡ㄳ挷㝣昰㔵挱㌱㐰戵㌸ㅤ㠹㝣㔳㡢搹㥥㐴挲摦㘲慥㈷慤㕡挴昵㥥换㌷ㅣ㜲㍦ㄴ㤷晢㠳㘸敦〳㐱晢愹戴㥣㐱摥〱㈰㐲㍣敢戴晦搰㘳ㅦ㜹㜲挳扣扤攷㝥㜶扦ㅢ〶㕥㜹敥㘳㔱挱攱㐷戵㝦㄰ㄲ捤ㅥ㑡昶愴㝣攷㥢㔲㙤愷㝢㌲昲㘰㔶㝣〸㠸㜶㈸〸㑦㌶㈹㘷㤲㌷ぢ㐴㠸挷㥤挶㝥昲摡㤷㤳㝢ㅣ晥敡挲㍢㌲㜳ㅥ㐹收㉦㜸㔰㜰㤸㔳㡤昵㈰昱㙥ㅢ㍢㥣ㄵ挷㐰戴㌸〸扢㐳㔶㈶挸㑢㠲〸昱戰搳搸て㙦㝣昹昶㌳昶㍦愴敦愲户慥扡敢愰户㔶捦つ昳晡㑣〶㜵摣收㙢㘲〱挶搲愲㕥慤㌹㤷㉢㤵㝣㙦慦收㉤㕦捣ぢ㉡挵晦晤㡢ㄹ㡤扣㈷ㄷ戳㑣搳晡ㄹ㄰㉤ぢ搲戱搲搴换㌲㐷㕥ㅥ㐴㠸ㅦ㌸ㅥ㜹敥戶戱敦㥦昲昱㝤攷㝥戳㝡挴㘵㌳㤲晢慦ㄶ扣户㈹昷ㅦ㠹挴敡愶扥ㅥ㑦昴挴搳改㔸晤㐸晡扡㕥㍣搵㤳慣㑢㤰戲晢㘲㈲搶ㄳ㑢昸昹㐹昹㝥敡㌱ㅢ㐴晢〰〸㝢㑢㕣捥㈱慦ㄷ㐴㠸〷ㅣ摤づ愸㥥㝦晤㜹㜷晥㘰挹㤵扦㌸㘱㤷扦㑥ㅥ㍢㐹昰㤶慢㜴㥢㠷挴慡㈶摤㌲㍤㠹㔸捡㜷扤攵晣扡攱㈲昵㠹㜰㐳戵㉦搱㔸㑦㈲敥攷㘷㘵ㅦ㙡㤶晤㈰摡㝣㄰㕥愲㜹戹㠰扣㠵㈰㐲摣攵愸㜶攱摢㝤㥢愶㕥户㝥攱㌵挷㕥戵敢㤹昳づ扢㑤㜰㠰㔳慡㉤㐶愲㔹戵㐴扥㈷㤳昱㤹㉤敥戳㕡㌲搵㤳昷㕢㈷㥥㔴慡愵㜲㍤戹㡣㡦ㅦ㑦挹愳愸挶搱㈰摡ㄲ㄰愸㤶挸换愵攴㉤〳ㄱ攲敢㡥㙡㔳收摣扢㘶搳慡ぢ晢㍥㜳换昴㐳㜶戹攸㠵㍢〵愷㈷㑡戵ㄵ㐸㘴㥢慣㠶㔱慡挱㙡昹扣㑦㌷㐷㤷㜸慥㈷㈱㡦㘱㑢㉢㐱戴〱㄰晡㉣㈱㔷㤱户ㅡ㐴㠸㥢㥤搶㕦戹散搵摢㕦㌸敤㤶晥慢挷敥㑥㍤㌹敤㥤昳〴攷㐵慡昵㌵㐸ㅣ搱搴㝡慣㈷摤㌰㕡挷㥣搱㍡搶㤳捦晡晤㤲捦㘵攵㜱㙣散㜸㄰敤〴㄰㈸㄰捦挸ㄳ挹㍢〹㐴㠸敢ㅤ〵㝥昱攲慣攷㤶晥攸㕢㡢㉥搸昷慢捦扤戱㘰敤摢㕤愷㐰㝣㡣㜳慢敢慦攸㥢㌰㜹愸捦㑢ㄲ㍤攸㥤敦㘶㐲㠶昹㤸㤵戶戲㔶㍣㙥愴㘳㝡㔲て昳〶昸㙥敦晣扣愲扢慣㌵愵㘱㘳㘴㤳㥡ち散㌵㑦慦㥡昵挱㘴愶㈳㥢㌷㌲㍡㙣㔴昷っㄶづ搴昴㥡戹㐷戳慣㕥㐹㑢戱〱㑣㤴捣慡㙡㙦㥦收㘲挷敡攵㔱㜳敥㔸挹ㄶ敦摤㈴挶㌴㘹愴㌰扥㜴㐱挵㍣摤㤳戶㘸㌴ㄷ㌳昰㡤慡敥㤶戳戴㐵戶㕥搳晢搶㡤㔴捤㘱愵摥捣愱ㄵ愵攲㝡戳㌲㘰㜲晥㙥ㅡ敡㔴㜷愶挸㤹慢捤㕣㍥㡣ㄳ挵散换搸摦捦戵收㡦搵捣㘱挳㌴愰敦〶戳㔲摢扣㑡㉦㤴捤㕤ㅡ㈰㜶㥢㄰散摥挰㕥㌰㔲ㅣ慤昶㡤っ搷㉡㈳攵㐶挹㕣㘳愳㡥昹愱戱㜴挴㌰㌱扤敢攰ㄱㄲ愱昶㜶㈱㐲㠷〶摤慡㔸㙦戵㐷㌹挲攷㘲捥昶㜶㙢散㜶㍤㉢㜱㜶㌸㡢戲挹㍥搹㌶㘳ぢ㤵愹㝡㔹捤㈱攳〳㝤攷挴挵づ搱〷㡦㡦㔶㍡㝡㥥晢摦〵户戵㑤㜳捥㝥晥㐶捣愱ㄷ改挳㐶搹慣㑣戸㔴ㄳ搴㐸づ㠲㠴慦挱搵㍣慥昵㌸〱ㄴ㘳㘲㜳㜸㔳挹愸慤搳搶㤹愵戵敢㙡攰㘱㌹搷搹㐹搳戶ㅣ㔲〷㑢ㄶ㐸㡡㈰㤱㐸㐸㌳〸搲㈲搲戴昳㘱捥㘵户㝥㜶捥〵愳㔴慢〱㉣摤慡攱㈱㑣㔳慡敤敤㐱㘷戹㐸慦慥慢戱㝢㑥㈸攴㍣㕣㕡㈴㙢㐱挲㥣㔱㙦㜱昲㑦慢㜵㜰㡤㌳㘵愸摦戴㜴慣㉣搵搵㉤昴昰㤰扤㔸改㌷慢㐵挹㔵捤㘲㕣㉢㘳ㅡ㔲戸昸扢㠶搸晢捤戱㕡扦㕥搳㈷つ㘱㝤〴㉦㐹㠰㘶慡㔲㜶㡡㈵愷㈸㥥㕢㍡攲攴㔰㐳㔴㈵㝤戵㑣㔶っ扢㈶㕣㌸戸㕥㐲敤づ㥤昸㈴愰㍢㠷㐸慤戹愳㌷慥㜳戰晣㌲ㄶ㥡挳慢㌶㙦㌰慢㠴㜷㙡ㄳ㥡戲昹昲㘲㘵换㡢㠵搵戵㔲戹摡〳㑤ㄷ㔶㐶㐶㌷扣㤷昵戰㉥戹づ挴㍤挲㥦㐷㉦㝥昷攷挴㔰挶愴㡤昴捤攰㘰愸㤳戵㤱愳㥤〶搲搱户㄰敢㉢㜶㔹搴昸づ㝥搴㈱换昸㠹㐸〲挶㤱㠵戹ㅡ摢㥡㠵㈱㔷㍡㕤㐳㌰搳慡㡡愹㤶扡㥤㉡〳㤳㑦ㄹ㕡㌳㔲㔹㕦ㄸㄹ㔹捦㑥㌵㔵攵慡敢㑣戳挶攵攳㘴㘷戹慣㤶挵㐲戴户㌷慣晤㝣敢㑣㉥㍣戵つ㈰搱㔵㈳挶㐸㜵㝡㤹㝦愵㐲㘵愴慡㥤づ㙥㍢搶戲㕡〵㠹搴挲ㄵ挷て捥ㅦ㔸戵㜸改摣扥挵换㤷ㅤ摣㠷昵㈷㝡敢㘱ㄸ攸㌷㘳㄰ㅤ㌹㘴晡攰㐶摣扢愷昷昷ㅦ戶㜴改㘱挷ㅦ摦㌳㔶慥㡥㠹ぢ㘱ㅣ㉥攰扥㜲敥摡昳㘷㍣㜳攰攲换ぢ慢㉦扡㜹㤹㌸㐰㕣攰〸㕡搶㤲㕣ㄱ慡愵散㈸ㄲ攲㝣挰㌸昲㈰摤㜸挸㑤挸换㌱㤲捤㈰ㄸ㍦㤴挱㌱㝣㥣㘹㘷〵㔷㤵ㅣ㐲攴㔹㈴ㅦ〴ㄱ㕣㔹慡㈵昱搹㐸戸㠷昸㌰敡㘷扦㔰扥㍤〷㙣昸ㄶ换搰ㄶ摦㝥〴愲㠸㈴㘰ㅣ㤹搸〷㌲晡㔷搲㥥㤲收㤳㌴㥤搸㠴摡〳慤戰搱ㄱ戴慣㙦昷㐳㌱㘵㠵㑦戱㝣つ戰㘰㉢㕣挸㌶㉥㈲戹ㄸ挴㘷㠵捦搸㔹戱㍦㝥㤵ㄵ㉥㈱攸戳㈰㘲〶㠸戲挲愵㐸戸㠷㔸㡦㌶㍣㉢㕣〶㌶慣㤰捡戴㥥改ㄷ㈰㡡㐸〲挶㤱〹㉥㥤㠳慣愰㡦㘷㠵㔳ㅤ㐱换㉡㥢ぢ㘶㘵㠵㙢㤱㄰愷㡣㙢㠵敢愹捤㤷㐹扥〲攲戳挲つ㜶㔶㜰搱慤慣㜰㈳㐱㌷㠱㠸㤹㈰捡ち㌷㈳攱ㅥ㘲戵摦ち户㠲捤扥㤰㙣㍤搳摢㈰㡡㐸〲挶㤱㠹㔹㤰〵㔹攱攸昱慣㜰㤴㈳㘸㔹晥ㅦ㡥㥡㤴ㄵ敥㐴㐲㉣ㅡ搷ち㜷㔳㥢㙦㤳摣〳攲戳挲㝤㜶㔶挴昰慢慣㜰㍦㐱て㠰㠸〴㠸戲挲㜷㤰㜰て㌱〷㙤㜸㝤攱㐱戰㌹摡〵㕣ㄱて㐱ㄴ㤱〴戴㕡㐱挹㐴ㄲ戲㈰㉢愴㥤㤳㙤ㄹㄷ㔲㡥愰㈵㉥挱搵昳〴戳晢㠶㔰〰㑦戲㘱㜶摦㘵㉤㈸㤵㙢㘶挵㥥挰㔹昸戱㈳㤷㉡㍦㠵㤳搶㡡㕥戴㘳㠲㍢㔹㝤㤸户㈲㔴㕡摢㕣㥦挹户捣㥢敤㘹攵晦慤づ戶扢搵㠱㕡ㅢ㌴慣㄰㈶㤸㝤愳搳㌴慤て㈶〶晢㍢ㄱ扡㔸攰㙤㕣㜵愹ㅥ搴摣搸挹㌸㈵㙣㥥㜸愸㜸戰㠷昷㜷㐲愲㘳攳慦ㅡ搸搹㕢㍢㈹ぢ㡤㍢㐳攷㈴晣晦搶㌷捤㕢㔱昶晡收愷戰㡤晣ㄹ挹捦㐹ㅥ㈱㜹ㄴ㐴昴㘰㌰攲㝤户つ攱㤲㘳挰㜸愸㉤ㄴ㝡㤱搳〴昹㌸挹ㄳ㈴㑦㠲昸挶摡愷㤰搵㥥㈶戱㝢㔶㐴㠸っ㜲㙡搸㝤〶〹昹㉣㐸搷㜳㈰换ㄶ㤹㘵㉣㤱摦慢扤愳㜰づ㜵㑥㍣愹㐷户搹ㄱ愰㕤㠶〶㌶てㄷ搷㔵㐶㠶戱昷挶戵挶摣㈲㌶㕦慡㐲搷㠶㤶㡣昴㡤搶戴愱㐵㈵晣㜴つ慤㌴㌷㤸㝡慤て㈱㄰㉣㘴㤶㈰搴慢㤶㈹㡢㡤戱晦㥦换㤸㔰〷㑥〱搱愵晡㑡㐶㌴㕦戴昶㠲挲㌱㙦㑦晦〸㌶昲㑣戵晢㐸戳㙢ㅡ㤶愴摢攱㍡㈵㈴晦〳摡㕤晤愷㥢㡦㍣攰㡢晦昶㡥昳晢㈱㜴㍥㜵挸㉣㠴慤㌷搹㕦㠳ㅢ㤹㐸㈶昲㐰㜸㌷㘰敤㐵攴摡搱つ散㘹改ㅥ愸㍡㜰㕡扡扢㈳㘸〹㐵㌳㑣慣愶㈲㉦㈱㈱㜶〵㉣㜸㕡晡〷㠸攵换㈴㝦〴昱㕤ㅥ慦摡㔹挱㔰戳扡㈶㕥㈳攸㜵㄰㌱〷㐴㑤㐵晥㠴㠴㝢㠸愹㘸挳㥢㡡晣ㄹ㙣㑥㐵攲慤㤶㜸ㄳ愲㠸㈴㘰ㅣ㤹攸㠵捣戳㠴㙦㜲摥㌱㥥ㄵ摡ㅤ㐱㑢搰扢て㌵㈹㉢扣㡤㠴㄰攳㕡㠱慢㐵挹㥥㉡摢㐰㝣㔶攰ㅥ㌹戲愲ㅦ攵㤵ㄵ挲〴㘹㈰㠲㤱㙤㘵㠵㐹挸戹㠷昸晢摢㍥㉢㐸㐸㘰㠵㙣挰攴㝣㌲㐴ㄱ㐹㐰慢ㄵ㤴㑣㌰㘸ㅥ㘴㠵㔷搱㐲㘰㕦㜸挵ㄱ戴挴搷㡦㐲㑤捡ち㍢愱㌹昱㌲㘰挱㝤㘱ㄷ㙡戳㉢挹㙥㈰㍥㉢散㘱㘷〵〳攸捡ち㝢ㄲ戴ㄷ㠸㔸ち㤶戲挲摥挸戹㠷昸㡤摦ち晢㐲〲㉢㈰攲㙥〰〰ㅦ㜸㙢㐴戹ㅦ㐴ㄱ㐹挰㌸㌲戱っ㐵㠲慣昰昴㜸㔶㜸捡ㄱ戴㠴昲㜹㕢㔰㔶㌸ㄴ捤㠹㈷挷戵挲㉣㙡㜳ㄸ㐹て㠸捦ち㌱㍢㉢㔶愲㈲㘵㠵㌸㐱〹㄰戱ち㉣㘵㠵㈴㜲敥㈱ㅥ昶㕢㈱つ〹慦㠸㐴敢㤹㘶㈱㡡㐸〲挶㤱㠹搵愸㌳挸ちて㡥㘷㠵敦㍡㠲㤶㉤㠵攳㔰㤳戲㐲㉦㥡ㄳて㡣㙢㠵㜹搴愶㡦愴ㅦ挴㘷㠵〵㜶㔶ㅣ㡦㡡㤴ㄵㄶㄲ戴〸㐴㥣〸㤶戲挲㘲攴摣㐳摣攱户挲搱㤰挰ち搸㝥㘸改ぢ㑢㈱㡡㐸〲挶㤱〹㙥㔶〴㔹攱搶昱慣㜰㡢㈳㘸摥搷〸て愲愶慤㠸㐷㑦〶㕣㕡挷㤶捣㑤っ愰㑤戵昰㍣㐳摦㘸戵㌶愲愲㝤㔳慣晥㤱㘵㈳戵晥㔲㜵㐳㔹摦㍣捤㜲ㄲ㙢搶㤹挳㠸挵㔷㄰㤲㙦攲㡤㙣搸㘰ㅡ搲ㅡㄸㄹ慤ㄴ捤挵晤摢㐳慣㕥㌹ぢ愱㈷っ㠱㙤〲挷戶㠵㥦搱〵〴扡ち㡥㔰㔸㐷㤵捤㔱㐴摦㉣扡扥㘰㡢〲搸㕤户攸慡㔲慤㙣㑥戶㤴㕣愵㍢㉤㔸ㄱㅢㅣ挶㈴㙢搵㍡〴搶晡愷㔸ぢ㉢㈵愳㕣ㅡ㌶改っ㉣〲昹㤰挸ㄲ㜳㉤㌶㌳㔶㡣㔴㑢㝣㠰㘵㡡戵慡愲て㔷㌷㌰㉥㕢摣扣㘳㐳㑥捤㡣挲搶扣搲㜰ㄵ捤㈸㉦㌲摤㙤つ慣ㅢ搹㠴愷愰㐶㠷㠶ㄷ敡ㅢ慡摢㠵㔷㜰㉤㌸㠷㜲㡤㘸ㄳ㙤㙤愲戳慤㜳㕢晤愳ㅤ㡢ㅡ㜷㐳〷慤㔵㑡㠵搱㘲改㝢摦ㄸ㥥㕥摦㔵㔴㑤㌱捣搰㐱愲ㅣㄹちㄷ㤰㥡㘰㌵挴㌵㤱戳捦挴㍤ㄴ㉡摣昰㘸㐱㘰㌸摦㝢扥㡣敢㈰戹〶㠵扡㡥〳㌹㙡攱敡挵昵摤挵㝦改㤱慦㜰ㄱ㌵㌷㑦㌶㥢扢㥦户㤹戳㌳挰㔳敤㝥㐴ㅥ扢ㄵ㉥㑦㜴〷收㥡晢㘶挴㔲ㄸ㜶搳愹昵攴〲散〷㜴㔹㑢昴㠲㔹挶㌶挶㤰㕥㥢㙡㘷戸㌲ㅣ搲换㔵㐷搶㌷㌲㌴愴戳摦戱捦づㄴ昵戲搹㘹捤ㅤ慤㡤攰㘹㈱㘹㠱愸捥改戰昴㌱戰昴㌱挵敡戲㔶㜲㝢㔳愵㔹搷挸㕡扤㔲慡慤ㅢ㉡ㄵ㍢㤹攱ㄶ攴㜶搱㘱㌱〲㜴挰㤸敥攱づ㈸捤㡢ㅤ㝢摡て㜷昷㘰改㐵搳搱晤攸搶㙤㐲挳㝦㘲ㅢ㜷扦㌰晡愸㍢㠷㍣〱戵㠵戱〰〴〳㈹ㅥ慦扢て㍤扥晥㈱㜰搴〸㈵戸㜹㐵戱㍣ㄱ㤴〹晥㜵㜰晦㘸挲慤㤱㐹〰㐴㤶㡣攸挶〲挴愱㐶㉡㤳㥣㐷ㄴ㍢攱㕡㡥㌷㤵㈸㌷慢晡戰晦㠹㜰晢挶㤲㘱㔶㍡挹ㄸ挰〲慥㠳摢㕣㥡敤㐳㑣敥摢㐳攱昰攴捥愰戶ㄶ扢㜵捤㜰愲晦晥㠷㌳ㄷ户搴晦挷㘳㜲㜳㘸昵㐸㠴扡挹㤳㜰ㅥ昲㘴㥥搳㕡㘴㜹㍥㑤㠰㔳〸ㄸ〴〹㜳挳愵搹㌷㡤晢㐶搸㕤攲㐳㉤ㅤ敡攱㍥敥㘸㜵㘲昷㐷㙤㠵㠵搵㠹㑣昶㙤㘱㘹昶敥㔵愷晢挴愰㌶㠰㕥㙥ㅡㄱ㝢㤰攵昲㤵敥㘸㙢敢㠰慢戵收〰㘱㑢戳愸㙣㘸挰㔴㝢㕢㠲昷〸敤㔴ㄴ敥攲挵㠲晡〷昱〸㐵敢㥥㑥㈴㈲ぢ〰㠵㈲愲っ敡㥥㌹ㄷ搲㡥㘹㡡㤰㑡〳㐴㡣㠲挹㐹〰㤲敥㉤㑢㙣㐲㑥㈷㑢㌳〱搹慡㘱㔲㡣愱ㄸ㠷㑡㘹戱昶捤㐸㜱〴昲㝡攴㍡㜰户摣㈳捦㘴〹晣挹ㄲ㉢㜱㌲㠲㥢㈲敥戹昸摣㝣ㅡ〰㜲㍤㠱摣㌰〹〰㤴〹ㄸ㈲攰㙣〰攸㙡㙤ㄸ㌹㥦〹〳戶㑥㘰挲つ〰挱㠴ㅦ昱搵捡㜱摡㌱攱改慣戵挲㕡㍦〵㘶戳〹戹挹愱攳㉦愴㔵〱搹㍡ㄳ㕥㠴㘲捡㠴扣㡢㠸㡢㤱㙢㌰攱㐶㜰户㙣挲捦愰ㄸ㠰㈱戹㠹㤵㌸ㄹ㜱〹ㄲ〱ㄶㅡ〳㐰㙥㈶昰戳挱㠰㌳〸㌸㤳㠰㑢〱㔰㈶㍣ぢ㌹㥦〹昱㄰㘲昳㐴ㄶ㈶㍣ㅢ㈰㤸昰ぢ扥㕡㝤扤㤰㐳㤰㍣㠷戵㕥ぢ㐰戳〹慦〷㑦挷㕦㐸晢㌰㈰㕢㘷挲㉦愳㤸㌲攱㐷㔸㍢㜷㔸ㅡ㑣昸㌱㜰户㙣挲ㅢ㔰っ挰㤰㍣㤷㤵㌸ㄹ㜱㈳ㄲ〱㈶晣㌸〰昲ㄳ〴㜲慢㈶〰昰㐹〲捥㈳㠰扢㌷捡㠴攷㈳攷㌳㘱挰愶つ㑣㜸〱㐰㌰攱㙤扥㕡㝤㈶扣㤰戵㕥挴㕡敦〴愰搹㠴㜷㠳愷攳㉦愴㕤っ挸搶㤹㤰扢㌲捡㠴㥦㘶敤昷㈰搷㘰挲㑢挰摤戲〹戹㡤〳㈰㜶昱㔸㠹㤳ㄱ摣换〹戰搰愵〰挸捦ㄱ昸㐰㌰攰㌲〲㍥㑦挰㜷〰㔰㈶晣〲㜲㍥ㄳ〶散昸挰㠴㔷〰〴ㄳ㍥攴慢搵㘷挲㉢㔹敢㔵㈰㘱〶㔵㈷㤸㉢㈱〸攵ぢ扤㑦〵㔸戳㔶て㤷㙡㤸挶㜰㌴㕥㔰慡㘱㐰敥戲㐰㤰㔴㌱昲㍤搴昴挶㔷㘸愶户㜶摡户㔵搴戰㤸摡愷㔵敥㕦㕤捤〸㄰摢敢㉥摦㜲㙢㑢㈰戵晥ち搰㜱㝢㕡㤰〹㍢㜸ㅡ戲搷㘴攲㠰昱㜷ㄸ㝣㜶攷㌰晤㉦㉣摦戴㉦愲㌷㘰敢㔱㝥㠹ㅤ㐷攰㍦㜴愲慢㤱收㝡敥㘷㕢散㈴扥㉤ㄷ慥㤷㈳㕣搳搹扣㈹捥㥥摥攲攱㉡㈶㐴ㄱ㈷㠷改敥㔴㈷戹㝣戴搶㈰搱挷愶㌹㤲戹攵昲昲㘱㉣㔸㡡㝡挵搸㑥㘶戸㌸㌷㝢㌵愶㈶慢摢扡㔲㐶㉤㌸㝣昳㔲挴㍥慥㜱㙣晤㜳㐸戶㜶挷㙡ち捤敤㙤㘴㜵㌲户搴搴㠷㤵ㄷ〶㙡㐶扦戹㔱㠵㉤㔶㤸㠸㌹攰慤㡣戲㌹㑤ㄵ昰戲㙡㌶㈷慤戹㠵㉡㤶挰㌵㉥㙤㥣㤴扡搴愵戵搲㉣敢㝣㌶ㄱ㉢ㄱ㈷戵愲㔸敢戶敡昵昱戹挳敤挷㐳戰㘰㠷攳㈵愱晣愴㑤㌰挲㌵㥥〴慦愲㙤昴㉡晣㘷愹攳搵㌹攲㡡换㜹摣㌴㈷攴㈶㥣挰〸昷慣㈶㔸㔰㘳戴昵㙦㉦昲㑡㥡收敥㝡摢㘳㥣ㅡ扥扡㕣ㅥ㔷摤㔳ㄸ㈲愹搴昰㜰㉥㥦昰敦收愵㔳挶戲愴㔶挲〲戳扣㜹慡戵㜸戸㔸ㅥ㌵㑣戵㍡㜵㐷㙤戵㐸摤㉥晣搵挱搱挶昶搵〴㜶㜱㡣戲ㄸ敦愲戹て㙢㙥㝢㥣㑡㕥㡢㌶搵挴つ㜵㐴攴昵捥㜵昷㈸ㄴ搹敡扤摣〸ち敤㔸㝦ㄲ㐱扤攷㠴愱慤㠵挵㌱㡤㍢㜳摥㜶戰扡攲㝣戰㈵㈳㑢㐶ㄸ攷昲戱ㄶ㤵㙣搶㜶攱㈷㥣愷敤㈶㑤挳ㅡ㝤ㅢ慦㄰㔶㜲捥晡㕥晥㠴慥ㄹ戶㝦㤱㠴ㄷㄸ㌵ㄴ㡦㈳慤攳㉦愴㜶捡㜸ㄳち㈵㤰㙢㈳挱㙤㠸㤰㈷㤰㔲ㄳ戴慦㐰㈸㥥㐴捥㥥愰㠵㈴㙦㕦昲〶㤰㉤㑦搰㥥㐲㌱〰㐳昲㐶㔶攲㘴挴㌳㐸戸ㄳ㌴㌲㈳㤱㜶㘲㙥㐲㕡摥㑣㈰㜷㠴〳〰户㄰㜰㉢㐸㤸ㅢ㠳捤〳捤戸㝢㥣慣㍣㍣挴㜵㜱攷㄰攳〳戸㑣㌵㍣㔸㡡㍤㕣慣攳戵挹㥤摣〳㤵㕦㐵戵㍦㝤昸㘱敥挲㠵挴慦㐱摣昶搵㍤搶㕥昱摦挶昶晦つ㐴扣〴㐰昳㙣㤸㍢㝣㍡晥㐲摡搷〰搹扡搹昰换㈸愶㡣晤㜵搶捥ㅤ挲㠶搹昰㌷挰摤戲戱㕦㐵㌱〰㐳昲㥢慣挴挹㠸搷㤰㜰捦挵户慣晤ㄶ〰昲づ〲戹搵ㄸ〰戸㤳㠰扢〸攰敥愳㥡つ摦㡤㥣㝦㌶摣扡改㠸㠹捣㍤〰㘱㌶晣愶慦㔶摦㙣昸㕥搶㝡ㅦ㙢攵㑥㘱戳〹愹戵づ㝥㐸扢ㅦ愹慤㌳㈱㘳ㅥ捡㠴て㈰㠱〸㔷㤳〹扦ぢ挶㤶㑤挸㌱ㄲ晦㐲昲㐱㈷挱㡣攰㕥㘴㠰㠵扥〷戶㝣㠸㐰㉤ㄸ昰㝤〲㝥㐰〰户㉥㤵〹㝦㠸㠴捦㠴㜸㜱㈷㘰㔹晢㘳㠰㘰挲挹昸㜱㥢昵㤹昰㈷㘰换㝦〷ㄱ㍢㠱㌴㥢㜰ㄷ昰㜴ㄴて㘹て㈳戵㜵㈶摣ㄵ㈵㤴〹㝦㡡㠴搸つ愴愱ㄷ晥ㅣ㡣㉤㥢㤰㝢㤸昸㠷㠷㐶㥣〴㌳㘲㑦㔰昷㕣㝣扤昰㔱戰攵㘳〴敥ㄵっ㜸㥣㠰㈷〸搸ㅢ㐴㤹昰㐹㈴㝣㈶っ搸敥㐴㉦㝣ち㈰㤸㜰㍦晣戸捤晡㑣昸㌴搸昲ㄹ㄰㜱㈸㐸戳〹㘷㠱愷愳㜸㐸㝢ㄶ愹慤㌳攱㘱㈸愱㑣昸ㅣㄲ㠲ㅢ㥢つ㈶晣㈵ㄸ㕢㌶㘱㡣㘵搱扥晣㤵㤳㘰㐶㜰ㄷ搴㍤ㄷ㥦〹㝦つ戶㝣㥥㐰敥㤰〶〰㕥㈰攰㌷〴㈴㐱㤴〹㝦㡢㠴捦㠴〱㝢愵㌰攱㝦〲〴ㄳ㘶昱攳搶敡㌳攱敦挰㤶晦〵㈲㝡㐱㥡㑤㌸て㍣ㅤ挵㐳摡㑢㐸㙤㥤〹晢㔰㐲㤹昰昷㐸㠸㝥㤰〶ㄳ扥っ挶㤶㑤戸㠰㘵搱扥晣愳㤳㘰㐶㉣〴㜵捦挵㘷挲㔷挰㤶慦ㄲ戸㈸ㄸ昰ㅡ〱慦ㄳ戰ㄸ㐴㤹昰㑦㐸昸㑣ㄸ戰搱ちㄳ晥ㄹ㈰㤸㜰㈹㝥摣㘶㝤㈶晣ぢ搸昲㑤㄰戱㠶㠴摡晥搵㐹戴㈳ㄳ㍥〱㤹收愸㜱㑢㐴㕦㥤㠶挵搸晥㐰㙤㜳ㄹ晢㈹㑣㌲㡡㙣愷㜸扦挳㐲㄰㍣挴戶㐷㉡ㄸ摦㍡㥡ㅦ㠸昳捡㥥㠲㐶㈷敦搴昴㍡㤰㉡㐶挹㜱搰㈶㉣戱搱㍢㙥㜹㥥㐱晤摤〰㤶攱愱晤ㅤ晣㥤㤶㤶㡡㜸㝥㝥挴慡㑤ㅦ挰㠶攱㜴扥㕥〵㡢挴收㠶㈷愱挶挰㌶㜹㘲ㅤ挳㝣㤱㝤㈳㕦㌷㠸慣ㅦㅥ搹㌴慣戴〹㔷昹㤶ㄹ㕢㤳㤳㈶戱ㄹ㑥つ搵昱㍥㔸㌱㝡㈲㈴㉣㉣晦〷㠹㈹敤搱㤳昰㐳㝢㙡晦㐰攲㠰扥㜹㝤㉢〷捤㔸㈲慤敢㐶搱挸㈴㔳愹㔴㌱愵挷搲㔶㉣㘵ㄶち㔶㍡㕥捣㘴ち摡㕢ㅥ搴㐸㘴捣㔸愱㤰㌲攳㠹㐲㑡㑦愷㜳愹㉣㍥㜹㔰㡣ㄷ㡢昹㐴㌲㥤捣㙢晦昴愰挹㝣慡〰㑥ㄶ㜵㤹㠰㥡㍡摥〸搴㔳搹㝣ㅡ戵ㄷ㜲戹㐴昴㘴㐷ㄳ昹㌶ㄲ昲ㅤ㤲㔰ㅢ㕥㌳㌸挵攵ぢ攴㘴ㅢ㐹㍢昹㠳㉥㥦㈸ㅢ捦㤲攱〲挸扢㡤敢搳ㄲ愲㈰㡡挲㄰㘶挷愴㐹㉤ㄱ㡥㤶晤〰敦搵ㄵ㑤攳㜶㐰昸扦晦昹捥㍢捤㘱㤱攰㐲搰捡攷㝦ㄶ㠶摡昸ㅡ〵㤵攷㈷㉣㈲搱㈲㈰㔴㐸㡢㈰扢㘳摦扣㐱扣㑡攱㝦㘳㐳㥢っ㝥ㄷ昸㙡捥扥ㄲ慦慣㘹㕤攰散〰㑥攳愷づ戴㈹㘰㑦〵摢户㉦ㅡ㌵㥣摡搵愳㕣敡扤㝦挹㡦㘵愸捦〰〸ぢ㐲㉡㈸㜷〴㡢〹㜶〹戱づ㈹㕥㘶攲ㄵ㥣㈵㍢㌷㤸㈱㙤㈷㐰挶敤戱攲㘵㐰搹㙢ㅢ㝢㕤〹戵愸㕥户ぢち愳搷㥤㠶扣敡㜵扢㈲㙦昷扡㙣ㄶ摤㈷㔷挸ㅢ挵㡣㤵㑡㈶搳㜹搳挴晢戶㘹挳㌲㘲㔹㉢愶挷戴摤㍣㘸搲㑣㘵捣㜸挶㐸敢㤶㥥㑡㈴ち〵㐳捦㔹搸昴捣戱㔴㔱㑦㙢扢㝢搰っ㍥扤ㄱ戳ち㝡ㄱ摤㉣㤵㐳㡦㡢㈵ㄲ戹㙣㍣㥦捣㘵ㄲ㤹慣㔹㡣慥㜷㌴㤱㝢愰㡣摣㤳㘴㉦㤰㘸搹攵敦㑤搶㍥㈴晢㤲㍦攴昲ㄵ㔴ㄵ㈲㕥㙣〰㥦㍤㑦晣ㄲ〶㘰慦〰㌳㈴㘷戰摣〱㈰㤱攸改㄰㉡敦ㅥ㠸㙣㤰㜷て〲扦搱扢〷㠳搳攴㐶敤㄰昰㕡㍤ㅥ攵㕥㠸㌲㜰㠵捤敥㐹戲〷挹㘱㠰㡢ㅡ昵㘲慥㠷㌹㈴㤴㜷㌷㈲愵扣晢愸捦扢㤲攳ㄱ㠷ㅥ昱昳㐰㐷㙥㠲㔸戵㤳㐰㔵㜰攴ㄸ昲捡㤱㐹攴㙤㐷ㅡ㤹㔴㈱ㄵ㑦ㄶ㌳挹㐲㈶㤵户㡣㕣ち戶㉦㘴㤲㔶㉥㥢㠹㘷㤳㌱㉤攵㐱捤㜸㑥户㡣㜸㐶捦收㤲愹㐲㍥㥢换㈶攲㤹㐴捥挸㈴㘲昱戸㘹攸㕡摡㠳ㅡ昹㜸㈱ㅥ㑢㤸改㡣愱愷ち挵㑣摥搴㜳㐶ㄱㅦ㔹㐹挴㘳改㘲㈶ㅥ攵づち㌵㤱ㄹ㤴㤱㔹㤲ㅣ㐸昴っ㤷㥦㈷敢〸㤲㈳挹㍦搳攵ㄳ㘵攳㔹㔲㥣つ扥㜲攴㜷晤㡥散㈵㘸㉥㐸㈴晡㈱〰㤴〹㜸㤹㑡㕥㤳㤲㤷愱攴㐵ㄷ㍤挷ㄵ㉡㍦散㑦㝤ㄶ㔱戸ㅦ㔲攲㈳㄰攲㕦㐸ㅥ〵ㄶㄳ捡てㅦ㐳㑡昹攱㕢㠱㝥昸㐶愰ㅦ捥㐵㈱愵挴㌲㔴〵㍦㝣ㅣ㜹攵㠷攵挸㍢ㄷ㔴㍡㤷挸挷㜳㤹㤴ㄱ捦愵㤲㘹㍤㕦㌴捣ㄴ㕥慦捦ㄹ戹扣づ㡢㙢㉢㍣㘸㐱㑦㤸挵㐲慣㄰㉦㘰挰捦ㄴ昱晤つ戳㤸挸挶ぢ㝡扣㤰戴昴戸愹ㅤ攳㐱㜳㝡戱㤸㌲捣㔸㉣愷㈷㔳㤹慣㔱㈸㤸愹㐴㌲㙥㈵㘳㘹㌳慤挷昳搱㑦㌸㥡挸㤵㈸㈳〷㐸㔶㠱㐴㍦改昲㔷㤳㜵㉣挹ㅡ昲捦㜳昹ち㑦愸㉡㈴㉥〰㕦昹攱㉢㝥㍦㥣㐴昹挹㈰㤱攸㠵〰㡣敢〷敥捡㈸愱昲挳㈱㌴扡挱愲〷搳て㥦㠶㄰晦戰㑤ちㄶㄳ捡て摣㔴㔱㝥戸㍣搰て㥦て昴挳㘷㔱㐸戵㜳ㅡ慡㠲ㅦ㉥㐵㕥昹㘱㍤昲戶ㅦ㤲㠵㜴捡㌰㤲㐶愲㤸㑣愴戲挹㘲摥㌰㡣㘲㤶昷捣㘲ㅥ昷搵扣㔶昶愰ㄹ搳㌴㡡ㄸ㥥っ㈳ㄳ㑢ㄵ捤㑣捥搰㌳愹㘲㍣㥦㡢ㄹ㔹㜴晥㤸㌶攴㐱つ㔸㍦㤶㑢挷ㄳ〹㕣㙦㘶っ〳㈰㥡挹攴攲㝡㍡㘶改㝡㈲ㄱ攵㕥づ㌵㤱挳㈸㈳㐷㐸㌶㠰㐴㉦㜳昹愷㤳㔵㈱愹㤲晦㜹㤷慦昰㠴慡㐲攲ち昰㤵ㅦ捥昳晢㘱㡣昲捤㈰㤱攸㤵〰㡣敢㠷慢㕣愱昲㐳㡣晡㥣挳愲㠷㈳ㄵ晥ㄲ㠴捤㌷㑦摦攳㌱扥㍤〵㠴㈲㐲㔱摦㐶㡦扡つ敦㘰ㅤ㌳慡㤷昱㘹㥦攵㠸㌵搶挸摡ㅥ㈲㔴ㅤ㜶挴㜷㡢㌳㄰㜵ち㈷㥥捣㠹㐰戳つㅡ㈷㄰捥戹愹ㄷ㘶户㉤摥ㄵ〹㥦つ摦扤扢㔶攰㤲愶㘹ち㍢㔱㐴㝥㤴扥㐶攰敢㙡〰㠸㤱ㅦ〳挳㍤挴㌵㐱摣昰戵攰扥晢㘰㉡㙢㥤㠶㈹慣昳〱㌰㍥㑤㌴戳㡣戸昲扢㜸㜸敢㕣攸㈲慥て搲㐱㝣挵攵㝥㠲ㄸ㌴愱慥昵ㅢ㤰㔲搷晡㤸敦㕡搷捥〳㘴晣㤹捤挶挰〱攰㐶搴愴㝡晦愷㔰ㄸ〳挰㑤㑥㝢摡〵挸摢〳㠰㤹㑢㘴㌰攲挶慤㐲㌱㤶㉡ㄸ㐶捥㡡ㅢ㔶㍡㥤㡦㤹㔶㉥㘳收慣愸㡡敡㐱㌵㜹㈱捡㐴㙦㜱㙡㤰ㄷ㌱㜷慢㥢愳慣晢慢挸㜱㘶愵攱敦㍤㍤愲㡣摥愹攱㠲㤳づ挹戹㠸攴㔴㈳捡㠰㥥攲愷搱㥥晡ㅡ㡤晣ㅣ昸攲敢慥㕥㤷㌱〷㤹戲敢㌷㤰㔲㜶㉤昹散㕡㥦㔳慣つ㌴攱㌷㔱㐸㤹昰ち㔴〵ㄳ㌲昸挶摡戴㉢㤱户㑤挸ㅢ㔱捡㑣攷慤㐲㈶㥥捡㘶㘲㜹㡣㜳㜹摣戱ㄲ挹㑣愲㠰㜹㥣㜶㤵〷戵慣㙣捡㌲ㄳ㤹㔴㈲㕥挴㡣捦㈸㤸㤹㜴摡挴愲〴㜳㡣慣㤹㑦㘸㕦昴愰㐶㍣㤹㡣㈷㔲㈹㈳㤳㉦愴搲㠵㐴㍥㤵㌰㤳㝡㕣㑦㈶ち㐹㔴㥥㡤摥攱㘸㈲扦㠴㌲昲㙡㤲㙢㐰愲㜷扡晣㙢挹扡㡥攴㝡昲敦㜲昹㡤㜸㜱て昸㙡っ㍤ㅥ〶昰㈶㠷㌷戲摣㑤㈰㤱攸扤〰㡣㍢㠶摥攷ち搵ㄸ捡ㄸ慣晣ㅡ㡢昲攵ち昱〰㠴昸ㄷ㤲户㠳挵㠴昲〳攳㜹捡て㑢〳晤㜰㜴愰ㅦㅥ㐴㈱愵挴ㅤ愸ち㝥昸ㅥ昲捡て㜷㈲敦㜴㘵戳㤰㈹㈴捤㙣㈲㔷㈸㘲㌹愷ㄷ慣㕣㉥㔳㌰慤㙣㍥ㄵ换㈴ㄳ㘹敤㉥て㥡捦㈷捤〲愶㘸㠹㔴捣㑡㘵㌱〷捦ㄶ搳㤸㍡挰㘷㔹㈳㥢㐸ㄷ戴扢㍤㘸㉡㤹㈸挶㌲㔶㉥㘱攴ㄳ㈹㍤㤱捡愵㜲搹㠲ㄵ㌷ㄳ戸愳挵慣㜴㌶晡㤰愳㠹晣㌶捡挸㝢㐸敥〵㠹㝥摦攵摦㐷搶晤㈴て㤰晦〳㤷慦昰㠴慡㐲攲挷攰㉢㍦捣昶晢㠱㙦㘹挹敦㠳㐴愲㡣ㅥ㡥敢〷㐶ㄵ㤵㔰昹愱㥦㐶㝦㤸㐵晢攸㠷㥦㐲㠸㝦㜸㉦っ㉣㈶㤴ㅦㄸㄴ㔴㝥㠸〷晡攱昰㐰㍦㍣㠲㐲慡㥤挷㔰ㄵ晣昰㈸昲捡て㡦㈳敦昸㈱㤵㡣敢愹㘴㌶㤵挰㍣㈰㙥ㄴ㜵㍤㤹戱㘲ㄹ㝣慤㉣㥤㑡㘳摥愰㍤㔱㠷ㄶ昹つ㌳㕣㄰㔸㙦愷昲愹㘴づ昳〸换㐸㈷㡤㑣摡搲慤㕣㕣㝢搲㠳㕡攰愶㡡㠶㔵㡣㕢㔶㉡㥦搳昳〵㌳㥥㑤㘷戰搰㡡㘵ㄳ㔶扥ㄸ㘵㉣㤲㥡挸㕦愰㡣㝣㡡攴㘹㤰攸攳㉥晦ㄹ戲㥥㈵㜹㡥晣㈷㕣扥〷㔵㈵挵㔳攰㉢㍦散攷昷挳昳㉣昷〲㐸㈴晡㌴〰攳晡㠱愱挹扡ㅦ㡥愶㍥㉦戱攸㔱㐸㠹攷㈰挴扦㤰晣〳㔸㑣㈸㍦㌰戲愸晣戰㜳愰ㅦ愶〵晡攱㔷㈸愴摡㜹ㄵ㔵挱て扦㐶㕥昹攱㌵攴㥤㜱㈹㕢㉣攲㈳㡦挵㐲㉥㥥㑥㈱㤸㔱戰㡡㍡愶㘵昸捡㔰捡戲っ㉣㘰㕥昷愰㤹愴㙥㤹㈹㌳㠱昹㕣㉥㘵愴ぢ㠵㡣㘵攵搳㤸㐹挷戳㠵㐲搶捣㘹㝦昲愰挹㙣㌱㤹㡦愷㑣挳㠸㈱〲㤳挰戵㤰㐹㘲敤㥡㑤㘲㌲ㅥ换ㄴ㔲搱攷ㅤ㑤攴ㅢ㈸㈳晦㑣昲ㄷ㤰㈸㠳㤹捡㍦㙦㤲昵㔷㤲扦㤱晦ㅢ㤷慦愰慡㄰昱攲㍦挱㔷㝥〸晢晤昰ㄶ换晤ㄳ㈴ㄲ晤ㅤ〰攳晡㠱昱捤扡ㅦ㔶搲攸ㅤ㘸㕤㝤㘷㑡晣ㅥ㐲晣挳㕢㑡㘰㌱㐱扤〴挳㤳捡て晦晤㔶㍤愲㔰扦㍦晣つ摣搶攰〱㠳㤴戶ㄲ愸〳㝥㜸〵㜹搶愶㑤〶戵晤㤰㉥㕡㔶挶挸㈱戰㘴愱㡢㘷昵㐲㈲㔹㈸ㄶ昲㠸㘳愵ち㠵愲ㅥ搷扡㍣㘸㈲㠹㠵㔰ㅣ㤷㑦〲㑢愳㔸扣挰㝥㡥㔸㤷ㅥ搳㡢㘶㈲㤷㌷戴㈹ㅥㄴ㤷㑢㉥㤹挹愵昵㈴慥戲ㄸ㤶㑣㔶㈶〷㜷攴昳ㄹ㐴慤㤰㠹㌲㉡㑡㑤攴㔴㔰搹㑤ㄲ〵㠹㌲㈲慡昸㍢㤰戵㈳挹㌴昲ㄹ㈴㔵㝣愲㙣㍣㑢ち㐶㐲㤵ㅦ㝥て〳㜸昷㠷摤〸摡ㅤ㈴ㄲ晤ぢ〰攳晡㠱㐱搲扡ㅦ昸㐶㡣㥣捥愲㝣挹㈶捡㤸愹ㄲ敥て搶㤴昶昰晦㈰㝦攴昸捦昱昸㈲㐶㌳戱搹摤昰㘹愶昹昸搴ㄲ愷晣愱㜶㍣㐲㙣㍦㜸摢搱㜶挴戶搵挵搹㉦ㅦ㜱攰㕦昸㤷㌸敢㝦愱ㅥ㥣㤱㙦捡捡ㅡ昷挵㥦㥣㠱ㄳづ㌳㈲ㄸ戸㤹摥晣㜵㐲晦ㄷ㍢㌹扢摡㜹㘸㜱ㄵ㈱㌶扣㙦扢㙡㘴慥昷搹搰ㅤ摣搰摢㑣昷㡢㐱〷搴㌹敥戳㉡㙥戱攵ㄵ慦ㅣ扥挰㠳㈸㉤〴㌳昹㝤愱㥤敢㌹摦㠳换㝢搶戹㜸㐴〹て㑥㤸㠶㕢㘳ㄵ㕢搳ㅤ㙤敤愲㜹㔳㔷㉤㤶㥣て㠴昲㐹㘵搶㠶慦㘱㉤㌶㜶挰ㄹ散ㄹ昰搸昶扣㔲㑤扤昶挰攷攷㠴晣〷㡣愳ㅤ〸㌳㑤㥡㍤愳慦㙦㐶㌲ㄵ㝥〶㥥㜸搷㡤㌴摡㥤㑤戲㜳㐴攴挱愸㔱扣〳㈹㡤㉦㈴愳挵摡愱㑥㉢晤㘸㐵㍣㠹㔶搸ㄲ㜸㠰捦㈲㥣㐵㙤㌸㈳挶㕡㡦〳㥦㑦昸愳づ㥣摤㌸㈲㘳㠴㌳ㄴ捣ㅡ挸挲摢㈸㜶㠶搵〹㠶㠶㈹挱㑦愸扢ㄳ㤴捥㙣㥡㉥扦㍥〷㍣ㅥ扤㡡㠶㍡㥤摦愸昳扢㔳㙦户㜴㑢㥥㉣昶扢㘴㙥昸昹て㌵扦㘸㥢㔴挷㍦扣㥡散㈷㙥戴㕥ㄱ㐵挹愰搷挳ㅥ㠶㔲㠱㉦㑣晥扢㈳㘸晥戲㑤㜴㐷搴愴㉥摤っ捥㙣㑡扢搸〵㜹㕥扥攲挷㈸挱㙢㐶㜵昳ㅣ敤戱〷㐴戶昹㜶㐵㑡㍢〲㍣晡戴㝦㐶㍣㉢扥て㘴摤摡敦㈷㝣㑦て扥ㅢ攱ㅦ㜰攰昳〹晦慥〳户慤摤㑢昸㕥ㅥ㝣㜷挲攷㌹昰㍥挲敦㜳攰㄰挰㌹晤㠴敦㡤戴攷ㅣ㐶㑥摤搶挵扥㑥㠶攰㙥挶㐶户捤㌹っ愸慡㤲攳㌹攷愴㡢ㅦ㝣昳攰㤳摡㝡敤㠷㥥挲扤戳㈳㑦㕤扦㘱昶搴㕥㜱ㄸ㑡〶㌹攷㉥㥣㐵愰㜳敥㜴〴捤ㅦ摣㠹昶愰㈶攵㥣愳㜰捡㜰㑥〲㜹攵㥣㙦愱㠴攷㥣㈵戴㐷〶㈲摢㌹㐹愴戴㘵㥥昹㔲ㄹ昱昵〶昳慤㈰㍣敢挱㔳㠴慦㜴攰晤㌳〰晦慡〳〷て搶㕥㐵㜸捥㠳愷〹㍦搶㠱捦㈷晣㈶〷㙥晢昲㌸挲昳〰㜹捥㌹挲挹戰㍡㜱愴㤳挱㑦愸扢ㄷ㜴摢㥣㌳搷㉤㌹㥥㜳搴㤵昲扢扤㝡搱っ㡥晤㝡ㅦ㔶挷㐱扤㘲ㄱ㑡〶㌹攷换㌸㡢㐰攷㕣敦〸㥡扦〳ㄴ㘵㝣㔵㌹攷ㄴ㥣ㄹ㥣戳っ㜹攵㥣㙢㔱挲㜳捥愹戴挷㑡㠸㙣攷㌰㜲慡ㄵ挰攳㤵㠳㑢㈱㈹扥搸㘰㍥㠳昰〱て扥㠲㜰换㠱攳㔲㐸㡡换ㅤ㌸〴㜰捥㍡挲㔷㜹㜰㐶㔰戵搳ㅣ㌸慥换愴昸㥣〳〷て昰㌲攱慢〱昲㥣㜳慣㤳愱㕣慣㜱㌲昸〹㜵㥦〴扡㙤捥㌹搹㉤㌹㥥㜳散㘱㙤㜲㉦㥡挱ㄱ敤戵㠷戵㕤㝡〵愳愷㐱捥昹㌴捥㈲搰㌹ㄷ㍢㠲收捦ㄳ㐵ㄹ㜴㔵捥愹攰捣攰ㅣ㐶㑥㤵㜳㉥㐴〹捦㌹晣敡扢ㄸ㠶挸㜶づ挳愹摡㐶昰㙣攷㈴戳攲㍣挷㝣㜶摦ㅥ㈳㥣㐱㑥ㅢ捥㤰慡㜶㠶〳挷㥤㉤㉢捥㜵攰㄰挰摡㘷ㄱ扥挱㠳㌳慣慡㥤敤挰㜱㡢捡㡡て㍢㜰昰〰㍦㠷㜰挶㑢㍤攷㔴㥣っ攵愲敡㘴昰ㄳ敡ㅥ〳摤㌶攷㜰㙥㌵攱戰㌶慥㜳捥㐱挹㈰攷㥣㠵戳〸㜴捥㤹㡥愰昹慢㐹㠲㘱㍥摣㘲㐲昲攳㌸㌳㥥ㅣ晦愲㙥慣㑦愸㐰ㅢ挵ㅥ㠷㘲㠶搶㤴㐷㍦〹㌴㍣捡㔰㤸昲攸㈶㌴攳㜹昴㝣〸〵愳㔸戶㡢ㄸㅦ搳㉥〰慦ㄳ㤷摢攲ㄹ昱㜸㈲㕣〵㍣昰㝤㘸㘷㡡㠳愷㔲摤㌹搲晣攱搱㈱敡㔹摦㔱攷晣㠳㥣㠸扣㠸つ㕤㠴敡㔹ㅦ㔹攲㜳挸搴敤昳㈲㔸昶〷㉤㠶ㅤ㌳戴㝣㔵㙡挸ㄱ㌴㝦搰㈲㝡ㄹ㙡㔲愷㝡愹㝤慡㔷㈰慦㑥㜵㍤㑡㜸愷㝡ㄹ㌵㘰っ挸㍥搵㉢㤱搲扥〰㥥搳㜹攳㘲㉤搰㙥㕦挲㉢ㄲ㠴㌳扡㘴挳慦㈲晣㉡〷㡥摥ㄸㄷ㐵〷づㅥ捥敦㑢㠴㕦攳挱扦㐸昸㌵づㅣ㝤㍤㉥〶ㅤ㌸〴㠰㕦㐷昸戵㐸扢つち〶慣㤸㘱㜵㠲㠱㉢㘶〸敥㘶㐸㙡摢㍡㉦攳㔸ㄳ㜶摥捦昰㤶扣晣攰摥慢搴ㄳ挹戳㝡㍦晥昲㌱㜷敤ㄳ㑥昵㡡慦愱㘴摤㌹愷㐳つ摢㌹㈷㐰愹挰捥㝢扣㈳㘸晥捥㐶昴㜶搴愴㥣㜳㈳捥っ晤昰づ攴㤵㜳搶愰㠴攷㥣㥢㘹㡦㙦㐳㘴㕢晢㑥愴戴㕢挱戳㥤㤳捤㠸〱愰㕤㕢㐵攴㙤㠴摦攳挱敦㈲晣㙢づ扣㙦〶攰换ㅤ㌸〴戰昶敤㠴摦敢挱敦㈶晣㥢づ扣㥦昰愳ㅤ㌸㜸㠰摦㐱昸㝤〰戹つち㐶戱㤸愱㕣㍣攰㘴昰ㄳ敡㝥〸㜴摢㥣挳攰搶㠴捥㔹㜱搷㍥攷扥晣攸㙥扤〸㠸攲搸扢㜷㐴捤㤸㘶昴ち〶戸㠲㥣戳〰ㅡ〶㍡㘷扥㈳㘸晥晣㐷昴㘷愸㐹㌹攷㕥㥣ㄹ㥣昳ㄸ昲捡㌹㝤㈸攱㌹攷㝥摡攳ㄷ㄰搹捥㜹ㅣ㈹敤㍢攰搱㌹㝤㌳ㄲ㜹㌱〷㘸㥡〷〲㤸敦㐱挲㥦昲攰㑦㄰晥㤰〳㥦㑦昸㤱づ㥣㉤㐷攴て〸㝦摡㠳㍦㐹昸㡦ㅣ㜸㍦攱㔹〷づㅥ攰㍦㈱晣ㄹ㠰㍣攷㍣敢㘴㈸ㄷ捦㌹ㄹ晣㠴扡㥦〷摤㌶攷扣攰㤶ㅣ敦㥥㍣㠵㤳搷㥢㘷昷愶改㥢敡摣摥慦㉤㝣攱㡣㥤㠶ㄷ昵ち㐶扤㠲㥣㤳挰㔹〴㍡㈷敥〸㥡扦㑡ㄲ㘵戰㑣㌹攷ㄱ㥣ㄹ㥣昳㉡昲捡㌹㠷愳㠴攷㥣挷㘸㡦㌷㈰戲㥤挳㌰㤸昶〴㜸㜴づ挶愹㠴㤸搹㘰扥㕦㄰晥㘷て晥㍡攱㑦㍢㜰㉣散ㄲ攲㈰〷㙥㍢攷㔹挲ㄹ㤶戲㙢㘷㌸㑣晢て〷㡥㘱㉤㈱摥攷挰㈱㠰㜳㝥㐵昸㥢㐸㝢捥昹慢㤳㠱㈰㈴晥收㘴〸敥㝥ぢ㜴摢㥣昳㑦户攴㜸捥㔱愳搹敥〷昶愲ㄹㅣ㠷昶搲㐷挹㘴愲㔷㜴㐰㡤㈰攷散㠳戳〸㜴捥摥㡥愰昹㘳㈹㔱つ㌵㈹攷扣㠸〴㥣ㄳ挱㡦㜲捥㥥㈸攱㌹攷㜷攰㡡愹㈰戶昹ㄸㅢ搳㕥〲戱慦㥣㜸㐶散摡㘰扥㍦㄰捥㠸㤵つ敦㈲晣㡦づㅣ搳搳㡣㤸收挰挱㠳戵㕦挵㡦㠸㠲搸㜰挶挸戴搷㐱散㐱ㄳ昰㙥〷㙥晢昲つ挲ㄹ晣昲㥣戳愳㤳挱㑦㐸㌰ㄸ收㕥挴摤扢㈱戳㙤捥㘱㙣㙣挲㘱㑤㉤晢㈲扦㥤㘳捦㘲㝦㌷攷㐴戵㉥㝣㙤㡥㤸㡥㤲㐱捥㠹攰㉣〲㥤㈳ㅤ㐱换㌷㕣昶㐷㑤㠱㜳ㄶ昵づ愲晤㑤㜱摦㘷摣㔵扣换攲ㄳ㠸㤳㉤㥢捤㐸㤸㝡ㄹ慤慣ㅥ摦敢挲搷ㄶ㉡昸㤰晡ㄲ㝣㔹〴摦㔸挰晦㈳挶㜹戶ぢ㕦ㅣ攱㐳晡敥晢晣㔲攵㔸㔸戳㤶㔷昰㠲晦㈴㙢㜱ㄵ慦㕢ㄹ㥤昸㄰㜴つ㥦慥ㅣ摥ㅥ㌶挳昱㐰㘵〷慦㐰捣㈳搵㔷㕤〲㥦㘵攴㐳㡡㠱㐱㈷摢㠴㜵㝢戸慦摣戴昱㈳つ摢戶ㄵ慥晤ㅤ晥ㅡ昷㠹摢づ㌱〹㝥戶㈳搰攷㠴摥㔱㡡㠷摡昰慣㈴㍢摡㍦㐰摡昱㐸㥥㥡㘵㠲㐴攴㕢攰搸摦㝡㌰〸つ捦㐰扥昹っ昹㠸改〲㥡愰改㔳攷㤳㈷扢㡦㠰戲㘸挷挱㈸㍡㔱挰づ攲搰愴愱㐱㥤晦㑦慣捥愱挱戲㌹扣戶戶捥晢晦㘰攱昱〸㝣愴㑥扥つㄴ㥢攲㥦㤸㠵っ㙢㤵㥣㐹㜸摣㤸换攵㠸攲㜱㌳攰戲㈳㙢晣㙥挶〴搶㜹晢ㅦ㐱搶㘹㐷㈱つ㕦搸㙦戲㑥ㄸㅣ㥦㜵㐴づつ搰㐲敥㈱摥㡦㡣搲㜰ㄲ㤰㥥㉥扤㉥户搳捦敤㜷戹晣㕦㝡㜹搸愳挰㔵㝡㐷挰㥤㐰敦㌷〳昵敥㐲㈱㐹慦搶㍤㍡㤵㉣〳ㅣ㐵㐲㘲〹愴つ㍡慦㜰昵㠸〲改改戱捡攵敥攰攷ㅥ攷㜲㜷昴㜳㑦〱㔷改㍣つ摣〹㜴晥㘳愰捥㍢愳㔰㤳捥扢㤲㘵搴㜵㍥ㄵつ㌴攸㙣戸㝡散づ愴愷昳㍡㤷扢㠷㥦㕢㜶戹㝢晡戹ㄵ㜰㤵捥㝢㠱㍢㠱捥扦つ搴㜹ㅦㄴ㙡搲㜹㍡㔹㐶㕤攷ㅡㅡ㘸搰㜹捣搵㘳㝦㈰㍤㥤捦㜲戹敦昳㜳捦㜱戹㌳㝣摣㈸ㄷ戰挸攳昱㑢㔰㜹㈰挹㐱㈰ㄱ昱㐹〸搴挹ㅣ㡣㉣㐳昱昸晦ㄲ㔵愷ㅢ收昴つㄵ㜳㈳晥晦㘴昸ㅣ㔱㥢㜸捡㍤㤳㤷ㄳ扢搷挷㠱㐳㔹换㡢愸㔴㔰㈵㌵〶捣㈲换㘰㍢㈴昸〰㌹㙡攷㤹っ㕣晥敤摥㝦㈶㑦㥥㉢戸ㅡ㔵扤扣〷㐸敦㑣㉥㜵㤵㌸ㅣ摣〹㉣晡㠸慢㐷挸㍦ㅥ挵㔱愸挹愲㐹戲㡣扡ㅥ㕣㠲㌶㔸㤴㡢㑣愵㐷ㅡ㐸㑦㡦㉦戹摣㡣㥦㝢㥤换捤晡戹㌷㠲慢っ㤷〳㜷〲㥤㝦ㄸ愸昳ㄱ㈸搴愴昳晢挹㌲敡㍡摦㡣〶ㅡ㜴收摡㑢改晣〱㈰㍤㥤㙦㜷戹晣摥㡣挷攵㑡㑡㘱㝢晤摣㝢挱㔵㍡捦〵㜷〲㥤敦て搴戹て㠵㥡㜴㥥㑦㤶㔱搷昹㝥㌴搰愰昳㠳慥ㅥぢ㠱昴戴攳捡㐳㘹户挸捦晤㠹换㕤散攷㍥〲慥搲昹㈸㜰㈷搰昹㕢㠱㍡㉦㐱愱㈶㥤㤷㤱㘵搴㜵㝥っつ㌴攸捣㤹扡搲㙥〵㤰㥥捥㥣㤰㉢敥㌱㝥敥慦㕣敥㑡㍦昷㐵㜰㤵捥〳攰㑥愰昳慤㠱㍡慦㐶愱㈶㥤搷㤰㘵搴㜵收昴戶㐱攷㍦戸㝡ㅣて愴愷㌳攷愹㑡攷ㄳ晣摣㌷㕣敥㠹㍥㙥㤸㜷昵㜷㍤敦㘰ㅣ㘹ㅢ㥦㑥㍢〹㡤ち捥ㄵ㔸㠷㍣㤹㌹㈴昸搷晤戶挳敤挴㙦愸㥢㜷㙡戲敤ㅣ㐷㉦㉦㈷㜸㤳愵挲昲ㄴ戲㜹㙦愵㑣づ㍡〹㔵ㅢ敦愳㕥㠹㙥摥㍦敢㌹摥㌷扤㥣攰慤㑦搵㜶㉡搹扣敢㔱㈶㜵㈷挱㑣㌷敦㜰㕥㠹㙥摥搹敡㌹摥搱扣㥣攰㑤㐹搵㔶㈰㥢昷㈳捡㘴搱㐹㌰搳捤㝢㡦㔷愲㥢昷㥣㝡㡥昷ㅡ㉦㈷㜸扢㔰戵ㄹ㘴㑦㜷㘴搲㜴ㄲ慡㌶摥ㄵ扣ㄲ摤扣ㅢ搴㜳扣ぢ㜸㌹挱搱㕦㉤㤶慥㐰捦攳㘲㠹㑦㑤㜵戶㘹㠲㜷〴㈵戸摣ㄱ昰挱慡㑥㝣戸㠲㜷〹㈵昸㠲㈳㤸〳㠱㉣戱搶㐳㈹愲ㄳ㑥㘳㡥㐳㍦ㅢ㤲敢㥤〴㌳摤ㅣ收敢捤㜳愴㔶㈵捡㘴㜳㤰㔶㈵㠶㥣㠴㉡挱〱搹㉢搱捤㠱戸㥥攳〰散攵〴挷㔰㔵摢㌰搹ㅣ㍥㈹㤳㈳㑥㠲㤹㙥づ㤵㕥㠹㙥づ㤱昵ㅣ㠷㐶㉦㈷㌸扡愹摡㌶㤰捤㠱㡤㌲㜹扡㤳㘰愶㥢㠳㤸㔷愲㥢㠳㔷㍤挷㐱换换〹㡥㍢慡戶ち搹ㅣ㜲㈸㤳㔵㈷挱㑣㌷㠷ㄷ慦㐴㌷㠷㤵㝡㡥挳㠹㤷ㄳㅣㄱ㔴㙤㌵戲㌹ㄸ㔰㈶㐷㥤〴㌳摤扣昰扤ㄲ摤扣攰敢㌹㕥攸㕥㑥愸㉢㤰攵㌷㠲敤ㅥ㔱㕥㠹捣换㑤愰㔸㔷慢㉢㡢㜹㌷戸㑤㘴㤴㔷㤸㐲㙤戶㔱愷攲㠷㌵㌷搶挵㉢㐷愱捥戴㔱敡㑡㘸㐱昱㡡㔰愸て摡㈸搵挳㕢㔰散改ち昵㈱㠵敡㘶搷㕢〳㔴摢㤸㈸㥥㙡㥣㝡敡摦扢㍢愶敦搱㜱㕣㙦搷攵捦晦攴㌷㤷㍣㜱搲散晦㝡敢慡慢㥥㜸昱㤲㠷摦扡户㌰晢㠷搷㕤昷搰㔱㔷㍦晣㥢ㅤ慤㙢摡敥昸晢㤲㙢捥㡡慦㍦敢㜴㙢昵愱ぢ捦㍡晥戴㘳攲㉢㜶㤸搹摥㍥㘹搲㐱搳㝥戴摢挱搱㜳㑥扦㑢㝣昷㤹㕤㠷㠵敡捤㔴愳攱挴搹慢㤵ㅡㅦ㔶㙡〸搵㠳㕢㤴㘵㑦㔶愸㡦摡㈸搵㌳㕢㔰散愱ち㜵慥㡤㔲㍤慥〵挵㥥愷㔰㥦戰㔱慡㈷戵愰搸愳ㄴ敡㍣ㅢ愵㝡㐸ぢ㡡㍤㐵愱㍥愵㔰㔱搷昳㠲捥㔶㤷㜷捤戹扣攷愱㙣㈷扥㌳㐳晦㉡㐱戵㐹㐰㤷㉡㐱愵㐹㐰㉦㉡挱改㑤〲㍡㑥〹㌶㌴〹㘸㑡㈵ㄸ㘹ㄲ搰㝡㑡㌰摣㈴愰挱㤴㘰愸㐹㐰ㅢ㈹㐱戹㐹㐰戳㈸挱晡㈶〱㉤愱〴愷㌵ち㈶晦㍦ㄲ㠶昵〱</t>
  </si>
  <si>
    <t>㜸〱敤扤㜷㥣ㄴ㐵ㅡ㍥扥戵散㌶摢㐳ㅡ㤲ㄱㄵ㄰㐴〴搶挹㐱㐵ㄶ㜶挹㈰ㄲ㡣攸慤ㄳ㝡㘰㘵㠳敥㉥改㑥てㄵっ㥣㘷ㄶ㜳捥〹捣〹㜳捥㝡㥥㌹㥥ㄹ㜳㡥㘷晡㍤㑦㜵㜵㙦捤㑣捦㈲㝣敦晢昹昹挷㜷搸㜹改昷慤愷摥慡㝥摥敥敡敥慡㜷㘶捡㐴㔹㔹搹敦㜸昱㝦扥㉡戸㌱㘰昶搲戶㜶慢愹扡戶愵戱搱捡戴㌷戴㌴户㔵㡦㙤㙤㑤㉤㥤搶搰搶摥〵〰愳扥〱攵㙤㤵昵㙤つ㝦戵慡敡ㄷ㔹慤㙤〰㔵㤶㤵㔵㔵㤹攵㈸摦㕣扤晤㡥㘲戲㤶㔹㐱〱㔴㤹㘹㔰㜴愵愸愲㌰㈹㝣ㄴ摤㈸扡㔳昴愰攸㐹搱㡢挲㑦搱㥢愲て㐵㕦㡡㝥ㄴ晤㈹㌶愱搸㤴㘲㌳ち戶㙦㙥㐱戱㈵㐴昷〱㄰㜳㙡挷捤㐸ㅦ㠸扤㤹摤摥搲㙡㡤ㅣ戸愷摤攷搱挱㘰㜵戰㍡ㄲて挶慡〳㈳〷搶㉥㙣㙣㕦搸㙡㡤㙥戶ㄶ戶户愶ㅡ㐷づ摣㝤㘱扡戱㈱㌳搵㕡㍡愷㘵㠱搵㍣摡㑡〷挲改㔴㈴ㄱ㡣㐴愳戹㘴㌲搱㝤㉢㜸摥慤㜶摣敥慤㔶慥敤㝦攵㜳㙢晡㥣㔱㍢慥㝡㌷慢晤㝦攵㜳ㅢ昸㠴换扡㤶愶㔴㐳昳晦挸㘹㈵㘳ㅡ慤戳㌲つっ扥㘵戵㌶㌴捦慢㐶户昳㠸㠶ㄶ慦ㅥ摢搶戶戰改㈰ㅥ㐷戵㔶㘳攳㉣㉢㈷㠳摥㔴搷搶扥㝢慡戵愹慤㝢ㄳ昹戳㕡慤收㡣搵搶戳㘹晣㤲㡣搵愸㠰㙤㔵㑤㝢愶㕡㜷㑢㌵㔹ㄵ摣攸搵㘴挷㜰㜲搶㙡㙥㙦㘸㕦摡愳㘹㡦㌶㙢㔶慡㜹㥥㐵㐸㘵搳挴㠵つ㔹㔱㔱㠱扦戲㉥挳扣㝡㈶〳㠵晥㌴搵捥㑦戵戶㑢㡤㈱っ㝡㘱戵挳㐵敥㐵㕥扦㜸㐸つ㉣愸挵㤸捤㙥㘸㥡㙡戵㌶㕢㡤㙣㠴㤱ㅣ㔱〰㤲〴搹㜱㜰㤹㜲㜶㠷㔱ㄲ摤搴挹挷㝤㘱㉢挶㐰㠸搸㥣搶〶散收挲挶㔴敢挸改つ捤愳㐳搵搱攸挸㘹つぢ慣挶〶慢慤㝤㜴㜸攴昴搴㤲搱㤱敡㘰㌲敦ㄵ㌶〷愱慥㌹㤸㕥戶㠵愸愸慤ぢ㈷捣㈱戴つ㠵㄰ㄵ慦攲捣搷摢攳搹㔷㕥㥦㉡慦㑦㤷搷㘷捡敢戳攵昵㔶㜹㝤慥扣㝥㕥㜹晤晣昲晡㠶昲晡〳换敢ㄷ〰攳扣慡扡㜶㉤㔷慦㑤昶戹㜷摡攷㕢敦㌹晤㤸㠹愳捦扥敡㡥㜷㘷〸㥥散㜲慣ㄸ㠶㡤ㅤち晡ㅦ愸㡥㠴昴ㅤ〸㔴㐷攵㉥〴慡攳收昶挰㥢挳㈱㡣ㅤ㈰搰攷㔰挰ㅣ㐱摢㐸〸㈱㥥㐳㥦搹敦戵昷㕤㤸㥤㌸攱㡡㈹㠷㕤㜹搶挵〳㍥㜸扤㥢攰挰㈲ㅢ慣挶挶戰愲〶ㄳ㝡㝢㐱搹ㅡ㑥㝣㜳㐷㝡づ㐰ㄸ㐱〸戴ㄶぢ㤹㈱摡挲㄰㐲㍣愹㕡晢扡攷㍢搳㕦㝥搳㍦攳慡慢㥦摤㙥挱㠰ㄱ挷〹㡥㘰戲戵㈸㌶ち㜷㉦㔲ㅤ㐸㘸攱㠹㔴㈷㘴㝢戱敡㜸挸㡣搱㜹ㅣ挲㐸㐰愰挱㐸挸㑣搲戶ㄳ㠴㄰て愹〶㥦㙢ㅥ昶攰昹㠱晢敢㙥ㅦ晥挴搴て挷ㅦ摥㔷㜰戴㤴つ敥㠲㡤挲摤㡢愱㠵㡥挳挱㙥つ㈳㕢挸ㅣ㑤捦扢㐲ㄸ㘳㈰搰㕡㈲㘴搶搰㌶ㄶ㐲㠸扢㔵㙢㔳㤶㕣ㄹ㝥攳愴㔳挶慥㍥敦攴挳㠶㍦晣摥㑡挱㌳㔴戶㔶㡢㡤㥤ち挸っ㔶挷㠲㜹㙣㔶㈷〳㜹㉦㥢摥㔰㜵㉣㘶搶戱戱昱㄰挶〴〸扢〳ㄳ㘹㥢〴㈱挴慤慡〳愷扥晥昷㔱㙢㙦㥤㍢昱挸扢㔷づ摥㜴昷戳昶ㄲ扣㈴挸づ㑣挱挶攸㠲づ㈴㜰愸㐷昲扡㤰㑣㔴㈷㤳㜶㔰挳㠹敡㘸㈲摡㜱㈲㈴捣愹㙣㙦ㅡ㠴㌱ㅤ〲㝤㠸〶捤摤㘸㥢〱㈱挴㜵慡て㌳㑦㕣㙤ㅤ㍡晤戴扡㑢愲挶㕤㌷㥥㔶ㅥㄲ扣㈲挹㍥捣挴㐶戴愰て搱敡愰㐶㜹㑣戶㥤愸づ㜷戴㡢慤㐴捣㥣挵㜶㘶㐳ㄸ㜳㈰搰㜶㌸㘹敥㐱摢㥥㄰㐲㕣愹摡㝥晢攱昸㔹㙦扤扦㘹摤㜵扢㕤㘰㡥㕣戴㘸㕦搱つ挵戲敤扤戱㔱ㄸ敥㐰㜵㠹愳㜹ㅦ㝡摥ㄷ挲㤸ぢ㠱搶攲㐱㜳㍦摡昶㠷㄰攲㈲搵摡㈵慦㕦㜸晡㕤㤷摥㌸攵㥡搷づ敥ㄲ㐹㜷ㅤ㉦㜸挵㤵慤搵㘳㘳㜰挱㥥〶戴晤っ搸ㅣ㥢〷〰㘷愶㈰㡣㌴〴ㅡち挵捤っ㙤㔹〸㈱捥㔶つ㍤晦昰㐵搷㡣戸散挳戱搷㥥搴戶敡㠵晡㑦扦ㄷ扣慡换㠶㜲搸㐸ㄶ㌴㤴愸㐶㔰昵〳㈹愹戵㥣慣㜶攲㕢つ㕡攷戱慤昹㄰㐶〳〴㐳ㅡ㌱て愴㙤〱㠴㄰愷慡昶て㑥㡣扣晣戹愵摦㑦㍢昲㡥扡〹搳㠶づ晡㔵昰㠶㐲戶摦㠴㡤ㄱ〵敤〷慡㐳㜹挳㙡愰摡ㅥ㔸㌹㕡㤹捤昴摥〲㘱ㅣ〴㐱㙡㤳收挱戴戵㐲〸㜱㥣㙡昱搵昸ㄱ搹戹㐷㑣ㅣ㜷挹戰摥㕤㔶摣㝥愷㑦昰敥㐵戶搸㡥㡤㡤ㅤ挷ㄷ戲愱㐵㄰挶㘲〸㌴ㅥ〹㥢㑢㘸㕢ち㈱挴㔱慡昱捡㥤捥㍥㘰挵攳㤵㤳㙦晥愱敥挱㝥昷戵扦㉥㜸搷㈴ㅢ晦ㅢ㌶戶㉢搸㕤㥣㈷ㅡ扦㐱ㄵ摡㠸㜹〸ㅤㅦち㘱晣ㅤ㠲摣〶捣㘵戴ㅤ〶㈱挴㌲搵搸㌷㈷捤扦散㍦㌳㍥㥤㜶扥晦搴搹㙢㘶戶捥ㄲ扣㍢㤳㡤ㅤ㠱㡤㜸㐱㘳ㄸ㡤〲㤱扣㤳㐳㙦摢收㌹㤸挰㠸戵ㅣ㤵捤ㄵ㄰挶㤱㄰摣搵戸㜹ㄴ㙤㐷㐳〸戱㐴戵晥搲㡡㡢㠶㡤㜸愳攷挴㤳搶ㅤ昳收㤳扦晣晡㜷挱摢㐲搹晡㑡㙣ㄴ戵ㅥ慤づ攵㌵慥ㅦ㔹㐱㝢扣っ〱㘳晥㠳㉤ㅤぢ㘱晣ㄳ〲慤挷㈲收㜱戴ㅤて㈱挴挱慡昵㕦攲㉦㍥戵㜶攰敡㠹攷晥㤸㕥昱昲㤱晢㍣㉣㜸㍦㉡㕢㍦ㄱㅢ㠵挷㔵〸㡤敢㔴㠷慡攳昲㌴ち㔷挷ㄳ收㐹昴㝥㌲㠴㜱ち〴㕡っ㐶捣㔳㘹㕢〵㈱挴㠱慡挵㠵㙢㔶愶㙥ㅤ戳攳昴㔵搶㌱敦戵㔷㤵㡤慢攴捤㙦搸敢收愲昰扥㘵〲敥㜷㌳愹戶㜶㜵㑢挵敢挸晦昶㡥㙢晤㌷㕣ㄳ㕡㌳晦昷㙦戸搰挸晦攴㠶换㍣㥤散㥦〱㘱㥣挹慤摤㕢㕢づ㕡㠸扢慣㤴㜹ㄶ搵戳㈱㠴挸慡戰㉣慦㤹晤㜱㜰捣㐷戵㙢愷昶ㄸ扥捦戵㔳户ㄱ晤㔱㉣て㠴㜳戱㌱愷攰㈴〸㔷㐷㘳㜹㠷㘱㐴㍢〹㡡㙦摦攴㐱ㄲ慤㑥挴昳敡㤸攷戱ㅢ攷㐳ㄸㄷ㐰昰ㄸ㡤㥡ㄷ搲㜶ㄱ㠴㄰晢慢慥晤㌸户㝥摢攸㔳愹扡㤵〳捥ㅢ扥昳挸㤵ぢ〵ㅦ㤲㘴搷㉥挱挶ㅦ扥愴㕣㑡捦㤷㐱ㄸ㤷㐳愰戵㐴搰扣㠲戶㉢㈱㠴搸㔳戵昶晤ㅥ搵慦っ晤昱㥤愹㌷扣昵攰扡㐸㝢换㜶㠲㑦㘳戲戵慢戱㌱愹㠰㠸㔰〰户っ晡㕥挵㌵㈲㐲㤱㙡敤昲つ㤴㝤㝥㠶㈳搵㤱㠸㜹つ㥢㕥つ㘱慣㠱㐰㜷㐲〹昳㕡摡慥㠳㄰㘲㠶敡㑥昵㠲㑤捣晥昷㉥愹扢晤㤴㍢㘶㝣ㄱ㕢昲戰搸っ挵戲㍢㌷㘰愳昰挲㠳㠱㕥㡦〴挶㝢㐹㍤敥㑡昳㍢㤲㡣㤸㌷戲慤㥢㈰㡣㥢㈱搰㍥㑥攱㕢㘸扢ㄵ㐲㠸㐹慡晤戲て㑦㕣㝥搳㍤㌷敦㜶㐷昹㈶て㡢㝥〷挷挵收㈸㤶敤摦㡥㡤㍤ち攸〸挶慢ㄳ㜹㠳愳摥ㅢ㜲㤵昷戲〷换㔰㌲晦㘶㈳㤱㌰搷戲ㅦ㜷㐰ㄸ㜷㐲㤰㥢愸㜹ㄷ㙤㜷㐳〸㌱㔶昵敤捥㕥慦扣昳搸攵㌷㑦扤晡摣㥢收㥦晥㐱㕤㝦戱〵㡡㘵摦敥挵㐶攱攰ㄵ挶慤㤶㍥㜸㘱搰㔲挷㘵㌰㘱摥㠷ち收晤㄰挶〳㄰㘸ㄱㄱ㝡㤰戶㠷㈰㠴搸㐹戵戸敦愱㘳ㄶ敦搰晢搶㈹晦㙣㝣晥挱㝦慤ㄹ㍦㑥㙣㠹㘲搹攲㈳搸ㄸ㕡挰㐶〴㤷㘱敤㜰戰㥦っ攲收愳昴晢ㄸ㠴昱㌸〴摡ち挷捣㈷㘸㝢ㄲ㐲㠸戰㙡㙢挶敦愳户㍥㙥捥㤲㈹慢㡥摥㕡㡣㤸戲㙥搳敥㑦愳㜸愶㝡愸慡㙢㑤㉤挶㘳㙡挷ㄳ㜰愸㍡挰㝦敢㝦昴挷㤳㝦㉥㥡㡢攷㠲挱㙣㌴㤰ち愷㉡〷挱敤ㅦ㝤挶攴㘵戸㝢㙥慦㠶收㙣换㘲昹搰㌹㘰㕣慡捤敡ㄸㄲ㐷愸戲㜱㉤ぢ㥢戳㙤㕢㝡ㄷ捥㙥㑦戵㕢㕢ㄴ㤶㜵㌸㈹慡㌶ㅢ㡦攴㔶㥢㙣㙦敢挲㙡㝢愶ㅡㄷ㕡㘳㤷㌴搸挵㕢ㄵㄴ攳㠱扣㈵㕤扡㜴㐲慢㜵戰㕢㕡搴愳戱㤸㌱㕡㈴㝤ㄷ敤愵㕤㘴昷㙢㘰敤晣㤶㌶慢㔹㜶㙦㐴搳敥つ㤹〵㔶敢㙣㡢昳㑤㔶㔶敥㙡㝦ㄶ愹㔹㠱ㄱ㌳㥡戱愳㜸捥捦づ搶慤戹昱㑢摡慤收慣㤵攵ㄸ㙤戵戶㉦㥤㤳㑡㌷㕡㥢攴㐱散㌶㔱戰㜹㥥㜹㐲㑢㘶㘱㕢㙤㑢㜳㝢㙢㑢㘳㝥挹搸散愲ㄴ㘶㈲戲搳㕢戲ㄶ㈶ㄲ㉡昸㉡ㄳ㘵㕤扡〸㔱戶㠳搷〵㤷㝥摢慡㘵㈰戴㄰㙦㠵㤸㙦㤶㝦搸㔵捦挲摥㘱㉦ㅡ㉤ㅥ㤳攵㐳搶攳㑣晡愵㥢攱愵㠱摡㍥㜱㜲㡥攸敤㑢愳㘵ㅦ摤挸晤摦〵㤷㤷昷㔵㝢㍦㝥ㄱ㘶㙢㈶愵㥡戳㡤㔶㙢愷㔳㡢㠲㍤㌲㥦㠱愸っ攰㙣㉥挹㕥〵㄰㘲㠹㔸㕡戹戸㈱摢㍥摦㤸㙦㌵捣㥢捦扢㙢㑣㍦㔶㔵㤱摡愲㤷昹㉣㑣收扦㈹㥥㠳昰昹捡㡣攷〹㌲㝣收ぢ戶㕥㌹ㄸ晦㙦昸㍣㔰㌹㙡㤹㜲摥〹㤳㠴㙤㤵㑤戸搹㙡敢搲挵㙢㉦㈷愵摡收户昳昰散扣㤰晥㕥愴㜸〹愲㜲〸挴㝡愷㤹昸㠴㔱挱搹戴ㅥ㑤㜵㔶㉥㠵㌹㑣㜹㜶㡢㔴㘵㤳㍤㉤㔶㘷戵㘵㑣捥㥦㑤挶戹戲挴挰ㄶ㑥晥敥㑤㍣晡慤㈵敤㜵愹昶㔴搷㈶捣挴㈱㑡㈶㐰㈳㘴㉤㝢㡢㌵㝢㐸㥢㔳摢愷㌴㜸昰换㑤捤㑢㌷㘹戰㍤攱挴挱昹㔲搶㐵挹捥㜷〲㝤攷慤㥢㔱㜸愰攷捦愸㘱愲㉦㍢搱㙡㥥戳昴㈰慢㡤昰㉡愳㔳㉡ぢ㑦㉦㍡㥢㤱㐹敦搱摥搰搸㔶㡤㥥㑥㙣㙤㔹㜸搰晦搲て㝤㤹㉦㐳㌸慦捡㘱㌸㡡晦昸㍥㠱慥戲慥㡢ㄸ㥢晡晡戲㉡㝡愳挵㜸ㄵ愲愲㜶㈲㘶敥㜸挸挲攳敦昸㑦扥捣搷昱㥦捦㈴愰㐴㔹攵㔰㤴㙤挸ㄴ㘴㈵昰摤㥢㐰搳㥣㔶㑢㑥慡㔶㐹〵㤴昷㘸摡慢愵㜵㐱扡愵㘵〱て慡㥥㔲㙢㥢㙦㔹敤㥣愸散愶㈶㘶攵〴慣㄰㕤扡攴捤㉡㙡㌳㥡摢挰扦昱ㄶ㠴㝦㑥㑢戶愵㙤㘰㈳摦つ改搶㤶㌶攳㙤㔸扢㘰搶搴㜸〷ㅢ㤱㠹扢敦㔳㍦㝥昶㥣挹搳挷搶㑥㥥戱摢昶戵㤸攸挴搱㍡ち〳晤㔲っ愲㉤挳〷搶㉦挲戵㝢㘰㕤摤愸改搳㐷敤戳㑦昵㤲挶戶㈵㘲㉢㤰挳戹挱㑢㡦㥣昷㡦㈱慦㙣㌷昹捣昴ㅥ挷㕦戵㥢ㄸ㉡〶愸㠲愲㔹捡敤搱搶㈰扣捤昷㈱挴ㄶ㠰㜱攴挱㜶晥换㕣〷摤晣㤰攲㈳〸㡣ㅦ㤲㜰っㅦ㥦搸慡ㄸ㡥晦㌹㠴㤸㥦㔲㝣〶㈱㐶㐰昰〴㌶㍦㠷㜰㕥愲㌷晣昳戸㤰戱晤ㄲ㘶挴ㄶ㌳㥣㐵戱晤ㅡ㐵㍥㤳㠰ㄲ㘵㘲㈴捡ㄸ㕦昳㉤ち搲㘷㤲㍡搱ㄵ摥㍤㔹㌰㔴㐱搱搴改㡥愸㈶㔹昸㤹昵㉢〰昳㘶攱㔷戶昱ㅢ〵㈹搲㔸攰愹づ㔵〴㘰㤶㉣㤴挳㘰㜶㠱㄰㈱㤸㈴ぢ㜲㘹〹ち㕦攲攷摦㌴ㄶっ攰挰㐲㈲㔹扣愷㔵㜴㙣ㄲ㔰愲㑣㠴攱捥㡢㠵慦搰㠲㈷ぢ㕦慡㠲愲㈹摤ㄸ㍣つ挲摢散㡤收挴攷㠰㜹戳搰㤷扤改㐷搱ㅦ㐲㘳㘱㔳㕢ㄵ㜱㌸㤱㉣㙣㐶搰收㄰㈲〹㤳㘴㘱ぢ㘸捥㑢扣慦戳㌰〰㈵㘰〱㔳㑤㐵挷挲搶㈸昲㤹〴㤴㈸ㄳ㍢挱愷ㄷぢ慦㤵㘲攱㔵㔵㔰㌴捦㍣ㅡ㥥〶攱㙤づ㐳㜳攲攵㤲㉣っ㘷㙦㜶愰ㄸ〱愱戱㌰捡㔶挵慥㜰㈲㔹愸㈶㘸㐷〸㔱〳㤳㘴㈱〰捤㜹㠹㘷㜴ㄶ㐲㈸愹慣㥤ㄸっ㜸ㅣっㄱ㤴昹㑣㈲㡡㘹㤰㘵㘲㉣㥣㝡搱昰㔰㈹ㅡㅥ㔴〵㐵ㄳ攰㜵昰㌴〸㙦㜳㌴㥡ㄳ昷㤷愴㘱っ㝢㔳㐳㌱ㄶ㐲愳愱ㄶ慡㔱㐷㘱摦ㄴ攲散ㄸて㝦㤲㤱昱挴㑦㠰㄰ㄳ㘱㤲㡣㑣㠴收扣挴㙤㍡㈳㤳㔱㈲ㄹ〹ㄶ敦昵㔴㤴昹㑣㈲㑡㤴㠹㐹㜰敡挵挸㥡㔲㡣慣㔶〵㐵㌳昲㔳攱㘹㄰摥收ㅣ㌴㈷慥㉥挹挸㥥散捤㕥ㄴ㝢㐳㘸㡣散㙢慢㘲ㅡ㥣㐸ㅡ收ㄲ戴ㅦ㠴搸つ㈶㐹挳晥搰㥣㤷戸㐸愷愱ㅥ㈵㌸㍤昰戸㕤㜴㝡愴㔰攴㌳〹㈸㔱㈶㘶挰愷ㄷぢ㘷㤴㘲攱㜴㔵㔰戴㈶㌰ぢ㥥〶攱㙤ㅥ㠸收挴慡㤲㉣㌴戲㌷㑤ㄴ捤㄰ㅡぢ〷搹慡㤸つ㈷㤲㠵㠳〹㙡㠵㄰㝢挰㈴㔹㘸㠳收扣挴㍦㜵ㄶㄶ愲〴㉣㘰ㄱ愱㠸㠵挵㈸昲㤹〴㤴㈸ㄳ㝢挲愷ㄷぢ㐷㤴㘲攱㜰㔵㔰戴㍡戱て㍣つ挲摢㍣っ捤㠹㘵㈵㔹㌸㠲扤㔹㑥戱〲㐲㘳攱㈸㕢ㄵ晢挲㠹㘴攱㘸㠲㡥㠱㄰㕣慦㤰㉣慣㠴收扣挴㈲㥤㠵㘳㔱〲ㄶ㤲ㅥ挷挲㜱㈸昲㤹〴ㄴ戳㈰换挴晥昰改挵㐲㘳㈹ㄶㄶ愸㠲愲㔵㤳〳攰㘹㄰摥收㘹㘸㑥㌴㤴㘴攱っ昶收㑣㡡戳㈰㌴ㄶ捥㠱㙡㥣㑢愱挶〸㈱㔲昰㈷〹㌹て㘶昳㝣〸㤱㠱㐹ㄲ㜲〱㌴攷㈵敡㜵㐲㉥㐲〹〸挱㈲㑣搱㘱㜱〹㡡㝣㈶〱㈵捡㐴ㄶ㍥扤〸搹愳ㄴ㈱㜳㔴㐱搱敡捥㍣㜸ㅡ㠴户戹ㅡ捤㠹㔹㈵〹戹㤶扤戹㡥攲㝡〸㡤㤰ㅢ㙤㔵捣㠷ㄳ挹挲㑤〴摤っ㈱戸扡㈳㔹戸〵㥡昳ㄲ㤳㜵ㄶ㙥㐳〹㠷㠸㜰昱㥥慥㐵㤱捦㈴愰㐴㤹㔸〰㥦㕥㉣㡣㈹挵挲慥慡愰㘸㡤愹ㄹ㥥〶攱㙤㍥㠰收挴㉥㈵㔹㜸㠸扤㜹㤸攲ㄱ〸㡤㠵挷愰ㅡ㡦㐳㙣戲㈷㙥㝡㔳捤愹㠱㔹㙢㘰摢挲㠳㕡摡ㅡ㌲つて摣搸散ㄳ愲〵晥㈵㐱㑦戰晥㤳㄰㠲㡢㔱㤲愰愷愰㌹㉦ㄱ搲〹㝡〶㈵昲㔲ㄲ㉢㘶攱㔹㤴昹㑣㈲㑡㤴㠹㔶㌸昵㘲㘸晢㔲っつ㔳〵㐵㙢㘲ぢ攱㘹㄰摥收慢㘸㑥っ㉤挹搰敢散捤ㅢㄴ㙦㐲㘸っ扤㘵慢㘲ㄱ㥣㐸ㅡ摥㈶攸ㅤ〸挱㘵㌱㐹挳扢搰㥣㤷ㄸ愰搳昰㍥㑡㜰㥣㘰つ慤攸㙣㔹㠷㈲㥦㐹㐰㠹㌲戱ㄴ㍥扤㔸攸㔳㡡㠵摥慡愰㘸㜱㡥敢㙣㠳昰㌶扦㐴㜳愲㔷㐹ㄶ扥㘶㙦扥愱昸ㄶ㐲㘳攱㝢㕢ㄵ㠷挲㠹㘴攱〷㠲㝥㠴㄰换㘰㤲㉣晣〴捤㜹〹㐳㘷攱㘷㤴昰㙣昱ㄸ㌳㝥㐵㤱捦㈴愰㤸〵㔹㈶づ㠳㑦㉦ㄶ㝥昹戵挴㕤昷捦慡愰㘸搵㜰㌹㍣つ挲摢㌴捡搱敦㥦〰昳扥敢慥㐲戱挹散㌲搳〷愱戱搰摤㔶挵ち㌸ㄹ㑣㐷㍤〸敡〹㈱戸㙥㈸㔹攸〵捤㜹㠹㉦搱㠶晢〴搶ㅢ㈵㘴㈱㔲扣愷㝤㔱攴㌳〹㈸㔱㈶㡥㠶㑦㉦ㄶ㍥㈸挵挲晢慡愰㘸昵㤲敢㡥㤲㠵〱㘸㑥扣㕢㤲㠵慤搹㥢㙤㈸〶㐲㘸㉣っ戶㔵㜱㉣ㅣつ挶摢摣㤶愰㈱㄰㠲敢㤷㤲㠵愱搰㥣㤷㜸㔵㘷㘱ㄸ㑡挰㐲挲攳㡣ㄸ㡥㈲㥦㐹㐰㌱ぢ戲㑣ㅣて㥦㕥㉣晣慢ㄴぢ捦愸㠲愲㔵㔴慥㠵㑡ㄶ㐲㘸㑥㍣㔵㤲㠵〸㝢ㄳ愵㠸㐱㘸㉣㈴㙣㔵㥣っ㐷㠳昱㌶㤳〴敤〴㈱㑥㠵㉡㔹搸ㄹ㥡昳ㄲて敡㉣㡣㐶〹㔸挰〲㙣搱戸㌰〶㐵㍥㤳㠰ㄲ㘵㘲ㄵ㝣㝡戱戰戶ㄴぢ户慢㠲愲㤵摤搳攱愹㤳㤵㠵扣挵搴㝥挰收慤㉣㜴捦㑤㘸㘸㙣户㕡攵攴㜱慦ㅣ晥戳昳昳愴摥㠳ㄳ收慤愹㡣㥤昹搶㉦㔷㡢㌹㜳㈴〴戶㉦㤵ㄳ挳ㄲ㔲㌴㘷㙦摦㤹晣扦㤵㠹㍦摤捡㠴㕣㤷挸㕢㥤攸㘴收ㅦ〷㑤挱摡㐴攷㘰敤㈰摡ち㠷㤸攷ㄴ愲㍣㕥慡攱㌹晦㈰㈳扥㜰搲㔳㘶㍤扡㜸晤㈰㈴㍡㔰㝡挵㠲〷㝢昱㐱捡㑡㈵㔷〷㥥㐶攱晦㕢㕢㈹㑣摢戶搷㔶㈶㜱〰㥢㑣㌱㠵㘲㉡挵㌴〸㜱愳ㅡ㙢㙢㐰摥㕥㜸㍦〸攳㝢戸晥㤷㤹扢ㄱ㌳㠳㘲㜷〸㙤慣㥤〵搵㤸つ搱㤵〷㑢㙢慡ㄵ户愵捣㥡ㄸ捣㕡㜳㘰㌷昷㠰攸扥㈷挴㙥㤳慣㐶慣捦晤慦㔲愴㉢捦㐲ㄳ㥤慦㈸攰戸改〳搰㈶㑤戳㤷㌶㘷收户戶㌴㈳㔱㥤ぢㅤ㘳㌳挸㌱㙥ㄳ㈹愳㘹㕡㑢敤挲㜶愳㘹㔲〳晥敢摥㌴换㍡挸㑡戵搷㘲晤ㄵ慢㈸搳㤰㉤㈳搷㐸㈶㘷㤷晣晦戹㠶㔲㔶㠱㕤㈸ㄳ〸㠳戳㡣㈲ち捦㕡㝢㌵㐳搱㕢㕤搷㠲㝣㜵㑢愶敡㤳㜶挳挰㝡搸㥦㜰㤱〴搳㐳攸摤昹㕦㕤戵昳搰㜳慦晤㕤晤扦っ戳捥昲㘵㥥㠹㥤㉥扥捡敥㡢㉡扥捥捡〴㌳㜳摣㉢戰㔱て㝣ㄷㅣ〶昶㥣昸昹愵慥挲攷愹㠲攵㠵㠹㍣攷挱㥢扣ㄷ挹挰㤱㌸㐷㥤ㅦ㌰收扦㑣ぢ挵㘶㡥㘲ㅥ㠴㜶㝥㌴搸慡㌸ㅦㄵ〶攳㙤ㅥ㐸搰〲〸㜱㈱㔴㜹㉦搲〸捤㜹㠹㔳搰㠶㝢㕦摡㡣ㄲ摥㤱㜹摣㡢ㅣ㠴㈲㥦㐹㐰㌱㑢戲㑣㕣〴㥦㉥ㄳ摡捡挰捡㔲㉣ㅣ愳ち㡡㜲㠶㉥㠵㈷挹挲㔲㌴㈷㡥㉡挹挲摦搸㥢㐳㈸づ㠵搰㔸㔸㘶慢㠲ㄹ㐴㠳昱㌶て㈳攸㜰〸㜱〵㔴挹挲ㄱ搰㥣㤷㌸㔴㘷㘱〵㑡攴〳慢挷㑣捦㔱㈸昳㤹㐴ㄴ搳㈰换〴㌳㤴扣㘸㘸㉢㐵㐳慢㉡㈸㑡㘶扡〶㥥㈴つ㈷愰㌹㜱㔰㐹ㅡ㑥㘲㙦㑥愶㌸〵㐲愳㘱㤵慤ち㘶㉥つ挶摢㍣㡤愰搳㈱挴戵㔰㈵つ㘷㐰㜳㕥㘲㥥㑥挳㔹㈸挱挱㠰㔴愷愲ㅢ搳㜳㔰攴㌳〹㈸㔱㈶慥㠳㑦㉦ㄶ昶㉦挵挲㝥慡愰㈸㠷㡡戹㑦㤲㠵㑢搱㥣搸户㈴ぢ㤷戳㌷㔷㔰㕣〹愱戱㜰戵慤㡡㥢攰㘸㌰摥收㌵〴慤㠶㄰户㐰㤵㉣慣㠱收扣挴㑣㥤㠵敢㔰㈲て㠶㘸昱慥摥㠰㌲㥦㐹㐴㠹㌲㜱㉢㥣㝡搱㌰戱ㄴつㄳ㔴㐱㔱㉡搷㕡㜸㤲㌴摣㠱收㐴㕤㐹ㅡ敥㘲㙦敥愶戸〷㐲愳攱㍥㕢ㄵ㑣搵ㅡ㡣户㜹㍦㐱て㐰㠸扢愰㑡ㅡ㜸〱㜶㕥㘲㘷㥤㠶㠷㔱挲㠳挱㠳㠵㐷㔱攴㌳〹㈸㘶㐱㤶㠹扢攱搳㡢㠵㘰㈹ㄶ〲慡愰㈸㘹散㍥㜸㤲㉣㍣㡢收㐴㜵㐹ㄶ㥥㤳扤愱㜸〱㐲㘳攱㈵㕢ㄵ昷挳搱㘰扣捤㤷㘱㌰㕦㠱㄰て㐲㤵㉣扣ち捤㜹㠹愱㍡ぢ慦愳〴㉣㈰摦慣攸㤴㜸ㄳ㐵㍥㤳㠰ㄲ㘵攲㈱昸昴㘲㘱换㔲㉣㙣愱ち㡡ㄲ搹ㅥ㠵㈷挹挲㍡㌴㈷㌶㉢挹挲㐷散捤挷ㄴ㥦㐰㘸㉣㝣㘶慢㠲㠹㙤㠳昱㌶㍦㈷攸ぢ〸昱〴㔴挹挲㤷搰㥣㤷攸愵戳昰㌵㑡挰〲㌲攱㡡㔸昸ㄶ㐵㍥㤳㠰ㄲ㘵攲㐹昸昴㘲愱戲ㄴぢㄵ慡愰㌰挵慥昲ㄹ㜸摡㠰搴愸㙥㠰㥢戹㍤ㅢ慣挵捣攵攸㤹挳㠷戸㙡ㄷ戶戵户挸挴㤳ㅥ戹扡㤶摤㕡摡敢ㅡ摡づ㙡㑣㉤敤㥢㔳ㅢ㝢捤户㥡㤱ㄶ搶㡡散戰〲㕢换㐱〷㔹㔹㌳㌷扢㘵㘱㙢挶㥡㕣昷㘷㐸ㅢ㤳挱㐲ㄶ㠴㄰㘵攵〲慦㡤换㠴挲㈱㈰㜰愸攰㔵㔶挹晣愵挲㠴ㄶ敤愱慡攳昹摤て㘰慦づ㐶攷㌴戴㌷㕡摤㜲戲㕣㙥㔷攵挰㈲㜲敤戲㕤㜳㜳收㈳挷愳慥㐷㙥㘲㙢㐳戶戱愱搹㘲㌰㌰㈷挰㑦挶㑤戳收㈱慦㙥㜷㑣㌸昳㔳㝢㍤㜲㜳㕡㔳捤㙤〷㌱㐵㈸戳戴㑦㥥㈶敦㤳㉢㜳攳ㅡ㥡摢搰㡣㡣㈲户㝢攵㘶捦㙦㔹㡣て㤰㉥㙣㙡㥥㤸㍡愸敤㑦ㄱㄵ㈱攳㐲㈱㐳㈳捡㐵㜹戹愸㉡慦摡搸昸ㄸ扦攲散摡っ〷㘸㝢㙢㐳㝡愱㥣㥡ㅦ搸㤱换㉡ㅢぢ㐱㔶㔰挸㐰㤶㔵晥ㅢ㕢㥤㍣ㅣ昳ㄱ㔹愵㍣㌲㥤㡦ㅤ捥换搵昷捣㉣㜳㍦㥡换挷㘲昳㌷昴愹晢敦㄰㔳㈶敥㌱戹㈳搱昵晦攸㜳慥㤵㑣㥡㉢㝣昴㈸㍣晣摣扣挲晥〰昷戴㡦㈳摡㜸㔸攱昴挴攱㐰慤昰搸昴攵㈴㠶㠷㘹捦㡥捤〹㐸㑤敢㥥㥢㤶㑡㕢㡤挸愸㙢㑡戵昷戴ㄵ㑥ㄴ㌴愵ㅡ摢㔴㔹㙤㑢㔳㔳㡡挷ㅤ㡦搹搹㤹㔴愳㔵㤵ㅢ扢戰扤〵ㅦ㤱㌴㜳㄰昲攰㔴愶搴ㄲ㤸㔲㑢愴愹㝢㙥ㄶ㌳㙤攵㌶㝤戵捣㑢戵㌶戴捦㙦㙡挸㔴㔱㘱㌶散㥦攲㠰挵〸㔰〱㌲㥤㤷㌳愰ㄴ㍥晡摡て㠱〸㜷㌵收㜸㐸ㅤ挳㡦挳扡㕣ㄸ昸㈷㌶㌲ㄱㄳ愳㡦扣㜲㤸〲㤹摡㤵昰〸㠳㍡㠳扥晣摤搹㔸㠶つ㌹㐲㠹ㄷ〸挰摢㉣〷㥣ㅢ㝣㔷扣〸搱㘹㤶㕥㔷〰㝣搳㕡㔲搹〹㤸㤶㙣㘹敤慡㍥㤷㕤㠵搰㜲扣㘹昵㌳㙦戲ㄶ愹戸挸晣㕡搴㤰戵㕡慢㘸㤸㡤挷昹ち㘶㕣ㅡ㜶っ㜹㐶㤷㔵㔶㜶慢昲㙡㙢戲攳㙢㠸㑡㐴搳㍦搷㍥戹挸晦愷㌳ㄳ㘳挸扡捦挷扥㤹㜰㡣㑦慥㜳㥦㕥㠲捡晤㈹〰昰㜳搰愶〱㔱挹摣扦挲搸攴愷㌰㈲搱搱〴愸㐲㝥愲㤹挹㤵㔵㐸㐴㤴㔹㤹㤵㜲㐷扡㘹搹㤴㠶㥤㐸㔹攵㝣㑣摡㤸㡤愳摣捡晡散㐱㤶㤳ㄹっ㐷㜹㜹〵㐲㙤ㄴ捥ㄷㄷ㌵ぢ㘷㑤戳㉤㤹㘶㈹戶㐶ㄷ㡣慥攸㜱㜷㥥㉣昰㕦㉦㍦ㄸ㕣㜸ぢ攱昳㤹昲㜳晢㍥挱㍣㐳㘷捦㌹慤愲愸昱㜱捦扢㐱㠸昷㘱攴㑤〰㌶㥤㑢㤶㔸〷㡤㤷慤㌲愳㍢㈰ㅢ㌴㑣㡡て㔱㡤㐳愵搹㠳摥㍦挲ㄶ㐷㈰昷㠸散〵敢晡㡦挸㑦㔸〳㙦搳㑦㈷㑡ㄱ㥦㘲挳搹ㄷ㉤捣扤㠱㌱晢㄰挸摣㍤て㐰㕦〲晡ㄱ昰㌹〰っ戵搱ㅦ㥡㐶愱㐷ㄶㅦ㈸摣ㄴ愰㌲㥦昸㕡昳摡㡢ㄶ晢攸摡㡣㕥㌷愷㔷愶摥ㄵ㔲昸㉢㙣㌶㠵㕢〰戲㘱ㄴ晥㠶扡㤲挲㉤改㥤昹㝡㜹ㄴ㙥〵敢晡㈹攴ㄱ㈶㈹摣㥡㑥攰㐳扥换㈱㍤ㄸ摡〶ㄸ㜳㈰㠱㕤扣〱㠳〸ㄸ㑣㐰〵〰㤲挲㙤愱㘹ㄴ攲挳搷ㅥ㐷攱㔰㠰㐰㈱㜳〱㥤㘶戵愳㜰㍢㝡ㅤ㐶慦捣摢㉢愴㤰挹㝡㌶㠵摢〳戲㘱ㄴ昶㐳㕤㐹攱㜰㝡㘷戲㕦ㅥ㠵㈳㘰㕤㍦㠵㑣ち挴ㅦ㍥扥㑥㈷づ㠵㥢㘱换搹ㄷ敤㈸ㅣ〵㡣㔹㑤㈰戳〶㍤〰㍢ㄲ㄰㈰㘰ぢ〰㈴㠵㐱㘸ㅡ㠵ㅥ昹㠳㌸ち挳〰㠱㐲㈶ㄲ㍡㕥㌵ち㈳昴ㅡ愵搷㘱〰ㄴ㔲㌸ㅣ㌶㥢挲ㄸ㈰ㅢ㐶㈱ㄳ〴㈵㠵㜱㝡ㅦ〱㉤㡦挲㈴慣敢愷㜰ㄴ慡攱てぢ㜹㜴攲㔰挸戴㐲㘷㕦㌴ち㜷〶挶摣㠵㐰愶ㅣ㝡〰㐶ㄳ戰㉢〱捣㐲㤴ㄴ㡥㠱愶㔱㠸捦挸㝢ㅣ㠵㘳〱〲㠵ㄱ捤慢㐶攱㌸㝡慤愵搷搱〰ㄴ㔲㌸〶㌶㥢挲㍡㐰㌶㡣挲ㅡ搴㤵ㄴ㡥愷昷戱搰昲㈸㥣〸敢晡㈹慣㐵㌵晣攱㘳昷㜴攲㔰挸㍣㐴て㠶㈶〳㘳㑥㈱㤰㌹㡡ㅥ㠰愹〴㑣㈳㘰㈲〰㤲挲改搰㌴ち㍤搶搳㜱ㄴ捥〰〸ㄴ㑥搵扣㙡ㄴ敥㑥慦㌳改㜵づ〰㠵ㄴ㌲慤搰愶㜰ㄶ㈰ㅢ㐶㈱戳ㄱ㈵㠵戳改㝤㙦㘸㜹ㄴ敥〱敢晡㈹摣ㄷ搵昰㠷㑦敥搳㠹㐳㈱㜳ㄸ㍤ㄸ摡ぢㄸ㜳㙦〲㤹摦攸〱搸㠷㠰㝤〹搸ㅦ〰㐹攱㕣㘸ㅡ㠵昸㤲〲㡦愳㜰㝦㠰㐰㘱㑡昳慡㔱昸ㄷ㝡慤愷㔷愶㈷ㄶ㔲挸㥣㐴㥢挲〳〰搹㌰ち㥢㔰㔷㔲㤸愲㜷收㌴收㔱㤸㠱㜵晤ㄴ㌲昷ㄱ㝦昸㤶〰㍡㜱㈸㘴〲愴〷㐳ㄶ㌰㘶㡥㐰㈶㐷㝡〰收ㄱ㌰㥦〰收㑢㑡ちㅢ愰㘹ㄴ㝡愴㐹攲㈸㕣〰㄰㈸㘴扥愴攳㔵愳戰㤱㕥㥢攸昵㌰〰ち㈹㍣〲㌶㥢挲㘶㐰㌶㡣挲攵愸㉢㈹㙣愱昷ㄵ搰昲㈸㍣ㄸ搶昵㔳挸挴㐹晣㈱㘳㤴㑥ㅣち㡦挶㤶戳㉦摡㔸搸〶㡣挹㙦㙣ㄲ捣慣昴〰㉣㈴㘰ㄱ〱㑣戶㤴ㄴ㉥㠶愶㔱㠸㉦㤰昰㌸ち㤷〲〴ち㡦搳扣㙡ㄴ晥㤵㕥晦㐶慦㑣㡣㉣愴昰っ搸㙣ちて〱㘴挳㈸㘴ㄲ愵愴昰㔰㝡㍦ぢ㕡ㅥ㠵换㘰㕤㍦㠵捣扡挴ㅦ㤶㈲攸挴愱㤰昹㤶ㅥっㅤづ㡣㜹〴㠱捣挵昴〰㉣㈷㘰〵〱ㄷ〰㈰㈹㍣ㄲ㥡㐶愱㐷㔶㈶㡥挲愳〱〲㠵㤷㘸㕥㌵ち㡦愱搷㤵昴扡ㅡ㠰㐲ち㤹㍦㘹㔳昸て㐰㌶㡣㐲愶㕤㑡ち㡦愵㜷收㕦收㔱㜸ㅣ慣敢愷㤰㜹㥡昸挳搷㈲搰㠹㐳攱㑤搸昲㘰攸〴㘰捣ㄳ〹㘴㈲愷〷攰㈴〲㑥㈶㠰戹㥤㤲挲㔳愰㘹ㄴ㐶㡡㈷㌸㐱攱㉡㠰㐰攱㕡捤慢㐶攱㘹昴㝡㍡扤㍥〰㐰㈱㠵㑣扥戴㈹㍣〳㤰つ愳㤰㌹㥢㤲挲㌳改晤ㄱ㘸㜹ㄴ㥥つ敢晡㈹㘴㤲㈷晥捡捣㜳攸挴愱㤰改㥣ㅥっ㥤ぢ㡣㜹ㅥ㠱㑣昵昴〰㥣㑦挰〵〴㍣〵㠰愴昰㐲㘸ㅡ㠵昸扡ㄲ㡦ㄳ昹㘲㠰㐰㈱㤳㍦ㅤ慦ㅡ㠵㤷搰敢愵昴晡㉡〰㠵ㄴ㌲㍢搳愶昰㌲㐰㌶㡣挲㌷㔰㔷㔲㜸㌹扤㌳扢㌳㡦挲㉢㘱㕤㍦㠵㙦愱ㅡ晥捡捣慢攸挴愱昰㙤㙣㌹晢愲㡤㠵㔷〳㘳㕥㐳㈰搳㐴㍤〰慢〹㔸㐳挰扢〰㐸ち慦㠵愶㔱攸㤱㌰㡡愳昰㝡㠰㐰攱㍡捤慢㐶攱つ昴㝡㈳扤㌲换戳㤰㐲愶㜶摡ㄴ摥〴挸㠶㔱挸㡣㔰㐹攱捤昴晥㉤戴㍣ち㙦㠵㜵晤ㄴ㌲㠵ㄴ㝦㘵收㙤㜴攲㔰挸㍣㔲て㠶㙥〷挶㕣㑢㈰㜳㑣㍤〰㜷㄰㜰㈷〱㑣㍢㤵ㄴ摥〵㑤愳㄰㕦㈵攳㜱ㄴ摥〳㄰㈸㘴㙡愹攳㔵愳昰㕥㝡扤㡦㕥つ捣㐲ㄵ㔲㔸〵㥢㑤攱晤㠰㙣ㄸ㠵㈶敡㑡ちㅦ愰㜷收㤵收㔱昸㄰慣敢愷㤰昹愷攸㌸㔲戹改挴愱㤰㐹愸捥扥㘸㐷攱㈳挰㤸㡦ㄲ搸搳ㅢ昰ㄸ〱㡦ㄳ挰㥣㔵㐹攱ㄳ搰㌴ち昱㝤㌸ㅥㄴ㍥〵㄰㈸㘴捥慡搳慣㐶攱搳昴晡っ扤づ〰愰㤰㐲㈶㤵摡ㄴ晥ぢ㤰つ愳㜰ㅢ搴㤵ㄴ㍥㑢敦㑣㑡捤愳昰㌹㔸搷㑦㈱㤳㔷㈵㠵捦搳㠹㐳㈱㌳㔸㥤㝤搱㈸㝣〱ㄸ昳㐵〲㠷㜸〳㕥㈲攰㘵〲㠶〲㈰㈹㝣〵㥡㐶㘱搴昳㜲昲ㅡ㐰愰㜰戸收㔵愳昰㜵㝡㝤㠳㕥㐳〰ㄴ㔲挸㡣㔴㥢挲㌷〱搹㌰ち㤹挸㉡㈹晣て扤㌳愳㌵㡦挲户㘱㕤㍦㠵捣㝣㤵ㄴ扥㐳㈷づ㠵㑣㝦昵愰昰㕤㘰捣昷〸摣挹ㅢ昰㍥〱ㅦ㄰挰㙣㔹㐹攱㍡㘸ㅡ㠵ㅥ㐹戲ㄸぢ㍦〲〸ㄴ㡥搱扣昶愲挵㥥散晡㤸㕥㍦㠱愸㥣〴㐰㈷敢〹㐸摢搱戲ㄵ㝢挲㠳㤱摢愳戹愱ㅤ㔳晤㥣戱㥣搰搰㡥㐹换敥㌹〸㙣捡戴挲㉤攴ㄲ㠰㔶㘹㠴扢扥戸㑤㜱㔱摥㠲攳搶挵攵晡ち攴㄰㡦㘲㝢㙤㔲㕢㤲㕣ㅦ㐸慥㔱㝡昴昱捦戴㘸㈹散㜴㌳捣摥㜱摤㔲っ㉤㥤㤴愹昱捥㈵愷晦㠳㈵㑥攳㔳ㅣつ昸搴戰昹ㄹてㅣ戴㡡㐳挵晣ㅣ摢㕣昳㥣扣摥㠳㐴换㔲攵㥡戲㡦敢㥥戶慤㠷㑡㠳㥥摣摣㠶㐵〳㥦搲戰㈴搴㔳㙤捥㔸搸㥥㔷㤲㕡搲㔷㤵㡣㙤㙣㥣搱㡣㐵扤㑣慡㌵晢㈷㔹〵挲扥搹㐱㤱ぢ㍡ㅢ户㥡㡣㤸捡搷㤷㥣ち㔶㉦㥦昹㠵攲㥡改愰ㅢ㤲攴换戳扡〷改㜶㜳㝦慢愸㑤户㔲捤㌲ち戳摢戳㜵搶㈲戹戴扦扢㠵㜵㜹㝣㕤㙢愳搵㔷㔶㜰㔵戹攲㘱收挶愶摢戰㑣摣捥攵㍦戵㈵㑦㜵㌳㌷换㙡㑣昱慢㘴戰㕡愷戶㜶捦戴㈳愵摤㜵挰慦㠹昹昳㐴〸㡣㔴愸㈸〹ㄹ㈷愳㤳ㄱ㉥㝦㈷㜸ㄶ㙤㕣㔴㌹搴攷攴敢昳㌱攲慣㌳昹扡㜲㑣㤹戳愱㤲〷㤸收摢挹愲㌳㐶㕢㍤㈳㥢㘷㔲㕦攷㠳〲昶ㄸ㈷㠷慦敥㡥㡤㉢搳㍤㤸㐶搰摡㡥敦㔲攲搷捡昵攲愹搳㠸愵扢昶〶㉣挲㌶㉥敤㤹㥢摣㥣㘹㕣㤸戵攴ち慥㌳㙡换㠵摣㍦㐵扣戸晣愰捥愸㑥㜸㔱愴㑣挶㔷㕤㍢摦慤戳昱戹ㅣ收㤷㌸搳攴㡤ㅢ㝣㈰㉦㐷㥤㜷㑣扥摥攰昴㜷ㅦ㝡摦愷攳挳ㅢ昲ぢ㤰㌱戴ㄵ㤹㌸愶㌱㤷戹搶挹愰㤷㘷㥣〶㥢搶㌲慤㠵戹㈰㥡㘹㔲㠳㙤晡㔳挴〹晢㘹㠷挹㌰戰㡥扤㤱㘷〸㥤ㅣ戶愰㠶晦㤵㕤搰㙣晦㡦㑤㐴㠱㤹㌵㘲㌷㐴㐰摥戹挹摣㘲㕥㠴捡㐲㈸㉥愷挰㘵㠸㄰㘶扦换ㅢ戴㙦ㄱ㌵戱㍢㌴晢〶つ㕦昶挱愰㝥て戱晥ㅢ戴㔹愸挶挳捥晣㠱㑥戰㈱摦捣㤳㜷㙥搰㘸昰昹㔰㡡捦昰搱敦㑦〴㌲㠷摥〳昰㕦〲㝥㠶愸㘴㉡㜵攱㐰㔳㌲㉢ㅣㄵ捡㉡㥢戸㜶㕣搵挴㌵㜴㥣愶〶扥〷〸㔹敦㔸敢㌶扡㔵㌱㙢摣晣〵愸愷㥥㝣㜲㌴戰挸昲搴摡敦〱㠳扡㤵晢㤵敤晦〶㈱㤸ㅥ㕤㜸㌷㙣挱㘶摦つ晦づ挸㠶摤つ攷㔰㔷㤲捤摢ㄱ挱㥣敡扣扢㘱㉣㜷晦〱戲ㅢ㔰㑤㤲摤㠵㑥戸ㅦ㝣㌳〱摢攱㔲㝢愰挰搷㝢攱㙢改〹㘴㜲戶〷挰㈰愰㉢〱捣搷㤶㜷挳㔵搰戴扢攱愸攷㌳㤹て㈰摣つㅦ愴㜹敤搳㐱㘱㌷㝡敤㑥慦捣慤㉥愴㤰〹搵㌶㠵㍤〰搹㌰ちて㐱㕤㐹㘱㑦㝡㘷㐲㜶ㅥ㠵㝥㔸搷㝦扣㉥㐳㌵㐹㘱㙦㍡㜱㈸㘴昶戶〷㐳㝤㠰㌱晢ㄲ㜸戸㌷愰ㅦ〱晤〹㘰戲户愴㜰ㄳ㘸ㅡ㠵昸㕡㐹㡦挷摡捤〰〲㠵㐷㘹㕥㌵ち㌷愷搷㉤攸㤵㜹搹㠵ㄴ㌲ㄹ摢愶㜰㑢㐰㌶㡣挲㤳㔱㔷㔲㌸㠰摥㤹捣㥤㐷攱搶戰慥㥦㐲㈶㝤㑢ち户愱ㄳ㠷㐲㘶㝥㝢㔰㌸㄰ㄸ㜳㄰㠱捣ち昷〰っ㈶㘰㕢〲㤸㈸㉥㈹ㅣ〲㑤愳搰㈳㍦ㅣ户搳摢〱〴ち捦搱扣㙡ㄴづ愳搷敤改昵㔲〰ち㈹㘴㈶户㑤攱㜰㐰㌶㡣挲㉢㔰㔷㔲戸〳扤㕦〹㉤㡦挲㤱戰慥㥦㐲㘶㡣㑢ち㐷搱㠹㐳㈱搳挶㍤ㄸ慡〶挶摣㤱㐰愶㤴㝢〰〲〴〴〹㘰㤶戹愴㌰〴㑤愳搰攳敢㐵㐰㘱〴㈰㔰㜸㠳收㔵愳㌰㑡慦㌱㝡㘵㐲㜸㈱㠵捣〲户㈹㡣〳戲㘱ㄴ㌲㜹㕣㔲㤸愰昷㝢愰攵㔱戸ㄳ慣敢愷昰㍥㔴㤳ㄴ敥㑣㈷づ㠵㑣㌹昷㘰㘸ㄷ㘰捣搱〴㌲ㅤ摤〳戰㉢〱捣㡦ㄲ捣㔰㤷ㄴ搶㐰搳㈸昴㐸㑣〷㠵攳〰〲㠵捣㐲㜷扣㙡ㄴ搶搲㙢ㅤ扤㌲㥢扣㤰㐲愶㤰摢ㄴ㡥〷㘴挳㈸㝣ㅥ㜵㈵㠵ㄳ攸㥤㈹攸㜹ㄴ㑥㠲㜵晤ㄴ㌲㔵㕤㔲㌸㤹㑥ㅣち㤹慦敥散ぢ散捥愵㜱ち戶捤愹〴㌲㤷摤〳㌰㡤㠰改〴㌰扤㕤㔲戸ㅢ㌴㡤㐲㡦慣㜶㔰戸㍢㐰愰㤰改敤㡥㔷㡤挲㤹昴㍡㡢㕥㤹㡡㕥㐸攱㐷戰搹ㄴ捥〶㘴挳㈸㘴摡扡愴㜰づ扤㌳㝦㍤㡦挲㍤㘱㕤㍦㠵捣㜳㤷ㄴ敥㐵㈷づ㠵㑣㜶㜷昶〵㜶㠷挲扤戱㙤敥㐳㈰ㄳ攱㍤〰晢ㄲ㌰㤷〰收挶㑢ち昷㠳愶㔱攸㤱ㄲてち晦〲㄰㈸㘴㙥扣攳㔵愳戰㥥㕥て愰㔷㈶搱捡摥愶愸愱づ㙥㘳捡㉡〵㘴㘱㝥㕦㔱敥愵㙣㈱挷㉣捣搹敤㑢ㅢ㤱昹捡㑤收晢搹㕢扣敢挲㜴〴㙣挸㐲㙣㘹挵㤳㐸㐵攱㈷㔹摤扡晣㈴㙢户㝥〵摦㈱㉡慢戱攴㜷昴戱昲扣㥦㡢扦㈷搳慤捦㡥㜷㝣愱㈰敢昰㘵㘴搰挵㝥搳ㅢ㌲昸搲扤㤶㕣晢挰搹㐸敤ㅥ挸敦㘴捤攱㔱㘴㙣攵㌹昰攸搹㈶㜷慣愲㤹扦戳戲㠸摦㔱攸㕢搰摣戲戸㔹昶愶戲㡤㕦㑤㉢昹敡摡㤵捤昰〱㐵扥戶〵㜹晥㜲搰挶捡愶〵搹愳㡢扦ぢ㜴昲㘹攴愰て慤ㅤ㔷㍢慢㍥ㅥぢ㈷挳戹㜴㌰㥡㐸㔹㤱㐴㈴㥣㠸㔸戹㙣㉡ㅥつ㘵㐳搱㜰㈰ㄲ㌱收戹搰㐴捣㑡㘴ㄳ戹㕣㈸ㄱ捣㐵攲㔹㉢㤵㡡㐵㜲㤹㐴㌰㥤捤㈶㘲㤹㜰挰㤸敦㐲㘳挹㔰㌸㤲㠸愶〲㘱昸〸㘴㘳改㘸㈸ㄴて〵搳㜰ㅤ㑤㘶〳㐱㝦㠵敡㠹搹㠰㍡收㠱ㄴぢ㈰晣㤵㡥扤㤱愶㈶㡡㘶摡つ挷㑥㤴㡤㘷捤㑡ㄳ昶㍦㥡㠱〹㝣㤹㐸㡢㡣挸ち慢愲㙢搷愲㜹戶愲捣㑤昷晢㉥つ㠳㠹㥢㤵挷㈳㐰㠵㤳㜳摥㤵昲攳捦捡㌸㘴捡捣㌶㜶扥ㅤ挲攷攷搳〶㍢㘴㉣㠴散㔳㍢慥ㅥ摦扦愸㝦捤愳戱〸昶敥戰换㈷挷㔹昸㥥㕢㘳㌱㉣扤㘱挹晦㈵ㅥ㘳〹捣㍤㘱搶㌲搸晤摤㤴㜷昳ㅤ㌶㍢㤸攲㙦㠰㤹㠳戰㈵㝡愰㔰ㅥ㌲㠷挲挴つ攸㔸昴愰㤵敦㈳戰㤷㍣戸㘱㉣㌳㤶〱㔲昲㠸ㄵ㠷〱挶愳㌶晦愸昳挳ぢ慡攱戳㠶㤰㌸敡㝡㐳挷㕦㤹㜱〴㜴晢愸㑢㐶〳搱㑣捥㡡愴攲㜱ㅣ㐳搱㔸㍡ㄵち愵攳戱㤴㤵捡㠶㠲戹㔴搲㔸摥〱㑤㘷挳㔹㉢ㄳづ㐷㌲改㐸㈰㤴㑤㈶搳愹ㄸ戴㐸㍡㤶㐸㠷挲㘹㘳㠵ぢ戵挲㠹㕣㌴㤴挹㈶ㄳ愹㉣㡥攵㜸㉡ㅤぢ㐴攲㔶捣ち收㌲挱㔸㌸攳敦愳㝡㘲ㅥ㠹㍡收㔱ㄴ㐷㐳昸晢㍡昶㘳㘸㕡㐹昱て摡晢㌹㜶〹㤵㤵㠸ㄷ㥢挲捥㈳㑦戴㘲攷㜹㔴挸攸㥥挰㝡㈷㐲昸晣㥢愱㄰ㅢ㘵挶㐹㤰㕥搱㍤ㄹ昶晣攸㥥〲㑢㐱ㄸ㡤㔳㘱㉢㡥戸㝦㜳攵摤㡥敥㜰㔲扤㍤挵ㄹ㠰㡢㉤搹㉦㙡㘷㔲挳〶昴㌲戱ㄵ慤㝣攷搰㕢㌷扡㘷〳㔲㍡扡㔹㐰㡢愳扢㌵扣愰㕡㤹㜹㉥㈴愲扢つ㜴晣㤵ㄹ攷㐱户愳㥢㑤愴攲㠹㐰㉥㄰㑣愶搲ㄱ㡣㉤改㜴㈰ㅥ㑤㕡戹㜴㍣ㅥ㑥㐷㘳㘱攳㝣ㄷㅡ㠹㐴㌳㠹㈸㈲㤹㑤攵㈲改㜴㈲㤵㑣㐶㠳㔹㠴㉢㥤㑣㘵搳㤱㠴㜱㠱ぢつ㐵㤲戹㕣〴〷㐳〴㍦〴ㄶ攵㜷搸攷㜲挱㜸㍣㤴㡡愴㈱㠲㈹晦㐰搵ㄳ昳㐲搴㌱㉦愲戸ㄸ挲㍦挸戱㕦㐲搳愵ㄴ㤷搱㍥搸戱㑢愸慣㐴扣ㄸち扢㡣敥㥥㝡㜴慦㘶扤㙢㈰㝣晥敤〰挰㐶㤹戱ㅡ搲㉢扡㙢㘰捦㡦敥戵戰ㄴ㐷搲戸づ收㠲愰晢㠷㈹敦㜶㜴昹扤㥥收㡤㠰挹摦㑢ㄲ挳㔱㈸愳㝢㌳㑣㙥㜴㐷搰捡昷ㄴ㉤扡㈶慦㌶扣戰㠸㐹㥥㠱ㅣ改戴㜳㍢㜰〸攴㈸攸昸㉢㌳搶㐲户〳ㄹ㑤攲㥣ぢ㈷㌲挱㑣㈴ㄹ㐹㐷㠲挹㘰㉣ㄵ㡦㠴〲㤱㕣づㄷ㠳㘸挲戸挳㠵㈶㤳〸㕤㈴㥢㠹愷㌰攲㠷ㄱ㡥㘰㈰㠴㘸㠷㌳愹㔴㍡㥣㐸挴㡣㍢㕤㘸㌴ㄶ挸挵攳昱㘸㈰ㅢ挰搵〶搷て㥣愱愹㘰㍣㤲挳㌹㥢挹㈶搲晥㙡搵ㄳ昳㉥搴㌱敦愶戸〷挲扦愳㘳扦㤷愶晢㈸敥愷㍤攰搸㠹戲昱慣㈹挲戰换㐰敥愴〷昲ㄱ㠲ㅥ㠵昰昹㈳〰㘰愳捣攴㈰㙣㜲挴㌵㌹挸㥡ㅣ㔲晤㔱愷㔰㡥愱㜱挲㥥㘱㘱っ㕢㈲㡥㐲ㄹ㠷㘷㘱㜲攳㤰愴㤵敦㙡㍤づ㍣换㘴ㅣ㐶㝡挶㘱㈷愷㥤ㄷ㠰㐳ㅣ㜶㠶㡥扦㌲攳㐵攸㜶ㅣ慣㉣㉥㥦搱㜴㍡㤳捡攲搷㤷㌲攱㌴㘹换㈶愳攰㌷㄰〹㕡〱攳愵づ愸ㄵぢ愷㐳戱㐸㉡㘷㘵㜱攵つ愵戳㈱㥣㉡愱㔰㈴ㄷ㡦攰ぢ昴戳挶换㉥㌴ㅣて攴挲挹㙣㍣ㄳ㐳㜱㈸㤹㑡㘱昸戵〲愱㘸㈶㤳㡡愶㐲㤹愴㝦ㄷ搵ㄳ昳ㄵ搴㌱㕦愵㜸つ挲㍦摡戱扦㑥搳ㅢㄴ㙦搲扥慢㘳㤷㔰㔹㠹㜸㌱ㄶ㜶ㄹ㠷慤昵㌸扣换㝡敦㐱昸晣攳〰挰〶㍥㤰㑣ㅢ捦ㅥ㤳㈷㡣挹搳挳㕦敢ㄴ捡㌸散㑡搸㈷㉣攴㉣㤹ㄸ㡦㐲ㄹ㠷捦㘰㜲攳㌰㤱㔶扥晢㜸挶挱敦ㄹ〷收攷挲㐹㤹昹ㄵ㈴攲㌰ㄹ㍡晥捡㡣慦愱摢㜱〸愴攳攱㠴㤵っ〷㠲戱〸挸㡤愴㠲搱㘸㉣㠶〱㈹㠶扦っ挸晤愶〳ㅡづ〵㌳昱㑣㉡㥥㠹㐷〱つ㈴愳昱㔴㌰㤱㐹㔹戸㠸㐵㤲昱愰昱慤ぢ㑤攷挲戱㜸㌰ㅢ㡡㘱㠴㡢挴〳戸㙡㠵㘲愹㔸〲㈷㐶㌴㤱挱捦ㅤ晡愷愸㥥㤸摦愱㡥昹㍤挵て㄰晥愹㡥晤㐷㥡㝥愲昸㉦敤搳ㅣ㍢㔱ㅤ㤵挴っ搸㘵ㅣ捡昵㌸晣㑥㔰㔹㈵攳戰㍢〰搰扣攳㌰搳㈹㤴㜱ㄸ㑦㔸㔷搴㌲敢戰㈵㘶愳㔰挶㠱扦㌲改挶㘱て㕡昹晥晥扦ㅤ㔷㥤㡥㜱改㕢㔸㡢㉦㌰㝢㍡敤昴㠰㉢挴㘱㉦攸昸㉢㌳㝡㐲户攳㤰㡣〴愲愹㑣挲戲慣㑣〶攴收㔲㠱㘰㍣㥡挲挸㘳㐵㘳愱㘰㌰㘳昴㜲愱愹㐴㌶㤳捣㘴㜱摦㤹㠹㐴㐲挱㙣㍡ㅢ挸攲㙥㌷㠴㝢㡥㕣挴ち㐵つ扦ぢ㡤愶〳㔶㈸ㄴ挶挹ㄳ㑡攳㥡㤲㑤攰づ㌷㠹换㔶㍣㥥㑤挶㌱晣昹昷㔶㍤㌱㝢愳㡥搹㠷愲㉦㠴㝦ㅦ挷摥㡦愶晥ㄴ㥢搰扥慦㘳㜷愱戲愶搸ㅦ㜶ㄹ㠷て㐰㠰㝢晢戰㈵敢つ㠰昰昹晦〲㠰㡣㠳搷戸㔴敦ㄴ捡㌸㑣㘳ㅣ戶㘵搵愹㡣㐳ち㠵㌲づ㐳㘱㜲攳㤰愱㤵敦㔷㍤攳昰戲㘷ㅣ戲㑥㍢挳攱ち㜱戰愰攳て㍦づ〸㕤㕤ㅦ攲搱㕣㈶ㅢ㡣㘶㤲昱㑣㈴㤵㐸愶㠳㌹ㅣ挵改㌸㝥㔲㈵㘰㔹昱㠴㌱挲㠵挶慣㌸㔰㔶㉡㤰㐰ㅣ挲㠹㈴㝥㠴〶愷㑦㈰㠶㈳㍥㡤㘷㡡㥣㌱搲㠵㈶㘲㌹㕣搰〳㠹㔴㌴ㄴ㡦㔸㠱㔸㍡㥥㡡愲愶ㄵ㑢㠴ㄲ戱㙣㍡敡捦愹㥥㤸愳㔰挷慣愶搸ㄱ挲㍦捦戱〷㘸ち㔲㠴㘸㘷愶㌲㝢㉥㔱ㅤ㤵挴〲ㄸ㘵ㅣㅥ搷攳㄰㘷扤〴㠴捦摦〸㐰挹㌸㌴㌹㠵㌲づ戳改㝦っ慢捥㘲ㅣ㕡㔰㈸攳㌰ㄶ㈶㌷づ〷搳捡昷摤㝡ㅣ摣敢挳㥤㥥㜱㘸㜵摡ㄹて㔷㠸㐳ㅢ㜴晣攱㘷晤愰慢昳挱㑡攲㡡㥢挴慤㔱ㄴ昷㑣戹㙣ㄲ㘷㐴〶㑦㜴㌹㡣收搱㜸㍣㘲㑣㜴愱㠸㐰㉣ㄶづ〶㌲㌸ㄷ攴㍤㜴㌴㠹愰攱慣挸攴㘲㤹㌸挶愵㐹㉥㌴㤱㡣挵㔲㤱㔴㈶㘴㈱㘴搹㔸ㄴ㥦〹挵敦慦㐶㜰㈷ㅤ㡣㈵㠳改㡣扦㕤昵挴㥣㡣㍡收ㄴ㡡愹㄰晥㠵㡥㝤ㅡ㑤搳㈹㜶愳㝤㤱㘳㈷慡愳㤲㔸ち扢㡣挳ㅡ㍤づ戳〹㥡〳攱昳晦ㄵ㠰㤲攳搲摦㥣㐲ㄹ〷㝥慤慤㌹㤷㔵昹㑤戹攲㔰ㄴ捡㌸散てㄳ㌷攴㝢ㄹ慤㝣㕦愴挷挱扤㕦扡挰㌳づ㠷㌹敤愴攰ち㜱㌸ㅣ㍡晥捡㡣㌴㜴㍢づ改㐴㌲㤸㑡㈷㈲ㄸ㘱㐲㜸晣㠸㈴㜱つ挸〶〳㠱㑣㌰㘱攱〶搷㌲㌲㉥ㄴ户扤㠱㜸㈲ㄶ〸攳昲ㅣ㘱摣㉣㕣攰㈳㈱㡣㑦戰㠴ㄳ㈱㈳敢㐲搳㜸捣㐹挵㘲挱㜸㈸ㄷ㡣㈴㜰㈳㠶㔰攳昹㈶ㄳっ㈴挲㔶㈰㤹昳ㅦ愱㝡㘲㕡愸㘳收㈸收㐱昸㤷㍢昶昹㌴㌵㔰ㅣ㐸晢ち挷㉥昱㠴捡㑡攲㘸搸㘵ㅣ㑥搶攳搰挲昲㠳㈰㝣㝥收㐶㤷㍣ㅦ㔶㍡㠵㌲づ㈹挶㘱㌱慢ㅥ㐰搶㡦㐵愱㡣挳㔲㤸戸〱ㅤ摦㡦㐸㉢摦㐷㜹挶㘱㠵㘷ㅣ㡥㐷〵搹㠹㐳攱ち㜱㌸〱㍡晥昰㥢㜹搰敤㌸挴㔳㤸㤷㐸攳㤸つ㔹ㄱ摣慢㘶㤲㐱㌰ㄵ㡡㈴〲改㐰㉥㘱愵㘳挶㌲ㄷ㡡㄰㘵㉤㉢㤴㑤㐴〳戸㐷捡愵搲ㄸ㘹戲ㄶ㉥攷愱ㅣ㙣㤹㤸㜱㔸〷㌴㤳㑡㈰㙡〱㍣愵攰㕥㌸ㄴ㑥愴㠲㔶㌸ㄶ㠹㈶〳改㘰㈲㤱っ昸㑦㔴㍤㌱て㐷ㅤ昳〸㡡攵㄰晥㤳ㅣ晢ち㥡㡥愴㌸㡡昶㤳ㅤ㍢㔱ㅤ㤵挴㉡搸㘵ㅣㄶ改㜱㌸㤶愰㝦㐲昸晣愷〱㔰㌲づ愷㍢㠵㌲づ昳挱㡣㜹ち慢捥㈳攳㘷愲㔰挶㘱ㄵ㑣㙥ㅣ捥愶㤵敦〳昵㌸戸攳搲㝣捦㌸㥣攳戴㜳㈶㕣㈱づ攷㐲挷㕦㤹㜱ㄶ㜴㍢づ挱㘰づ㡦昶ㄸ昶㐳ㄸ昵慤㐴㍡ㄹ挸㘱搰㑦〷慤㐴㍣ㅣづ㈵㘳挶搹ㅤ搰㕣㍣㤱〸㠵㤲㌸㙦搲㝣搲㐷戵㜰づㄴ㠷㔳㈱㍣攴㈵㔲挶㌹㉥ㄴ户㐶改㐰ち慣㘷昰㜸㥦挸挴ㄲ戹㜴ㅡて㡢戹㔸づ扦㐷㘴㘵㐲晥昳㔴㑦捣㜳㔱挷㍣㡦攲㝣〸晦昹㡥晤〲㥡㉥愴戸㠸昶ぢㅣ扢挴ㄳ㉡㉢㠹㡢㘱㤷㜱搸㔷㡦挳攵㉣扦〲挲攷扦〴㠰㤲攳搲愵㑥愱㡣㐳ぢ攳㜰㉤慢㌶㌳づ㤷愳㔰挶攱㝡㤸摣㌸㕣㐹㉢摦扢㘹㜱㌰㙥〴愴昴㔳晡㌴捦攰㕣攵㌴㝥㌳㉡㈳㌸㔷㐳挷㕦㤹㜱ぢ㜴㌵㔸挵㌰〶昱㤱㉥ㄹ挶㐵ㄸ散㘷ㄲ㐹㍣扥攱攲ㅣ挲㘹㘰挵㡣㕢㕤㘸〸摣㐶戲搹㜴㈲捤㍢㕤㉢㥥捡愴㤳戸㌷挵㘸㤵换攱㥤㌲㙥㜳愱戹㐴㈶㄰挷㌹挱㕢㈶㕥㡤㜰㤷㤵挲愵〸㌷戲挹㜰㌰㥡ぢ昸慦㔱㍤㌱㙦㐷ㅤ㜳㉤挵ㅤ㄰晥搵㡥晤㑥㥡敥愲戸㥢昶㌵㡥摤㠵捡㥡攲㝡搸㘵㜰㜶搵㠳昳〰敢㍤〸攱昳摦〰〰㠳㘳㍣〴搵敢㈹晤㘱搸昳㥦搲ㅦ㠱挵攳㈹晤㔱㤸ぢ㥦搲㙦㔴摥敤愷昴㐵㡣敥ㄳ㠰㤹晣㠲㘵㜱㌳ち㘵㜴㥦㠲挹㡤敥慤戴昲ㅤ搲愲摢㜱㌷ㅣ昰っ攴㙤㑥㍢捦挲ㄵ〲㜹㍢㜴晣㤵ㄹ晦㠶㙥〷㌲㤹捣㠶㜹摤て㠵愳戸愴〷㉣㑣㥤攴㜲㔶㍡㥢〹㐶㜱ㄱ㑡㠶㡣攷㕣㈸㘶㑦㌰㈸昲扥ㄷ㑦㌰〹㉢㤴㑥㘶〲㤹㘴㉥㤴捤〵㜰㈵㠹攴㡣攷㍢愰ㄶづ〸㉢㠹攷㜱㐶ㄲ㌷㙦㠱㔴づ㡦昳戸㌳㑢㘶㐲㜸昸昷慦㔵㍤㌱㕦㐰ㅤ昳㐵㡡㤷㈰晣㜷㌸昶㤷㘹㝡㠵攲㔵摡敦㜴散㉥㔴搶ㄴ昷挰㉥〳㌹㔸て攴㝦㔸敦㉤〸㥦晦㕥〰㑡㡥㜶昷㌹㠵昲㉣㍢㤴㜱㔸挷慡晣㡡㘷昱〰ち㘵ㅣ㍥㠲挹㡤挳㐳戴昲扤㠹㘷ㅣ晡㜹挶攱㘱愷㥤捦攰ち㜱㜸〴㍡晥捡㡣捦愱摢㜱挸挵㌳改㜸㈰㤳挸㐶㠳愰ㄲ㜷㘱搱㑣㌸ㅡ㡥攱㘱㍡ㅥ㡢㐶㔳㌱攳ぢㄷ捡搹慢㐰㈸ㄷ挵愹㤲㡤挴㜱愷ㄶ㡡攳戶㉤㤱挶㤵ち㈷㔸㌶㙥㝣改㐲攳戹㘴㌰ㅥ〸㐷㌰戲愵㈳ㄱ㍣㤰〴攳戸摢挶㐴㘷㌶㠱㤱㌲ㅢ昵㌳愷㥤㍤㌱扦㐲ㅤ昳㙢㡡㙦㈰晣㡦㌹昶㙦㘹晡㡥攲㝢摡ㅦ㜷散㉥㔴搶ㄴ㑦挱㉥攳㘰攸㜱昸㤹昵㝥㠱昰昹㥦〶愰㘴ㅣ㥥㜱ち㘵ㅣ㔶戰㍦㕤っ㠸攵㡣挳戳㈸㤴㜱愸㠴挹㡤挳㜳戴昲晤摦㥦戴愷㐳昷慡昳㈳慣挵㑦㠷捦愳㠲散㠴〹㔷㠸挳ぢ搰昱㠷摦ㄳ㠳㙥挷㈱㙢㠵慤〴㉥收㤸慣ち㐵㌲㠹㑣㌲ㅡ戲㌰㍤㠵㐳㍦㡥昳㈱ㅢ㌰扡戹搰㜸㉣㤰捣㘴㤲愹㑣搶㡡㘲晥㈹㠹㝢㌲㍣㜵㘰摡㉢ㄹ㐹挶㜲戱愰搱摤㠵㐶〲㜸ㅡっ㜲㌵〳搷晣㙣㍡挴㜹㠰㜰㈶ㄷ挴㠰㤷㡣攱㠱挷晦愲敡㠹搹〳㜵捣㥥ㄴ扤㈰晣㉦㌹㜶㍦㑤扤㈹晡搰晥戲㘳㤷㔰㔹㠹㜸昱ㅡ散㌲づㅦ㠳〰昷改㜰㔳搶摢っ挲攷㝦ㅤ〰㐹㠱搷㙣挹ㅢ㑥愱㡣挳戱㡣挳㌶慣晡て挶攱㍦㈸㤴㜱ㄸ挴㠶㘰㠱㕥㈶摥愶㤵敦㌷昵㌸㉣㘳ㄳ㥣㍤㝣摤㌳づ敦愰㠲散挴㔰戸㐲ㅣ摥㠵㡥扦㌲㘳㍢攸㙡㕣挲㠲㔲〸㔴㘲㌲〹户挴戸㘰㘴㤳㔹㝣挹㑥㌲㄰挳㉣〷㥥戴㡤㘱㉥㌴㡣ㅦ㜷㑣㘶㜸㈷㠶㘷つ㉢换改㡦㜴㌴㡡㜵㈸㥣ㅢ㘹捣㘵ㄹ摢扢搰っ㝥愹ㅡ昷挱戹㐸〸㑦㈵㠱㘴っ㤳挶搱ㅣ敥ㅢ㌰晣〱㥤㡥晢摦㔳㍤㌱㠷愳㡥戹〳挵〸〸晦晢㡥㝤㈴㑤愳㈸慡㘹晦挰戱㑢㍣愱戲㤲昸〸㜶ㄹ㠷愷昵㌸㠴㔹ㅥ㠱昰昹㍦〶㐰㔲挰㐹㝥㤳㌳晡㈶㈷昱㑤捥摡晢㍦㜱ち㘵ㅣ㑥〶㌳昶敦つ敦㠲慡㤵㥦愱戰㜰㈱㐹晢㔲ㅦ㉤换㥢㕦㠴攲搷㔲敦攵㤲㔴敦摣捣㠵愹挶㠶昶愵㌳㤰晤搹㑥搳㥦㈱㘷戰挲捥挱㕤敦㙡㥣摣㠵戹晢㜳㔱慣㤰㠳晣挵㌴戵㙦昲ㄷ攷㌶㉥〳搱㔷昹〰㘲昷挷㕡攱改搰戱㘴换摥㈱㐸昸ㅥ户㕤ㄹ㙢愴㈲㝥づ㔵㥥㍢㘳㘰㜰㕥攲ぢ㉦㙢攵㤷戰晥昱昴㔶㝡敤㡢攵㕣㝥捦㌵扥昳㡢摦㠱㌴愲ㄱ㤹扥㝦攰㉢愷㙡搰ㄷ昱戵㔷ㅦ挴户㡥㜵ㅣ㌱㘸〲㍡㈶攲㘸攵晢㉥敤㕣㌷敡〰㈹㝤㠷㜹㠷攷〰昰〳扣攰㐰挷慦㈹愱㌲〶㠰ㅦ改ㄵ扡㌱ㄱ扡㍤〰㔸㤸扡〹挶戳ㅣ㈲㌱ㅣ㈷㈲改㈸收敢〲㔹慣㈶㘴㈲㌱捣慡昹㝦㔲㜵捣㐹愸攳晦慦愳㑤愶昶戳愳戱慣搷㉦搰戸捡㠸敤晦敤换晦㉢㍣攳慦㘸摡昹㌷挷㝥〶ぢ㘷愰㘱昹昳搴昲戳ㅡ昲㌸㤸〹㤳换㙢㌹愸㤰扣慥搱㜸㌵摤㙢搹㌵㥥ㄴ㜶㐱㈵㐹攱ㅥ㜰〵ち㉢愰戰㉢挶㥥搰㙤ち㐳㠹㙣挰捡昰〱㠷て晥㔶㌶ㄹ㠹㠵㜳〱捣晡愷㤳攱㈸慥㙥挶㕥㉥㌴㤳戶搲㤹っ敥ㄲ昸㈴㥢㠸愵搲搹ㄸ㥥戲㘲㔹㉣愷〵㜰ㄳㄱ㌰昶㜶愱㔸㘲ぢ㕢㌹摣㤶㐷戲㌹㐴㈲㠳愷慣ㅣ㘶戵ㄳ㈱慣㌰㠴攳愹㠴扦㔲昵挴摣〷㜵捣㝤㈹收㐲昸つ挷扥ㅦ㑤晢㔳晣㠵昶慥㡥㕤㐲㘵㈵攲㠵て㜶㌹㠶㥥〷〲摣㙢㔹㠶昵戲㄰㍥㝦㌷〰昰攷㍤攳摣摤㈹㤴㘳㈸扦捤搷㕣挰慡攷㘱㑢昴㐴愱㡣㐳ㄳㅢ㠲㠵捣〹㍦慤搸ㄲ㈷㝢挶攱㐴捦㌸昴㜶摡㌹ㄸ慥㄰㠷㍥搰㘵ㅣ㕡愱摢㜱㐸攳㑡㤳㡢愵㌲挹㉣㘶晥㌱㔹㠳㍢㡢〸ㅥ㥣㐲㔸㔵挶㕤㜷㌸㙣戴戹㔰㍣ㄶ挵搳搱㜰搸ち㐷㤳㤱㜰ㄸ戳〸㐸慥㠸攴㐲㔸㕥挱㜳㙢㈴㘹戴扢搰㐸ㄴ㔳㍡愹㜸ㄸ㑢㌳ㄶ㔷搸搲㤸㕥换挶㌲㤱㜰㉣ㄸ㡥㠵挲㌹㝦㕦搵ㄳ㜳㈱敡㤸㡢㈸ㄶ㐳昸晢㌹昶㈵㌴㉤愵昸㉢敤晤ㅤ扢㠴捡㑡挴㡢捤㘰㤷㜱㌸㐲㡦挳㌲搶㍢っ挲攷摦ㅣ〰晣㜹挷㘱ぢ愷㔰挶攱㌲挲㡥㘶搵㑢挹昸〰ㄴ捡㌸慣㠴挹㡤挳搶戴㌲づ㡢昴㌸昰㐹㔶摥㔳戴㝢挶㘱ㅢ愷㥤攳攰ち㜱ㄸ〸㕤挶攱㜸攸㜶ㅣ㈲㐱㑣戶㘰㈱ㄹ㑦㉣㔸㌰戴㘲挹㐴㌸ㅥ㑥㘲戲㈶㤰挱捡㑡㈸㙣㥣攰㐲㜱てㅥ戰昰㡣㥢㐲捥㑡〴㍦㈲㥤挴慡ち愶昳ㄱ㐰㘴慦愴〳㈱攳㐴ㄷ㡡㠳ㅦ㜳つ㠱㔰㌲㠱挹晦㕣㌸㥣攲㥣㌴㈶㡣㤲㔸昲㡣〷㠲㈱晦㈰搵ㄳ昳㈴搴㌱㑦愶㌸〵挲㍦搸戱㥦㑡搳㉡㡡搳㘸摦搶戱㑢愸慣㐴扣搸づ㜶ㄹ㠷㥣ㅥ㠷戳㔹敦ㅣ〸㥦㝦ㄸ〰昸挳捦㜸昳扥㥢㑦愸㈶ㅦ㑡㑤㍥㠲晡户㜷ち㘵ㅣ昸㠵挶收挵慣㝡つ戶挴づ㈸㤴㜱戸㤴つ挱㐲收挴㐸㕡ㄹ㠷㝤昵㌸戸攳搲摥㥥㜱ㄸ攵戴㜳㈵㕣㈱づ搵搰㘵ㅣ慥㠲㙥挷㈱㠰攱〸㜷㕤戸晤ち〵㈳㔶㍡㠷㘵㤲㈰㘶て㜲愹㜸ㄲ㙢晤搹㡣㜱戵ぢ挵捤ㅥ㙥敦㤲㠹㕣〶ぢ挷㌱㥣〶㔹㈶㝣愴㔳㔸改ち㠰攴㠰㜱㡤ぢ㑤攰㙥㍣ㄲ㑣㐴戳戱㕣㌸㘲㔹㌸摦攲改㌰㠶㍤㡣㕥㈱㑣挶㐵晤㍢慡㥥㤸慢㔱挷㕣㐳㜱㉤㠴㍦攰搸慦愳改㝡㡡ㅢ㘸て㍡昶㝣扣㠸挰㉥攳㌰㐵㡦挳慤慣㜷ㅢ㠴捦ㅦ〵〰㝦摥攷㐳捣㈹㤴㜱戸㠹戰㝢㔸昵㐶㌲㥥㐰愱㡣挳㝤㌰戹㜱搸㠹㔶挶㘱㔷㍤づ敥㡣昳㉥㥥㜱搸搹㘹攷㈱戸㐲ㅣ㜶㠱㉥攳昰㌰㜴㜵㝤挰ㅣ㌰〷愰㐰搲挲㜴㜳㍣㠸〵㤲㤸㤵挳つ㜶㡥慢㤳搹㤴昱㐸〷㌴㠴㐴㉣愶挷〴戱㍥㠳㠹㌲攴㕡〴愲㠹㄰㥦㜸戰晡ㅢっㅡ㡦扡搰㈸㥥㕣㤱户㤱㑡㐵㘲㔱㑥㌷愷戱戲㤳〹攲㠲㤳㐶〲㔸㌰ㄷ昵㡦㔶㍤㌱ㅦ㐳ㅤ昳㜱㡡㈷㈰晣扢㍡昶㈷㘹㝡㡡攲㘹摡挷㌸㜶㠹㈷㔴㔶ㄲ攳㘰㤷㜱愸搶攳昰ㅣ换㥦㠷昰昹㙢〱挰㥦昷ち㝤㥤㔳㈸攳挰敦㜴㌶㕦㘳㔵㝥㑤戴㤸㠰㐲ㄹ㠷㌷㘰㜲攳㌰㠹㔶挶㘱戰㘷ㅣ〶㝡挶㠱戹愷昸㉢㌳摦㠶㉢挴㘱ちㄴㄹ㠷㜷愰摢㜱挸㈲㙦〹攳㑦㌴㥢挶搴㍣㘶㠳昱挸㠳㌱㍦㤷㐸㔸戸㘰㘷挳㈹攳㕤ㄷ㡡昹搰㔰㈶挶㤰愵ㄱ愳㙣ㅣ攳㔲ㅡ昳捦㌹㘴扤㈰ㄷて㡢㘶敦戹㔰㑣戳挹㤵㤹㄰ㅥ㕢戱㠰ㅦ攲㌵ㅤて㐶㐹㍥㐴㘵戰㝡敦㥦慡㝡㘲扥㡦㍡收〷ㄴ敢㈰晣搳ㅣ晢㠷㌴㝤㐴昱㌱敤搳ㅤ㍢㔱㌶㥥㌵挵敥戰换㌸昴搱攳昰〵㐱㕦㐲昸晣㌳〱挰㥦㜷ㅣ㘶㌹㠵㌲づ昷ㄳ昶〳慢摥挷㌸捣㐱愱㡣挳㑦㙣〸ㄶ㌲㈷昶愴㤵㜱㌰㍣攳㔰攱ㄹ㠷扤㥣㜶㝥㠵㉢挴㘱㙦攸㌲づ扦㐱㔷攷㐳㈴ㄴ户搲ㄶ愷㕦挲㔸㠴㡣㘳搲㌱㤵挸〵㐳㜸〲つ挵攳改愴昱扢ぢ挵戴㜱づ搳捤戸㡦挲戴㤹㝣昰挷㕤㘹㌴ㄷ挷搴㘷〸㠳㝥摣㈸挳挳㤷敤㌵㠷㘹㥣㌰㘶㤷㐳㤹㑣㍣ㄲ挶ㅡ㑦㌴㥣㑢愱〱㉢㥣㡢攲㙣㡢晢昷㔱㍤㌱〵敡㤸攵ㄴ㕤㈰晣晢㍡昶ち㥡㉡㈹っ摡攷㍡㜶〹㤵㤵㠸ㄷ㝦㠱㕤挶攱晢ㅦ戵晢愵㙥慣搷ㅤ挲攷慦〷〰㝦摥㜱㌸挰㈹㤴㜱㜸㡣戰扥慣捡慦捡昶愷㥣挲晥㌰昵攸㔲㘹㐱摦戹昴㈷㡤戵㙣挲ㄱ昸㌸ㅥ扥㤳搸捡攲㡢㐰昱㕢㈲敤㑢挷㌷户户昲㤳㌳㘵㕤昰㐵愰昶搷㘷㔶㤴敦戴㜱扥昸㌴挸て㘱昲㕤昹㌱昶晡晦挰て㡦慥㡥㐷㌸㝡摣〶㙦㜳㔳散㜰㈵戳㐵㍤㍦敥㘷㘷㔳捥挶㌷愰㕡搵戵攳攲搵攳㤷㘴慣㐶㝥戴ㄲ㌹㤷㌸㔶捡晡㌷㑤㙥挳㈶㝥㐳㘵㑥换㔸昹㠱㍦愶ㄴ昷㜶搲㌲㐷㌸㍦㐱㍦戴挳攲㝣㥡搶愹㌶愳搵慤㠷㥦㜴㐷〶㉦ち㐶昰〷敢晢㜷㘸戵挸㑢戶散㥦㠴摦戲挳㡡て㔱㠳㜰㉢敢㜸㙣挳㠷攷㉡捡扢ㄴ晤ㄸ㠹㥣㍣愸㙢㘹挲㑦㑡㔵昳晢㐶改慤戵愵㜱㜲㤶〴㙣改昱攵慢攳ㅡ摡攵㤷ㄷて㐰戹㌰㜳㈰挷搸ㅣ㌴㜵ㅤ㍤愴戶㜶㐸㌸㔱昹〱㈲㔱昸搹戶㤲㡤攴昳捥㈶㜹㜰昸捣㉤攱㔱ㅣ〸摦㈴㕦㤸昳搸捡㔶慡㤵㍡戴㈲摥㐱㉢㙣㠹㈷戱捦摣㠶昰〵㉥㝣㍥攱㠳ㄴ㝣㍣攱㙦㉡㌸ち〰摦㤶昰㐶㙣搳〳㑤愲㐹㈹㜲㠴㘹㔶ち扢搲慢つち㠳挹户昶晡㜲㡣㔲㙡散晦慢搴晦㝥昵㝦扦㥡㕥敤㑥捤晤挵愰㤳挷㔶扥戵慣昰挷㔳散捦〰㔷戸ㅥ㥥㤴㉦㝦㡤昸ㅢ㙡づ㠵㕦昳㉤㡡户㈹㜸㕥㡡㔷搰摤㔷昱㝢㉢㐵㍦㤵晥戲㉡㈸晣愹㜴晦愱昰㠴扦㌲㜳㌸㜶戹㐷ㄷ㜱㌸ㄴ㥥扥攲㐵搴攰㌹㈳て昳ㄱ攴攳㐸㤸㙤戶㡦挰㤶㌱㑡搱㔷㌷㈴ㄴ㄰晦〶戲㠳敤ㅤ〹㍦捡㠵㉦㈷㍣愸攰攳〹㝦㕡挱㔱〰戶挳㠴ㅦ敤挲㔷㄰ㅥ㔵昰㕡挲ㅦ㔷㜰㍢昴㜱挲㡦〱挸つ捥㑡愵挸攰晣㐳㈹㌲㌸㈷搰ㄷㅡ搹昰攰㥣攸搴㉣ㄵ㥣戰㝣扤愶挲晣搶ㄸ㍢㔸ㅦ㡣ㄱ㘷愰愶㔷㜰ㅥ挲㕥㜸〶攷㐱㔵㔰昸ぢ敥晥㌳攱〹㝦挸㐷挳㉥㈳㌸攷㐲㤱挱戹ㅦ㌵摣攰㡣㈱ㅦㄷ愲挸づ捥㜹搸㌲挶㉡晡敡㠶㈴㤲攲㙥㐵㥦㝤㉡搴ㄲ㝥㤱ぢ㍦㥦昰昱ち㍥㥥昰戵ち㡥〲〴㘷㈲攱ㄷ扢昰ぢ〸㥦慣攰戵㠴摦愲攰㜶㜰愶ㄲ㝥〹㐰㙥㜰㉥㔵㡡っ捥㘵㑡㤱挱戹㥡扥㌶㉡㌸搷㌸㌵㍢て捥㈷㉡㌸㕦慡攰㝣㍦㐶摣㠸㥡㕥挱戹ㅥ㝢攱ㄹ㥣敢㔴㐱攱て换晢㙦㠶㈷晣攱换㉤戱换〸捥敤㔰㘴㜰搶愰㠶ㅢ㥣搹攴攳㉥ㄴ搹挱㔹㡢㉤㘳て㤷扥㐸㐸㕣㤵㐷摦㕥㠴摦敤挲敦㈰㝣ㅦ〵慦ㅢ〲昸㘵ち㙥挷㜲㉥攱昷戸㜰收挱ㅡ晢㉢昸㜸挲㉦㔲㜰ㄴ㈰㤶昵㠴摦㡢㙤㌷㌸昷㈹㐵〶攷㝥愵挸攰㍣〲㘵攳㠲昳愸㔳戳㔴㜰㘶摤戶昵㤱㥦捣昴搷搸㘷㔰摦㥡户晦摡㙦捤挴户户愸ㄱ捣㠱昵ち捥戹搸ぢ捦攰㥣愳ちち㝦敦摥晦㉣㍣攱て㥦㑥挱㉥㈳㌸㉦㐰㤱挱㌹ぢ㌵摣攰捣㈳ㅦ慦愰挸づづ㤳㘲㡤〶搸慡㜰愹慡ㅢ㠲㕦慢ㄷ愷㈹晥㙣扡ㄷ㄰晦慡㡢㘷㘶慣搱愴昰攳㈵晥㘴㠵㐷〹昸㙥㈱晥㌵ㄷ晦㌲昱〷㉢㝣慤挴ㅦ慦昰昶挹搳㐶㍣ㄳ㕦摤昸扣愱ㄴㄹ㥦㌷㤵㈲攳昳㉥㥤愱㤵つㅦ搹摥㜳㙡㤶㡡㡦ㅤ㤷㉤㙢攰ㅤ慦㠱㌵昶挸戶㕤㡤昸〴㌵扤攲戳ㄲ㝢攱ㄹ㥦㘳㔴挱㤴㈵㔷㠶摦㌸改㤴戱慢捦㍢昹戰攱て扦户搲晦ㄹ㍣攱て昳㑢搸㘵挴攷㉢㈸㌲㍥㐷愱㠶ㅢ㥦扦㤱㡦敦㔰㘴挷㠷挹戲挶愱㡡㍦挶㈷㈸㡥㔰晣搹昱㔹㐶㍣㜳㔸㙤晣㌷挴ㅦ慥昰攴㍢㈸晥慥昰㌶摦换㠹㘷㈲慢㡤晦㤶昸㈳ㄵ㥥昱っ㡡扦㉡㍣㑡㄰捦愳㠹晦ㄱ摢㙥㝣㝥㔲㡡㡣捦㝦㤵㈲攳挳摢㠶㡤㡢て昳㘵㘵捤㔲昱㜹改攲㠳㐶晢㕥晡㘹捣㍣ㄹ㤸摦挶㑣㤲㈷㔰㘵㡤攸㡡㥡㕥昱㔹㠸扤昰㡣㑦扢㉡㌸昵昵扦㡦㕡㝢敢摣㠹㐷摥扤㜲昰愶扢㥦戵㤷摦㠴㈷散㐰㤹㜹ㅣ㜶ㄹ昱改〱㕤挶愷ㄵ㌵摣昸㥣㐰㍥㝡愳挸收㡦㐹戴挶㐹戰搹户㝡昱㠴㘸㔶昴搹㜴㥦㐲㜸ㅦㄷ摥㡢昰㔵ち㍥㝥〸攰〷㉡㌸㕢昶㤹愷ㄳ摥搷㠵㌳㤹搶㌸㔳挱敢〸捦㈹戸ㅤ晣戳〹㘷㤶慣ㅢ㥣晥㑡㤱挱搹㐴㈹㌲㌸㕢搲ㄷㅡ搹昰㤳㠷㐹戴㥤〶攷㤴捤㉡昶散㘹敥㔱㜳挲晤摦㙤扦摦㍤㝢搷㥣摥摣㘷昹扤戳㔲㌵㘲㕢搴ㅣ㑡㑡摦愲攸戸㘷㑢㘱㉦㍣㠳㜳㠰㉡㤸㜹攲㙡敢搰改愷搵㕤ㄲ㌵敥扡昱戴昲㤰㝦㈸㍣挹攰㕣㠸㕤㐶㜰㠶㐳㤷挱昹ぢ㙡戸挱戹㤸㝣㡣㐲㤱ㅤㅣ㘶搶ㅡ㤷扡昴㠵㤳㘲摦㍣晡㉥㈷㥣昹慥㌶㝣〴攱㔷㉡㌸㙥摢㤳㘲㑦〵户㘳㜹㌵攱㍢扡㜰㘶搸ㅡ慢ㄵㅣ㌷搴㐹㌱㑢挱敤㔸㕥㑢㌸㔳㘷摤攰〴㤵㈲㠳ㄳ㔲㡡っづ㤳㘴㌷㉥㌸捣慣敤㌴㌸昶㐸搶慦〶ㄱ挰㙢戳ㅡ晢㠶㝡㘰㡤ㄸ㠳㥡㐳㘱㉡っ捥㜴散㠵㘷㜰愶愹㠲户ㅦ㡥㥦昵搶晢㥢搶㕤户摢〵收挸㐵㡢昶昵㡦㠵㈷ㄹ㥣㥢戱换〸捥㜸攸㌲㌸㔳㔰挳つ捥慤攴㘳㌲㡡㙣戶㈷㘰换戸㕤搱㔷㌷㈴㤹㄰ㄳㄴ㝤昶戱㝤〷攱㑣㠲戵攱ㄳ〹扦㑢挱㙢〹ㅦ愷攰㜶㜰敥㈱㥣㠹戰㌶㝣ㄲ攱昷㈹昸㜸挲㜷㔵㜰㍢㌸て㄰捥㝣㕡㌷㌸搳㤵㈲㠳挳晣㕡㤶挸攰捣愶㉦㄰挵户昶晡〳㑦㍢㑣户敤㌴㌸昶㘵挷攳㥥㙤㉥㙡づ㐵㘳㠵挱㐹愲㔳㥥挱㐹愸㠲㑢㕥扦昰昴扢㉥扤㜱捡㌵慦ㅤ摣㈵㤲敥㍡摥扦㍦㍣挹攰㍣㠶㕤㐶㜰㔲搰㘵㜰㘲愸攱〶攷〹昲㘱愱挸愶㡦㌹戸挶㔳㉥㝤愱戸〸〱敤㜰攵㌳㥦㈱㍣攷挲㌳㠴㍦慢攰㜸㝣㠹㡢㙡〵户㠳昳ㅣ攱昳㕣㌸㜳㜱㡤ㄷㄴㅣ捦㔲㜱戱㠳㠲摢愱㝦㠹昰昹〰㌹つ㡡〶愵挸攰㌰改搶つ㑥ぢ㝤㠱愸つてづ㜳㜰㍢つ㡥ㄶ㙢㙤昳换㌱㠲㜹戸㐳㍤㠲㌳ㄴ㝢攱ㄹ㥣㈱慡攰昹㠷㉦扡㘶挴㘵ㅦ㡥扤昶愴戶㔵㉦搴㝦晡扤㥦改扢㌲㌸㙦㘰㤷ㄱ㥣㐳愱换攰っ㐶つ㌷㌸晦㈱ㅦ㠷愳挸づづㄳ㜳㡤户㕤晡攲㘱戱㜵ㅥ㝤敦ㄲ捥㜴㔹ㅢ扥㡣昰昷ㄵ扣㜶〸攰㕢㈸戸ㅤ㥣㜵㠴㌳㘵搶㠶㌳㐱搷昸㐸挱㜱㠹ち㡢㑤ㄴ摣㍥㜳㍥㈱㥣㤹户㙥㜰㡥㔴㡡っ捥㔱㑡㤱㘷づ㜳㙣㌷㉥㌸㑣捣敤㌴㌸晤㜱晢晣搷攷〷搶攰晢㝤昰摡戶㐶摥㕦摦㌶愲㐶㥣㠲㥡㐳㍤㠲搳ㅢ㝢攱ㄹㅣ扦㉡㌸㌸㌱昲昲攷㤶㝥㍦敤挸㍢敡㈶㑣ㅢ㍡攸㔷晦㉡㜸㤲挱昹ち扢㡣攰㌰㌱㔷〶愷㈷㙡戸挱昹㠶㝣㌰搳搵愶㡦搹扡挶㜷戰昱㠶㥡㌷㔴㌱攱换攳敦〷攲㤹㐴㙢攳捦㈶晥㈷㠵攷つ㕢㑣ㄸち㙦㠷攷㘷攲㤹㐴㙢攳㤹户㙢晣慡昰扣㈱㡣㠹㜲㠵户㑦㥥摦㠹㘷㐶慥ㅢ㥦ぢ㤵㈲攳挳っ㕤昷攴戹㥣捥挰ㄵ摦摡敢て㡣㙣㔷㌸㌵㑢摤戰搹て㍣晦ㅡ㘳㡦㜰捦㡤戱ㅦ㜸㕥ㅤ㈳慥㐵捤愱㘸慣㜰㘴晢昵㠷ㄲ昱昹㐵ㄵ扣ㅡ㍦㈲㍢昷㠸㠹攳㉥ㄹ搶扢换㡡摢敦昴昹慦㠷㈷ㄹ㥦捡㉡ㄹ㥦㥢愱换昸晣ㄷ㌵摣昸㜴㐵愱㘰㜲慣捤摦㉤搸㌲㑣搸散ㅢ戶㐸㔸㝣て戴挳㠸捦散㐶㌸㜳㘳㙤㌸㤳㜶㡤ㅥち㡥挷换戰昸㕡挱敤戳愱ㄷ攱㜷戸㜰㈶敥ㅡ扤ㄵㅣて慦㘱昱戹㠲摢挱改㑢㌸㌳㜲摤攰㌰㌳㤷㡡っづ㌳㜴㥤慥昴㘲敥敤挶〵㠷〹扢㥤㥥㍣昶㍤㐱㐵㡤ㅤ昳㉡㜵㑦㠰㐹㌶收摣づ昵〸捥㐷搸ぢ捦㤳攷㐳㔵㔰戹搳搹〷慣㜸扣㜲昲捤㍦搴㍤搸敦扥昶搷晤㑦挱㤳っ捥收搸㘵㥣㍣捦㐲㤷挱昹〰㌵摣攰㙣㐹㍥㕥㐰㤱捤昶扦戱㘵㙣愵攸挳㔰ㄵㄷ敦㈸晡散㜳㘱ㅢ挲㕦㜴攱捦ㄱ㍥㐸挱㌱㔴挵挵㥢ち㙥〷㘷㕢挲㤹㐴㙢㝢㘷㌲慥㌱㔴挱㜱㌷ㅤㄷ慦㉡戸ㅤ㥣㘱㠴㌳换搶つづ戳㙤摤攰㌰敢搶つづ昳㘹㌷㉥㌸㑣挲敤㌴㌸㜶㔰〶愹攰っ㔱晦㡦慣ㄱ敢㔰㜳愸㐷㜰㕥挰㕥㜸〶攷㜹㔵昰捤㐹昳㉦晢捦㡣㑦愷㥤敦㍦㜵昶㥡㤹慤戳晣ㅦ挱㤳っ捥㈸散㌲㠲昳ㄹ㜴ㄹ㥣㝦愳㠶ㅢ㥣ㅤ挹挷㔷㈸戲改㘳㘶慥ㄱ㔴昴㈱㌸ㄱ昱戴愲捦づ㑥㤸㜰㈶挱摡昰㉦〸㡦㉡㌸㠲ㄳㄱ㡦㉢戸ㅤ㥣㌸攱摦戸㜰㘶攸ㅡ㐹〵㐷㜰㈲攲㘱〵户㠳戳㌳攱㑣扤㜵㠳昳㥤㔲攴㤹昳扤㔲攴㘵攷㘷晡〲㔱㝣㙢慦㍦㌰慣㌱㌳户搳攰挸㉦愶摣㝣扢ㅡ摢敤づ㙡㍥㈷㔴㈳㤸㥤㍢ㄴ搶挲㘱敤㍥散㠵㘷㜰敥㔵〵㉦慤戸㘸搸㠸㌷㝡㑥㍣㘹摤㌱㙦㍥昹换慦㝦昷㔷挲㤳っ捥㔸散㌲㠲㘳㐲㤷挱戹ㅢ㌵摣攰搴㤲㡦ㅥ㈸戲搹昶㘱换ㄸ敦搲㤷〸㡢戵㜹昴㑤㈴扣愷ぢ敦㐶昸㘴〵挷っ㘸㔸摣愲攰㜶㜰愶ㄲ摥换㠵㌳㙤搷㤸慥攰㤸〱つ㡢ㅢㄴ摣づ晤っ挲㤹㡦敢〶愷户㔲㘴㜰晡㈸㐵〶㘷㔳晡〲㔱㝣㙢慦㍦㄰ㅣ愶敢捡㥡愵慥㌹㌲㌸㘷㔶搷搸㙥㐳㉡㌸挹ㅡ戱つ慡㜹〵㘷㌵昶挲㌳㌸搷愸㠲㕦攲㉦㍥戵㜶攰敡㠹攷晥㤸㕥昱昲㤱晢㍣散㘷愶慦っ捥ㅥ搸㘵〴㘷㈸㜴ㄹ㥣慢㔰挳つ捥㕥攴㘳㌸㡡散攰㙣㠷㉤㘳ㅦ㐵ㅦ敥〹㈲攲㌲㐵㥦捤昶㕣挲㜷㜰攱挳〸摦㕦挱㜱㑢㄰ㄱㄷ㈹戸捤㜶㍤攱㈳㕣昸昶㠴愷ㄴㅣ㜷〴ㄱ㜱㥥㠲摢㘷㑥㠶㜰㈶改扡挱ㄹ愵ㄴㄹ㥣㙡愵挸攰㠴改ぢ昴昱慤扤晥㐰㜰㤸挳㉢㙢㤶ち捥㝥㜲㜶愰扣挶晥㑡搷捡ㅡ㑣攷㘰㑥愷㘷㡤㘰ち慦㔷㜰捥挴㕥㜸〶攷っ㔵戰㜰捤捡搴慤㘳㜶㥣扥捡㍡收扤昶慡戲㜱㠲戹愵㕣㍣㌳ㅢ戰换摣㌹扥晤㘳搸㉤扣㐴㡤㔳散㔸戸换㝥收㜳捡㠸㉥㐰㈵㐴㜴〲㜴ㄹ搱㔳搱㡣ㅢ搱㈶㤲挸搴㐹㍢愲ㄳ戱㘵戴挰挶扢扣㠹㐳㠲挱㔰攵㠹㠰㝢晥㜴戰㕡㐷挴㤷搳㍡ぢ㤱攳㥢ㄷ㌶ㄵ㉦昲搱攲㌳て㘶㐳㤳攱㥥晥㘸ㄲ㌳愰㜴昰㔳㡦㑥摢ぢ㕦挷㉡ㅡ㡡ㄶ扥晥愱ち㤶搷捣晥㌸㌸收愳摡戵㔳㝢っ摦攷摡愹摢昸㘷挲㤳摣搵挵昶慥㌲㑦㔲敥敡㌱愸攱敥敡㔲昶㠰㌹㠷昶慥㌲㜹搲昸ㅢ㙣扣㘱挲摡㑡㐴慣〰㥡挷㤲㝤㜸ㅤ㑡㌸昳ㄴ㙤昸㕥㠴㉦㔳㜰㡣㉣ㄱ㜱㤸㠲摢挷晡攱㠴㌳㤹搱㠶㌳㠹搲㔸慥攰ㄸ㔹㈲攲㄰〵户㡦昵㈳〹㘷㜶愴㝢昰㌲㑢搲㘹㕤㌰㕢㤲㡡㍣㜸㤹〷㠹扦㡤㌸㜸㤹㍣㈹㙢㤶㍡㜸㡦攷捣搶〹摤摤ㅢ愵ㄵ㥦捣挴〳挷愶㌵㘲〱慡㜵〴攷㙤戴㙥〷㘷㌱昶挲昳攰㕤愴ち㝥㥣㕢扦㙤昴愹㔴摤捡〱攷つ摦㜹攴捡㠵晥㈶㜸㤲挱㌹ㄶ扢㡣攳昰㘰攸㌲㌸敤愸攱〶攷㌸昲挱㐴㐴㥢扥㔶㙣ㄹ㈷挰收㑣摦㈷挴㐱㡡㍦㍢㍡㈷ㄱ捦散㐵ㅢ摦㐶晣㈹ち捦愷㤳㠴㘸㔴㜸㍢㍣慢㠸㕦散攲㤹㕢㘹㥣慥昰㝣㍡㐹㠸昹ち㙦挷攷㑣攲㤹㌵改挶㠷搹㤳㙥㝣㤸㐵改挶㘷ㄹ㥤㙤㔴㝣づ㜳㙡㤶㡡㑦挹㜹㤴愳㔱搳㉢㍥ㄹ散㠵㘷㝣搲慡攰晢㍤慡㕦ㄹ晡攳㍢㔳㙦㜸敢挱㜵㤱昶㤶敤晣㉢攱㐹挶攷㝣散㌲攲㜳ㅣ㜴ㄹ㥦〳㔰挳㡤捦㠵攴攳㈴ㄴ搹㝣ㅦ㡦㉤攳㘲搸散㤳㈷㤴㄰晢㈹晡散昰㕣㑡㌸㤳ㅡ㙤昸〹㠴㕦慥攰㔸㌵㑥㠸扤ㄵ摣㡥捥㤵㠴㌳昳搱㠶㌳攳搲戸㕡挱㌱敤㤲㄰㜳ㄴ摣づ捥㙡挲㤹㑡改〶㠷㈹㤵㙥㜰㤸㕡改〶㠷㐹㤳昸㤳㙦晣攷扣晥挰挸捦㑣㑢㔹戳㔴㜰㜰收摣晦摤㠷㤱ㅡ晢昲㥣戰ㅦ搵ㄳ㘳㙢〴戳㉤扤㠲㌳〳㝢攱ㄹ㥣摤㔴㐱昵㠲㑤捣晥昷㉥愹扢晤㤴㍢㘶㝣ㄱ㕢昲戰晦㔲㜸㤲挱戹ㄱ扢㡣攰㕣〹㕤〶㘷ㅡ㙡戸挱戹㤹㝣慣㐶㤱㑤摦㔵搸㌲㙥㠵捤㜹㔴㡦㡡㐹㡡㍦㥢敥摢㠹㕦攳攲慦㈶晥づ㠵攷愳㜷㔴搴㈹扣ㅤ捤扢㠸扦搶挵㌳ㄱ搳戸㐷攱㜹昲㐴㐵㡤挲摢昱戹㡦㜸愶㔸扡昱戹㕥㈹昴㈷㤸㜲改挶攷㔶㍡㠳㤵㙦敤昵〷攲挳っ㑣㔹戳㔴㝣ㅥ攰搸㜶晦ぢ㘳散㉢昳㉢㘳攴搸昶挹摢㘳挴㍤愸收ㄵ㥦㥤戱ㄷ㥥昱搹㐹ㄵ㤴㝤㜸攲昲㥢敥戹㜹户㍢捡㌷㜹㔸昴㍢㌸敥㘷昲愶㡣捦㈳搸㘵挴攷㈱攸㌲㍥〹搴㜰攳昳ㄸ昹㜸っ㐵㜶㝣ㅥ挶㤶昱〴㙣㍣㜹㜰㌶㐴㐵㐴搱㘷㠷攷㈹挲ㅦ㜷攱㡦㄰晥㡣㠲攳㙣㠸㡡㠰㠲摢㙣㍦㑢昸ㄳ㉥㥣改㤹挶㜳ち㡥㐹挸愸ㄸ愹攰㜶㌰㕦㈰㥣㜹㤷㙥㜰㥥㔲㡡っ捥搳㑡愱敦㕥捣戰挴摦㐶〴㠷㘹㤹戲㘶愹攰㥣挱戳收㤵㘰捤㙦㐸㜱昹晤昷㐸㑤㐶㍥扢㡦慥ㄱ㑣捤昴ち捥㌰散㠵㘷㜰戶㔳〵㜷昶㝡攵㥤挷㉥扦㜹敡搵攷摥㌴晦昴て敡晡晢㤹搱㈹㠳昳ㅡ㜶ㄹ挱㘱㕡愶っ捥㄰搴㜰㠳昳〶昹㜸ㅦ㐵㜶㜰㤸慢㘹晣㐷搱㔷㍢㈴ㄲㄱ〳ㄵ㝤㌶摢㙦ㄳ晥㠱ぢ㘷扥愶昱慥㠲㘳㘲㈴㈲〶㈸戸捤昶晢㠴慦㜳攱捣搹㌴搶㈹㌸愶㕤㈲㘲㌳〵户㐳晦ㄱ攱㑣挶㜴㠳昳㤱㔲㘴㜰㍥㔶㡡っ捥ㄷ昴戵㔱挱㘱慥愶慣㔹㉡㌸挳攵㑤慤愹敥㘹㝢愸㐹挸㝥㌵攲〷㔴昳ち㑥㕦散㠵㘷㜰晡愸㠲㝤てㅤ戳㜸㠷摥户㑥昹㘷攳昳て晥㙢捤昸㜱㝥愶㜹捡攰㝣㠱㕤㐶㜰㤸慢㈹㠳攳㐷つ㌷㌸㕦㤱て㠱㤹㍦㍢㌸㑣攰㌴扥㔱昴㈱㌵㉣㈶扡㉢晡㙣戶扦㈳㥣戹㤲㌶晣㜷挲㝦㔰㜰慣㘴挵㐴㤵㠲摢㙣晦㐴㜸ㄷㄷ捥㐴㑥攳㘷〵挷㍡㔹㑣㔴㈸戸ㅤ晡㕦〹㘷㠶愶ㅢ㥣㑡愵挸攰㌰㘳搳ㅤ搶扡搱搷㐶〵㠷〹㥣戲㘶愹攰挰㉢㕥扤㙢攴㝦㘵捥〲搸㠰ㅡ搱ㄷ㌵扤㠲昳晢昷㈵㠲昳㥢㉡㤸昱晢攸慤㡦㥢戳㘴捡慡愳户ㄶ㈳愶慣摢戴戲㍦㍣㜹摥昳换㥦昲愹㤶㍦戸挳㉦㈴戵摡愴愱ㄷ扡㔲㤹㘳扥㘳户㥣㙤㘶扡愶晣㑤㤷㐶昹晤愳摤㜳搳㔳慤ぢ慣搶㘹つ捤㔶㕢昷摣散㠶㈶昵攵㤴㜵㍤㜲晣慥㝢攷愷攳㑤愹戱戲㤱㥢搱㡡摦㤲敦㥡㥢摣㠶㕦㉤挹㔶㌵敤㥥㙡㙦户㕡㥢晦っ㥦㘰挴㘷扢㉡㜸㐴攰㌹㡣㍦挴㔳敥昹㘵慣㑦愳搸㌳㌳搲愶戰㠳て攷㤷㉢捡换慢㐴昹挶㝤㝥搱攸㘲㜶昲㤵挱ㄵ攲ㄷ挴搹晥㠸昴㘱㘵扦换㡥㈳昳搲慣㐴㈵挳㠰攸㠲敦ㄴ㤵捦㤷㄰㍥戳㉢㉣昲㡢摥愵㈸慢摣ㄴ挷㐲攱ㅥ昲㍢㜲㈷㤰㠲捡挵つ搹昶昹挶㝣慢㘱摥晣㜶㝣ㄷ㙥㌷敥戶昳慡搸ㄲ㔵㍢换㉡攵㘹搳戵愹㍥搵摡㥡㕡㕡搵㔴摦㘸㌵捦㙢㥦㕦㔵扦〸㐹戴昸㠰㈳㉡㔷㔵㔵㤹㈶晡挳愶昸ㄶ摢搰㈳摥愶㑦户㙥敢㔸扢改搶攱戰昲㐰㌶扡挳㕡昲ぢ㤵㉢挴㌷㥥散昴㐴㈵愳ㄷ㐴㍥㍢㝥㔸㌴㜶挴〸㌴㐰㠶㥣㤷搸ㄱ㡡散㘱ㅦ㈰摤㝥㠷ㅤ㙢㕦摤ㅡ㜷慣晤㜴敢㘸㔸㘵扦晢挳摡㐹扦㍦昶散昷愶愸㘴㙣〶㤱摦敦捤㘱搱晢㍤〶㡤攴昵扢搶改换㤶㐰扡晤㥥攸㔸〷攸搶愹㡥㜵㉢摤㍡ㄳ㔶搹敦慤㘱敤愴摦㙦㝢昶㝢㈰㉡㤹㍣ㅡ㍢㡥挴挱㌴昱㈷〷散㈳㔱捣㐶〳㜹㝤摥换改挷㄰㈰摤㍥捦㜵慣㐳㜵㙢扤㘳摤㑥户㕡戰捡㍥て㠳戵㤳㍥扦散搹攷攱愸㘴㤲敢㡥㍥㡦愰㐹敢昳㍣㌴㤰搷攷〵㑥㍦㐶〱改昶戹挵戱㔶敢搶㌶挷扡愳㙥㘵㥡㤵散㜳〰搶㑥晡晣㡣㘷㥦㐳愸㘴㠴㈱昲㡦㡦〸㉣㝡扦晦㠶㐶昲晡扤捣改㑢っ㐸户摦换ㅤ㙢㕣户ㅥ敤㔸ㄳ扡㤵改㐷戲摦㐹㔸㍢改昷挳㥥晤摥ㄹ㤵ち㡥㡦搱㌴㘹㕣㥦㠰〶昲晡㝣㡡搳㡦㌱㝡㍦㑥㜷慣㌵扡昵㙣挷㍡㔶户㌲㉢㐷昶㜹ㅣ慣㥤昴昹㉥捦㍥搷愱㔲㐱㥦㈷搰愴昵昹㘲㌴㤰搷攷换㥤㝥㑣搲晢㜱戵㘳㥤慣㕢慦㜵慣㔳㜴敢捤戰捡㍥㑦㠵戵㤳㍥摦攴搹攷改愸㔴㜰㑣捦愰㐹敢昳慤㘸㈰慦捦㜷㌸晤㤸愹昷攳ㅥ挷㍡㑢户㍥攰㔸㘷敢㔶收㜰挸㍥捦㠱戵㤳㍥㕦敤搹攷㍤㔱挹攴㔸摤㜱ㅥ敥㑤㤳搶攷㈷搰㐰㕥㥦㥦㜱晡戱㉦㤰敥昱晣㥣㘳㥤慢㕢㕦㜲慣晢改㔶愶㌶挸㍥敦て㙢㈷㝤扥挸戳捦昵愸㔴㜰㙣愴㘸搲晡晣ㅦ㌴㤰搷攷㜷㥤㝥㘴昴㝥慣㜳慣㔹摤晡㠹㘳戵㜴㉢㔷晣㘵㥦㜳戰㜶搲攷㌳㍤晢㍣ㅦ㤵㑣㡥ㅤㅤ㍣ㅦ㐸㤳搶攷㙦搰㐰㕥㥦㝦㜰晡搱〸愴换昳捦㡥戵㐹户晥敥㔸㥢㜵㙢㈵㙥扢㘵㥦㕢㘰敤愴捦㈷㝡昶昹㘰㔴㌲㕡㈱昲挷扢㌶㔸昴㝥㜷㐵㈳㜹晤敥〶挳㤶攸㡦戹㄰㐸户摦扤ㅣ敢㈲摤摡搷戱㉥搶慤㥢挳㉡晢扤〴搶㑥晡㝤戴㘷扦晦㡡㑡〵挷挷㈱㌴㘹㕣㙦㠹〶昲晡扣㡤搳㡦扦敢晤搸搶戱㉥搳慤挳ㅣ敢㘱扡㜵ㄴ慣戲捦㠷挳摡㐹㥦晦敥搹攷攵愸㔴搰攷㈳㘹搲晡扣㈳ㅡ挸敢㜳搸改挷搱㝡㍦攲㡥昵ㄸ摤扡戳㘳㕤愹㕢挷挲㉡晢晣て㔸㍢改昳㐲捦㍥晦ㄳ㤵ち挶扢攳㘹搲晡㕣㡢〶昲晡㍣搱改挷㠹㝡㍦愶㍡搶㤳㜴敢っ挷㝡戲㙥摤〳㔶搹攷㔳㘰敤愴捦㡤㥥㝤㕥㠵㑡〵攳摤改㌴㘹㝤摥ぢつ攴昵㜹慥搳㡦㌳昵㝥搴㍢搶戳㜴㙢挶戱㥥慤㔹晤㕣㝣㤲㑦散攷戰慤㜳㈹捥㠳昰㠹〵㈸㤰㍢㜳㍥㔴㝥㔶つ㥦㤱㙢ㅢ㤸戵〶ㅥ搴㙡㉤㙡㘸㙢㜸攰挶收㜲㜱㠰戳㈷㥦㠴㌶敦㜸〶戹㤰㕥戸昴㈳㜸㡡㘱㔸昱㤹ㄷ搳愴敤㐹ㄳ扣㜳㑦㘶㥦戹戶收搷昰晥㘳〵㔷㤲攴㤹㜹㈹㤰敥㤹戹搸改挴㘵戰㜶挲攸㍥㑥㍦捡昴㘷愱㉢搸㘸晥㥤摣㔵〵晤㔸慡晡挱㝥昲㈵戸㐰㈴晢㜱㡤摥㡦挳ㅤ敢㙡摤捡攵ㅥ㠹㕤愳㕢㡦㠵㔵ㄲ㜷㉤慣㥤昴㜹㜷捦㍥㕦㡦㑡〵㝤扥㤱㈶㡤扢攳搰㐰摥㔱挰㘵ㄳ搹㡦㥢昵㝥慣㜲慣户攸搶㌳ㅤ敢慤扡昵㝣㔸㘵㥦㙦㠳戵㤳㍥㑦昴散昳㕡㔴㌲㌹ㅡ㜷㕣㐱敥愴㐹敢昳㠵㘸㈰慦捦㕣㑢㤰㝤扥ㅢ㐸㌷摥㕣㌲㤰搶㝢㜴敢㙡挷㝡慦㙥扤ㄱ㔶搹攷晢㘰敤愴捦扢㝡昶昹〱㔴㉡攰昹㈱㥡戴㍥摦㡣〶昲晡㝣扢搳㡦㐷昴㝥㜰ㅥ㕤昶昹㔱摤㝡㥦㘳㝤㑣户㍥〲慢散昳攳戰㜶搲攷愸㘷㥦㥦㐴愵㠲㤱昸㘹㥡戴㍥㜳㔲㍡慦捦㑦㌹晤昸㤷摥て捥㉥换㍥㍦慢㕢㕦㜰慣晦搶慤慦挱㉡晢晣ㅣ慣㥤昴㜹愴㘷㥦㕦㐰愵㠲㍥扦㐴㤳搶㘷捥搵收昵昹㙤愷ㅦ慦攸晤攰愴慢散昳慢扡㤵㜳慢搲晡㥡㙥攵昴愳散昳敢戰㜶搲攷㙤㍤晢晣㈶㉡ㄵ昴昹㉤㥡戴㍥㜳ち㌳慦捦摦㌹晤㜸㐷敦挷㑦㡥昵㕤摤捡㈹㐷搹攷昷㌴㙢㘵㈵㤴㍦㍣户挴戵昶㡤晣摡愸昷搱㡥攰㝣㄰㝤㤸ㅦ愸つ㉡扤㑣愵㔴㜱づ愷㤷㉦㑦攳㉣っ㐱戲㑣昴㠴挶づ㥢敢㘸收晣㠹昴昶愱摡㤰摥晡㈸挵昶搶㌷㑦攳摣㐸㠷户㑤愱㐹㙦ㅦ搱捣㔹つ改敤㘳戵㈱扤㙤愹ㄴ摢摢㠰㍣㡤㌳ㄶㅤ摥〶㐲㤳摥㍥愱㤹昳つ搲摢愷㙡㐳㝡攳摣㠲㕢愳搷搰㍣㙤㍢㕤ㄳ挳愱㐹㙦㥦搱捣㤹〰改敤㜳戵㈱扤㡤㔲㡡摤户敡㍣㙤㐷㕤ㄳ㈱㘸搲摢ㄷ㌴昳昹㕣㝡晢㔲㙤㐸㙦㝣ㄶ攷㠶敤㉤㥥愷㈵㜴㑤散っ㑤㝡晢㡡㘶㍥㌹㑢㙦㕦慢つ改㙤㡣㔲㙣㙦㌵㜹摡㔸㕤ㄳ㝣戰㤵摥扥愱㜹㠲㉡㌳扦㔵ㅢ搲摢㈴愵搸摥㈶攷㘹㔳㜴㑤㑣㠷㈶扤㝤㐷昳っ㔵㘶㝥慦㌶愴户㤹㑡戱扤捤捡搳㘶敢㥡搸ㄳ㥡昴昶〳捤㝢慢㌲昳㐷戵㈱扤敤慢ㄴ摢摢摣㍣㙤㍦㕤ㄳ昵搰愴户㥦㘸㑥愹㌲昳扦㙡㐳㝡换㈸挵昶挶愷㌰㥡㙤捤搲㌵㌱ㅦ㥡昴昶㌳捤〷慡㌲昳ㄷ戵㈱扤㌵㉡挵慥摦㤴愷㌵敢㥡㌸ㄸ㥡昴昶㉢捤㙤慡捣晣㑤㙤㐸㙦ぢ㤵㘲㝢㕢㤴愷㉤搶㌵昱㔷㘸搲摢敦㌴ㅦ愲捡㑣㝥㥤ㅡ㍤㐹㙦㝦搷㙢昴㕡㤶愷ㅤ愶㙢㘲㌹㌴改㑤戰晥㤱慡捣㉣搷扤昱㡥㥦㙥敤扥ㅤ㤳愷慤搴㌵昱㑦㘸搲㕢ㄷ搶㍦㕥㤵㤹ㄵ扡㌷摥㡢㜷㜸㍢㈹㑦㍢㔹搷挴㉡㘸搲㕢㈵敢㥦慥捡㑣㐳昷挶扢攴づ㙦㘷攵㘹㘷敢㥡㌸〷㥡㕣戸晡改㍢㝢攱㙡ㄷ敥㔲戹㈱㜸㠷㉣ぢ㝥㔴〵愳㘵㠱㄰攷㌹〵㍦愸〲㝥戴搹挴㤷〷攲愳摦㈸㤲㕤敢㐶敤㘲㘸散㠴搹㕤敦摡愵捡㉡㘹ㄳ㔷㌸㌵㝡㄰㜳㤵㔳愳愷㕥攳ㅡ扤㐶慦搵㜹摡ㅡ㕤ㄳ搷㐳㤳敤昷㘲晤ㅢ㔵㤹改搷扤摤慣搷攸㜵㑢㥥㜶慢慥㠹戵搰愴户摥慣㝦愷㉡㌳晢攸摥敥搶㙢昴扡㈷㑦扢㔷搷挴〳搰愴户扥慣晦㤰㉡㌳晢改摥㜸扢搵ㄱ戶㐷昳戴挷㜴㑤㍣〹㑤㝡敢捦晡㑦慢㌲㜳ㄳ摤ㅢ㙦㠴㍡扣㍤㥢愷晤㕢搷挴ぢ搰愴户㑤㔹晦㈵㔵㘶㙥愶㝢攳㉤㑡㠷户㔷昳戴搷㜴㑤扣〹㑤㝡摢㥣昵摦㔲㘵收ㄶ扡㌷摥㍣㜴㜸㝢㌷㑦攳捤㠲㕢㈶摥㜷敡㙦㠹晡捥换捦慢戹㝣㥡ㅢ〰㉢搶㕦攵搵㤹挷摡㔶㍡敡㐳〷戵戵㡤晡挸昱攵愴ㅡ搲㥦㥦㔷㕦改㙢愰㡤㤲㔷㔳晡捡㙢昱㔳〷㌵搸㐶㝤收改敢㜳〷㌵挴㐶挹慢ㅦ㝤攵戵挸慢愰㙣㜱㍢ㅢ昵㤵攳㉢慦㐵㕥摤㈴㙡㝢ㅢ㈵慦㔶㐵晤攲㔵㑢愲㜶戰㔱摦㌹扥昲㕡攴搵㐸愲㐶摡愸ㅦㅣ搴㈸攸㝣昱挹挴捦慢㡣㐴㔵摢㈸㜹搵㐰㐱㍥ㄳ晦㜵㔰〱ㅢ㈵慦〶㐴攵戵挸慢㠲昴ㄵ戲㔱㜲㤴㈷㉡慣㕡挴㜶㤹晦㌷〷ㄵ戱㔱㜲昴㈶㉡㡦〹㡥攲搲㔷捣㐶挹㔱戹〸挵搱㔹愲ㄲ㌶㑡㡥戶㐴攵昵㡢愳慥㐴敤㘴愳攴㈸㑡㔴摥㤱挳搱㔴愲㜶㤱愸㕥ㅣ摥昶〲慡㝣㠹挸ㅣ㤰㍤攰㠰ㅦ㝢㔵っ摣愲㘲敦㥡敥㘷扥昵昸㍢㈷㍦扦摦攸㜵扦㥣㜳捥昳敦㥤晣攴㉦㜷愶㐷㍦㜲搱㐵て㑥㌹晦挹㜷晡攴㉥㈸扦攵挷㘹ㄷㅣㄲ㕣㜰挸挱戹㍤㜶㤸㜸挸㍥〷捥っ敥摥㝢㐴㤷㉥㕤扢づ敢晢攸㘶摢晢て㍢昸㌶㜱摦㉢㥢㌶ぢ㌹㘲戲ㅢ愳搱ㄲ㕦摤昱昶㜳攴㤴摤搸㔵㜶㐳挸㔱ㄲ〵昹扢挴搱㔲愲㙡㙣㤴ㅣ晤㡡㔰ㅣ〵㈵㙡㥣㡤㤲愳ㅡ㔱㜹〱攱攸㈶㔱㜵㌶㑡㡥㔶㐵扥㌸㙡㐹搴〴ㅢ㈵㐷㈱愲昲挲挶搱㐸愲㈶搹㈸㌹扡ㄴ愱㌸捡㐸搴ㄴㅢ㈵㐷㡤㈲ㄴ㐷て㠹㥡㈶㔱㝥愷㈱挱〱㐰㕥愷㙥㔴㤷愳㜱愸㕢㠵㥦〵㜵攲㈹㜸昲㑢挴つ昹〸挱昳㕤ㄶ㕣㕦㔰挰㔳㕣ㄶ㕣㔷㔰挰戳㕡ㄶ㕣㕢㔰挰ㄳ㔹ㄶ慣㈹㈸攰戹㉢ぢ㔶ㄷㄴ昰㜴㤵〵搷ㄴㄴ昰っ㤵〵㔷攷ㄷ昸㜹慡㤲㠲ㅥㄵ㠲攷愷挴㕣㤵㡦ㄱ㍣㈵㘵挱㤵〵〵㍣ぢ㘵挱ㄵ昹〵㝥㈷晡㠲㘷愰㐴㕣㥥㡦㄰㍣改㘴挱㘵〵〵㍣捦㘴挱愵〵〵㍣戵㘴挱㈵〵〵㍣㥢㘴挱挵昹〵㝥ㅥ昵㙡摦㜸愸㑢捣㐵昹ㄸ挱愳㕢ㄶ㕣㔸㔰挰〳㕡ㄶ㕣㔰㔰挰㘳㔸ㄶ㥣㕦㔰挰挳㔶ㄶ㥣㔷㔰挰㈳㔵ㄶ㥣㕢㔰挰㠳㔳ㄶ㥣㔳㔰挰攳㔱ㄶ㥣㥤㕦搰敤晦〳〱晣㍢摤</t>
  </si>
  <si>
    <t>ESPECIFICACIONES PARA EL DESARROLLO WEB</t>
  </si>
  <si>
    <t>NO INCLUYE</t>
  </si>
  <si>
    <t>Consulta</t>
  </si>
  <si>
    <t>HORAS ESTIMADAS</t>
  </si>
  <si>
    <t>IVA</t>
  </si>
  <si>
    <t>TOTAL</t>
  </si>
  <si>
    <t>SUB TOTAL</t>
  </si>
  <si>
    <t>a)     El servicio se prestará desde las instalaciones del proveedor, se utilizarán medios electrónicos para atender toda solicitud, considerando la premura del tiempo de solución requerida.</t>
  </si>
  <si>
    <t>b)    Todos los equipos contemplados deberán tener el software instalado y operando en condiciones indispensables de seguridad, durante todo el periodo  en el que tenga vigencia la póliza.</t>
  </si>
  <si>
    <t>c)     Las visitas aplicarán en la zona geográfica comprendida en el área metropolitana de Monterrey.</t>
  </si>
  <si>
    <t>d)    Para el caso de requerimientos en los que se tenga que atender una solicitud fuera del área metropolitana de Monterrey el cliente correrá con todos los gastos de transportación y viáticos</t>
  </si>
  <si>
    <t>e)     La prestación de este servicio elimina la posibilidad de que “EL CLIENTE” pueda contratar al personal de “EL PRESTADOR” para integrarse directa o indirectamente a su organización durante o al final del  periodo de contratación de la póliza.</t>
  </si>
  <si>
    <t>g)    Respaldos de la base de datos los cuales serán proporcionados mediante una liga de FTP al cliente cada que se solicite (2 respaldos parciales diarios y 1 respaldo completo cada semana).</t>
  </si>
  <si>
    <t>h)     Precios preferenciales en proyectos de desarrollo de sistema de información.</t>
  </si>
  <si>
    <t>Diseño de interfaz, casos de uso y documentación técnica.</t>
  </si>
  <si>
    <t>MS Office 2020.</t>
  </si>
  <si>
    <t>C#</t>
  </si>
  <si>
    <t>Centralizada</t>
  </si>
  <si>
    <t>Transact SQL</t>
  </si>
  <si>
    <t>MS SQL Server 2017</t>
  </si>
  <si>
    <t>WEB</t>
  </si>
  <si>
    <t>WEB SERVICES</t>
  </si>
  <si>
    <r>
      <rPr>
        <b/>
        <sz val="12"/>
        <rFont val="Arial Nova Light"/>
        <family val="2"/>
      </rPr>
      <t>Software de terceros:</t>
    </r>
    <r>
      <rPr>
        <sz val="12"/>
        <rFont val="Arial Nova Light"/>
        <family val="2"/>
      </rPr>
      <t xml:space="preserve"> </t>
    </r>
  </si>
  <si>
    <r>
      <rPr>
        <b/>
        <sz val="12"/>
        <rFont val="Arial Nova Light"/>
        <family val="2"/>
      </rPr>
      <t>Servicios:</t>
    </r>
    <r>
      <rPr>
        <sz val="12"/>
        <rFont val="Arial Nova Light"/>
        <family val="2"/>
      </rPr>
      <t xml:space="preserve"> </t>
    </r>
  </si>
  <si>
    <t>Ambiente de operación:</t>
  </si>
  <si>
    <r>
      <rPr>
        <b/>
        <sz val="12"/>
        <rFont val="Arial Nova Light"/>
        <family val="2"/>
      </rPr>
      <t>Herramienta para la base de datos:</t>
    </r>
    <r>
      <rPr>
        <sz val="12"/>
        <rFont val="Arial Nova Light"/>
        <family val="2"/>
      </rPr>
      <t xml:space="preserve"> </t>
    </r>
  </si>
  <si>
    <t>Lenguaje de base de datos:</t>
  </si>
  <si>
    <t>Arquitectura de base de datos:</t>
  </si>
  <si>
    <t>Lenguaje de programación:</t>
  </si>
  <si>
    <r>
      <rPr>
        <b/>
        <sz val="12"/>
        <rFont val="Arial Nova Light"/>
        <family val="2"/>
      </rPr>
      <t>Plataforma de software:</t>
    </r>
    <r>
      <rPr>
        <sz val="12"/>
        <rFont val="Arial Nova Light"/>
        <family val="2"/>
      </rPr>
      <t xml:space="preserve"> </t>
    </r>
  </si>
  <si>
    <r>
      <rPr>
        <b/>
        <sz val="12"/>
        <rFont val="Arial Nova Light"/>
        <family val="2"/>
      </rPr>
      <t>Herramienta para análisis y diseño:</t>
    </r>
    <r>
      <rPr>
        <sz val="12"/>
        <rFont val="Arial Nova Light"/>
        <family val="2"/>
      </rPr>
      <t xml:space="preserve"> </t>
    </r>
  </si>
  <si>
    <r>
      <rPr>
        <b/>
        <sz val="12"/>
        <rFont val="Arial Nova Light"/>
        <family val="2"/>
      </rPr>
      <t>Análisis y diseño:</t>
    </r>
    <r>
      <rPr>
        <sz val="12"/>
        <rFont val="Arial Nova Light"/>
        <family val="2"/>
      </rPr>
      <t xml:space="preserve"> </t>
    </r>
  </si>
  <si>
    <t>ANDROID 11.0</t>
  </si>
  <si>
    <t>XAMARIN</t>
  </si>
  <si>
    <t>Microsoft Visual XAMARIN</t>
  </si>
  <si>
    <t>MOVIL (ANDROID)</t>
  </si>
  <si>
    <t>ANDROID 12.0</t>
  </si>
  <si>
    <t>Herramienta para análisis y diseño:</t>
  </si>
  <si>
    <t>Arquitectura de Software:</t>
  </si>
  <si>
    <t>Plataforma de software:</t>
  </si>
  <si>
    <t>Entorno de desarrollo:</t>
  </si>
  <si>
    <r>
      <rPr>
        <b/>
        <sz val="12"/>
        <rFont val="Arial Nova Light"/>
        <family val="2"/>
      </rPr>
      <t>Framework:</t>
    </r>
    <r>
      <rPr>
        <sz val="12"/>
        <rFont val="Arial Nova Light"/>
        <family val="2"/>
      </rPr>
      <t xml:space="preserve"> </t>
    </r>
  </si>
  <si>
    <t>Herramienta para la base de datos:</t>
  </si>
  <si>
    <t>Interfaz de Usuario:</t>
  </si>
  <si>
    <r>
      <rPr>
        <b/>
        <sz val="12"/>
        <rFont val="Arial Nova Light"/>
        <family val="2"/>
      </rPr>
      <t>Ambiente de operación:</t>
    </r>
    <r>
      <rPr>
        <sz val="12"/>
        <rFont val="Arial Nova Light"/>
        <family val="2"/>
      </rPr>
      <t xml:space="preserve"> </t>
    </r>
  </si>
  <si>
    <t xml:space="preserve">Interfaz de Usuario: </t>
  </si>
  <si>
    <t>IOS 12.1</t>
  </si>
  <si>
    <t>MOVIL (IOS)</t>
  </si>
  <si>
    <t>IOS 12.0 O SUPERIOR</t>
  </si>
  <si>
    <t>Sistema operativo:</t>
  </si>
  <si>
    <r>
      <rPr>
        <b/>
        <sz val="12"/>
        <rFont val="Arial Nova Light"/>
        <family val="2"/>
      </rPr>
      <t>Procesador:</t>
    </r>
    <r>
      <rPr>
        <sz val="12"/>
        <rFont val="Arial Nova Light"/>
        <family val="2"/>
      </rPr>
      <t xml:space="preserve"> </t>
    </r>
  </si>
  <si>
    <r>
      <rPr>
        <b/>
        <sz val="12"/>
        <rFont val="Arial Nova Light"/>
        <family val="2"/>
      </rPr>
      <t>RAM:</t>
    </r>
    <r>
      <rPr>
        <sz val="12"/>
        <rFont val="Arial Nova Light"/>
        <family val="2"/>
      </rPr>
      <t xml:space="preserve"> </t>
    </r>
  </si>
  <si>
    <r>
      <rPr>
        <b/>
        <sz val="12"/>
        <rFont val="Arial Nova Light"/>
        <family val="2"/>
      </rPr>
      <t>Almacenamiento:</t>
    </r>
    <r>
      <rPr>
        <sz val="12"/>
        <rFont val="Arial Nova Light"/>
        <family val="2"/>
      </rPr>
      <t xml:space="preserve"> </t>
    </r>
  </si>
  <si>
    <r>
      <rPr>
        <b/>
        <sz val="12"/>
        <rFont val="Arial Nova Light"/>
        <family val="2"/>
      </rPr>
      <t>Software:</t>
    </r>
    <r>
      <rPr>
        <sz val="12"/>
        <rFont val="Arial Nova Light"/>
        <family val="2"/>
      </rPr>
      <t xml:space="preserve"> </t>
    </r>
  </si>
  <si>
    <t>MS Windows Server 2008 R3</t>
  </si>
  <si>
    <t>Intel</t>
  </si>
  <si>
    <t>6 Gb RAM</t>
  </si>
  <si>
    <t>500 GB</t>
  </si>
  <si>
    <t>MS SQL Server 2008R3</t>
  </si>
  <si>
    <t>Procesador:</t>
  </si>
  <si>
    <t>RAM</t>
  </si>
  <si>
    <t>Almacenamiento:</t>
  </si>
  <si>
    <t>Software:</t>
  </si>
  <si>
    <t>Framework 4.5, IIS 7.5 (Internet Information Services)</t>
  </si>
  <si>
    <t>Ambiente:</t>
  </si>
  <si>
    <t>RAM:</t>
  </si>
  <si>
    <t>Explorador:</t>
  </si>
  <si>
    <t>Software adicional:</t>
  </si>
  <si>
    <r>
      <rPr>
        <b/>
        <sz val="12"/>
        <rFont val="Arial Nova Light"/>
        <family val="2"/>
      </rPr>
      <t>Conexión a internet:</t>
    </r>
    <r>
      <rPr>
        <sz val="12"/>
        <rFont val="Arial Nova Light"/>
        <family val="2"/>
      </rPr>
      <t xml:space="preserve"> </t>
    </r>
  </si>
  <si>
    <t>Otros Dispositivos:</t>
  </si>
  <si>
    <r>
      <rPr>
        <sz val="12"/>
        <rFont val="Arial Nova Light"/>
        <family val="2"/>
      </rPr>
      <t>Web</t>
    </r>
    <r>
      <rPr>
        <b/>
        <sz val="12"/>
        <rFont val="Arial Nova Light"/>
        <family val="2"/>
      </rPr>
      <t xml:space="preserve"> / </t>
    </r>
    <r>
      <rPr>
        <sz val="12"/>
        <rFont val="Arial Nova Light"/>
        <family val="2"/>
      </rPr>
      <t>Windows (Operativa)</t>
    </r>
  </si>
  <si>
    <t>Windows XP, 7, 8, 11</t>
  </si>
  <si>
    <t>4Gb RAM</t>
  </si>
  <si>
    <t>Internet Explorer 10, 11, 12, EDGE, Chrome</t>
  </si>
  <si>
    <t>framework 4.0 o superior</t>
  </si>
  <si>
    <t>Si, indispensable.</t>
  </si>
  <si>
    <r>
      <rPr>
        <b/>
        <sz val="12"/>
        <rFont val="Arial Nova Light"/>
        <family val="2"/>
      </rPr>
      <t>Análisis y Diseño</t>
    </r>
    <r>
      <rPr>
        <sz val="12"/>
        <rFont val="Arial Nova Light"/>
        <family val="2"/>
      </rPr>
      <t xml:space="preserve">
-Documentación Negocio
-Prototipo Visual del sistema</t>
    </r>
  </si>
  <si>
    <r>
      <rPr>
        <b/>
        <sz val="12"/>
        <rFont val="Arial Nova Light"/>
        <family val="2"/>
      </rPr>
      <t>Construcción</t>
    </r>
    <r>
      <rPr>
        <sz val="12"/>
        <rFont val="Arial Nova Light"/>
        <family val="2"/>
      </rPr>
      <t xml:space="preserve">
-Desarrollo
-Pruebas Unitarias</t>
    </r>
  </si>
  <si>
    <r>
      <rPr>
        <b/>
        <sz val="12"/>
        <rFont val="Arial Nova Light"/>
        <family val="2"/>
      </rPr>
      <t>Integración</t>
    </r>
    <r>
      <rPr>
        <sz val="12"/>
        <rFont val="Arial Nova Light"/>
        <family val="2"/>
      </rPr>
      <t xml:space="preserve">
-Pruebas Integrales
-Instalación
-Migración</t>
    </r>
  </si>
  <si>
    <r>
      <rPr>
        <b/>
        <sz val="12"/>
        <rFont val="Arial Nova Light"/>
        <family val="2"/>
      </rPr>
      <t>Implementación</t>
    </r>
    <r>
      <rPr>
        <sz val="12"/>
        <rFont val="Arial Nova Light"/>
        <family val="2"/>
      </rPr>
      <t xml:space="preserve">
-Pruebas Finales
-Capacitación
-Puesta en Productivo</t>
    </r>
  </si>
  <si>
    <t>Fecha Factura</t>
  </si>
  <si>
    <t>Fecha Pagada</t>
  </si>
  <si>
    <t>Avance Acum.</t>
  </si>
  <si>
    <t>Subtotal</t>
  </si>
  <si>
    <t>UX</t>
  </si>
  <si>
    <t>Horas Trab.</t>
  </si>
  <si>
    <t>Horas 20%:</t>
  </si>
  <si>
    <t>Horas 70%:</t>
  </si>
  <si>
    <t>Precio DLL</t>
  </si>
  <si>
    <t>IVA(0%)</t>
  </si>
  <si>
    <t>Framework Backend:</t>
  </si>
  <si>
    <t>Framework FrontEnd:</t>
  </si>
  <si>
    <t xml:space="preserve">MS SQL Server </t>
  </si>
  <si>
    <t>Integración:</t>
  </si>
  <si>
    <t>Anticipo (30%)</t>
  </si>
  <si>
    <t>Diseño de interfaz, Historias de usuario y documentación técnica.</t>
  </si>
  <si>
    <t>DEVOPS , YITPRO.</t>
  </si>
  <si>
    <t>NA</t>
  </si>
  <si>
    <t>MXN</t>
  </si>
  <si>
    <t>Anual</t>
  </si>
  <si>
    <t xml:space="preserve">Póliza hosting </t>
  </si>
  <si>
    <t>Mes</t>
  </si>
  <si>
    <t>Ejecución de pruebas (VALIDACIÓN DE AMBIENTE)</t>
  </si>
  <si>
    <t>PREPARACIÖN PARA PRODUCCIÓN</t>
  </si>
  <si>
    <t>Capacitación al equipo de TI de la instalación de aplicativo</t>
  </si>
  <si>
    <t>Ajustes finales</t>
  </si>
  <si>
    <t xml:space="preserve">Confguración de aplicativo en servidor final </t>
  </si>
  <si>
    <t>GO LIVE</t>
  </si>
  <si>
    <t>Limpieza pruebas en ambiente productivo</t>
  </si>
  <si>
    <t>CIERRE Y ENTREGA DE PROYECTO</t>
  </si>
  <si>
    <t>VISUAL STUDIO, VS CODE</t>
  </si>
  <si>
    <t>Presupuesto por recurso</t>
  </si>
  <si>
    <t>Cantidad</t>
  </si>
  <si>
    <t>Participación (%)</t>
  </si>
  <si>
    <t>Duración (Meses)</t>
  </si>
  <si>
    <t>Costo mensual - COSTO AXSIS</t>
  </si>
  <si>
    <t>Monto mensual por recurso</t>
  </si>
  <si>
    <t>Monto mensual equipo</t>
  </si>
  <si>
    <t>Total</t>
  </si>
  <si>
    <t>Agile Leader</t>
  </si>
  <si>
    <t>Testing</t>
  </si>
  <si>
    <t>Monto Mensual</t>
  </si>
  <si>
    <t>Presupuesto por Mes</t>
  </si>
  <si>
    <t>Mes 1</t>
  </si>
  <si>
    <t>Mes 2</t>
  </si>
  <si>
    <t>Mes 3</t>
  </si>
  <si>
    <t>IVA(16%)</t>
  </si>
  <si>
    <t>INCREMENTO 1</t>
  </si>
  <si>
    <t>Nombre</t>
  </si>
  <si>
    <t>Dev1</t>
  </si>
  <si>
    <t>Dev2</t>
  </si>
  <si>
    <t xml:space="preserve">Mes 1 </t>
  </si>
  <si>
    <t>MES 2</t>
  </si>
  <si>
    <t>Mes 4</t>
  </si>
  <si>
    <t>Mes 5</t>
  </si>
  <si>
    <t>Mes 6</t>
  </si>
  <si>
    <t>Mes 7</t>
  </si>
  <si>
    <t>DEV 1</t>
  </si>
  <si>
    <t>TESTING</t>
  </si>
  <si>
    <t>DEV 2</t>
  </si>
  <si>
    <t>INCREMENTO 2</t>
  </si>
  <si>
    <t>INCREMENTO 3</t>
  </si>
  <si>
    <t>INCREMENTO 4</t>
  </si>
  <si>
    <t>Ejecución de pruebas (PRUEBAS INTEGRALES)</t>
  </si>
  <si>
    <t>Orientada a servicios</t>
  </si>
  <si>
    <t>Lider</t>
  </si>
  <si>
    <t>DEV SR</t>
  </si>
  <si>
    <t>QA</t>
  </si>
  <si>
    <t>DEV MID</t>
  </si>
  <si>
    <t xml:space="preserve"> + %Admin</t>
  </si>
  <si>
    <t>ANTICIPO (20%)</t>
  </si>
  <si>
    <t>Anticipo (20%)</t>
  </si>
  <si>
    <t>PRESUPUESTO TOTAL DEL PROYECTO</t>
  </si>
  <si>
    <t>PRESUPUESTO POR FASE PROYECTO</t>
  </si>
  <si>
    <t xml:space="preserve"> -Alta, edición de contratos.</t>
  </si>
  <si>
    <t>MODULO: CATÁLOGOS</t>
  </si>
  <si>
    <t xml:space="preserve"> -Archivar contratos: Dar por terminado contratos y detener la carga de información relacionada, seguira disponible para consulta</t>
  </si>
  <si>
    <t>Configuración de información para pruebas</t>
  </si>
  <si>
    <t>PPTO</t>
  </si>
  <si>
    <t>FACTURACION POR MES</t>
  </si>
  <si>
    <t xml:space="preserve"> -Alta,edición de centros de costo</t>
  </si>
  <si>
    <r>
      <t xml:space="preserve">Centros de costo
</t>
    </r>
    <r>
      <rPr>
        <sz val="12"/>
        <rFont val="Arial Nova Light"/>
        <family val="2"/>
      </rPr>
      <t xml:space="preserve"> - Listado de centros de costo</t>
    </r>
  </si>
  <si>
    <r>
      <t xml:space="preserve">Fuentes de fondeo
</t>
    </r>
    <r>
      <rPr>
        <sz val="12"/>
        <rFont val="Arial Nova Light"/>
        <family val="2"/>
      </rPr>
      <t xml:space="preserve"> - Listado de fuentes de fondeo</t>
    </r>
  </si>
  <si>
    <t xml:space="preserve"> -Alta,edición de fuentes de fondeo</t>
  </si>
  <si>
    <r>
      <t xml:space="preserve">Solicitud de presupuesto
</t>
    </r>
    <r>
      <rPr>
        <sz val="12"/>
        <rFont val="Arial Nova Light"/>
        <family val="2"/>
      </rPr>
      <t xml:space="preserve"> - Listado de solicitudes de presupuesto</t>
    </r>
  </si>
  <si>
    <t xml:space="preserve"> - Impresión de formato de solicitud de presupuesto</t>
  </si>
  <si>
    <t xml:space="preserve"> - Flujo de autorizaciones de presupuesto</t>
  </si>
  <si>
    <t xml:space="preserve"> - Captura de solicitud de presupuesto
     Alta de datos generales de prespuesto por centro de costos,
     Adjunta informacion de proyectos asi como cotizaciones posibles de los proveedores.</t>
  </si>
  <si>
    <r>
      <t xml:space="preserve">Estrategia de fondeo
</t>
    </r>
    <r>
      <rPr>
        <sz val="12"/>
        <rFont val="Arial Nova Light"/>
        <family val="2"/>
      </rPr>
      <t xml:space="preserve"> -Listado historico de presupuestos</t>
    </r>
  </si>
  <si>
    <t xml:space="preserve"> - Captura de estrategia de fondeo: Fondeo Idea, Fondeo probable, fondeo pesimista.</t>
  </si>
  <si>
    <t xml:space="preserve"> - Informe de egresos anual</t>
  </si>
  <si>
    <t xml:space="preserve"> - Informe de fondeo anual</t>
  </si>
  <si>
    <t xml:space="preserve"> - Informe de balance por centro de costos, por mes</t>
  </si>
  <si>
    <t xml:space="preserve"> - Filtros de generación de reporte </t>
  </si>
  <si>
    <t xml:space="preserve"> - Porcentaje correspondiente por costos indirectos</t>
  </si>
  <si>
    <t>INFORME DE PRESUPUESTOS EGRESOS - INGRESOS GLOBAL</t>
  </si>
  <si>
    <t>INFORME DE OVERHEAD</t>
  </si>
  <si>
    <t>INFORME DE EGRESOS-INGRESOS MENSUAL</t>
  </si>
  <si>
    <t xml:space="preserve"> -Alta,edición de información de proyectos</t>
  </si>
  <si>
    <t xml:space="preserve"> -Resumen de situación de proyecto</t>
  </si>
  <si>
    <t>MÓDULO: OPERACIÓN</t>
  </si>
  <si>
    <t>PRESUPUESTOS</t>
  </si>
  <si>
    <t xml:space="preserve"> -  Formato de orden de compra</t>
  </si>
  <si>
    <t xml:space="preserve"> -  Consulta de orden de compra</t>
  </si>
  <si>
    <t xml:space="preserve"> -  Cambio de estatus de orden de compra</t>
  </si>
  <si>
    <t>Reportes</t>
  </si>
  <si>
    <t xml:space="preserve"> -  Adjuntar información de orden de compra</t>
  </si>
  <si>
    <t>Personalizar Dashboard</t>
  </si>
  <si>
    <t>INVERSION IMPLEMENTACION</t>
  </si>
  <si>
    <t>INVERSION ADAPTACION</t>
  </si>
  <si>
    <r>
      <rPr>
        <b/>
        <sz val="12"/>
        <rFont val="Arial Nova Light"/>
        <family val="2"/>
      </rPr>
      <t>Parámetros de sistema</t>
    </r>
    <r>
      <rPr>
        <sz val="12"/>
        <rFont val="Arial Nova Light"/>
        <family val="2"/>
      </rPr>
      <t xml:space="preserve">
 - Configuraciones para envio de correo
 - Configurar politicas de contraseña
 - Configurar politicas de requisiciones, presupuestos
 - Configurar mensaje predeterminado de correo de compras</t>
    </r>
  </si>
  <si>
    <r>
      <rPr>
        <b/>
        <sz val="12"/>
        <rFont val="Arial Nova Light"/>
        <family val="2"/>
      </rPr>
      <t>Perfiles de usuario</t>
    </r>
    <r>
      <rPr>
        <sz val="12"/>
        <rFont val="Arial Nova Light"/>
        <family val="2"/>
      </rPr>
      <t xml:space="preserve">
Administración de los perfiles de usuario </t>
    </r>
  </si>
  <si>
    <r>
      <rPr>
        <b/>
        <sz val="12"/>
        <rFont val="Arial Nova Light"/>
        <family val="2"/>
      </rPr>
      <t>Usuarios</t>
    </r>
    <r>
      <rPr>
        <sz val="12"/>
        <rFont val="Arial Nova Light"/>
        <family val="2"/>
      </rPr>
      <t xml:space="preserve">
- Administración de usuarios y permisos
- Reniciar contraseña de usuario
- Bloqueo de usuarios</t>
    </r>
  </si>
  <si>
    <t>CONFIGURACIÓN</t>
  </si>
  <si>
    <r>
      <rPr>
        <b/>
        <sz val="12"/>
        <rFont val="Arial Nova Light"/>
        <family val="2"/>
      </rPr>
      <t>Flujo de autorizaciones</t>
    </r>
    <r>
      <rPr>
        <sz val="12"/>
        <rFont val="Arial Nova Light"/>
        <family val="2"/>
      </rPr>
      <t xml:space="preserve">
- Administración flujo de autorizaciones para presupuestos y para solicitudes de compra</t>
    </r>
  </si>
  <si>
    <r>
      <t xml:space="preserve">Proveedores
</t>
    </r>
    <r>
      <rPr>
        <sz val="12"/>
        <rFont val="Arial Nova Light"/>
        <family val="2"/>
      </rPr>
      <t xml:space="preserve"> - Listado de proveedores
 - Alta, baja, edición de proveedores</t>
    </r>
    <r>
      <rPr>
        <b/>
        <sz val="12"/>
        <rFont val="Arial Nova Light"/>
        <family val="2"/>
      </rPr>
      <t xml:space="preserve">
 </t>
    </r>
    <r>
      <rPr>
        <sz val="12"/>
        <rFont val="Arial Nova Light"/>
        <family val="2"/>
      </rPr>
      <t xml:space="preserve">- Contactos de proveedor
 - Terminos y condiciones que aplican al proveedor
 - Adjuntar evaluación de proveedor y acreditarlo como proveedor preferente
 - Envío personal ó masivo de correo a proveedor para avisos </t>
    </r>
  </si>
  <si>
    <r>
      <t xml:space="preserve">Catálogo de conceptos
</t>
    </r>
    <r>
      <rPr>
        <sz val="12"/>
        <rFont val="Arial Nova Light"/>
        <family val="2"/>
      </rPr>
      <t xml:space="preserve"> - Funciona para dar de alta conceptos que nos ayudan a clasificar mas adelante la información ej: Motivos de rechazo, Departamentos, Áreas beneficiadas, Unidad de medida.</t>
    </r>
  </si>
  <si>
    <r>
      <t xml:space="preserve">Tipos de compra
</t>
    </r>
    <r>
      <rPr>
        <sz val="12"/>
        <rFont val="Arial Nova Light"/>
        <family val="2"/>
      </rPr>
      <t xml:space="preserve"> - Catalogo que nos permite distinguir que tipos de compra se realizaran para hacer un análisis posterior</t>
    </r>
  </si>
  <si>
    <r>
      <rPr>
        <b/>
        <sz val="12"/>
        <color rgb="FF0070C0"/>
        <rFont val="Arial Nova Light"/>
        <family val="2"/>
      </rPr>
      <t>PROYECTOS</t>
    </r>
    <r>
      <rPr>
        <b/>
        <sz val="12"/>
        <rFont val="Arial Nova Light"/>
        <family val="2"/>
      </rPr>
      <t xml:space="preserve">
</t>
    </r>
    <r>
      <rPr>
        <sz val="12"/>
        <rFont val="Arial Nova Light"/>
        <family val="2"/>
      </rPr>
      <t xml:space="preserve"> - Listado de proyectos</t>
    </r>
  </si>
  <si>
    <r>
      <rPr>
        <b/>
        <sz val="12"/>
        <color rgb="FF0070C0"/>
        <rFont val="Arial Nova Light"/>
        <family val="2"/>
      </rPr>
      <t>CONTRATOS</t>
    </r>
    <r>
      <rPr>
        <b/>
        <sz val="12"/>
        <rFont val="Arial Nova Light"/>
        <family val="2"/>
      </rPr>
      <t xml:space="preserve">
</t>
    </r>
    <r>
      <rPr>
        <sz val="12"/>
        <rFont val="Arial Nova Light"/>
        <family val="2"/>
      </rPr>
      <t xml:space="preserve"> - Listado de contratos dados de alta</t>
    </r>
  </si>
  <si>
    <t>SOLICITUDES DE COMPRA</t>
  </si>
  <si>
    <r>
      <rPr>
        <b/>
        <sz val="12"/>
        <rFont val="Arial Nova Light"/>
        <family val="2"/>
      </rPr>
      <t xml:space="preserve">Panel de solicitudes de compra
</t>
    </r>
    <r>
      <rPr>
        <sz val="12"/>
        <rFont val="Arial Nova Light"/>
        <family val="2"/>
      </rPr>
      <t xml:space="preserve"> - Listado de requisiciones
 - Procesamiento masivo de requisiciones
 - Generar formato PDF de la requisicion
 - Exportar listado de requisiciones</t>
    </r>
  </si>
  <si>
    <r>
      <rPr>
        <b/>
        <sz val="12"/>
        <rFont val="Arial Nova Light"/>
        <family val="2"/>
      </rPr>
      <t xml:space="preserve">Crear solicitud de compra
</t>
    </r>
    <r>
      <rPr>
        <sz val="12"/>
        <rFont val="Arial Nova Light"/>
        <family val="2"/>
      </rPr>
      <t xml:space="preserve"> - Captura de datos generales de compra (Proveedor, proyecto, centro de costos)
 - Anexar cotizaciones de acuerdo al rango de monto de requisicion
 - Flujo de aprobaciones de compra 
 - Validación de presupuesto disponible 
 - Generación de orden de compra (PDF y registro de compra)
 - Aviso a proveedores de generación de compra</t>
    </r>
  </si>
  <si>
    <r>
      <rPr>
        <b/>
        <sz val="12"/>
        <rFont val="Arial Nova Light"/>
        <family val="2"/>
      </rPr>
      <t xml:space="preserve">Consulta histórica de solicitudes de compra
</t>
    </r>
    <r>
      <rPr>
        <sz val="12"/>
        <rFont val="Arial Nova Light"/>
        <family val="2"/>
      </rPr>
      <t xml:space="preserve"> - Consulta con filtros de solicitudes archivadas</t>
    </r>
  </si>
  <si>
    <t>ORDENES DE COMPRA</t>
  </si>
  <si>
    <r>
      <t xml:space="preserve">Graficas 
</t>
    </r>
    <r>
      <rPr>
        <sz val="12"/>
        <rFont val="Arial Nova Light"/>
        <family val="2"/>
      </rPr>
      <t xml:space="preserve">  - Solicitudes de compra por estatus
  - Solicitudes de compra por proyecto
  - Solicitudes de compra por proyecto /Monto
  - Solicitudes por centro de costos
  - Solicitudes por centro de costos /Monto
  - Motivos de rechazo</t>
    </r>
  </si>
  <si>
    <r>
      <rPr>
        <b/>
        <sz val="12"/>
        <color rgb="FF0070C0"/>
        <rFont val="Arial Nova Light"/>
        <family val="2"/>
      </rPr>
      <t>DASHBOARD</t>
    </r>
    <r>
      <rPr>
        <b/>
        <sz val="12"/>
        <rFont val="Arial Nova Light"/>
        <family val="2"/>
      </rPr>
      <t xml:space="preserve">
</t>
    </r>
    <r>
      <rPr>
        <sz val="12"/>
        <rFont val="Arial Nova Light"/>
        <family val="2"/>
      </rPr>
      <t xml:space="preserve"> - Indicadores principales de operación</t>
    </r>
  </si>
  <si>
    <t xml:space="preserve"> -Notificaciones</t>
  </si>
  <si>
    <r>
      <rPr>
        <b/>
        <sz val="12"/>
        <rFont val="Arial Nova Light"/>
        <family val="2"/>
      </rPr>
      <t>Acceso a sistema</t>
    </r>
    <r>
      <rPr>
        <sz val="12"/>
        <rFont val="Arial Nova Light"/>
        <family val="2"/>
      </rPr>
      <t xml:space="preserve">
Acceso mediante usuario y contraseña</t>
    </r>
  </si>
  <si>
    <t>Recuperación de contraseña</t>
  </si>
  <si>
    <t xml:space="preserve"> -Pantalla de inicio con acceso al menú de acuerdo a permisos del usuario</t>
  </si>
  <si>
    <r>
      <rPr>
        <b/>
        <sz val="12"/>
        <color rgb="FF0070C0"/>
        <rFont val="Arial Nova Light"/>
        <family val="2"/>
      </rPr>
      <t>DIRECTORIO DE PROVEEDORES</t>
    </r>
    <r>
      <rPr>
        <b/>
        <sz val="12"/>
        <rFont val="Arial Nova Light"/>
        <family val="2"/>
      </rPr>
      <t xml:space="preserve">
</t>
    </r>
    <r>
      <rPr>
        <sz val="12"/>
        <rFont val="Arial Nova Light"/>
        <family val="2"/>
      </rPr>
      <t xml:space="preserve"> - Sección que permitira a todos los usuarios ver proveedores pro busqueda o filtrado por categoría</t>
    </r>
  </si>
  <si>
    <t xml:space="preserve"> -  Listado de ordenes de compra</t>
  </si>
  <si>
    <t>Diseño de UI/UX</t>
  </si>
  <si>
    <t>Configuración información para inicio en producción
Liberación a tiendas (play store)</t>
  </si>
  <si>
    <t>UX (50%)</t>
  </si>
  <si>
    <t>.NET Core (Web), Net Core Api (Servicios)</t>
  </si>
  <si>
    <t>NO ES REQUERIDA POR EL MOMENTO</t>
  </si>
  <si>
    <t xml:space="preserve"> - Recuperación de contraseña
  Recuperación de la cuenta con verificación de dos pasos mediante la confirmación del correo electronico.
</t>
  </si>
  <si>
    <t>Capacitación a usuarios finales (administrativos)</t>
  </si>
  <si>
    <t xml:space="preserve">React js (Web) </t>
  </si>
  <si>
    <t>Proyecto:  Admin Eventos</t>
  </si>
  <si>
    <t xml:space="preserve">ADMINISTRADOR DE EVENTOS
</t>
  </si>
  <si>
    <t>Boletos</t>
  </si>
  <si>
    <t xml:space="preserve"> - Eliminación de tipo de boleto</t>
  </si>
  <si>
    <t>Metodos de pago</t>
  </si>
  <si>
    <t>Cupones de descuento</t>
  </si>
  <si>
    <t>Estadisticas del evento</t>
  </si>
  <si>
    <t>Procesos del evento</t>
  </si>
  <si>
    <t xml:space="preserve"> - Reimpresión de ticket el día del evento con nombre, núm de reserva ó correo.
</t>
  </si>
  <si>
    <t xml:space="preserve">SITIO EN LÍNEA
</t>
  </si>
  <si>
    <t>Proceso de compra</t>
  </si>
  <si>
    <t>Crear cuenta de usuario</t>
  </si>
  <si>
    <t>Envíar correo de registro de cuenta</t>
  </si>
  <si>
    <t>Catalogo de tipos de evento</t>
  </si>
  <si>
    <t>Catalogo de categoría de evento</t>
  </si>
  <si>
    <t>Integración webhooks para confirmación de pagos</t>
  </si>
  <si>
    <t>2.- Identificación de cliente</t>
  </si>
  <si>
    <t>6.- Procesamiento de pago</t>
  </si>
  <si>
    <t xml:space="preserve"> - Reimpresión de carnet 
</t>
  </si>
  <si>
    <t>Busqueda de eventos</t>
  </si>
  <si>
    <t>APP SCAN TICKETS
ANDROID</t>
  </si>
  <si>
    <t>Estabilización
  * Acompañamiento en un evento real</t>
  </si>
  <si>
    <t>Expo Guadalajara requiere tener una plataforma para organizar el pago y acceso a los eventos, la plataforma debe de tener la capacidad de administrar los eventos en línea, procesar la compra de boletos, tener un app para el escaneo de boletos el día del evento
Adicional poder darle a los clientes de Expo Guadalajara la facilidad de ver en tiempo real las estadisticas de ventas de los boletos.
A lo largo del documento se detallan  factores importantes, que significan ventajas para considerar a Axsis como la mejor opción para lograr desarrollar este proyecto dentro de los parámetros de tiempo, costo y calidad que se requiere.
Esta propuesta fue realizada en la información que oportunamente nos facilitaron, esperando
que satisfaga sus expectativas y quedamos en espera de sus comentarios.</t>
  </si>
  <si>
    <r>
      <t xml:space="preserve">Pantalla de inicio
</t>
    </r>
    <r>
      <rPr>
        <sz val="11"/>
        <rFont val="Roboto"/>
      </rPr>
      <t xml:space="preserve"> Pantalla de bienvenida al administrador donde se podran obervar indicadores principales del negocio</t>
    </r>
  </si>
  <si>
    <r>
      <rPr>
        <b/>
        <sz val="11"/>
        <color theme="1" tint="0.14999847407452621"/>
        <rFont val="Roboto"/>
      </rPr>
      <t>EVENTO</t>
    </r>
    <r>
      <rPr>
        <sz val="11"/>
        <color theme="1" tint="0.14999847407452621"/>
        <rFont val="Roboto"/>
      </rPr>
      <t xml:space="preserve">
</t>
    </r>
    <r>
      <rPr>
        <sz val="11"/>
        <rFont val="Roboto"/>
      </rPr>
      <t>Pasos para la creación del evento</t>
    </r>
  </si>
  <si>
    <r>
      <t xml:space="preserve">Listado de eventos
</t>
    </r>
    <r>
      <rPr>
        <sz val="11"/>
        <rFont val="Roboto"/>
      </rPr>
      <t>Vista en un listado de los eventos actuales , podra ver información general del evento ( Nombre, Fecha, Tipo de evento, Ventas, Ubicación)</t>
    </r>
  </si>
  <si>
    <r>
      <t xml:space="preserve">
</t>
    </r>
    <r>
      <rPr>
        <b/>
        <sz val="11"/>
        <color rgb="FF009999"/>
        <rFont val="Roboto"/>
      </rPr>
      <t>CREAR EVENTO</t>
    </r>
    <r>
      <rPr>
        <b/>
        <sz val="11"/>
        <rFont val="Roboto"/>
      </rPr>
      <t xml:space="preserve">
Datos generales del evento
</t>
    </r>
    <r>
      <rPr>
        <sz val="11"/>
        <rFont val="Roboto"/>
      </rPr>
      <t xml:space="preserve">  - Ingresa la información basica: Nombre de evento, url, Tipo de evento, Descripción de evento, tipo de evento.
 - Fecha,hora y lugar de evento
 - Banner y logotipo  del evento </t>
    </r>
    <r>
      <rPr>
        <b/>
        <sz val="11"/>
        <rFont val="Roboto"/>
      </rPr>
      <t xml:space="preserve">
</t>
    </r>
    <r>
      <rPr>
        <sz val="11"/>
        <rFont val="Roboto"/>
      </rPr>
      <t xml:space="preserve"> - Activar visibilidad de evento</t>
    </r>
    <r>
      <rPr>
        <b/>
        <sz val="11"/>
        <rFont val="Roboto"/>
      </rPr>
      <t xml:space="preserve">
</t>
    </r>
    <r>
      <rPr>
        <sz val="11"/>
        <rFont val="Roboto"/>
      </rPr>
      <t xml:space="preserve"> - Habilitar evento a personal interno</t>
    </r>
  </si>
  <si>
    <r>
      <t xml:space="preserve">Configurar campos de captura
</t>
    </r>
    <r>
      <rPr>
        <sz val="11"/>
        <rFont val="Roboto"/>
      </rPr>
      <t xml:space="preserve">  - Se podra configurar los campos que apareceran en el formulario al comprar el boleto esto funcionara para obtener datos particulares de acuerdo al tipo de evento.</t>
    </r>
  </si>
  <si>
    <r>
      <t xml:space="preserve">Datos de organizador
</t>
    </r>
    <r>
      <rPr>
        <sz val="11"/>
        <rFont val="Roboto"/>
      </rPr>
      <t xml:space="preserve">  - Correo, telefono, redes sociales de evento (FB, X, Tiktok,Instagram)
  - Configurar usuarios cliente / vendedor / organizador</t>
    </r>
  </si>
  <si>
    <r>
      <t xml:space="preserve">Configuración de politicas de boletos
</t>
    </r>
    <r>
      <rPr>
        <sz val="11"/>
        <rFont val="Roboto"/>
      </rPr>
      <t xml:space="preserve">  - Cargo por servicio 
  - Minimo, Máximo de boletos por transacción</t>
    </r>
    <r>
      <rPr>
        <b/>
        <sz val="11"/>
        <rFont val="Roboto"/>
      </rPr>
      <t xml:space="preserve">
</t>
    </r>
    <r>
      <rPr>
        <sz val="11"/>
        <rFont val="Roboto"/>
      </rPr>
      <t xml:space="preserve">  - Minimo, Maximo de reservas</t>
    </r>
    <r>
      <rPr>
        <b/>
        <sz val="11"/>
        <rFont val="Roboto"/>
      </rPr>
      <t xml:space="preserve">
</t>
    </r>
    <r>
      <rPr>
        <sz val="11"/>
        <rFont val="Roboto"/>
      </rPr>
      <t xml:space="preserve">  - Tiempo de reserva</t>
    </r>
  </si>
  <si>
    <r>
      <t xml:space="preserve">Configuración de boletos
</t>
    </r>
    <r>
      <rPr>
        <sz val="11"/>
        <rFont val="Roboto"/>
      </rPr>
      <t xml:space="preserve">  - Nombre del tipo de boleto
  - Precio
  - Cantidad disponible
  - Fechas de venta
  - Descripción de boleto</t>
    </r>
  </si>
  <si>
    <r>
      <t xml:space="preserve">Configuración de metodos de pago
</t>
    </r>
    <r>
      <rPr>
        <sz val="11"/>
        <rFont val="Roboto"/>
      </rPr>
      <t xml:space="preserve">  - Habilitar, deshabilitar metodos de pago
  - Habilitación por fechas</t>
    </r>
  </si>
  <si>
    <r>
      <t xml:space="preserve">Listado de cupones 
</t>
    </r>
    <r>
      <rPr>
        <sz val="11"/>
        <rFont val="Roboto"/>
      </rPr>
      <t xml:space="preserve">  - Habilitar, deshabilitar cupon</t>
    </r>
  </si>
  <si>
    <r>
      <t xml:space="preserve">Crear cupón
</t>
    </r>
    <r>
      <rPr>
        <sz val="11"/>
        <rFont val="Roboto"/>
      </rPr>
      <t xml:space="preserve">  - Ingresa configuración para crear un cupon: Codigo, Tipo de boleto que aplica, Tipo de descuento (Importe, Porcentaje, 3x2 (XporY) , máximo de uso.</t>
    </r>
  </si>
  <si>
    <r>
      <t xml:space="preserve">Dasboard principal de seguimiento a evento
</t>
    </r>
    <r>
      <rPr>
        <sz val="11"/>
        <rFont val="Roboto"/>
      </rPr>
      <t xml:space="preserve">  - Boletos vendidos
  - Ingresos 
  - Ventas por metodo de pago
  - Reservas realizadas
  - Ventas por tipo de boleto</t>
    </r>
  </si>
  <si>
    <r>
      <t xml:space="preserve">Dashboard de seguimiento a evento en vivo
</t>
    </r>
    <r>
      <rPr>
        <sz val="11"/>
        <rFont val="Roboto"/>
      </rPr>
      <t xml:space="preserve">  - Monitoreo de ingresos
  - Estadistica de ingresos por hora
  </t>
    </r>
  </si>
  <si>
    <r>
      <t>Reporte Audit</t>
    </r>
    <r>
      <rPr>
        <sz val="11"/>
        <rFont val="Roboto"/>
      </rPr>
      <t xml:space="preserve">  </t>
    </r>
  </si>
  <si>
    <r>
      <t xml:space="preserve">Consulta de clientes
</t>
    </r>
    <r>
      <rPr>
        <sz val="11"/>
        <rFont val="Roboto"/>
      </rPr>
      <t xml:space="preserve"> * Registro de la base de datos con los compradores de boletos</t>
    </r>
    <r>
      <rPr>
        <b/>
        <sz val="11"/>
        <rFont val="Roboto"/>
      </rPr>
      <t xml:space="preserve"> 
   (Nombre , Correo y datos adicionales solicitados)</t>
    </r>
  </si>
  <si>
    <r>
      <t xml:space="preserve">Consulta log de eventos
</t>
    </r>
    <r>
      <rPr>
        <sz val="11"/>
        <rFont val="Roboto"/>
      </rPr>
      <t xml:space="preserve"> Consulta todas las actividades que se realizan en el evento</t>
    </r>
  </si>
  <si>
    <r>
      <t xml:space="preserve">Impresión de tickets
</t>
    </r>
    <r>
      <rPr>
        <sz val="11"/>
        <rFont val="Roboto"/>
      </rPr>
      <t xml:space="preserve">  Impresión fisica de tickets con el objetivo de regalar cortesias ó venta en sitio</t>
    </r>
  </si>
  <si>
    <r>
      <t xml:space="preserve">Reenvio de tickets
</t>
    </r>
    <r>
      <rPr>
        <sz val="11"/>
        <rFont val="Roboto"/>
      </rPr>
      <t xml:space="preserve">  Pantalla para dar asistencia y realizar el reenvio de los boletos al correo registrado originalmente</t>
    </r>
  </si>
  <si>
    <r>
      <t xml:space="preserve">Registro de ventas fisicas
</t>
    </r>
    <r>
      <rPr>
        <sz val="11"/>
        <rFont val="Roboto"/>
      </rPr>
      <t xml:space="preserve">  Sección en la que se captura de manera manual la venta de entradas</t>
    </r>
    <r>
      <rPr>
        <b/>
        <sz val="11"/>
        <rFont val="Roboto"/>
      </rPr>
      <t xml:space="preserve"> </t>
    </r>
    <r>
      <rPr>
        <sz val="11"/>
        <rFont val="Roboto"/>
      </rPr>
      <t>del evento</t>
    </r>
  </si>
  <si>
    <r>
      <t xml:space="preserve">Vincular eventos
</t>
    </r>
    <r>
      <rPr>
        <sz val="11"/>
        <rFont val="Roboto"/>
      </rPr>
      <t xml:space="preserve">  Vincular evento a un evento principal o secundario, con el objetivo de mostrar las estadisticas en conjunto</t>
    </r>
  </si>
  <si>
    <r>
      <t xml:space="preserve">Copiar evento
</t>
    </r>
    <r>
      <rPr>
        <sz val="11"/>
        <rFont val="Roboto"/>
      </rPr>
      <t xml:space="preserve">  - Configuración de la copia del evento</t>
    </r>
  </si>
  <si>
    <r>
      <t xml:space="preserve">Acceso ala plataforma
</t>
    </r>
    <r>
      <rPr>
        <sz val="11"/>
        <rFont val="Roboto"/>
      </rPr>
      <t xml:space="preserve"> - Acceso mediante usuaro  y contraseña a plataforma
</t>
    </r>
  </si>
  <si>
    <r>
      <t xml:space="preserve">Configuración de perfiles
</t>
    </r>
    <r>
      <rPr>
        <sz val="11"/>
        <rFont val="Roboto"/>
      </rPr>
      <t xml:space="preserve"> -Administración de perfiles de la plataforma</t>
    </r>
  </si>
  <si>
    <r>
      <t xml:space="preserve">Configuración de usuarios internos y administración de cuentas de cliente
</t>
    </r>
    <r>
      <rPr>
        <sz val="11"/>
        <rFont val="Roboto"/>
      </rPr>
      <t xml:space="preserve"> - Alta, edición y baja de cuentas
</t>
    </r>
  </si>
  <si>
    <r>
      <t xml:space="preserve">Permisos
</t>
    </r>
    <r>
      <rPr>
        <sz val="11"/>
        <rFont val="Roboto"/>
      </rPr>
      <t xml:space="preserve"> -Administración de permisos alas funcionalidad  y/o autorizaciones</t>
    </r>
  </si>
  <si>
    <r>
      <t xml:space="preserve">Envío de notificaciones
</t>
    </r>
    <r>
      <rPr>
        <sz val="11"/>
        <rFont val="Roboto"/>
      </rPr>
      <t xml:space="preserve"> - Funcionalidad interna que disparara las notificaciones del proceso a los involucrados, estas notificaciones se realizaran por correo electronico y apareceran al ingresar al sistema. 
* Revisar si se desea enviar notificaciones por algun medio como whatsapp.</t>
    </r>
  </si>
  <si>
    <r>
      <t xml:space="preserve">Parametros de sistema
</t>
    </r>
    <r>
      <rPr>
        <sz val="11"/>
        <rFont val="Roboto"/>
      </rPr>
      <t xml:space="preserve"> -Pantalla donde se configuran datos parametrizables de la aplicación</t>
    </r>
  </si>
  <si>
    <r>
      <t xml:space="preserve">Integración con pasarelas de pago
</t>
    </r>
    <r>
      <rPr>
        <sz val="11"/>
        <rFont val="Roboto"/>
      </rPr>
      <t xml:space="preserve"> Se contempla la integración con 4 plataformas de pago :
   - FISERV, OPENPAY, CONEKTA, PAYPAL</t>
    </r>
  </si>
  <si>
    <r>
      <t xml:space="preserve">Pantalla de inicio de venta en Línea de Expositores de Guadalajara
</t>
    </r>
    <r>
      <rPr>
        <sz val="11"/>
        <rFont val="Roboto"/>
      </rPr>
      <t xml:space="preserve"> Pantalla de inicio en donde se muestran en un mosaico todos los eventos disponibles</t>
    </r>
  </si>
  <si>
    <r>
      <t xml:space="preserve">Acceder ala cuenta
</t>
    </r>
    <r>
      <rPr>
        <sz val="11"/>
        <rFont val="Roboto"/>
      </rPr>
      <t xml:space="preserve">  - Acceso de cliente a su cuenta</t>
    </r>
  </si>
  <si>
    <r>
      <t xml:space="preserve">Pantalla de perfil de usuario
</t>
    </r>
    <r>
      <rPr>
        <sz val="11"/>
        <rFont val="Roboto"/>
      </rPr>
      <t xml:space="preserve">  - Visualización a sus datos de usuario
  - Visualización de sus eventos ( Volver a descargar boletos, reenviar boletos)</t>
    </r>
  </si>
  <si>
    <r>
      <t xml:space="preserve">Detalle del evento
</t>
    </r>
    <r>
      <rPr>
        <sz val="11"/>
        <rFont val="Roboto"/>
      </rPr>
      <t xml:space="preserve"> Pantalla en donde se puede ver la información del evento y puede seleccionar los boletos a comprar</t>
    </r>
  </si>
  <si>
    <r>
      <t xml:space="preserve">1.- Selección de boletos
</t>
    </r>
    <r>
      <rPr>
        <sz val="11"/>
        <rFont val="Roboto"/>
      </rPr>
      <t xml:space="preserve">    - Ingresa los tipos y cantidades de boletos a comprar</t>
    </r>
  </si>
  <si>
    <r>
      <t xml:space="preserve">3.- Nombre de los boletos 
</t>
    </r>
    <r>
      <rPr>
        <sz val="11"/>
        <rFont val="Roboto"/>
      </rPr>
      <t xml:space="preserve">     - Ingresar por cada boleto a comprar</t>
    </r>
  </si>
  <si>
    <r>
      <t xml:space="preserve">4.- Aplicar cupones
</t>
    </r>
    <r>
      <rPr>
        <sz val="11"/>
        <rFont val="Roboto"/>
      </rPr>
      <t xml:space="preserve">     - Ingresar por cada boleto a comprar</t>
    </r>
  </si>
  <si>
    <r>
      <t xml:space="preserve">5.- Pago
</t>
    </r>
    <r>
      <rPr>
        <sz val="11"/>
        <rFont val="Roboto"/>
      </rPr>
      <t xml:space="preserve">     - Seleccionar metodo de pago
     - Información para el pago </t>
    </r>
  </si>
  <si>
    <r>
      <t xml:space="preserve">7.- Cierre de compra
</t>
    </r>
    <r>
      <rPr>
        <sz val="11"/>
        <rFont val="Roboto"/>
      </rPr>
      <t xml:space="preserve">    - Confirmación de pago 
    - Envío de boletos por correo electronico y descarga
    - Envío de carnet del evento
    - Pago en oxxo se descarga el documento</t>
    </r>
  </si>
  <si>
    <r>
      <t xml:space="preserve">Acceso a aplicación
</t>
    </r>
    <r>
      <rPr>
        <sz val="11"/>
        <rFont val="Roboto"/>
      </rPr>
      <t xml:space="preserve"> - Acceso mediante usuaro  y contraseña a plataforma
  * El usuario debera estar habilitado con acceso al app
</t>
    </r>
  </si>
  <si>
    <r>
      <t xml:space="preserve">Menú de eventos
</t>
    </r>
    <r>
      <rPr>
        <sz val="11"/>
        <rFont val="Roboto"/>
      </rPr>
      <t xml:space="preserve"> Muestra el listado de eventos que el usuario tiene acceso</t>
    </r>
  </si>
  <si>
    <r>
      <t xml:space="preserve">Checkin acceso
 Escaneo de codigo QR impreso o en pantalla
</t>
    </r>
    <r>
      <rPr>
        <sz val="11"/>
        <rFont val="Roboto"/>
      </rPr>
      <t xml:space="preserve">  - Indica si el boleto es correcto o incorrecto para el evento o si ya fue escaneado anteriormente
  - Al realizar el check marca el boleto como procesado 
  - Actualiza la estadistica de accesos en vivo
  - Crea listado de boletos procesados en el dispositivo</t>
    </r>
  </si>
  <si>
    <r>
      <t xml:space="preserve">Checkin de zona
 Escaneo de codigo QR para escaneo de zona o de tipo de boleto
</t>
    </r>
    <r>
      <rPr>
        <sz val="11"/>
        <rFont val="Roboto"/>
      </rPr>
      <t xml:space="preserve">  Esto permitira habilitar un filtro para seleccionar que tipo de boletos se aceptan para por ejemplo entrar a un conferencia para cierto boleto</t>
    </r>
  </si>
  <si>
    <r>
      <rPr>
        <b/>
        <sz val="11"/>
        <rFont val="Roboto"/>
      </rPr>
      <t>Análisis y diseño:</t>
    </r>
    <r>
      <rPr>
        <sz val="11"/>
        <rFont val="Roboto"/>
      </rPr>
      <t xml:space="preserve"> </t>
    </r>
  </si>
  <si>
    <r>
      <rPr>
        <b/>
        <sz val="11"/>
        <rFont val="Roboto"/>
      </rPr>
      <t>Herramienta para análisis y diseño:</t>
    </r>
    <r>
      <rPr>
        <sz val="11"/>
        <rFont val="Roboto"/>
      </rPr>
      <t xml:space="preserve"> </t>
    </r>
  </si>
  <si>
    <r>
      <rPr>
        <b/>
        <sz val="11"/>
        <rFont val="Roboto"/>
      </rPr>
      <t>Arquitectura de Software:</t>
    </r>
    <r>
      <rPr>
        <sz val="11"/>
        <rFont val="Roboto"/>
      </rPr>
      <t xml:space="preserve"> </t>
    </r>
  </si>
  <si>
    <r>
      <rPr>
        <b/>
        <sz val="11"/>
        <rFont val="Roboto"/>
      </rPr>
      <t>Plataforma de software:</t>
    </r>
    <r>
      <rPr>
        <sz val="11"/>
        <rFont val="Roboto"/>
      </rPr>
      <t xml:space="preserve"> </t>
    </r>
  </si>
  <si>
    <r>
      <rPr>
        <b/>
        <sz val="11"/>
        <rFont val="Roboto"/>
      </rPr>
      <t>Entorno de desarrollo:</t>
    </r>
    <r>
      <rPr>
        <sz val="11"/>
        <rFont val="Roboto"/>
      </rPr>
      <t xml:space="preserve"> </t>
    </r>
  </si>
  <si>
    <r>
      <rPr>
        <b/>
        <sz val="11"/>
        <rFont val="Roboto"/>
      </rPr>
      <t>Herramienta para la base de datos:</t>
    </r>
    <r>
      <rPr>
        <sz val="11"/>
        <rFont val="Roboto"/>
      </rPr>
      <t xml:space="preserve"> </t>
    </r>
  </si>
  <si>
    <r>
      <rPr>
        <b/>
        <sz val="11"/>
        <rFont val="Roboto"/>
      </rPr>
      <t>Software de terceros:</t>
    </r>
    <r>
      <rPr>
        <sz val="11"/>
        <rFont val="Roboto"/>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</si>
</sst>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_-* #,##0.00\ &quot;€&quot;_-;\-* #,##0.00\ &quot;€&quot;_-;_-* &quot;-&quot;??\ &quot;€&quot;_-;_-@_-"/>
    <numFmt numFmtId="165" formatCode="_-* #,##0.00\ _€_-;\-* #,##0.00\ _€_-;_-* &quot;-&quot;??\ _€_-;_-@_-"/>
    <numFmt numFmtId="166" formatCode="0.0"/>
    <numFmt numFmtId="167" formatCode="&quot;€&quot;#,##0"/>
    <numFmt numFmtId="168" formatCode="0.000"/>
    <numFmt numFmtId="169" formatCode="0.0%"/>
    <numFmt numFmtId="170" formatCode="_-[$$-80A]* #,##0.00_-;\-[$$-80A]* #,##0.00_-;_-[$$-80A]* &quot;-&quot;??_-;_-@_-"/>
    <numFmt numFmtId="171" formatCode="#,##0_ ;\-#,##0\ "/>
    <numFmt numFmtId="172" formatCode="#,##0.0_ ;\-#,##0.0\ "/>
  </numFmts>
  <fonts count="56" x14ac:knownFonts="1">
    <font>
      <sz val="11"/>
      <color theme="1"/>
      <name val="Calibri"/>
      <family val="2"/>
      <scheme val="minor"/>
    </font>
    <font>
      <b/>
      <sz val="18"/>
      <color indexed="56"/>
      <name val="Cambria"/>
      <family val="2"/>
    </font>
    <font>
      <sz val="10"/>
      <name val="Arial"/>
      <family val="2"/>
    </font>
    <font>
      <b/>
      <sz val="10"/>
      <name val="Arial"/>
      <family val="2"/>
    </font>
    <font>
      <sz val="11"/>
      <name val="Arial"/>
      <family val="2"/>
    </font>
    <font>
      <sz val="10"/>
      <name val="Verdana"/>
      <family val="2"/>
    </font>
    <font>
      <sz val="11"/>
      <color theme="1"/>
      <name val="Calibri"/>
      <family val="2"/>
      <scheme val="minor"/>
    </font>
    <font>
      <sz val="9"/>
      <color indexed="81"/>
      <name val="Tahoma"/>
      <family val="2"/>
    </font>
    <font>
      <b/>
      <sz val="9"/>
      <color indexed="81"/>
      <name val="Tahoma"/>
      <family val="2"/>
    </font>
    <font>
      <sz val="9"/>
      <color theme="1"/>
      <name val="Arial"/>
      <family val="2"/>
    </font>
    <font>
      <sz val="10"/>
      <name val="Arial"/>
      <family val="2"/>
    </font>
    <font>
      <b/>
      <sz val="11"/>
      <color theme="1"/>
      <name val="Calibri"/>
      <family val="2"/>
      <scheme val="minor"/>
    </font>
    <font>
      <b/>
      <sz val="10"/>
      <name val="Arial Nova Light"/>
      <family val="2"/>
    </font>
    <font>
      <sz val="10"/>
      <name val="Arial Nova Light"/>
      <family val="2"/>
    </font>
    <font>
      <b/>
      <sz val="12"/>
      <name val="Arial Nova Light"/>
      <family val="2"/>
    </font>
    <font>
      <sz val="12"/>
      <name val="Arial Nova Light"/>
      <family val="2"/>
    </font>
    <font>
      <b/>
      <sz val="12"/>
      <color theme="1"/>
      <name val="Arial Nova Light"/>
      <family val="2"/>
    </font>
    <font>
      <b/>
      <sz val="11"/>
      <name val="Arial Nova Light"/>
      <family val="2"/>
    </font>
    <font>
      <b/>
      <sz val="12"/>
      <color rgb="FF1F497D"/>
      <name val="Arial Nova Light"/>
      <family val="2"/>
    </font>
    <font>
      <sz val="8"/>
      <name val="Arial Nova Light"/>
      <family val="2"/>
    </font>
    <font>
      <sz val="10"/>
      <color rgb="FF4F81BD"/>
      <name val="Arial Nova Light"/>
      <family val="2"/>
    </font>
    <font>
      <sz val="10"/>
      <color rgb="FF808080"/>
      <name val="Arial Nova Light"/>
      <family val="2"/>
    </font>
    <font>
      <sz val="11"/>
      <color theme="1"/>
      <name val="Arial Nova Light"/>
      <family val="2"/>
    </font>
    <font>
      <sz val="12"/>
      <color theme="1"/>
      <name val="Arial Nova Light"/>
      <family val="2"/>
    </font>
    <font>
      <sz val="12"/>
      <color rgb="FF4F81BD"/>
      <name val="Arial Nova Light"/>
      <family val="2"/>
    </font>
    <font>
      <sz val="12"/>
      <color rgb="FF808080"/>
      <name val="Arial Nova Light"/>
      <family val="2"/>
    </font>
    <font>
      <b/>
      <sz val="12"/>
      <color theme="0"/>
      <name val="Arial Nova Light"/>
      <family val="2"/>
    </font>
    <font>
      <sz val="12"/>
      <color rgb="FFFF0000"/>
      <name val="Arial Nova Light"/>
      <family val="2"/>
    </font>
    <font>
      <b/>
      <sz val="12"/>
      <color rgb="FFFF0000"/>
      <name val="Arial Nova Light"/>
      <family val="2"/>
    </font>
    <font>
      <sz val="9"/>
      <color theme="1"/>
      <name val="Arial Nova Light"/>
      <family val="2"/>
    </font>
    <font>
      <sz val="11"/>
      <name val="Arial Nova Light"/>
      <family val="2"/>
    </font>
    <font>
      <b/>
      <sz val="14"/>
      <name val="Arial Nova Light"/>
      <family val="2"/>
    </font>
    <font>
      <b/>
      <sz val="16"/>
      <name val="Arial Nova Light"/>
      <family val="2"/>
    </font>
    <font>
      <sz val="7"/>
      <name val="Arial Nova Light"/>
      <family val="2"/>
    </font>
    <font>
      <b/>
      <sz val="12"/>
      <color rgb="FF002060"/>
      <name val="Arial Nova Light"/>
      <family val="2"/>
    </font>
    <font>
      <sz val="12"/>
      <color theme="0" tint="-0.14999847407452621"/>
      <name val="Arial Nova Light"/>
      <family val="2"/>
    </font>
    <font>
      <b/>
      <sz val="14"/>
      <color rgb="FF1F497D"/>
      <name val="Arial Nova Light"/>
      <family val="2"/>
    </font>
    <font>
      <sz val="8"/>
      <name val="Calibri"/>
      <family val="2"/>
      <scheme val="minor"/>
    </font>
    <font>
      <b/>
      <sz val="12"/>
      <color theme="4"/>
      <name val="Arial Nova Light"/>
      <family val="2"/>
    </font>
    <font>
      <b/>
      <sz val="14"/>
      <color rgb="FF00B0F0"/>
      <name val="Arial Nova Light"/>
      <family val="2"/>
    </font>
    <font>
      <sz val="12"/>
      <color rgb="FF00B0F0"/>
      <name val="Arial Nova Light"/>
      <family val="2"/>
    </font>
    <font>
      <sz val="14"/>
      <name val="Arial Nova Light"/>
      <family val="2"/>
    </font>
    <font>
      <sz val="14"/>
      <color theme="0" tint="-0.14999847407452621"/>
      <name val="Arial Nova Light"/>
      <family val="2"/>
    </font>
    <font>
      <b/>
      <sz val="14"/>
      <color theme="0"/>
      <name val="Arial Nova Light"/>
      <family val="2"/>
    </font>
    <font>
      <sz val="12"/>
      <color theme="0"/>
      <name val="Arial Nova Light"/>
      <family val="2"/>
    </font>
    <font>
      <b/>
      <sz val="12"/>
      <color rgb="FF0070C0"/>
      <name val="Arial Nova Light"/>
      <family val="2"/>
    </font>
    <font>
      <b/>
      <sz val="11"/>
      <name val="Roboto"/>
    </font>
    <font>
      <sz val="11"/>
      <name val="Roboto"/>
    </font>
    <font>
      <b/>
      <sz val="11"/>
      <color theme="0"/>
      <name val="Roboto"/>
    </font>
    <font>
      <sz val="11"/>
      <color theme="1" tint="0.14999847407452621"/>
      <name val="Roboto"/>
    </font>
    <font>
      <b/>
      <sz val="11"/>
      <color theme="1" tint="0.14999847407452621"/>
      <name val="Roboto"/>
    </font>
    <font>
      <b/>
      <sz val="11"/>
      <color rgb="FF009999"/>
      <name val="Roboto"/>
    </font>
    <font>
      <sz val="11"/>
      <color theme="1"/>
      <name val="Roboto"/>
    </font>
    <font>
      <b/>
      <sz val="11"/>
      <color rgb="FF000000"/>
      <name val="Roboto"/>
    </font>
    <font>
      <b/>
      <sz val="11"/>
      <color theme="4"/>
      <name val="Roboto"/>
    </font>
    <font>
      <b/>
      <sz val="11"/>
      <color theme="1"/>
      <name val="Roboto"/>
    </font>
  </fonts>
  <fills count="34">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DBE5F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8" tint="0.79998168889431442"/>
        <bgColor indexed="64"/>
      </patternFill>
    </fill>
    <fill>
      <gradientFill degree="90">
        <stop position="0">
          <color theme="3" tint="0.80001220740379042"/>
        </stop>
        <stop position="0.5">
          <color theme="4"/>
        </stop>
        <stop position="1">
          <color theme="3" tint="0.80001220740379042"/>
        </stop>
      </gradient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FF00"/>
        <bgColor indexed="64"/>
      </patternFill>
    </fill>
    <fill>
      <patternFill patternType="solid">
        <fgColor rgb="FF00FFFF"/>
        <bgColor indexed="64"/>
      </patternFill>
    </fill>
    <fill>
      <patternFill patternType="solid">
        <fgColor theme="0"/>
        <bgColor auto="1"/>
      </patternFill>
    </fill>
    <fill>
      <patternFill patternType="solid">
        <fgColor rgb="FFB9FB7D"/>
        <bgColor indexed="64"/>
      </patternFill>
    </fill>
    <fill>
      <patternFill patternType="solid">
        <fgColor theme="6"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206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009999"/>
        <bgColor indexed="64"/>
      </patternFill>
    </fill>
    <fill>
      <patternFill patternType="solid">
        <fgColor rgb="FFD0E7FA"/>
        <bgColor indexed="64"/>
      </patternFill>
    </fill>
  </fills>
  <borders count="64">
    <border>
      <left/>
      <right/>
      <top/>
      <bottom/>
      <diagonal/>
    </border>
    <border>
      <left style="thin">
        <color indexed="22"/>
      </left>
      <right style="thin">
        <color indexed="22"/>
      </right>
      <top style="thin">
        <color indexed="22"/>
      </top>
      <bottom style="thin">
        <color indexed="22"/>
      </bottom>
      <diagonal/>
    </border>
    <border>
      <left/>
      <right/>
      <top style="thin">
        <color indexed="22"/>
      </top>
      <bottom style="thin">
        <color indexed="22"/>
      </bottom>
      <diagonal/>
    </border>
    <border>
      <left style="thin">
        <color theme="3"/>
      </left>
      <right/>
      <top style="thin">
        <color theme="3"/>
      </top>
      <bottom style="thin">
        <color theme="3"/>
      </bottom>
      <diagonal/>
    </border>
    <border>
      <left/>
      <right/>
      <top style="thin">
        <color theme="3"/>
      </top>
      <bottom style="thin">
        <color theme="3"/>
      </bottom>
      <diagonal/>
    </border>
    <border>
      <left style="thin">
        <color theme="3"/>
      </left>
      <right style="thin">
        <color theme="3"/>
      </right>
      <top style="thin">
        <color theme="3"/>
      </top>
      <bottom style="thin">
        <color theme="3"/>
      </bottom>
      <diagonal/>
    </border>
    <border>
      <left style="medium">
        <color rgb="FF808080"/>
      </left>
      <right style="medium">
        <color rgb="FF808080"/>
      </right>
      <top style="medium">
        <color rgb="FF808080"/>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rgb="FF808080"/>
      </left>
      <right style="medium">
        <color rgb="FF808080"/>
      </right>
      <top style="medium">
        <color rgb="FF808080"/>
      </top>
      <bottom style="medium">
        <color rgb="FF808080"/>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2"/>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bottom style="thin">
        <color theme="0"/>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5117038483843"/>
      </left>
      <right/>
      <top style="thin">
        <color theme="3" tint="0.79995117038483843"/>
      </top>
      <bottom style="thin">
        <color theme="3" tint="0.79995117038483843"/>
      </bottom>
      <diagonal/>
    </border>
    <border>
      <left/>
      <right/>
      <top style="thin">
        <color theme="3" tint="0.79995117038483843"/>
      </top>
      <bottom style="thin">
        <color theme="3" tint="0.79995117038483843"/>
      </bottom>
      <diagonal/>
    </border>
    <border>
      <left/>
      <right style="thin">
        <color theme="3" tint="0.79998168889431442"/>
      </right>
      <top style="thin">
        <color theme="3" tint="0.79995117038483843"/>
      </top>
      <bottom style="thin">
        <color theme="3" tint="0.79995117038483843"/>
      </bottom>
      <diagonal/>
    </border>
    <border>
      <left style="thin">
        <color theme="3" tint="0.79995117038483843"/>
      </left>
      <right style="thin">
        <color theme="3" tint="0.79998168889431442"/>
      </right>
      <top style="thin">
        <color theme="3" tint="0.79995117038483843"/>
      </top>
      <bottom style="thin">
        <color theme="3" tint="0.79995117038483843"/>
      </bottom>
      <diagonal/>
    </border>
    <border>
      <left/>
      <right/>
      <top style="thin">
        <color theme="0"/>
      </top>
      <bottom style="thin">
        <color theme="0"/>
      </bottom>
      <diagonal/>
    </border>
    <border>
      <left style="thin">
        <color theme="3" tint="0.79995117038483843"/>
      </left>
      <right style="thin">
        <color theme="3" tint="0.79998168889431442"/>
      </right>
      <top/>
      <bottom style="thin">
        <color theme="3" tint="0.79995117038483843"/>
      </bottom>
      <diagonal/>
    </border>
    <border>
      <left style="thin">
        <color theme="0"/>
      </left>
      <right/>
      <top style="thin">
        <color theme="3" tint="0.79995117038483843"/>
      </top>
      <bottom style="thin">
        <color theme="3" tint="0.79995117038483843"/>
      </bottom>
      <diagonal/>
    </border>
    <border>
      <left/>
      <right style="thin">
        <color theme="0"/>
      </right>
      <top style="thin">
        <color theme="3" tint="0.79995117038483843"/>
      </top>
      <bottom style="thin">
        <color theme="3" tint="0.79995117038483843"/>
      </bottom>
      <diagonal/>
    </border>
    <border>
      <left style="thin">
        <color theme="3" tint="0.79998168889431442"/>
      </left>
      <right style="thin">
        <color theme="3" tint="0.79998168889431442"/>
      </right>
      <top style="thin">
        <color theme="3" tint="0.7999816888943144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auto="1"/>
      </top>
      <bottom style="medium">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style="thin">
        <color theme="3" tint="0.59996337778862885"/>
      </top>
      <bottom/>
      <diagonal/>
    </border>
    <border>
      <left style="thin">
        <color theme="3" tint="0.59996337778862885"/>
      </left>
      <right style="thin">
        <color theme="3" tint="0.59996337778862885"/>
      </right>
      <top/>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top style="medium">
        <color theme="3" tint="0.59996337778862885"/>
      </top>
      <bottom style="medium">
        <color theme="3" tint="0.59996337778862885"/>
      </bottom>
      <diagonal/>
    </border>
    <border>
      <left/>
      <right/>
      <top style="medium">
        <color theme="3" tint="0.59996337778862885"/>
      </top>
      <bottom/>
      <diagonal/>
    </border>
    <border>
      <left/>
      <right/>
      <top/>
      <bottom style="medium">
        <color theme="3" tint="0.59996337778862885"/>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2"/>
      </left>
      <right/>
      <top style="medium">
        <color theme="3" tint="0.59996337778862885"/>
      </top>
      <bottom/>
      <diagonal/>
    </border>
    <border>
      <left style="thin">
        <color theme="2"/>
      </left>
      <right/>
      <top/>
      <bottom style="medium">
        <color theme="3" tint="0.59996337778862885"/>
      </bottom>
      <diagonal/>
    </border>
    <border>
      <left style="thin">
        <color theme="0"/>
      </left>
      <right style="thin">
        <color theme="0"/>
      </right>
      <top style="medium">
        <color theme="3" tint="0.59996337778862885"/>
      </top>
      <bottom style="medium">
        <color theme="3" tint="0.59996337778862885"/>
      </bottom>
      <diagonal/>
    </border>
    <border>
      <left/>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3" tint="0.59996337778862885"/>
      </left>
      <right style="thin">
        <color theme="3" tint="0.59996337778862885"/>
      </right>
      <top/>
      <bottom style="thin">
        <color theme="3" tint="0.5999633777886288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medium">
        <color theme="3" tint="0.59996337778862885"/>
      </bottom>
      <diagonal/>
    </border>
    <border>
      <left style="thin">
        <color indexed="64"/>
      </left>
      <right style="thin">
        <color indexed="64"/>
      </right>
      <top/>
      <bottom style="medium">
        <color theme="3" tint="0.59996337778862885"/>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theme="3" tint="0.59996337778862885"/>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s>
  <cellStyleXfs count="17">
    <xf numFmtId="0" fontId="0" fillId="0" borderId="0"/>
    <xf numFmtId="165"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6" fillId="0" borderId="0"/>
    <xf numFmtId="9" fontId="2"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2" fillId="0" borderId="0"/>
    <xf numFmtId="164" fontId="2" fillId="0" borderId="0" applyFont="0" applyFill="0" applyBorder="0" applyAlignment="0" applyProtection="0"/>
    <xf numFmtId="164" fontId="6" fillId="0" borderId="0" applyFont="0" applyFill="0" applyBorder="0" applyAlignment="0" applyProtection="0"/>
    <xf numFmtId="0" fontId="10" fillId="0" borderId="0"/>
    <xf numFmtId="0" fontId="2" fillId="0" borderId="0"/>
    <xf numFmtId="44" fontId="6" fillId="0" borderId="0" applyFont="0" applyFill="0" applyBorder="0" applyAlignment="0" applyProtection="0"/>
    <xf numFmtId="164" fontId="6" fillId="0" borderId="0" applyFont="0" applyFill="0" applyBorder="0" applyAlignment="0" applyProtection="0"/>
  </cellStyleXfs>
  <cellXfs count="652">
    <xf numFmtId="0" fontId="0" fillId="0" borderId="0" xfId="0"/>
    <xf numFmtId="0" fontId="2" fillId="0" borderId="0" xfId="3" applyFont="1" applyAlignment="1">
      <alignment wrapText="1"/>
    </xf>
    <xf numFmtId="0" fontId="2" fillId="0" borderId="0" xfId="3" applyFont="1" applyAlignment="1">
      <alignment horizontal="center" vertical="center"/>
    </xf>
    <xf numFmtId="0" fontId="2" fillId="0" borderId="0" xfId="3" applyFont="1"/>
    <xf numFmtId="0" fontId="4" fillId="0" borderId="0" xfId="3" applyFont="1"/>
    <xf numFmtId="0" fontId="3" fillId="0" borderId="0" xfId="3" applyFont="1"/>
    <xf numFmtId="0" fontId="5" fillId="0" borderId="0" xfId="3" applyFont="1"/>
    <xf numFmtId="1" fontId="2" fillId="0" borderId="0" xfId="3" applyNumberFormat="1" applyFont="1" applyBorder="1" applyAlignment="1">
      <alignment horizontal="right" vertical="center"/>
    </xf>
    <xf numFmtId="9" fontId="4" fillId="0" borderId="0" xfId="8" applyFont="1"/>
    <xf numFmtId="0" fontId="5" fillId="0" borderId="0" xfId="3" applyFont="1" applyAlignment="1">
      <alignment vertical="center"/>
    </xf>
    <xf numFmtId="0" fontId="2" fillId="0" borderId="0" xfId="3" applyFont="1"/>
    <xf numFmtId="0" fontId="4" fillId="0" borderId="0" xfId="3" applyFont="1"/>
    <xf numFmtId="0" fontId="3" fillId="0" borderId="0" xfId="3" applyFont="1"/>
    <xf numFmtId="0" fontId="5" fillId="0" borderId="0" xfId="3" applyFont="1"/>
    <xf numFmtId="0" fontId="5" fillId="0" borderId="0" xfId="3" applyFont="1"/>
    <xf numFmtId="0" fontId="5" fillId="0" borderId="0" xfId="3" applyFont="1"/>
    <xf numFmtId="0" fontId="2" fillId="0" borderId="0" xfId="3" applyFont="1"/>
    <xf numFmtId="0" fontId="5" fillId="0" borderId="0" xfId="3" applyFont="1"/>
    <xf numFmtId="0" fontId="11" fillId="0" borderId="0" xfId="0" applyFont="1"/>
    <xf numFmtId="0" fontId="0" fillId="0" borderId="0" xfId="0" quotePrefix="1"/>
    <xf numFmtId="0" fontId="5" fillId="0" borderId="0" xfId="3" applyFont="1"/>
    <xf numFmtId="0" fontId="13" fillId="0" borderId="0" xfId="3" applyFont="1" applyBorder="1" applyAlignment="1">
      <alignment wrapText="1"/>
    </xf>
    <xf numFmtId="0" fontId="13" fillId="0" borderId="0" xfId="3" applyFont="1" applyBorder="1" applyAlignment="1">
      <alignment horizontal="center" vertical="center"/>
    </xf>
    <xf numFmtId="0" fontId="13" fillId="0" borderId="0" xfId="3" applyFont="1" applyBorder="1" applyAlignment="1">
      <alignment horizontal="right"/>
    </xf>
    <xf numFmtId="0" fontId="13" fillId="0" borderId="0" xfId="3" applyFont="1" applyAlignment="1">
      <alignment horizontal="left" wrapText="1" indent="1"/>
    </xf>
    <xf numFmtId="0" fontId="13" fillId="0" borderId="0" xfId="3" applyFont="1" applyAlignment="1">
      <alignment horizontal="center" vertical="center"/>
    </xf>
    <xf numFmtId="0" fontId="13" fillId="0" borderId="0" xfId="3" applyFont="1" applyAlignment="1">
      <alignment horizontal="right"/>
    </xf>
    <xf numFmtId="0" fontId="13" fillId="0" borderId="0" xfId="3" applyFont="1"/>
    <xf numFmtId="0" fontId="13" fillId="0" borderId="0" xfId="3" applyFont="1" applyAlignment="1">
      <alignment wrapText="1"/>
    </xf>
    <xf numFmtId="0" fontId="18" fillId="0" borderId="0" xfId="3" applyFont="1" applyAlignment="1">
      <alignment horizontal="right" vertical="center"/>
    </xf>
    <xf numFmtId="0" fontId="19" fillId="0" borderId="0" xfId="3" applyFont="1" applyAlignment="1">
      <alignment vertical="top" wrapText="1"/>
    </xf>
    <xf numFmtId="0" fontId="20" fillId="0" borderId="0" xfId="3" applyFont="1" applyAlignment="1">
      <alignment horizontal="right" vertical="center"/>
    </xf>
    <xf numFmtId="0" fontId="12" fillId="3" borderId="0" xfId="3" applyFont="1" applyFill="1" applyAlignment="1">
      <alignment horizontal="center"/>
    </xf>
    <xf numFmtId="0" fontId="13" fillId="3" borderId="0" xfId="3" applyFont="1" applyFill="1" applyAlignment="1">
      <alignment horizontal="right"/>
    </xf>
    <xf numFmtId="0" fontId="13" fillId="3" borderId="0" xfId="3" applyFont="1" applyFill="1"/>
    <xf numFmtId="0" fontId="21" fillId="0" borderId="0" xfId="3" applyFont="1" applyAlignment="1">
      <alignment horizontal="right" vertical="center"/>
    </xf>
    <xf numFmtId="0" fontId="12" fillId="0" borderId="0" xfId="3" applyFont="1" applyAlignment="1">
      <alignment horizontal="center"/>
    </xf>
    <xf numFmtId="0" fontId="13" fillId="0" borderId="0" xfId="3" applyFont="1" applyAlignment="1">
      <alignment horizontal="left" wrapText="1"/>
    </xf>
    <xf numFmtId="15" fontId="13" fillId="0" borderId="0" xfId="3" applyNumberFormat="1" applyFont="1" applyAlignment="1">
      <alignment horizontal="left" vertical="center"/>
    </xf>
    <xf numFmtId="0" fontId="13" fillId="4" borderId="0" xfId="3" applyFont="1" applyFill="1"/>
    <xf numFmtId="0" fontId="22" fillId="0" borderId="0" xfId="9" applyFont="1" applyAlignment="1">
      <alignment vertical="center"/>
    </xf>
    <xf numFmtId="0" fontId="23" fillId="0" borderId="0" xfId="9" applyFont="1" applyAlignment="1">
      <alignment horizontal="center" vertical="center" textRotation="90"/>
    </xf>
    <xf numFmtId="0" fontId="23" fillId="0" borderId="0" xfId="9" applyFont="1" applyAlignment="1">
      <alignment vertical="center"/>
    </xf>
    <xf numFmtId="0" fontId="23" fillId="0" borderId="0" xfId="9" applyFont="1" applyAlignment="1">
      <alignment vertical="center" wrapText="1"/>
    </xf>
    <xf numFmtId="168" fontId="23" fillId="0" borderId="0" xfId="9" applyNumberFormat="1" applyFont="1" applyAlignment="1">
      <alignment vertical="center"/>
    </xf>
    <xf numFmtId="0" fontId="23" fillId="0" borderId="0" xfId="9" applyNumberFormat="1" applyFont="1" applyAlignment="1">
      <alignment vertical="center"/>
    </xf>
    <xf numFmtId="17" fontId="23" fillId="0" borderId="0" xfId="9" applyNumberFormat="1" applyFont="1" applyAlignment="1">
      <alignment vertical="center"/>
    </xf>
    <xf numFmtId="0" fontId="23" fillId="0" borderId="0" xfId="9" applyFont="1" applyAlignment="1">
      <alignment horizontal="center" vertical="center"/>
    </xf>
    <xf numFmtId="0" fontId="23" fillId="0" borderId="0" xfId="9" applyFont="1" applyAlignment="1">
      <alignment horizontal="left" vertical="center"/>
    </xf>
    <xf numFmtId="0" fontId="23" fillId="11" borderId="0" xfId="9" applyFont="1" applyFill="1" applyAlignment="1">
      <alignment vertical="center"/>
    </xf>
    <xf numFmtId="0" fontId="23" fillId="11" borderId="0" xfId="9" applyFont="1" applyFill="1" applyAlignment="1">
      <alignment vertical="center" wrapText="1"/>
    </xf>
    <xf numFmtId="0" fontId="15" fillId="0" borderId="0" xfId="10" applyFont="1" applyAlignment="1">
      <alignment vertical="center"/>
    </xf>
    <xf numFmtId="9" fontId="23" fillId="0" borderId="0" xfId="8" applyFont="1" applyAlignment="1">
      <alignment vertical="center"/>
    </xf>
    <xf numFmtId="9" fontId="23" fillId="0" borderId="0" xfId="9" applyNumberFormat="1" applyFont="1" applyAlignment="1">
      <alignment vertical="center"/>
    </xf>
    <xf numFmtId="0" fontId="23" fillId="0" borderId="0" xfId="0" applyFont="1"/>
    <xf numFmtId="0" fontId="16" fillId="0" borderId="0" xfId="9" applyFont="1" applyAlignment="1">
      <alignment vertical="center"/>
    </xf>
    <xf numFmtId="0" fontId="15" fillId="0" borderId="0" xfId="3" applyFont="1" applyAlignment="1">
      <alignment wrapText="1"/>
    </xf>
    <xf numFmtId="0" fontId="15" fillId="0" borderId="0" xfId="3" applyFont="1" applyAlignment="1">
      <alignment horizontal="center" vertical="center"/>
    </xf>
    <xf numFmtId="0" fontId="15" fillId="0" borderId="0" xfId="3" applyFont="1"/>
    <xf numFmtId="0" fontId="24" fillId="0" borderId="0" xfId="3" applyFont="1" applyAlignment="1">
      <alignment horizontal="right" vertical="center"/>
    </xf>
    <xf numFmtId="0" fontId="15" fillId="0" borderId="0" xfId="3" applyFont="1" applyAlignment="1">
      <alignment horizontal="right"/>
    </xf>
    <xf numFmtId="0" fontId="15" fillId="3" borderId="0" xfId="3" applyFont="1" applyFill="1"/>
    <xf numFmtId="0" fontId="25" fillId="0" borderId="0" xfId="3" applyFont="1" applyAlignment="1">
      <alignment horizontal="right" vertical="center"/>
    </xf>
    <xf numFmtId="0" fontId="14" fillId="0" borderId="0" xfId="3" applyFont="1" applyAlignment="1">
      <alignment horizontal="center"/>
    </xf>
    <xf numFmtId="0" fontId="15" fillId="4" borderId="0" xfId="3" applyFont="1" applyFill="1"/>
    <xf numFmtId="0" fontId="14" fillId="0" borderId="0" xfId="3" applyFont="1" applyAlignment="1"/>
    <xf numFmtId="0" fontId="15" fillId="0" borderId="0" xfId="3" applyFont="1" applyAlignment="1">
      <alignment horizontal="left" wrapText="1" indent="1"/>
    </xf>
    <xf numFmtId="0" fontId="15" fillId="0" borderId="0" xfId="3" applyFont="1" applyFill="1" applyBorder="1" applyAlignment="1">
      <alignment wrapText="1"/>
    </xf>
    <xf numFmtId="0" fontId="14" fillId="0" borderId="0" xfId="3" applyFont="1" applyAlignment="1">
      <alignment horizontal="left" wrapText="1"/>
    </xf>
    <xf numFmtId="0" fontId="15" fillId="0" borderId="0" xfId="3" applyFont="1" applyAlignment="1">
      <alignment horizontal="left" wrapText="1"/>
    </xf>
    <xf numFmtId="0" fontId="14" fillId="0" borderId="0" xfId="3" applyFont="1" applyAlignment="1">
      <alignment wrapText="1"/>
    </xf>
    <xf numFmtId="0" fontId="15" fillId="0" borderId="0" xfId="3" applyFont="1" applyAlignment="1">
      <alignment vertical="center" wrapText="1"/>
    </xf>
    <xf numFmtId="0" fontId="15" fillId="0" borderId="0" xfId="3" applyFont="1" applyAlignment="1">
      <alignment horizontal="left" vertical="center"/>
    </xf>
    <xf numFmtId="0" fontId="15" fillId="0" borderId="0" xfId="3" applyFont="1" applyAlignment="1">
      <alignment horizontal="justify" vertical="center" wrapText="1"/>
    </xf>
    <xf numFmtId="0" fontId="15" fillId="0" borderId="0" xfId="3" applyFont="1" applyAlignment="1">
      <alignment horizontal="left" vertical="center" wrapText="1" indent="1"/>
    </xf>
    <xf numFmtId="166" fontId="15" fillId="0" borderId="0" xfId="3" applyNumberFormat="1" applyFont="1" applyBorder="1" applyAlignment="1">
      <alignment horizontal="right" vertical="center" indent="1"/>
    </xf>
    <xf numFmtId="0" fontId="14" fillId="0" borderId="0" xfId="3" applyFont="1" applyAlignment="1">
      <alignment horizontal="right"/>
    </xf>
    <xf numFmtId="0" fontId="28" fillId="0" borderId="0" xfId="3" applyFont="1" applyAlignment="1">
      <alignment wrapText="1"/>
    </xf>
    <xf numFmtId="0" fontId="27" fillId="0" borderId="0" xfId="3" applyFont="1" applyAlignment="1">
      <alignment wrapText="1"/>
    </xf>
    <xf numFmtId="0" fontId="13" fillId="0" borderId="0" xfId="3" applyFont="1" applyAlignment="1">
      <alignment vertical="center"/>
    </xf>
    <xf numFmtId="9" fontId="30" fillId="0" borderId="0" xfId="8" applyFont="1"/>
    <xf numFmtId="0" fontId="30" fillId="0" borderId="0" xfId="3" applyFont="1"/>
    <xf numFmtId="2" fontId="13" fillId="0" borderId="0" xfId="3" applyNumberFormat="1" applyFont="1" applyAlignment="1">
      <alignment horizontal="right"/>
    </xf>
    <xf numFmtId="9" fontId="13" fillId="0" borderId="0" xfId="3" applyNumberFormat="1" applyFont="1"/>
    <xf numFmtId="0" fontId="15" fillId="0" borderId="0" xfId="3" applyFont="1" applyAlignment="1">
      <alignment vertical="center"/>
    </xf>
    <xf numFmtId="0" fontId="14" fillId="0" borderId="0" xfId="3" applyNumberFormat="1" applyFont="1" applyFill="1" applyBorder="1" applyAlignment="1">
      <alignment horizontal="center" wrapText="1"/>
    </xf>
    <xf numFmtId="9" fontId="15" fillId="0" borderId="0" xfId="8" applyFont="1"/>
    <xf numFmtId="1" fontId="15" fillId="0" borderId="0" xfId="3" applyNumberFormat="1" applyFont="1" applyBorder="1" applyAlignment="1">
      <alignment horizontal="right" vertical="center"/>
    </xf>
    <xf numFmtId="0" fontId="14" fillId="2" borderId="0" xfId="3" applyFont="1" applyFill="1" applyAlignment="1">
      <alignment horizontal="right" vertical="center"/>
    </xf>
    <xf numFmtId="9" fontId="15" fillId="0" borderId="0" xfId="3" applyNumberFormat="1" applyFont="1"/>
    <xf numFmtId="0" fontId="13" fillId="0" borderId="0" xfId="2" applyNumberFormat="1" applyFont="1" applyBorder="1" applyAlignment="1">
      <alignment wrapText="1"/>
    </xf>
    <xf numFmtId="0" fontId="31" fillId="2" borderId="0" xfId="3" applyFont="1" applyFill="1" applyAlignment="1">
      <alignment horizontal="right" vertical="center"/>
    </xf>
    <xf numFmtId="2" fontId="13" fillId="4" borderId="0" xfId="3" applyNumberFormat="1" applyFont="1" applyFill="1"/>
    <xf numFmtId="0" fontId="13" fillId="0" borderId="0" xfId="3" applyFont="1" applyFill="1" applyBorder="1"/>
    <xf numFmtId="0" fontId="12" fillId="8" borderId="0" xfId="3" applyFont="1" applyFill="1" applyAlignment="1">
      <alignment horizontal="right" vertical="center"/>
    </xf>
    <xf numFmtId="166" fontId="13" fillId="7" borderId="1" xfId="3" applyNumberFormat="1" applyFont="1" applyFill="1" applyBorder="1" applyAlignment="1">
      <alignment horizontal="right" vertical="center" indent="1"/>
    </xf>
    <xf numFmtId="166" fontId="13" fillId="0" borderId="0" xfId="3" applyNumberFormat="1" applyFont="1" applyAlignment="1">
      <alignment horizontal="right"/>
    </xf>
    <xf numFmtId="166" fontId="13" fillId="0" borderId="0" xfId="3" applyNumberFormat="1" applyFont="1"/>
    <xf numFmtId="1" fontId="13" fillId="0" borderId="0" xfId="3" applyNumberFormat="1" applyFont="1"/>
    <xf numFmtId="9" fontId="13" fillId="0" borderId="0" xfId="8" applyFont="1" applyAlignment="1">
      <alignment horizontal="right"/>
    </xf>
    <xf numFmtId="0" fontId="12" fillId="6" borderId="0" xfId="3" applyFont="1" applyFill="1" applyAlignment="1">
      <alignment horizontal="right" vertical="center"/>
    </xf>
    <xf numFmtId="166" fontId="12" fillId="7" borderId="1" xfId="3" applyNumberFormat="1" applyFont="1" applyFill="1" applyBorder="1" applyAlignment="1">
      <alignment horizontal="right" vertical="center" indent="1"/>
    </xf>
    <xf numFmtId="0" fontId="12" fillId="9" borderId="0" xfId="3" applyFont="1" applyFill="1" applyAlignment="1">
      <alignment horizontal="right" vertical="center"/>
    </xf>
    <xf numFmtId="0" fontId="13" fillId="0" borderId="1" xfId="3" applyFont="1" applyFill="1" applyBorder="1" applyAlignment="1">
      <alignment horizontal="center" vertical="center"/>
    </xf>
    <xf numFmtId="16" fontId="13" fillId="0" borderId="0" xfId="3" applyNumberFormat="1" applyFont="1"/>
    <xf numFmtId="166" fontId="13" fillId="0" borderId="0" xfId="3" applyNumberFormat="1" applyFont="1" applyAlignment="1">
      <alignment horizontal="center" vertical="center"/>
    </xf>
    <xf numFmtId="9" fontId="13" fillId="0" borderId="0" xfId="8" applyFont="1" applyAlignment="1">
      <alignment horizontal="center" vertical="center"/>
    </xf>
    <xf numFmtId="0" fontId="13" fillId="15" borderId="0" xfId="3" applyFont="1" applyFill="1" applyAlignment="1">
      <alignment horizontal="right"/>
    </xf>
    <xf numFmtId="0" fontId="13" fillId="0" borderId="0" xfId="3" applyFont="1" applyAlignment="1">
      <alignment horizontal="center"/>
    </xf>
    <xf numFmtId="2" fontId="13" fillId="0" borderId="0" xfId="3" applyNumberFormat="1" applyFont="1"/>
    <xf numFmtId="16" fontId="13" fillId="15" borderId="0" xfId="3" applyNumberFormat="1" applyFont="1" applyFill="1" applyAlignment="1">
      <alignment horizontal="right"/>
    </xf>
    <xf numFmtId="0" fontId="13" fillId="0" borderId="0" xfId="3" applyFont="1" applyAlignment="1">
      <alignment horizontal="left" indent="1"/>
    </xf>
    <xf numFmtId="16" fontId="13" fillId="0" borderId="0" xfId="3" applyNumberFormat="1" applyFont="1" applyAlignment="1">
      <alignment horizontal="right"/>
    </xf>
    <xf numFmtId="16" fontId="13" fillId="0" borderId="0" xfId="3" applyNumberFormat="1" applyFont="1" applyFill="1" applyBorder="1"/>
    <xf numFmtId="0" fontId="13" fillId="15" borderId="0" xfId="3" applyFont="1" applyFill="1"/>
    <xf numFmtId="166" fontId="13" fillId="0" borderId="0" xfId="3" applyNumberFormat="1" applyFont="1" applyFill="1"/>
    <xf numFmtId="0" fontId="13" fillId="0" borderId="0" xfId="3" applyFont="1" applyAlignment="1"/>
    <xf numFmtId="166" fontId="12" fillId="0" borderId="0" xfId="3" applyNumberFormat="1" applyFont="1"/>
    <xf numFmtId="0" fontId="12" fillId="0" borderId="0" xfId="3" applyFont="1"/>
    <xf numFmtId="0" fontId="26" fillId="4" borderId="0" xfId="3" applyFont="1" applyFill="1" applyBorder="1" applyAlignment="1">
      <alignment horizontal="center" vertical="center"/>
    </xf>
    <xf numFmtId="0" fontId="26" fillId="12" borderId="10" xfId="3" applyFont="1" applyFill="1" applyBorder="1" applyAlignment="1">
      <alignment horizontal="center" vertical="center"/>
    </xf>
    <xf numFmtId="0" fontId="26" fillId="12" borderId="10" xfId="3" applyFont="1" applyFill="1" applyBorder="1" applyAlignment="1">
      <alignment horizontal="center" vertical="center" wrapText="1"/>
    </xf>
    <xf numFmtId="169" fontId="17" fillId="4" borderId="0" xfId="8" applyNumberFormat="1" applyFont="1" applyFill="1" applyBorder="1" applyAlignment="1">
      <alignment horizontal="center"/>
    </xf>
    <xf numFmtId="0" fontId="12" fillId="0" borderId="0" xfId="3" applyFont="1" applyBorder="1" applyAlignment="1">
      <alignment horizontal="right"/>
    </xf>
    <xf numFmtId="0" fontId="12" fillId="4" borderId="0" xfId="3" applyFont="1" applyFill="1"/>
    <xf numFmtId="10" fontId="13" fillId="4" borderId="0" xfId="3" applyNumberFormat="1" applyFont="1" applyFill="1"/>
    <xf numFmtId="0" fontId="13" fillId="20" borderId="0" xfId="3" applyFont="1" applyFill="1"/>
    <xf numFmtId="2" fontId="13" fillId="0" borderId="0" xfId="3" applyNumberFormat="1" applyFont="1" applyBorder="1" applyAlignment="1">
      <alignment horizontal="right"/>
    </xf>
    <xf numFmtId="0" fontId="30" fillId="0" borderId="0" xfId="3" applyFont="1" applyFill="1"/>
    <xf numFmtId="166" fontId="13" fillId="0" borderId="0" xfId="3" applyNumberFormat="1" applyFont="1" applyBorder="1" applyAlignment="1">
      <alignment horizontal="right"/>
    </xf>
    <xf numFmtId="0" fontId="13" fillId="20" borderId="0" xfId="3" applyFont="1" applyFill="1" applyAlignment="1">
      <alignment vertical="center"/>
    </xf>
    <xf numFmtId="0" fontId="13" fillId="10" borderId="8" xfId="3" applyFont="1" applyFill="1" applyBorder="1" applyAlignment="1">
      <alignment horizontal="center" vertical="center"/>
    </xf>
    <xf numFmtId="0" fontId="29" fillId="10" borderId="6" xfId="9" applyFont="1" applyFill="1" applyBorder="1" applyAlignment="1">
      <alignment horizontal="center" vertical="center" wrapText="1"/>
    </xf>
    <xf numFmtId="0" fontId="29" fillId="0" borderId="0" xfId="9" applyFont="1" applyFill="1" applyBorder="1" applyAlignment="1">
      <alignment horizontal="center" vertical="center" wrapText="1"/>
    </xf>
    <xf numFmtId="0" fontId="29" fillId="13" borderId="10" xfId="9" applyFont="1" applyFill="1" applyBorder="1" applyAlignment="1">
      <alignment horizontal="center" vertical="center" wrapText="1"/>
    </xf>
    <xf numFmtId="1" fontId="29" fillId="0" borderId="7" xfId="9" applyNumberFormat="1" applyFont="1" applyBorder="1" applyAlignment="1">
      <alignment horizontal="center" vertical="center" wrapText="1"/>
    </xf>
    <xf numFmtId="1" fontId="29" fillId="0" borderId="0" xfId="9" applyNumberFormat="1" applyFont="1" applyFill="1" applyBorder="1" applyAlignment="1">
      <alignment horizontal="center" vertical="center" wrapText="1"/>
    </xf>
    <xf numFmtId="0" fontId="29" fillId="0" borderId="7" xfId="9" applyFont="1" applyBorder="1" applyAlignment="1">
      <alignment horizontal="center" vertical="center" wrapText="1"/>
    </xf>
    <xf numFmtId="2" fontId="29" fillId="0" borderId="7" xfId="9" applyNumberFormat="1" applyFont="1" applyBorder="1" applyAlignment="1">
      <alignment horizontal="center" vertical="center" wrapText="1"/>
    </xf>
    <xf numFmtId="166" fontId="33" fillId="0" borderId="7" xfId="3" applyNumberFormat="1" applyFont="1" applyBorder="1"/>
    <xf numFmtId="2" fontId="33" fillId="0" borderId="7" xfId="3" applyNumberFormat="1" applyFont="1" applyBorder="1"/>
    <xf numFmtId="168" fontId="33" fillId="0" borderId="7" xfId="3" applyNumberFormat="1" applyFont="1" applyBorder="1"/>
    <xf numFmtId="166" fontId="33" fillId="10" borderId="7" xfId="3" applyNumberFormat="1" applyFont="1" applyFill="1" applyBorder="1" applyAlignment="1">
      <alignment horizontal="center" vertical="center"/>
    </xf>
    <xf numFmtId="0" fontId="12" fillId="11" borderId="9" xfId="3" applyNumberFormat="1" applyFont="1" applyFill="1" applyBorder="1" applyAlignment="1">
      <alignment horizontal="center" vertical="center" wrapText="1"/>
    </xf>
    <xf numFmtId="1" fontId="29" fillId="11" borderId="7" xfId="9" applyNumberFormat="1" applyFont="1" applyFill="1" applyBorder="1" applyAlignment="1">
      <alignment horizontal="center" vertical="center" wrapText="1"/>
    </xf>
    <xf numFmtId="1" fontId="13" fillId="0" borderId="0" xfId="3" applyNumberFormat="1" applyFont="1" applyFill="1" applyBorder="1"/>
    <xf numFmtId="166" fontId="30" fillId="0" borderId="0" xfId="3" applyNumberFormat="1" applyFont="1"/>
    <xf numFmtId="166" fontId="13" fillId="4" borderId="0" xfId="3" applyNumberFormat="1" applyFont="1" applyFill="1"/>
    <xf numFmtId="9" fontId="30" fillId="0" borderId="0" xfId="8" applyFont="1" applyFill="1" applyBorder="1"/>
    <xf numFmtId="166" fontId="31" fillId="4" borderId="0" xfId="3" applyNumberFormat="1" applyFont="1" applyFill="1" applyBorder="1" applyAlignment="1">
      <alignment horizontal="center"/>
    </xf>
    <xf numFmtId="9" fontId="13" fillId="0" borderId="0" xfId="3" applyNumberFormat="1" applyFont="1" applyFill="1" applyBorder="1"/>
    <xf numFmtId="0" fontId="13" fillId="21" borderId="0" xfId="3" applyFont="1" applyFill="1"/>
    <xf numFmtId="0" fontId="15" fillId="0" borderId="0" xfId="3" applyFont="1" applyAlignment="1">
      <alignment vertical="top" wrapText="1"/>
    </xf>
    <xf numFmtId="0" fontId="14" fillId="3" borderId="0" xfId="3" applyFont="1" applyFill="1" applyAlignment="1">
      <alignment horizontal="center"/>
    </xf>
    <xf numFmtId="15" fontId="15" fillId="0" borderId="0" xfId="3" applyNumberFormat="1" applyFont="1" applyAlignment="1">
      <alignment horizontal="left" vertical="center"/>
    </xf>
    <xf numFmtId="164" fontId="15" fillId="0" borderId="0" xfId="3" applyNumberFormat="1" applyFont="1"/>
    <xf numFmtId="0" fontId="15" fillId="0" borderId="0" xfId="3" applyFont="1" applyAlignment="1"/>
    <xf numFmtId="0" fontId="14" fillId="0" borderId="0" xfId="3" applyFont="1" applyAlignment="1">
      <alignment horizontal="center" wrapText="1"/>
    </xf>
    <xf numFmtId="0" fontId="15" fillId="0" borderId="0" xfId="3" applyFont="1" applyBorder="1" applyAlignment="1">
      <alignment wrapText="1"/>
    </xf>
    <xf numFmtId="0" fontId="15" fillId="0" borderId="0" xfId="3" applyFont="1" applyBorder="1" applyAlignment="1">
      <alignment horizontal="center" vertical="center"/>
    </xf>
    <xf numFmtId="0" fontId="14" fillId="16" borderId="0" xfId="3" applyFont="1" applyFill="1" applyBorder="1" applyAlignment="1">
      <alignment horizontal="center" vertical="center" wrapText="1"/>
    </xf>
    <xf numFmtId="0" fontId="14" fillId="16" borderId="0" xfId="3" applyFont="1" applyFill="1" applyBorder="1" applyAlignment="1">
      <alignment horizontal="left" vertical="center" wrapText="1"/>
    </xf>
    <xf numFmtId="14" fontId="14" fillId="16" borderId="0" xfId="3" applyNumberFormat="1" applyFont="1" applyFill="1" applyBorder="1" applyAlignment="1">
      <alignment horizontal="center" vertical="center" wrapText="1"/>
    </xf>
    <xf numFmtId="166" fontId="14" fillId="16" borderId="0" xfId="3" applyNumberFormat="1" applyFont="1" applyFill="1" applyBorder="1" applyAlignment="1">
      <alignment horizontal="center" vertical="center" wrapText="1"/>
    </xf>
    <xf numFmtId="170" fontId="14" fillId="16" borderId="0" xfId="3" applyNumberFormat="1" applyFont="1" applyFill="1" applyBorder="1" applyAlignment="1">
      <alignment horizontal="center" vertical="center" wrapText="1"/>
    </xf>
    <xf numFmtId="170" fontId="15" fillId="0" borderId="0" xfId="3" applyNumberFormat="1" applyFont="1"/>
    <xf numFmtId="0" fontId="15" fillId="0" borderId="0" xfId="3" applyFont="1" applyAlignment="1">
      <alignment horizontal="center" wrapText="1"/>
    </xf>
    <xf numFmtId="164" fontId="15" fillId="0" borderId="0" xfId="12" applyFont="1"/>
    <xf numFmtId="0" fontId="15" fillId="0" borderId="0" xfId="3" applyFont="1" applyAlignment="1">
      <alignment horizontal="center"/>
    </xf>
    <xf numFmtId="0" fontId="15" fillId="0" borderId="0" xfId="3" applyFont="1" applyAlignment="1">
      <alignment horizontal="right" vertical="center"/>
    </xf>
    <xf numFmtId="10" fontId="14" fillId="0" borderId="0" xfId="8" applyNumberFormat="1" applyFont="1"/>
    <xf numFmtId="164" fontId="28" fillId="0" borderId="0" xfId="3" applyNumberFormat="1" applyFont="1" applyAlignment="1">
      <alignment vertical="center"/>
    </xf>
    <xf numFmtId="170" fontId="28" fillId="0" borderId="0" xfId="12" applyNumberFormat="1" applyFont="1" applyAlignment="1">
      <alignment vertical="center"/>
    </xf>
    <xf numFmtId="170" fontId="28" fillId="0" borderId="0" xfId="3" applyNumberFormat="1" applyFont="1" applyAlignment="1">
      <alignment vertical="center"/>
    </xf>
    <xf numFmtId="164" fontId="16" fillId="22" borderId="0" xfId="3" applyNumberFormat="1" applyFont="1" applyFill="1" applyBorder="1" applyAlignment="1">
      <alignment horizontal="center" vertical="center"/>
    </xf>
    <xf numFmtId="14" fontId="15" fillId="0" borderId="0" xfId="3" applyNumberFormat="1" applyFont="1" applyBorder="1" applyAlignment="1">
      <alignment horizontal="center" vertical="center"/>
    </xf>
    <xf numFmtId="0" fontId="14" fillId="4" borderId="0" xfId="3" applyFont="1" applyFill="1" applyBorder="1" applyAlignment="1">
      <alignment horizontal="center"/>
    </xf>
    <xf numFmtId="164" fontId="16" fillId="22" borderId="37" xfId="3" applyNumberFormat="1" applyFont="1" applyFill="1" applyBorder="1" applyAlignment="1">
      <alignment horizontal="center" vertical="center"/>
    </xf>
    <xf numFmtId="15" fontId="34" fillId="0" borderId="37" xfId="3" applyNumberFormat="1" applyFont="1" applyBorder="1" applyAlignment="1">
      <alignment horizontal="center" vertical="center"/>
    </xf>
    <xf numFmtId="1" fontId="34" fillId="0" borderId="37" xfId="9" applyNumberFormat="1" applyFont="1" applyFill="1" applyBorder="1" applyAlignment="1">
      <alignment horizontal="center" vertical="center" wrapText="1"/>
    </xf>
    <xf numFmtId="0" fontId="34" fillId="0" borderId="37" xfId="9" applyFont="1" applyFill="1" applyBorder="1" applyAlignment="1">
      <alignment horizontal="center" vertical="center" wrapText="1"/>
    </xf>
    <xf numFmtId="0" fontId="15" fillId="0" borderId="0" xfId="2" applyNumberFormat="1" applyFont="1" applyBorder="1" applyAlignment="1">
      <alignment horizontal="center" wrapText="1"/>
    </xf>
    <xf numFmtId="9" fontId="15" fillId="0" borderId="0" xfId="3" applyNumberFormat="1" applyFont="1" applyBorder="1" applyAlignment="1">
      <alignment horizontal="left" vertical="center"/>
    </xf>
    <xf numFmtId="15" fontId="15" fillId="0" borderId="0" xfId="3" applyNumberFormat="1" applyFont="1" applyBorder="1" applyAlignment="1">
      <alignment horizontal="center" vertical="center"/>
    </xf>
    <xf numFmtId="166" fontId="15" fillId="7" borderId="0" xfId="3" applyNumberFormat="1" applyFont="1" applyFill="1" applyBorder="1" applyAlignment="1">
      <alignment horizontal="center" vertical="center"/>
    </xf>
    <xf numFmtId="170" fontId="15" fillId="7" borderId="0" xfId="3" applyNumberFormat="1" applyFont="1" applyFill="1" applyBorder="1" applyAlignment="1">
      <alignment horizontal="right" vertical="center"/>
    </xf>
    <xf numFmtId="9" fontId="15" fillId="0" borderId="0" xfId="3" applyNumberFormat="1" applyFont="1" applyBorder="1" applyAlignment="1">
      <alignment horizontal="center" vertical="center"/>
    </xf>
    <xf numFmtId="167" fontId="15" fillId="0" borderId="0" xfId="3" applyNumberFormat="1" applyFont="1" applyBorder="1" applyAlignment="1">
      <alignment horizontal="center" vertical="center"/>
    </xf>
    <xf numFmtId="0" fontId="15" fillId="0" borderId="0" xfId="3" applyFont="1" applyBorder="1"/>
    <xf numFmtId="0" fontId="14" fillId="2" borderId="0" xfId="3" applyFont="1" applyFill="1" applyBorder="1" applyAlignment="1">
      <alignment horizontal="right" vertical="center"/>
    </xf>
    <xf numFmtId="170" fontId="14" fillId="5" borderId="0" xfId="3" applyNumberFormat="1" applyFont="1" applyFill="1" applyBorder="1" applyAlignment="1">
      <alignment vertical="center"/>
    </xf>
    <xf numFmtId="164" fontId="15" fillId="0" borderId="0" xfId="3" applyNumberFormat="1" applyFont="1" applyBorder="1"/>
    <xf numFmtId="0" fontId="14" fillId="4" borderId="0" xfId="3" applyFont="1" applyFill="1" applyBorder="1" applyAlignment="1"/>
    <xf numFmtId="0" fontId="14" fillId="4" borderId="37" xfId="3" applyFont="1" applyFill="1" applyBorder="1" applyAlignment="1">
      <alignment horizontal="center" vertical="center" wrapText="1"/>
    </xf>
    <xf numFmtId="0" fontId="14" fillId="16" borderId="38" xfId="3" applyFont="1" applyFill="1" applyBorder="1" applyAlignment="1">
      <alignment horizontal="center" vertical="center" wrapText="1"/>
    </xf>
    <xf numFmtId="0" fontId="14" fillId="16" borderId="38" xfId="3" applyFont="1" applyFill="1" applyBorder="1" applyAlignment="1">
      <alignment horizontal="left" vertical="center" wrapText="1"/>
    </xf>
    <xf numFmtId="14" fontId="14" fillId="16" borderId="38" xfId="3" applyNumberFormat="1" applyFont="1" applyFill="1" applyBorder="1" applyAlignment="1">
      <alignment horizontal="center" vertical="center" wrapText="1"/>
    </xf>
    <xf numFmtId="166" fontId="14" fillId="16" borderId="38" xfId="3" applyNumberFormat="1" applyFont="1" applyFill="1" applyBorder="1" applyAlignment="1">
      <alignment horizontal="center" vertical="center" wrapText="1"/>
    </xf>
    <xf numFmtId="170" fontId="14" fillId="16" borderId="38" xfId="3" applyNumberFormat="1" applyFont="1" applyFill="1" applyBorder="1" applyAlignment="1">
      <alignment horizontal="center" vertical="center" wrapText="1"/>
    </xf>
    <xf numFmtId="0" fontId="15" fillId="0" borderId="39" xfId="2" applyNumberFormat="1" applyFont="1" applyBorder="1" applyAlignment="1">
      <alignment horizontal="center" wrapText="1"/>
    </xf>
    <xf numFmtId="9" fontId="15" fillId="0" borderId="39" xfId="3" applyNumberFormat="1" applyFont="1" applyBorder="1" applyAlignment="1">
      <alignment horizontal="left" vertical="center"/>
    </xf>
    <xf numFmtId="15" fontId="15" fillId="0" borderId="39" xfId="3" applyNumberFormat="1" applyFont="1" applyBorder="1" applyAlignment="1">
      <alignment horizontal="center" vertical="center"/>
    </xf>
    <xf numFmtId="166" fontId="15" fillId="7" borderId="39" xfId="3" applyNumberFormat="1" applyFont="1" applyFill="1" applyBorder="1" applyAlignment="1">
      <alignment horizontal="center" vertical="center"/>
    </xf>
    <xf numFmtId="170" fontId="35" fillId="0" borderId="39" xfId="3" applyNumberFormat="1" applyFont="1" applyBorder="1" applyAlignment="1">
      <alignment horizontal="right" vertical="center"/>
    </xf>
    <xf numFmtId="170" fontId="15" fillId="7" borderId="39" xfId="3" applyNumberFormat="1" applyFont="1" applyFill="1" applyBorder="1" applyAlignment="1">
      <alignment horizontal="right" vertical="center"/>
    </xf>
    <xf numFmtId="0" fontId="36" fillId="0" borderId="0" xfId="3" applyFont="1" applyAlignment="1">
      <alignment horizontal="right" vertical="center"/>
    </xf>
    <xf numFmtId="170" fontId="26" fillId="14" borderId="17" xfId="3" applyNumberFormat="1" applyFont="1" applyFill="1" applyBorder="1" applyAlignment="1">
      <alignment horizontal="center" vertical="center"/>
    </xf>
    <xf numFmtId="0" fontId="15" fillId="0" borderId="0" xfId="3" applyFont="1" applyFill="1"/>
    <xf numFmtId="0" fontId="18" fillId="0" borderId="0" xfId="3" applyFont="1" applyFill="1" applyAlignment="1">
      <alignment horizontal="right" vertical="center"/>
    </xf>
    <xf numFmtId="0" fontId="24" fillId="0" borderId="0" xfId="3" applyFont="1" applyFill="1" applyAlignment="1">
      <alignment horizontal="right" vertical="center"/>
    </xf>
    <xf numFmtId="15" fontId="15" fillId="0" borderId="0" xfId="3" applyNumberFormat="1" applyFont="1" applyAlignment="1">
      <alignment horizontal="right" vertical="center"/>
    </xf>
    <xf numFmtId="0" fontId="14" fillId="3" borderId="0" xfId="3" applyFont="1" applyFill="1" applyAlignment="1">
      <alignment horizontal="right"/>
    </xf>
    <xf numFmtId="0" fontId="15" fillId="3" borderId="0" xfId="3" applyFont="1" applyFill="1" applyAlignment="1">
      <alignment horizontal="right"/>
    </xf>
    <xf numFmtId="0" fontId="27" fillId="0" borderId="0" xfId="3" applyFont="1" applyFill="1"/>
    <xf numFmtId="0" fontId="15" fillId="0" borderId="0" xfId="2" applyNumberFormat="1" applyFont="1" applyFill="1" applyBorder="1" applyAlignment="1">
      <alignment wrapText="1"/>
    </xf>
    <xf numFmtId="170" fontId="14" fillId="0" borderId="0" xfId="3" applyNumberFormat="1" applyFont="1" applyFill="1" applyBorder="1" applyAlignment="1">
      <alignment vertical="center"/>
    </xf>
    <xf numFmtId="0" fontId="15" fillId="0" borderId="0" xfId="3" applyNumberFormat="1" applyFont="1" applyFill="1" applyBorder="1" applyAlignment="1">
      <alignment wrapText="1"/>
    </xf>
    <xf numFmtId="170" fontId="15" fillId="0" borderId="0" xfId="3" quotePrefix="1" applyNumberFormat="1" applyFont="1" applyFill="1" applyBorder="1" applyAlignment="1">
      <alignment horizontal="center"/>
    </xf>
    <xf numFmtId="10" fontId="15" fillId="0" borderId="0" xfId="3" applyNumberFormat="1" applyFont="1"/>
    <xf numFmtId="10" fontId="15" fillId="0" borderId="0" xfId="8" applyNumberFormat="1" applyFont="1"/>
    <xf numFmtId="170" fontId="15" fillId="0" borderId="0" xfId="3" applyNumberFormat="1" applyFont="1" applyBorder="1" applyAlignment="1">
      <alignment horizontal="center" vertical="center"/>
    </xf>
    <xf numFmtId="170" fontId="15" fillId="0" borderId="0" xfId="3" applyNumberFormat="1" applyFont="1" applyAlignment="1">
      <alignment vertical="center"/>
    </xf>
    <xf numFmtId="0" fontId="15" fillId="0" borderId="0" xfId="3" applyFont="1" applyFill="1" applyAlignment="1">
      <alignment wrapText="1"/>
    </xf>
    <xf numFmtId="170" fontId="26" fillId="14" borderId="15" xfId="3" applyNumberFormat="1" applyFont="1" applyFill="1" applyBorder="1" applyAlignment="1">
      <alignment horizontal="center" vertical="center"/>
    </xf>
    <xf numFmtId="166" fontId="14" fillId="5" borderId="0" xfId="3" applyNumberFormat="1" applyFont="1" applyFill="1" applyBorder="1" applyAlignment="1">
      <alignment horizontal="center"/>
    </xf>
    <xf numFmtId="170" fontId="14" fillId="5" borderId="0" xfId="3" applyNumberFormat="1" applyFont="1" applyFill="1" applyBorder="1" applyAlignment="1">
      <alignment horizontal="right"/>
    </xf>
    <xf numFmtId="0" fontId="15" fillId="0" borderId="0" xfId="3" applyNumberFormat="1" applyFont="1" applyFill="1" applyBorder="1" applyAlignment="1">
      <alignment horizontal="left" vertical="center" wrapText="1" indent="1"/>
    </xf>
    <xf numFmtId="166" fontId="15" fillId="0" borderId="0" xfId="3" applyNumberFormat="1" applyFont="1" applyFill="1" applyBorder="1" applyAlignment="1">
      <alignment horizontal="center" vertical="center" wrapText="1"/>
    </xf>
    <xf numFmtId="170" fontId="15" fillId="0" borderId="0" xfId="3" applyNumberFormat="1" applyFont="1" applyBorder="1" applyAlignment="1">
      <alignment horizontal="right" vertical="center"/>
    </xf>
    <xf numFmtId="170" fontId="14" fillId="0" borderId="0" xfId="3" applyNumberFormat="1" applyFont="1" applyFill="1" applyBorder="1" applyAlignment="1">
      <alignment horizontal="right" vertical="center"/>
    </xf>
    <xf numFmtId="170" fontId="15" fillId="0" borderId="0" xfId="3" applyNumberFormat="1" applyFont="1" applyFill="1" applyBorder="1" applyAlignment="1">
      <alignment vertical="center"/>
    </xf>
    <xf numFmtId="170" fontId="26" fillId="14" borderId="0" xfId="3" applyNumberFormat="1" applyFont="1" applyFill="1" applyBorder="1" applyAlignment="1">
      <alignment horizontal="center" vertical="center"/>
    </xf>
    <xf numFmtId="168" fontId="14" fillId="16" borderId="38" xfId="3" applyNumberFormat="1" applyFont="1" applyFill="1" applyBorder="1"/>
    <xf numFmtId="164" fontId="14" fillId="16" borderId="38" xfId="3" applyNumberFormat="1" applyFont="1" applyFill="1" applyBorder="1" applyAlignment="1">
      <alignment horizontal="right"/>
    </xf>
    <xf numFmtId="166" fontId="14" fillId="16" borderId="38" xfId="3" applyNumberFormat="1" applyFont="1" applyFill="1" applyBorder="1" applyAlignment="1">
      <alignment horizontal="center"/>
    </xf>
    <xf numFmtId="164" fontId="14" fillId="16" borderId="38" xfId="12" applyFont="1" applyFill="1" applyBorder="1" applyAlignment="1">
      <alignment horizontal="right"/>
    </xf>
    <xf numFmtId="170" fontId="14" fillId="16" borderId="38" xfId="3" applyNumberFormat="1" applyFont="1" applyFill="1" applyBorder="1" applyAlignment="1">
      <alignment horizontal="right"/>
    </xf>
    <xf numFmtId="0" fontId="14" fillId="16" borderId="38" xfId="3" applyFont="1" applyFill="1" applyBorder="1" applyAlignment="1">
      <alignment horizontal="left"/>
    </xf>
    <xf numFmtId="0" fontId="14" fillId="16" borderId="38" xfId="3" applyFont="1" applyFill="1" applyBorder="1"/>
    <xf numFmtId="170" fontId="16" fillId="22" borderId="0" xfId="3" applyNumberFormat="1" applyFont="1" applyFill="1" applyBorder="1" applyAlignment="1">
      <alignment horizontal="center" vertical="center"/>
    </xf>
    <xf numFmtId="170" fontId="15" fillId="0" borderId="0" xfId="3" applyNumberFormat="1" applyFont="1" applyBorder="1" applyAlignment="1">
      <alignment vertical="center"/>
    </xf>
    <xf numFmtId="170" fontId="14" fillId="5" borderId="0" xfId="12" applyNumberFormat="1" applyFont="1" applyFill="1" applyBorder="1" applyAlignment="1">
      <alignment horizontal="right"/>
    </xf>
    <xf numFmtId="170" fontId="14" fillId="2" borderId="0" xfId="3" applyNumberFormat="1" applyFont="1" applyFill="1" applyBorder="1" applyAlignment="1">
      <alignment horizontal="right" vertical="center"/>
    </xf>
    <xf numFmtId="10" fontId="15" fillId="0" borderId="0" xfId="3" applyNumberFormat="1" applyFont="1" applyBorder="1"/>
    <xf numFmtId="0" fontId="15" fillId="0" borderId="0" xfId="3" applyFont="1" applyBorder="1" applyAlignment="1">
      <alignment horizontal="left" vertical="center"/>
    </xf>
    <xf numFmtId="170" fontId="16" fillId="16" borderId="0" xfId="3" applyNumberFormat="1" applyFont="1" applyFill="1" applyBorder="1" applyAlignment="1">
      <alignment horizontal="center" vertical="center"/>
    </xf>
    <xf numFmtId="0" fontId="15" fillId="23" borderId="39" xfId="3" applyNumberFormat="1" applyFont="1" applyFill="1" applyBorder="1" applyAlignment="1">
      <alignment horizontal="left" vertical="center" wrapText="1" indent="1"/>
    </xf>
    <xf numFmtId="166" fontId="15" fillId="23" borderId="39" xfId="3" applyNumberFormat="1" applyFont="1" applyFill="1" applyBorder="1" applyAlignment="1">
      <alignment horizontal="center" vertical="center" wrapText="1"/>
    </xf>
    <xf numFmtId="9" fontId="15" fillId="23" borderId="39" xfId="8" applyFont="1" applyFill="1" applyBorder="1" applyAlignment="1">
      <alignment horizontal="center" vertical="center" wrapText="1"/>
    </xf>
    <xf numFmtId="170" fontId="15" fillId="23" borderId="39" xfId="3" applyNumberFormat="1" applyFont="1" applyFill="1" applyBorder="1" applyAlignment="1">
      <alignment horizontal="right" vertical="center"/>
    </xf>
    <xf numFmtId="170" fontId="14" fillId="0" borderId="0" xfId="0" applyNumberFormat="1" applyFont="1" applyAlignment="1">
      <alignment horizontal="right" vertical="center"/>
    </xf>
    <xf numFmtId="0" fontId="26" fillId="14" borderId="17" xfId="3" applyNumberFormat="1" applyFont="1" applyFill="1" applyBorder="1" applyAlignment="1">
      <alignment horizontal="center" vertical="center"/>
    </xf>
    <xf numFmtId="170" fontId="15" fillId="0" borderId="0" xfId="3" applyNumberFormat="1" applyFont="1" applyFill="1"/>
    <xf numFmtId="170" fontId="14" fillId="0" borderId="0" xfId="3" applyNumberFormat="1" applyFont="1" applyAlignment="1">
      <alignment horizontal="center"/>
    </xf>
    <xf numFmtId="170" fontId="15" fillId="0" borderId="0" xfId="0" applyNumberFormat="1" applyFont="1" applyFill="1" applyAlignment="1">
      <alignment vertical="center"/>
    </xf>
    <xf numFmtId="170" fontId="15" fillId="0" borderId="0" xfId="0" applyNumberFormat="1" applyFont="1" applyAlignment="1">
      <alignment vertical="center"/>
    </xf>
    <xf numFmtId="170" fontId="15" fillId="0" borderId="0" xfId="0" applyNumberFormat="1" applyFont="1" applyFill="1" applyBorder="1" applyAlignment="1">
      <alignment vertical="center" wrapText="1"/>
    </xf>
    <xf numFmtId="170" fontId="14" fillId="2" borderId="0" xfId="0" applyNumberFormat="1" applyFont="1" applyFill="1" applyAlignment="1">
      <alignment horizontal="center" vertical="center"/>
    </xf>
    <xf numFmtId="0" fontId="15" fillId="0" borderId="0" xfId="0" applyFont="1" applyAlignment="1">
      <alignment vertical="center"/>
    </xf>
    <xf numFmtId="0" fontId="14" fillId="0" borderId="0" xfId="0" applyFont="1" applyAlignment="1">
      <alignment vertical="center"/>
    </xf>
    <xf numFmtId="170" fontId="15" fillId="0" borderId="0" xfId="0" applyNumberFormat="1" applyFont="1" applyFill="1"/>
    <xf numFmtId="170" fontId="15" fillId="0" borderId="0" xfId="0" applyNumberFormat="1" applyFont="1"/>
    <xf numFmtId="170" fontId="15" fillId="0" borderId="0" xfId="0" applyNumberFormat="1" applyFont="1" applyAlignment="1">
      <alignment horizontal="center" vertical="center"/>
    </xf>
    <xf numFmtId="170" fontId="14" fillId="0" borderId="0" xfId="0" applyNumberFormat="1" applyFont="1" applyBorder="1"/>
    <xf numFmtId="170" fontId="14" fillId="0" borderId="0" xfId="0" applyNumberFormat="1" applyFont="1" applyBorder="1" applyAlignment="1">
      <alignment horizontal="center" vertical="center"/>
    </xf>
    <xf numFmtId="170" fontId="15" fillId="0" borderId="0" xfId="0" applyNumberFormat="1" applyFont="1" applyBorder="1" applyAlignment="1">
      <alignment horizontal="center" vertical="center"/>
    </xf>
    <xf numFmtId="0" fontId="15" fillId="0" borderId="0" xfId="0" applyFont="1"/>
    <xf numFmtId="0" fontId="15" fillId="0" borderId="32" xfId="0" applyFont="1" applyBorder="1"/>
    <xf numFmtId="166" fontId="15" fillId="15" borderId="32" xfId="3" applyNumberFormat="1" applyFont="1" applyFill="1" applyBorder="1" applyAlignment="1">
      <alignment horizontal="right" vertical="center" indent="1"/>
    </xf>
    <xf numFmtId="15" fontId="15" fillId="0" borderId="32" xfId="0" applyNumberFormat="1" applyFont="1" applyBorder="1"/>
    <xf numFmtId="170" fontId="15" fillId="0" borderId="0" xfId="0" applyNumberFormat="1" applyFont="1" applyFill="1" applyAlignment="1">
      <alignment wrapText="1"/>
    </xf>
    <xf numFmtId="170" fontId="14" fillId="6" borderId="1" xfId="0" applyNumberFormat="1" applyFont="1" applyFill="1" applyBorder="1" applyAlignment="1">
      <alignment horizontal="center" vertical="center" wrapText="1"/>
    </xf>
    <xf numFmtId="0" fontId="15" fillId="0" borderId="0" xfId="0" applyFont="1" applyAlignment="1">
      <alignment wrapText="1"/>
    </xf>
    <xf numFmtId="0" fontId="15" fillId="0" borderId="31" xfId="0" applyFont="1" applyBorder="1" applyAlignment="1">
      <alignment wrapText="1"/>
    </xf>
    <xf numFmtId="0" fontId="15" fillId="0" borderId="31" xfId="0" applyFont="1" applyBorder="1" applyAlignment="1">
      <alignment vertical="center"/>
    </xf>
    <xf numFmtId="170" fontId="15" fillId="0" borderId="1" xfId="0" applyNumberFormat="1" applyFont="1" applyFill="1" applyBorder="1" applyAlignment="1">
      <alignment horizontal="center" vertical="center" wrapText="1"/>
    </xf>
    <xf numFmtId="170" fontId="15" fillId="0" borderId="18" xfId="0" applyNumberFormat="1" applyFont="1" applyFill="1" applyBorder="1" applyAlignment="1">
      <alignment horizontal="center" vertical="center" wrapText="1"/>
    </xf>
    <xf numFmtId="170" fontId="15" fillId="0" borderId="1" xfId="0" applyNumberFormat="1" applyFont="1" applyFill="1" applyBorder="1" applyAlignment="1">
      <alignment horizontal="center" vertical="center"/>
    </xf>
    <xf numFmtId="170" fontId="15" fillId="0" borderId="1" xfId="0" applyNumberFormat="1" applyFont="1" applyFill="1" applyBorder="1" applyAlignment="1">
      <alignment horizontal="justify" vertical="center" wrapText="1"/>
    </xf>
    <xf numFmtId="170" fontId="15" fillId="0" borderId="31" xfId="0" applyNumberFormat="1" applyFont="1" applyBorder="1" applyAlignment="1">
      <alignment vertical="center"/>
    </xf>
    <xf numFmtId="170" fontId="15" fillId="7" borderId="1" xfId="0" applyNumberFormat="1" applyFont="1" applyFill="1" applyBorder="1" applyAlignment="1">
      <alignment horizontal="center" vertical="center" wrapText="1"/>
    </xf>
    <xf numFmtId="170" fontId="15" fillId="7" borderId="1" xfId="0" applyNumberFormat="1" applyFont="1" applyFill="1" applyBorder="1" applyAlignment="1">
      <alignment horizontal="center" vertical="center"/>
    </xf>
    <xf numFmtId="170" fontId="15" fillId="7" borderId="1" xfId="0" applyNumberFormat="1" applyFont="1" applyFill="1" applyBorder="1" applyAlignment="1">
      <alignment horizontal="justify" vertical="center" wrapText="1"/>
    </xf>
    <xf numFmtId="0" fontId="15" fillId="0" borderId="33" xfId="0" applyFont="1" applyBorder="1" applyAlignment="1">
      <alignment vertical="center"/>
    </xf>
    <xf numFmtId="170" fontId="15" fillId="0" borderId="33" xfId="0" applyNumberFormat="1" applyFont="1" applyBorder="1" applyAlignment="1">
      <alignment vertical="center"/>
    </xf>
    <xf numFmtId="170" fontId="15" fillId="0" borderId="0" xfId="0" applyNumberFormat="1" applyFont="1" applyAlignment="1">
      <alignment wrapText="1"/>
    </xf>
    <xf numFmtId="170" fontId="15" fillId="0" borderId="0" xfId="0" applyNumberFormat="1" applyFont="1" applyAlignment="1">
      <alignment horizontal="center" vertical="center" wrapText="1"/>
    </xf>
    <xf numFmtId="0" fontId="14" fillId="0" borderId="0" xfId="3" applyFont="1" applyBorder="1"/>
    <xf numFmtId="0" fontId="15" fillId="0" borderId="0" xfId="3" applyFont="1" applyFill="1" applyAlignment="1">
      <alignment vertical="center"/>
    </xf>
    <xf numFmtId="164" fontId="15" fillId="0" borderId="0" xfId="3" applyNumberFormat="1" applyFont="1" applyAlignment="1">
      <alignment vertical="center"/>
    </xf>
    <xf numFmtId="170" fontId="14" fillId="6" borderId="40" xfId="0" applyNumberFormat="1" applyFont="1" applyFill="1" applyBorder="1" applyAlignment="1">
      <alignment horizontal="center" vertical="center" wrapText="1"/>
    </xf>
    <xf numFmtId="170" fontId="15" fillId="0" borderId="40" xfId="0" applyNumberFormat="1" applyFont="1" applyFill="1" applyBorder="1" applyAlignment="1">
      <alignment horizontal="center" vertical="center" wrapText="1"/>
    </xf>
    <xf numFmtId="170" fontId="15" fillId="7" borderId="40" xfId="0" applyNumberFormat="1" applyFont="1" applyFill="1" applyBorder="1" applyAlignment="1">
      <alignment horizontal="center" vertical="center" wrapText="1"/>
    </xf>
    <xf numFmtId="170" fontId="14" fillId="6" borderId="41" xfId="0" applyNumberFormat="1" applyFont="1" applyFill="1" applyBorder="1" applyAlignment="1">
      <alignment horizontal="center" vertical="center" wrapText="1"/>
    </xf>
    <xf numFmtId="170" fontId="15" fillId="0" borderId="41" xfId="0" applyNumberFormat="1" applyFont="1" applyFill="1" applyBorder="1" applyAlignment="1">
      <alignment horizontal="center" vertical="center"/>
    </xf>
    <xf numFmtId="170" fontId="15" fillId="7" borderId="41" xfId="0" applyNumberFormat="1" applyFont="1" applyFill="1" applyBorder="1" applyAlignment="1">
      <alignment horizontal="center" vertical="center"/>
    </xf>
    <xf numFmtId="170" fontId="15" fillId="0" borderId="0" xfId="0" applyNumberFormat="1" applyFont="1" applyFill="1" applyBorder="1" applyAlignment="1">
      <alignment horizontal="center" vertical="center" wrapText="1"/>
    </xf>
    <xf numFmtId="14" fontId="15" fillId="0" borderId="0" xfId="0" applyNumberFormat="1" applyFont="1" applyFill="1" applyBorder="1" applyAlignment="1">
      <alignment horizontal="center" vertical="center"/>
    </xf>
    <xf numFmtId="170" fontId="15" fillId="0" borderId="0" xfId="0" applyNumberFormat="1" applyFont="1" applyFill="1" applyBorder="1" applyAlignment="1">
      <alignment horizontal="center" vertical="center"/>
    </xf>
    <xf numFmtId="170" fontId="15" fillId="0" borderId="0" xfId="0" applyNumberFormat="1" applyFont="1" applyFill="1" applyBorder="1" applyAlignment="1">
      <alignment horizontal="right" vertical="center"/>
    </xf>
    <xf numFmtId="9" fontId="15" fillId="0" borderId="0" xfId="8" applyNumberFormat="1" applyFont="1" applyFill="1" applyBorder="1" applyAlignment="1">
      <alignment horizontal="center" vertical="center"/>
    </xf>
    <xf numFmtId="171" fontId="15" fillId="0" borderId="0" xfId="0" applyNumberFormat="1" applyFont="1" applyFill="1" applyBorder="1" applyAlignment="1">
      <alignment horizontal="center" vertical="center" wrapText="1"/>
    </xf>
    <xf numFmtId="170" fontId="15" fillId="0" borderId="0" xfId="0" applyNumberFormat="1" applyFont="1" applyFill="1" applyBorder="1" applyAlignment="1">
      <alignment horizontal="center"/>
    </xf>
    <xf numFmtId="170" fontId="15" fillId="2" borderId="0" xfId="0" applyNumberFormat="1" applyFont="1" applyFill="1" applyBorder="1" applyAlignment="1">
      <alignment horizontal="center" vertical="center"/>
    </xf>
    <xf numFmtId="0" fontId="15" fillId="0" borderId="0" xfId="3" applyFont="1" applyBorder="1" applyAlignment="1">
      <alignment vertical="center"/>
    </xf>
    <xf numFmtId="170" fontId="15" fillId="0" borderId="0" xfId="1" applyNumberFormat="1" applyFont="1" applyFill="1" applyBorder="1"/>
    <xf numFmtId="170" fontId="15" fillId="0" borderId="0" xfId="0" applyNumberFormat="1" applyFont="1" applyFill="1" applyBorder="1" applyAlignment="1">
      <alignment vertical="center"/>
    </xf>
    <xf numFmtId="170" fontId="16" fillId="22" borderId="37" xfId="3" applyNumberFormat="1" applyFont="1" applyFill="1" applyBorder="1" applyAlignment="1">
      <alignment horizontal="center" vertical="center" wrapText="1"/>
    </xf>
    <xf numFmtId="170" fontId="15" fillId="0" borderId="38" xfId="0" applyNumberFormat="1" applyFont="1" applyFill="1" applyBorder="1" applyAlignment="1">
      <alignment horizontal="center" vertical="center" wrapText="1"/>
    </xf>
    <xf numFmtId="14" fontId="15" fillId="0" borderId="38" xfId="0" applyNumberFormat="1" applyFont="1" applyFill="1" applyBorder="1" applyAlignment="1">
      <alignment horizontal="center" vertical="center"/>
    </xf>
    <xf numFmtId="170" fontId="15" fillId="0" borderId="38" xfId="0" applyNumberFormat="1" applyFont="1" applyFill="1" applyBorder="1" applyAlignment="1">
      <alignment horizontal="center" vertical="center"/>
    </xf>
    <xf numFmtId="170" fontId="15" fillId="0" borderId="38" xfId="0" applyNumberFormat="1" applyFont="1" applyFill="1" applyBorder="1" applyAlignment="1">
      <alignment horizontal="right" vertical="center"/>
    </xf>
    <xf numFmtId="9" fontId="15" fillId="0" borderId="38" xfId="8" applyNumberFormat="1" applyFont="1" applyFill="1" applyBorder="1" applyAlignment="1">
      <alignment horizontal="center" vertical="center"/>
    </xf>
    <xf numFmtId="170" fontId="15" fillId="0" borderId="39" xfId="0" applyNumberFormat="1" applyFont="1" applyFill="1" applyBorder="1" applyAlignment="1">
      <alignment horizontal="center" vertical="center" wrapText="1"/>
    </xf>
    <xf numFmtId="14" fontId="15" fillId="0" borderId="39" xfId="0" applyNumberFormat="1" applyFont="1" applyFill="1" applyBorder="1" applyAlignment="1">
      <alignment horizontal="center" vertical="center"/>
    </xf>
    <xf numFmtId="170" fontId="15" fillId="0" borderId="39" xfId="0" applyNumberFormat="1" applyFont="1" applyFill="1" applyBorder="1" applyAlignment="1">
      <alignment horizontal="center" vertical="center"/>
    </xf>
    <xf numFmtId="170" fontId="15" fillId="0" borderId="39" xfId="0" applyNumberFormat="1" applyFont="1" applyFill="1" applyBorder="1" applyAlignment="1">
      <alignment horizontal="right" vertical="center"/>
    </xf>
    <xf numFmtId="9" fontId="15" fillId="0" borderId="39" xfId="8" applyNumberFormat="1" applyFont="1" applyFill="1" applyBorder="1" applyAlignment="1">
      <alignment horizontal="center" vertical="center"/>
    </xf>
    <xf numFmtId="0" fontId="16" fillId="16" borderId="0" xfId="3" applyNumberFormat="1" applyFont="1" applyFill="1" applyBorder="1" applyAlignment="1">
      <alignment horizontal="center" vertical="center"/>
    </xf>
    <xf numFmtId="0" fontId="13" fillId="0" borderId="0" xfId="3" applyFont="1" applyFill="1" applyBorder="1" applyAlignment="1">
      <alignment horizontal="center" vertical="center"/>
    </xf>
    <xf numFmtId="0" fontId="17" fillId="5" borderId="3" xfId="3" applyFont="1" applyFill="1" applyBorder="1" applyAlignment="1"/>
    <xf numFmtId="0" fontId="17" fillId="5" borderId="4" xfId="3" applyFont="1" applyFill="1" applyBorder="1" applyAlignment="1"/>
    <xf numFmtId="166" fontId="17" fillId="5" borderId="5" xfId="3" applyNumberFormat="1" applyFont="1" applyFill="1" applyBorder="1" applyAlignment="1">
      <alignment horizontal="right"/>
    </xf>
    <xf numFmtId="2" fontId="31" fillId="5" borderId="5" xfId="3" applyNumberFormat="1" applyFont="1" applyFill="1" applyBorder="1" applyAlignment="1">
      <alignment horizontal="right"/>
    </xf>
    <xf numFmtId="0" fontId="14" fillId="4" borderId="0" xfId="3" applyFont="1" applyFill="1" applyAlignment="1">
      <alignment horizontal="center"/>
    </xf>
    <xf numFmtId="166" fontId="23" fillId="0" borderId="0" xfId="0" applyNumberFormat="1" applyFont="1" applyBorder="1" applyAlignment="1">
      <alignment horizontal="left" vertical="center"/>
    </xf>
    <xf numFmtId="0" fontId="16" fillId="0" borderId="0" xfId="0" applyFont="1"/>
    <xf numFmtId="166" fontId="16" fillId="11" borderId="10" xfId="0" applyNumberFormat="1" applyFont="1" applyFill="1" applyBorder="1" applyAlignment="1">
      <alignment horizontal="center"/>
    </xf>
    <xf numFmtId="166" fontId="23" fillId="0" borderId="22" xfId="0" applyNumberFormat="1" applyFont="1" applyBorder="1" applyAlignment="1">
      <alignment horizontal="center" vertical="center"/>
    </xf>
    <xf numFmtId="44" fontId="16" fillId="0" borderId="0" xfId="0" applyNumberFormat="1" applyFont="1"/>
    <xf numFmtId="9" fontId="23" fillId="0" borderId="0" xfId="0" applyNumberFormat="1" applyFont="1"/>
    <xf numFmtId="44" fontId="23" fillId="0" borderId="0" xfId="0" applyNumberFormat="1" applyFont="1"/>
    <xf numFmtId="0" fontId="23" fillId="0" borderId="22" xfId="0" applyFont="1" applyBorder="1"/>
    <xf numFmtId="170" fontId="15" fillId="17" borderId="18" xfId="0" applyNumberFormat="1" applyFont="1" applyFill="1" applyBorder="1" applyAlignment="1">
      <alignment horizontal="center" vertical="center" wrapText="1"/>
    </xf>
    <xf numFmtId="170" fontId="15" fillId="0" borderId="27" xfId="0" applyNumberFormat="1" applyFont="1" applyFill="1" applyBorder="1" applyAlignment="1">
      <alignment horizontal="center" vertical="center" wrapText="1"/>
    </xf>
    <xf numFmtId="44" fontId="23" fillId="0" borderId="28" xfId="0" applyNumberFormat="1" applyFont="1" applyBorder="1"/>
    <xf numFmtId="44" fontId="28" fillId="0" borderId="0" xfId="0" applyNumberFormat="1" applyFont="1"/>
    <xf numFmtId="44" fontId="23" fillId="8" borderId="29" xfId="0" applyNumberFormat="1" applyFont="1" applyFill="1" applyBorder="1"/>
    <xf numFmtId="9" fontId="23" fillId="8" borderId="0" xfId="0" applyNumberFormat="1" applyFont="1" applyFill="1"/>
    <xf numFmtId="170" fontId="14" fillId="2" borderId="0" xfId="0" applyNumberFormat="1" applyFont="1" applyFill="1" applyAlignment="1">
      <alignment horizontal="right" vertical="center"/>
    </xf>
    <xf numFmtId="44" fontId="23" fillId="18" borderId="30" xfId="0" applyNumberFormat="1" applyFont="1" applyFill="1" applyBorder="1"/>
    <xf numFmtId="9" fontId="23" fillId="18" borderId="0" xfId="0" applyNumberFormat="1" applyFont="1" applyFill="1"/>
    <xf numFmtId="0" fontId="15" fillId="0" borderId="2" xfId="3" applyFont="1" applyFill="1" applyBorder="1" applyAlignment="1">
      <alignment vertical="center"/>
    </xf>
    <xf numFmtId="170" fontId="26" fillId="14" borderId="16" xfId="3" applyNumberFormat="1" applyFont="1" applyFill="1" applyBorder="1" applyAlignment="1">
      <alignment horizontal="center" vertical="center"/>
    </xf>
    <xf numFmtId="166" fontId="23" fillId="0" borderId="21" xfId="0" applyNumberFormat="1" applyFont="1" applyBorder="1" applyAlignment="1">
      <alignment horizontal="center" vertical="center"/>
    </xf>
    <xf numFmtId="170" fontId="23" fillId="0" borderId="22" xfId="12" applyNumberFormat="1" applyFont="1" applyBorder="1" applyAlignment="1">
      <alignment horizontal="center" vertical="center"/>
    </xf>
    <xf numFmtId="170" fontId="26" fillId="14" borderId="10" xfId="3" applyNumberFormat="1" applyFont="1" applyFill="1" applyBorder="1" applyAlignment="1">
      <alignment horizontal="center" vertical="center"/>
    </xf>
    <xf numFmtId="171" fontId="26" fillId="14" borderId="10" xfId="3" applyNumberFormat="1" applyFont="1" applyFill="1" applyBorder="1" applyAlignment="1">
      <alignment horizontal="center" vertical="center"/>
    </xf>
    <xf numFmtId="0" fontId="23" fillId="0" borderId="24" xfId="0" applyFont="1" applyBorder="1" applyAlignment="1">
      <alignment wrapText="1"/>
    </xf>
    <xf numFmtId="0" fontId="23" fillId="0" borderId="24" xfId="0" applyFont="1" applyBorder="1" applyAlignment="1">
      <alignment horizontal="center" vertical="center"/>
    </xf>
    <xf numFmtId="0" fontId="23" fillId="0" borderId="24" xfId="0" applyFont="1" applyBorder="1"/>
    <xf numFmtId="0" fontId="23" fillId="0" borderId="22" xfId="0" applyFont="1" applyBorder="1" applyAlignment="1">
      <alignment wrapText="1"/>
    </xf>
    <xf numFmtId="0" fontId="23" fillId="0" borderId="0" xfId="0" applyFont="1" applyAlignment="1">
      <alignment horizontal="center" vertical="center"/>
    </xf>
    <xf numFmtId="0" fontId="23" fillId="0" borderId="22" xfId="0" applyFont="1" applyBorder="1" applyAlignment="1">
      <alignment horizontal="center" vertical="center"/>
    </xf>
    <xf numFmtId="0" fontId="23" fillId="0" borderId="22" xfId="0" applyFont="1" applyBorder="1" applyAlignment="1">
      <alignment horizontal="center"/>
    </xf>
    <xf numFmtId="0" fontId="16" fillId="0" borderId="0" xfId="0" applyFont="1" applyAlignment="1">
      <alignment horizontal="center" vertical="center"/>
    </xf>
    <xf numFmtId="0" fontId="14" fillId="0" borderId="0" xfId="3" applyFont="1" applyFill="1" applyBorder="1" applyAlignment="1">
      <alignment wrapText="1"/>
    </xf>
    <xf numFmtId="0" fontId="15" fillId="0" borderId="38" xfId="3" applyFont="1" applyFill="1" applyBorder="1" applyAlignment="1">
      <alignment wrapText="1"/>
    </xf>
    <xf numFmtId="0" fontId="15" fillId="0" borderId="39" xfId="3" applyFont="1" applyFill="1" applyBorder="1" applyAlignment="1">
      <alignment wrapText="1"/>
    </xf>
    <xf numFmtId="0" fontId="14" fillId="0" borderId="0" xfId="3" applyFont="1" applyAlignment="1">
      <alignment horizontal="left"/>
    </xf>
    <xf numFmtId="0" fontId="14" fillId="0" borderId="38" xfId="3" applyFont="1" applyFill="1" applyBorder="1" applyAlignment="1">
      <alignment wrapText="1"/>
    </xf>
    <xf numFmtId="0" fontId="14" fillId="0" borderId="39" xfId="3" applyFont="1" applyFill="1" applyBorder="1" applyAlignment="1">
      <alignment wrapText="1"/>
    </xf>
    <xf numFmtId="0" fontId="14" fillId="4" borderId="37" xfId="3" applyFont="1" applyFill="1" applyBorder="1" applyAlignment="1">
      <alignment horizontal="center" vertical="center"/>
    </xf>
    <xf numFmtId="0" fontId="14" fillId="4" borderId="37" xfId="3" applyFont="1" applyFill="1" applyBorder="1" applyAlignment="1">
      <alignment horizontal="right" vertical="center" wrapText="1"/>
    </xf>
    <xf numFmtId="0" fontId="3" fillId="11" borderId="45" xfId="3" applyNumberFormat="1" applyFont="1" applyFill="1" applyBorder="1" applyAlignment="1">
      <alignment horizontal="center" wrapText="1"/>
    </xf>
    <xf numFmtId="0" fontId="3" fillId="0" borderId="45" xfId="3" applyNumberFormat="1" applyFont="1" applyFill="1" applyBorder="1" applyAlignment="1">
      <alignment horizontal="center" wrapText="1"/>
    </xf>
    <xf numFmtId="0" fontId="3" fillId="0" borderId="45" xfId="3" applyFont="1" applyBorder="1"/>
    <xf numFmtId="0" fontId="3" fillId="0" borderId="13" xfId="3" applyNumberFormat="1" applyFont="1" applyFill="1" applyBorder="1" applyAlignment="1">
      <alignment horizontal="center" wrapText="1"/>
    </xf>
    <xf numFmtId="1" fontId="15" fillId="0" borderId="0" xfId="3" applyNumberFormat="1" applyFont="1" applyBorder="1" applyAlignment="1">
      <alignment horizontal="center" vertical="center"/>
    </xf>
    <xf numFmtId="0" fontId="14" fillId="4" borderId="37" xfId="3" applyFont="1" applyFill="1" applyBorder="1" applyAlignment="1">
      <alignment horizontal="left" vertical="center"/>
    </xf>
    <xf numFmtId="9" fontId="14" fillId="4" borderId="37" xfId="8" applyFont="1" applyFill="1" applyBorder="1" applyAlignment="1">
      <alignment vertical="center"/>
    </xf>
    <xf numFmtId="166" fontId="14" fillId="4" borderId="37" xfId="3" applyNumberFormat="1" applyFont="1" applyFill="1" applyBorder="1" applyAlignment="1">
      <alignment horizontal="center" vertical="center"/>
    </xf>
    <xf numFmtId="2" fontId="14" fillId="4" borderId="37" xfId="3" applyNumberFormat="1" applyFont="1" applyFill="1" applyBorder="1" applyAlignment="1">
      <alignment horizontal="right" vertical="center"/>
    </xf>
    <xf numFmtId="0" fontId="23" fillId="16" borderId="0" xfId="9" applyFont="1" applyFill="1" applyBorder="1" applyAlignment="1">
      <alignment horizontal="center" vertical="center" wrapText="1"/>
    </xf>
    <xf numFmtId="1" fontId="15" fillId="16" borderId="0" xfId="3" applyNumberFormat="1" applyFont="1" applyFill="1" applyBorder="1" applyAlignment="1">
      <alignment horizontal="center" vertical="center"/>
    </xf>
    <xf numFmtId="0" fontId="23" fillId="16" borderId="0" xfId="9" applyFont="1" applyFill="1" applyBorder="1" applyAlignment="1">
      <alignment vertical="center" textRotation="90" wrapText="1"/>
    </xf>
    <xf numFmtId="0" fontId="23" fillId="16" borderId="0" xfId="9" applyFont="1" applyFill="1" applyBorder="1" applyAlignment="1">
      <alignment horizontal="center" vertical="center" textRotation="90" wrapText="1"/>
    </xf>
    <xf numFmtId="0" fontId="9" fillId="16" borderId="11" xfId="9" applyFont="1" applyFill="1" applyBorder="1" applyAlignment="1">
      <alignment horizontal="center" vertical="center" wrapText="1"/>
    </xf>
    <xf numFmtId="0" fontId="16" fillId="0" borderId="45" xfId="9" applyFont="1" applyFill="1" applyBorder="1" applyAlignment="1">
      <alignment horizontal="center" vertical="center" wrapText="1"/>
    </xf>
    <xf numFmtId="1" fontId="23" fillId="0" borderId="45" xfId="9" applyNumberFormat="1" applyFont="1" applyFill="1" applyBorder="1" applyAlignment="1">
      <alignment horizontal="center" vertical="center" wrapText="1"/>
    </xf>
    <xf numFmtId="0" fontId="15" fillId="0" borderId="0" xfId="3" applyFont="1" applyBorder="1" applyAlignment="1">
      <alignment horizontal="right"/>
    </xf>
    <xf numFmtId="2" fontId="15" fillId="0" borderId="0" xfId="3" applyNumberFormat="1" applyFont="1" applyBorder="1" applyAlignment="1">
      <alignment horizontal="right"/>
    </xf>
    <xf numFmtId="10" fontId="15" fillId="0" borderId="0" xfId="3" applyNumberFormat="1" applyFont="1" applyBorder="1" applyAlignment="1">
      <alignment horizontal="right"/>
    </xf>
    <xf numFmtId="0" fontId="14" fillId="11" borderId="45" xfId="3" applyNumberFormat="1" applyFont="1" applyFill="1" applyBorder="1" applyAlignment="1">
      <alignment horizontal="center" wrapText="1"/>
    </xf>
    <xf numFmtId="0" fontId="14" fillId="0" borderId="45" xfId="3" applyNumberFormat="1" applyFont="1" applyFill="1" applyBorder="1" applyAlignment="1">
      <alignment horizontal="center" wrapText="1"/>
    </xf>
    <xf numFmtId="0" fontId="15" fillId="0" borderId="45" xfId="3" applyFont="1" applyBorder="1"/>
    <xf numFmtId="0" fontId="14" fillId="0" borderId="45" xfId="3" applyFont="1" applyBorder="1" applyAlignment="1">
      <alignment horizontal="right"/>
    </xf>
    <xf numFmtId="2" fontId="32" fillId="4" borderId="44" xfId="3" applyNumberFormat="1" applyFont="1" applyFill="1" applyBorder="1" applyAlignment="1">
      <alignment horizontal="right"/>
    </xf>
    <xf numFmtId="0" fontId="16" fillId="0" borderId="45" xfId="9" applyFont="1" applyFill="1" applyBorder="1" applyAlignment="1">
      <alignment horizontal="left" vertical="center" wrapText="1"/>
    </xf>
    <xf numFmtId="170" fontId="16" fillId="22" borderId="37" xfId="3" applyNumberFormat="1" applyFont="1" applyFill="1" applyBorder="1" applyAlignment="1">
      <alignment horizontal="center" vertical="center"/>
    </xf>
    <xf numFmtId="0" fontId="15" fillId="0" borderId="0" xfId="3" applyNumberFormat="1" applyFont="1" applyFill="1" applyBorder="1" applyAlignment="1">
      <alignment horizontal="left" vertical="center" wrapText="1" indent="1"/>
    </xf>
    <xf numFmtId="170" fontId="15" fillId="0" borderId="0" xfId="0" applyNumberFormat="1" applyFont="1" applyFill="1" applyBorder="1" applyAlignment="1">
      <alignment horizontal="justify" vertical="center" wrapText="1"/>
    </xf>
    <xf numFmtId="0" fontId="15" fillId="0" borderId="0" xfId="0" applyFont="1" applyBorder="1" applyAlignment="1">
      <alignment vertical="center"/>
    </xf>
    <xf numFmtId="170" fontId="15" fillId="0" borderId="0" xfId="0" applyNumberFormat="1" applyFont="1" applyBorder="1" applyAlignment="1">
      <alignment vertical="center"/>
    </xf>
    <xf numFmtId="170" fontId="14" fillId="0" borderId="0" xfId="3" applyNumberFormat="1" applyFont="1" applyAlignment="1">
      <alignment horizontal="center"/>
    </xf>
    <xf numFmtId="164" fontId="16" fillId="22" borderId="37" xfId="3" applyNumberFormat="1" applyFont="1" applyFill="1" applyBorder="1" applyAlignment="1">
      <alignment horizontal="center" vertical="center"/>
    </xf>
    <xf numFmtId="171" fontId="15" fillId="0" borderId="38" xfId="0" applyNumberFormat="1" applyFont="1" applyFill="1" applyBorder="1" applyAlignment="1">
      <alignment horizontal="center" vertical="center" wrapText="1"/>
    </xf>
    <xf numFmtId="170" fontId="15" fillId="0" borderId="4" xfId="3" applyNumberFormat="1" applyFont="1" applyFill="1" applyBorder="1" applyAlignment="1">
      <alignment vertical="center"/>
    </xf>
    <xf numFmtId="170" fontId="14" fillId="0" borderId="0" xfId="3" applyNumberFormat="1" applyFont="1" applyBorder="1" applyAlignment="1"/>
    <xf numFmtId="170" fontId="14" fillId="0" borderId="0" xfId="3" applyNumberFormat="1" applyFont="1" applyAlignment="1"/>
    <xf numFmtId="172" fontId="15" fillId="0" borderId="0" xfId="0" applyNumberFormat="1" applyFont="1" applyFill="1" applyBorder="1" applyAlignment="1">
      <alignment horizontal="center" vertical="center" wrapText="1"/>
    </xf>
    <xf numFmtId="9" fontId="15" fillId="0" borderId="0" xfId="8" applyFont="1" applyFill="1" applyBorder="1" applyAlignment="1">
      <alignment horizontal="center" vertical="center" wrapText="1"/>
    </xf>
    <xf numFmtId="172" fontId="15" fillId="0" borderId="39" xfId="0" applyNumberFormat="1" applyFont="1" applyFill="1" applyBorder="1" applyAlignment="1">
      <alignment horizontal="center" vertical="center" wrapText="1"/>
    </xf>
    <xf numFmtId="170" fontId="35" fillId="0" borderId="0" xfId="3" applyNumberFormat="1" applyFont="1" applyAlignment="1">
      <alignment horizontal="right" vertical="center"/>
    </xf>
    <xf numFmtId="170" fontId="14" fillId="16" borderId="0" xfId="3" applyNumberFormat="1" applyFont="1" applyFill="1" applyAlignment="1">
      <alignment horizontal="center" vertical="center" wrapText="1"/>
    </xf>
    <xf numFmtId="0" fontId="34" fillId="0" borderId="37" xfId="9" applyFont="1" applyBorder="1" applyAlignment="1">
      <alignment horizontal="center" vertical="center" wrapText="1"/>
    </xf>
    <xf numFmtId="0" fontId="34" fillId="18" borderId="37" xfId="9" applyFont="1" applyFill="1" applyBorder="1" applyAlignment="1">
      <alignment horizontal="center" vertical="center" wrapText="1"/>
    </xf>
    <xf numFmtId="170" fontId="15" fillId="0" borderId="38" xfId="3" applyNumberFormat="1" applyFont="1" applyBorder="1" applyAlignment="1">
      <alignment horizontal="center"/>
    </xf>
    <xf numFmtId="10" fontId="15" fillId="0" borderId="39" xfId="8" applyNumberFormat="1" applyFont="1" applyBorder="1" applyAlignment="1">
      <alignment horizontal="center"/>
    </xf>
    <xf numFmtId="166" fontId="33" fillId="23" borderId="7" xfId="3" applyNumberFormat="1" applyFont="1" applyFill="1" applyBorder="1"/>
    <xf numFmtId="170" fontId="14" fillId="0" borderId="0" xfId="3" applyNumberFormat="1" applyFont="1" applyAlignment="1">
      <alignment horizontal="center"/>
    </xf>
    <xf numFmtId="0" fontId="15" fillId="24" borderId="38" xfId="0" applyFont="1" applyFill="1" applyBorder="1" applyAlignment="1">
      <alignment horizontal="center" vertical="center"/>
    </xf>
    <xf numFmtId="172" fontId="15" fillId="24" borderId="0" xfId="0" applyNumberFormat="1" applyFont="1" applyFill="1" applyBorder="1" applyAlignment="1">
      <alignment horizontal="center" vertical="center" wrapText="1"/>
    </xf>
    <xf numFmtId="171" fontId="15" fillId="24" borderId="39" xfId="0" applyNumberFormat="1" applyFont="1" applyFill="1" applyBorder="1" applyAlignment="1">
      <alignment horizontal="center" vertical="center" wrapText="1"/>
    </xf>
    <xf numFmtId="0" fontId="16" fillId="24" borderId="0" xfId="3" applyNumberFormat="1" applyFont="1" applyFill="1" applyBorder="1" applyAlignment="1">
      <alignment horizontal="center" vertical="center"/>
    </xf>
    <xf numFmtId="170" fontId="16" fillId="24" borderId="37" xfId="3" applyNumberFormat="1" applyFont="1" applyFill="1" applyBorder="1" applyAlignment="1">
      <alignment horizontal="center" vertical="center"/>
    </xf>
    <xf numFmtId="170" fontId="15" fillId="24" borderId="0" xfId="0" applyNumberFormat="1" applyFont="1" applyFill="1" applyBorder="1" applyAlignment="1">
      <alignment horizontal="right" vertical="center"/>
    </xf>
    <xf numFmtId="170" fontId="15" fillId="24" borderId="39" xfId="0" applyNumberFormat="1" applyFont="1" applyFill="1" applyBorder="1" applyAlignment="1">
      <alignment horizontal="right" vertical="center"/>
    </xf>
    <xf numFmtId="170" fontId="16" fillId="24" borderId="0" xfId="3" applyNumberFormat="1" applyFont="1" applyFill="1" applyBorder="1" applyAlignment="1">
      <alignment horizontal="center" vertical="center"/>
    </xf>
    <xf numFmtId="171" fontId="15" fillId="24" borderId="38" xfId="0" applyNumberFormat="1" applyFont="1" applyFill="1" applyBorder="1" applyAlignment="1">
      <alignment horizontal="center" vertical="center" wrapText="1"/>
    </xf>
    <xf numFmtId="14" fontId="15" fillId="24" borderId="38" xfId="0" applyNumberFormat="1" applyFont="1" applyFill="1" applyBorder="1" applyAlignment="1">
      <alignment horizontal="center" vertical="center"/>
    </xf>
    <xf numFmtId="171" fontId="15" fillId="24" borderId="0" xfId="0" applyNumberFormat="1" applyFont="1" applyFill="1" applyBorder="1" applyAlignment="1">
      <alignment horizontal="center" vertical="center" wrapText="1"/>
    </xf>
    <xf numFmtId="14" fontId="15" fillId="24" borderId="0" xfId="0" applyNumberFormat="1" applyFont="1" applyFill="1" applyBorder="1" applyAlignment="1">
      <alignment horizontal="center" vertical="center"/>
    </xf>
    <xf numFmtId="0" fontId="15" fillId="0" borderId="47" xfId="0" applyFont="1" applyBorder="1" applyAlignment="1">
      <alignment wrapText="1"/>
    </xf>
    <xf numFmtId="164" fontId="16" fillId="22" borderId="37" xfId="3" applyNumberFormat="1" applyFont="1" applyFill="1" applyBorder="1" applyAlignment="1">
      <alignment horizontal="center" vertical="center"/>
    </xf>
    <xf numFmtId="1" fontId="23" fillId="4" borderId="45" xfId="9" applyNumberFormat="1" applyFont="1" applyFill="1" applyBorder="1" applyAlignment="1">
      <alignment horizontal="center" vertical="center" wrapText="1"/>
    </xf>
    <xf numFmtId="170" fontId="14" fillId="0" borderId="0" xfId="3" applyNumberFormat="1" applyFont="1" applyFill="1" applyBorder="1" applyAlignment="1">
      <alignment horizontal="left" vertical="center"/>
    </xf>
    <xf numFmtId="172" fontId="15" fillId="0" borderId="0" xfId="3" applyNumberFormat="1" applyFont="1" applyAlignment="1">
      <alignment vertical="center"/>
    </xf>
    <xf numFmtId="0" fontId="39" fillId="0" borderId="0" xfId="3" applyFont="1" applyAlignment="1">
      <alignment horizontal="right" vertical="center"/>
    </xf>
    <xf numFmtId="170" fontId="39" fillId="0" borderId="0" xfId="3" applyNumberFormat="1" applyFont="1" applyBorder="1" applyAlignment="1">
      <alignment horizontal="right" vertical="center"/>
    </xf>
    <xf numFmtId="0" fontId="39" fillId="0" borderId="0" xfId="3" applyFont="1" applyAlignment="1">
      <alignment horizontal="left" vertical="center"/>
    </xf>
    <xf numFmtId="0" fontId="14" fillId="0" borderId="48" xfId="3" applyFont="1" applyBorder="1"/>
    <xf numFmtId="0" fontId="15" fillId="0" borderId="48" xfId="3" applyFont="1" applyBorder="1"/>
    <xf numFmtId="170" fontId="15" fillId="0" borderId="0" xfId="3" applyNumberFormat="1" applyFont="1" applyBorder="1"/>
    <xf numFmtId="172" fontId="15" fillId="0" borderId="0" xfId="3" applyNumberFormat="1" applyFont="1"/>
    <xf numFmtId="164" fontId="16" fillId="22" borderId="37" xfId="3" applyNumberFormat="1" applyFont="1" applyFill="1" applyBorder="1" applyAlignment="1">
      <alignment horizontal="center" vertical="center"/>
    </xf>
    <xf numFmtId="164" fontId="16" fillId="22" borderId="37" xfId="3" applyNumberFormat="1" applyFont="1" applyFill="1" applyBorder="1" applyAlignment="1">
      <alignment horizontal="center" vertical="center"/>
    </xf>
    <xf numFmtId="1" fontId="34" fillId="0" borderId="37" xfId="9" applyNumberFormat="1" applyFont="1" applyBorder="1" applyAlignment="1">
      <alignment horizontal="center" vertical="center" wrapText="1"/>
    </xf>
    <xf numFmtId="14" fontId="15" fillId="0" borderId="0" xfId="3" applyNumberFormat="1" applyFont="1" applyAlignment="1">
      <alignment horizontal="center" vertical="center"/>
    </xf>
    <xf numFmtId="0" fontId="31" fillId="4" borderId="37" xfId="3" applyFont="1" applyFill="1" applyBorder="1" applyAlignment="1">
      <alignment horizontal="center" vertical="center" wrapText="1"/>
    </xf>
    <xf numFmtId="0" fontId="15" fillId="0" borderId="0" xfId="2" applyNumberFormat="1" applyFont="1" applyBorder="1" applyAlignment="1">
      <alignment horizontal="center" vertical="center" wrapText="1"/>
    </xf>
    <xf numFmtId="9" fontId="31" fillId="0" borderId="0" xfId="3" applyNumberFormat="1" applyFont="1" applyAlignment="1">
      <alignment horizontal="left" vertical="center"/>
    </xf>
    <xf numFmtId="2" fontId="41" fillId="0" borderId="0" xfId="3" applyNumberFormat="1" applyFont="1" applyAlignment="1">
      <alignment horizontal="center" vertical="center"/>
    </xf>
    <xf numFmtId="170" fontId="42" fillId="0" borderId="0" xfId="3" applyNumberFormat="1" applyFont="1" applyAlignment="1">
      <alignment horizontal="right" vertical="center"/>
    </xf>
    <xf numFmtId="44" fontId="41" fillId="0" borderId="0" xfId="15" applyFont="1" applyAlignment="1">
      <alignment horizontal="center" vertical="center"/>
    </xf>
    <xf numFmtId="170" fontId="41" fillId="7" borderId="0" xfId="3" applyNumberFormat="1" applyFont="1" applyFill="1" applyAlignment="1">
      <alignment horizontal="right" vertical="center"/>
    </xf>
    <xf numFmtId="164" fontId="15" fillId="0" borderId="0" xfId="16" applyFont="1"/>
    <xf numFmtId="0" fontId="14" fillId="4" borderId="0" xfId="3" applyFont="1" applyFill="1"/>
    <xf numFmtId="9" fontId="15" fillId="0" borderId="0" xfId="3" applyNumberFormat="1" applyFont="1" applyAlignment="1">
      <alignment horizontal="center" vertical="center"/>
    </xf>
    <xf numFmtId="170" fontId="43" fillId="27" borderId="0" xfId="3" applyNumberFormat="1" applyFont="1" applyFill="1" applyAlignment="1">
      <alignment vertical="center"/>
    </xf>
    <xf numFmtId="170" fontId="14" fillId="0" borderId="0" xfId="3" applyNumberFormat="1" applyFont="1" applyAlignment="1">
      <alignment horizontal="right" vertical="center"/>
    </xf>
    <xf numFmtId="170" fontId="28" fillId="0" borderId="0" xfId="16" applyNumberFormat="1" applyFont="1" applyAlignment="1">
      <alignment vertical="center"/>
    </xf>
    <xf numFmtId="0" fontId="31" fillId="0" borderId="0" xfId="3" applyFont="1" applyAlignment="1">
      <alignment horizontal="center" vertical="center"/>
    </xf>
    <xf numFmtId="44" fontId="41" fillId="0" borderId="0" xfId="3" applyNumberFormat="1" applyFont="1" applyAlignment="1">
      <alignment horizontal="center" vertical="center"/>
    </xf>
    <xf numFmtId="0" fontId="41" fillId="0" borderId="0" xfId="3" applyFont="1"/>
    <xf numFmtId="44" fontId="41" fillId="0" borderId="0" xfId="3" applyNumberFormat="1" applyFont="1"/>
    <xf numFmtId="170" fontId="41" fillId="0" borderId="0" xfId="3" applyNumberFormat="1" applyFont="1" applyAlignment="1">
      <alignment horizontal="center" vertical="center"/>
    </xf>
    <xf numFmtId="0" fontId="41" fillId="0" borderId="0" xfId="3" applyFont="1" applyAlignment="1">
      <alignment horizontal="center" vertical="center"/>
    </xf>
    <xf numFmtId="44" fontId="31" fillId="0" borderId="0" xfId="3" applyNumberFormat="1" applyFont="1" applyAlignment="1">
      <alignment horizontal="center" vertical="center"/>
    </xf>
    <xf numFmtId="164" fontId="16" fillId="22" borderId="37" xfId="3" applyNumberFormat="1" applyFont="1" applyFill="1" applyBorder="1" applyAlignment="1">
      <alignment horizontal="center" vertical="center"/>
    </xf>
    <xf numFmtId="0" fontId="16" fillId="0" borderId="45" xfId="9" applyFont="1" applyBorder="1" applyAlignment="1">
      <alignment horizontal="left" vertical="center" wrapText="1"/>
    </xf>
    <xf numFmtId="0" fontId="16" fillId="0" borderId="45" xfId="9" applyFont="1" applyBorder="1" applyAlignment="1">
      <alignment horizontal="center" vertical="center" wrapText="1"/>
    </xf>
    <xf numFmtId="0" fontId="12" fillId="11" borderId="9" xfId="3" applyFont="1" applyFill="1" applyBorder="1" applyAlignment="1">
      <alignment horizontal="center" vertical="center" wrapText="1"/>
    </xf>
    <xf numFmtId="1" fontId="29" fillId="0" borderId="0" xfId="9" applyNumberFormat="1" applyFont="1" applyAlignment="1">
      <alignment horizontal="center" vertical="center" wrapText="1"/>
    </xf>
    <xf numFmtId="0" fontId="14" fillId="28" borderId="46" xfId="3" applyFont="1" applyFill="1" applyBorder="1" applyAlignment="1">
      <alignment horizontal="left" wrapText="1" indent="2"/>
    </xf>
    <xf numFmtId="0" fontId="15" fillId="4" borderId="46" xfId="3" applyNumberFormat="1" applyFont="1" applyFill="1" applyBorder="1" applyAlignment="1">
      <alignment horizontal="left" vertical="center" wrapText="1" indent="3"/>
    </xf>
    <xf numFmtId="0" fontId="14" fillId="4" borderId="46" xfId="3" applyNumberFormat="1" applyFont="1" applyFill="1" applyBorder="1" applyAlignment="1">
      <alignment horizontal="left" vertical="center" wrapText="1" indent="3"/>
    </xf>
    <xf numFmtId="0" fontId="14" fillId="25" borderId="46" xfId="3" applyNumberFormat="1" applyFont="1" applyFill="1" applyBorder="1" applyAlignment="1">
      <alignment horizontal="left" wrapText="1"/>
    </xf>
    <xf numFmtId="44" fontId="43" fillId="27" borderId="0" xfId="3" applyNumberFormat="1" applyFont="1" applyFill="1" applyAlignment="1">
      <alignment horizontal="center" vertical="center"/>
    </xf>
    <xf numFmtId="0" fontId="31" fillId="0" borderId="0" xfId="3" applyFont="1" applyAlignment="1">
      <alignment horizontal="right" vertical="center"/>
    </xf>
    <xf numFmtId="0" fontId="31" fillId="7" borderId="49" xfId="3" applyFont="1" applyFill="1" applyBorder="1" applyAlignment="1">
      <alignment horizontal="center" vertical="center"/>
    </xf>
    <xf numFmtId="0" fontId="31" fillId="7" borderId="51" xfId="3" applyFont="1" applyFill="1" applyBorder="1" applyAlignment="1">
      <alignment horizontal="center" vertical="center" wrapText="1"/>
    </xf>
    <xf numFmtId="44" fontId="41" fillId="7" borderId="52" xfId="3" applyNumberFormat="1" applyFont="1" applyFill="1" applyBorder="1" applyAlignment="1">
      <alignment horizontal="center" vertical="center"/>
    </xf>
    <xf numFmtId="44" fontId="41" fillId="7" borderId="53" xfId="3" applyNumberFormat="1" applyFont="1" applyFill="1" applyBorder="1" applyAlignment="1">
      <alignment horizontal="center" vertical="center"/>
    </xf>
    <xf numFmtId="0" fontId="31" fillId="7" borderId="50" xfId="3" applyFont="1" applyFill="1" applyBorder="1" applyAlignment="1">
      <alignment horizontal="center" vertical="center" wrapText="1"/>
    </xf>
    <xf numFmtId="0" fontId="31" fillId="7" borderId="54" xfId="3" applyFont="1" applyFill="1" applyBorder="1" applyAlignment="1">
      <alignment horizontal="center" vertical="center" wrapText="1"/>
    </xf>
    <xf numFmtId="170" fontId="15" fillId="7" borderId="55" xfId="3" applyNumberFormat="1" applyFont="1" applyFill="1" applyBorder="1"/>
    <xf numFmtId="170" fontId="15" fillId="7" borderId="56" xfId="3" applyNumberFormat="1" applyFont="1" applyFill="1" applyBorder="1"/>
    <xf numFmtId="170" fontId="15" fillId="7" borderId="57" xfId="3" applyNumberFormat="1" applyFont="1" applyFill="1" applyBorder="1"/>
    <xf numFmtId="170" fontId="15" fillId="7" borderId="58" xfId="3" applyNumberFormat="1" applyFont="1" applyFill="1" applyBorder="1"/>
    <xf numFmtId="0" fontId="31" fillId="4" borderId="50" xfId="3" applyFont="1" applyFill="1" applyBorder="1" applyAlignment="1">
      <alignment horizontal="center" vertical="center" wrapText="1"/>
    </xf>
    <xf numFmtId="0" fontId="31" fillId="4" borderId="54" xfId="3" applyFont="1" applyFill="1" applyBorder="1" applyAlignment="1">
      <alignment horizontal="center" vertical="center" wrapText="1"/>
    </xf>
    <xf numFmtId="44" fontId="41" fillId="0" borderId="55" xfId="3" applyNumberFormat="1" applyFont="1" applyBorder="1"/>
    <xf numFmtId="170" fontId="15" fillId="0" borderId="56" xfId="3" applyNumberFormat="1" applyFont="1" applyBorder="1"/>
    <xf numFmtId="44" fontId="41" fillId="0" borderId="57" xfId="3" applyNumberFormat="1" applyFont="1" applyBorder="1"/>
    <xf numFmtId="170" fontId="15" fillId="0" borderId="58" xfId="3" applyNumberFormat="1" applyFont="1" applyBorder="1"/>
    <xf numFmtId="44" fontId="41" fillId="0" borderId="55" xfId="3" applyNumberFormat="1" applyFont="1" applyBorder="1" applyAlignment="1">
      <alignment horizontal="center" vertical="center"/>
    </xf>
    <xf numFmtId="44" fontId="41" fillId="0" borderId="56" xfId="3" applyNumberFormat="1" applyFont="1" applyBorder="1" applyAlignment="1">
      <alignment horizontal="center" vertical="center"/>
    </xf>
    <xf numFmtId="44" fontId="41" fillId="0" borderId="57" xfId="3" applyNumberFormat="1" applyFont="1" applyBorder="1" applyAlignment="1">
      <alignment horizontal="center" vertical="center"/>
    </xf>
    <xf numFmtId="44" fontId="41" fillId="0" borderId="58" xfId="3" applyNumberFormat="1" applyFont="1" applyBorder="1" applyAlignment="1">
      <alignment horizontal="center" vertical="center"/>
    </xf>
    <xf numFmtId="170" fontId="16" fillId="22" borderId="37" xfId="3" applyNumberFormat="1" applyFont="1" applyFill="1" applyBorder="1" applyAlignment="1">
      <alignment horizontal="center" vertical="center"/>
    </xf>
    <xf numFmtId="170" fontId="14" fillId="0" borderId="0" xfId="3" applyNumberFormat="1" applyFont="1" applyAlignment="1">
      <alignment horizontal="center"/>
    </xf>
    <xf numFmtId="2" fontId="15" fillId="0" borderId="0" xfId="16" applyNumberFormat="1" applyFont="1"/>
    <xf numFmtId="44" fontId="15" fillId="0" borderId="0" xfId="16" applyNumberFormat="1" applyFont="1"/>
    <xf numFmtId="44" fontId="15" fillId="0" borderId="0" xfId="3" applyNumberFormat="1" applyFont="1"/>
    <xf numFmtId="0" fontId="14" fillId="0" borderId="0" xfId="3" applyFont="1"/>
    <xf numFmtId="44" fontId="15" fillId="0" borderId="0" xfId="3" applyNumberFormat="1" applyFont="1" applyAlignment="1">
      <alignment horizontal="center" vertical="center"/>
    </xf>
    <xf numFmtId="0" fontId="31" fillId="4" borderId="59" xfId="3" applyFont="1" applyFill="1" applyBorder="1" applyAlignment="1">
      <alignment horizontal="center" vertical="center" wrapText="1"/>
    </xf>
    <xf numFmtId="0" fontId="31" fillId="7" borderId="59" xfId="3" applyFont="1" applyFill="1" applyBorder="1" applyAlignment="1">
      <alignment horizontal="center" vertical="center" wrapText="1"/>
    </xf>
    <xf numFmtId="0" fontId="15" fillId="4" borderId="46" xfId="3" applyNumberFormat="1" applyFont="1" applyFill="1" applyBorder="1" applyAlignment="1">
      <alignment horizontal="left" vertical="top" wrapText="1" indent="3"/>
    </xf>
    <xf numFmtId="0" fontId="45" fillId="4" borderId="46" xfId="3" applyNumberFormat="1" applyFont="1" applyFill="1" applyBorder="1" applyAlignment="1">
      <alignment horizontal="left" vertical="center" wrapText="1" indent="3"/>
    </xf>
    <xf numFmtId="170" fontId="15" fillId="0" borderId="0" xfId="8" applyNumberFormat="1" applyFont="1"/>
    <xf numFmtId="0" fontId="14" fillId="4" borderId="46" xfId="3" applyNumberFormat="1" applyFont="1" applyFill="1" applyBorder="1" applyAlignment="1">
      <alignment horizontal="left" wrapText="1" indent="3"/>
    </xf>
    <xf numFmtId="0" fontId="44" fillId="4" borderId="45" xfId="9" applyFont="1" applyFill="1" applyBorder="1" applyAlignment="1">
      <alignment horizontal="center" vertical="center" wrapText="1"/>
    </xf>
    <xf numFmtId="0" fontId="15" fillId="4" borderId="46" xfId="3" applyFont="1" applyFill="1" applyBorder="1" applyAlignment="1">
      <alignment horizontal="left" vertical="center" wrapText="1" indent="2"/>
    </xf>
    <xf numFmtId="0" fontId="14" fillId="4" borderId="46" xfId="3" applyFont="1" applyFill="1" applyBorder="1" applyAlignment="1">
      <alignment horizontal="left" vertical="center" wrapText="1" indent="2"/>
    </xf>
    <xf numFmtId="0" fontId="23" fillId="4" borderId="45" xfId="9" applyFont="1" applyFill="1" applyBorder="1" applyAlignment="1">
      <alignment horizontal="center" vertical="center" wrapText="1"/>
    </xf>
    <xf numFmtId="0" fontId="14" fillId="29" borderId="46" xfId="3" applyFont="1" applyFill="1" applyBorder="1" applyAlignment="1">
      <alignment horizontal="left" wrapText="1" indent="2"/>
    </xf>
    <xf numFmtId="0" fontId="14" fillId="30" borderId="46" xfId="3" applyNumberFormat="1" applyFont="1" applyFill="1" applyBorder="1" applyAlignment="1">
      <alignment horizontal="left" vertical="center" wrapText="1"/>
    </xf>
    <xf numFmtId="0" fontId="40" fillId="4" borderId="45" xfId="9" applyFont="1" applyFill="1" applyBorder="1" applyAlignment="1">
      <alignment horizontal="center" vertical="center" wrapText="1"/>
    </xf>
    <xf numFmtId="0" fontId="14" fillId="4" borderId="0" xfId="3" applyNumberFormat="1" applyFont="1" applyFill="1" applyBorder="1" applyAlignment="1">
      <alignment horizontal="center" wrapText="1"/>
    </xf>
    <xf numFmtId="0" fontId="0" fillId="4" borderId="0" xfId="0" applyFill="1"/>
    <xf numFmtId="0" fontId="15" fillId="4" borderId="46" xfId="3" applyNumberFormat="1" applyFont="1" applyFill="1" applyBorder="1" applyAlignment="1">
      <alignment horizontal="left" vertical="center" wrapText="1" indent="2"/>
    </xf>
    <xf numFmtId="0" fontId="13" fillId="3" borderId="0" xfId="3" applyFont="1" applyFill="1" applyAlignment="1">
      <alignment horizontal="center"/>
    </xf>
    <xf numFmtId="15" fontId="13" fillId="0" borderId="0" xfId="3" applyNumberFormat="1" applyFont="1" applyAlignment="1">
      <alignment horizontal="center" vertical="center"/>
    </xf>
    <xf numFmtId="0" fontId="15" fillId="4" borderId="37" xfId="3" applyFont="1" applyFill="1" applyBorder="1" applyAlignment="1">
      <alignment horizontal="center" vertical="center" wrapText="1"/>
    </xf>
    <xf numFmtId="0" fontId="15" fillId="2" borderId="0" xfId="3" applyFont="1" applyFill="1" applyAlignment="1">
      <alignment horizontal="center" vertical="center"/>
    </xf>
    <xf numFmtId="2" fontId="41" fillId="4" borderId="0" xfId="3" applyNumberFormat="1" applyFont="1" applyFill="1" applyBorder="1" applyAlignment="1">
      <alignment horizontal="center"/>
    </xf>
    <xf numFmtId="0" fontId="13" fillId="2" borderId="0" xfId="3" applyFont="1" applyFill="1" applyAlignment="1">
      <alignment horizontal="center" vertical="center"/>
    </xf>
    <xf numFmtId="0" fontId="13" fillId="15" borderId="0" xfId="3" applyFont="1" applyFill="1" applyAlignment="1">
      <alignment horizontal="center"/>
    </xf>
    <xf numFmtId="164" fontId="13" fillId="0" borderId="0" xfId="12" applyFont="1" applyAlignment="1">
      <alignment horizontal="center" vertical="center"/>
    </xf>
    <xf numFmtId="0" fontId="46" fillId="4" borderId="60" xfId="3" applyFont="1" applyFill="1" applyBorder="1" applyAlignment="1">
      <alignment horizontal="center" vertical="center"/>
    </xf>
    <xf numFmtId="169" fontId="46" fillId="4" borderId="60" xfId="8" applyNumberFormat="1" applyFont="1" applyFill="1" applyBorder="1" applyAlignment="1">
      <alignment vertical="center"/>
    </xf>
    <xf numFmtId="169" fontId="47" fillId="4" borderId="60" xfId="3" applyNumberFormat="1" applyFont="1" applyFill="1" applyBorder="1" applyAlignment="1">
      <alignment horizontal="center"/>
    </xf>
    <xf numFmtId="0" fontId="46" fillId="0" borderId="60" xfId="3" applyNumberFormat="1" applyFont="1" applyFill="1" applyBorder="1" applyAlignment="1">
      <alignment horizontal="left" wrapText="1" indent="2"/>
    </xf>
    <xf numFmtId="166" fontId="47" fillId="4" borderId="60" xfId="3" applyNumberFormat="1" applyFont="1" applyFill="1" applyBorder="1" applyAlignment="1">
      <alignment horizontal="right" vertical="center" indent="1"/>
    </xf>
    <xf numFmtId="166" fontId="47" fillId="0" borderId="60" xfId="3" applyNumberFormat="1" applyFont="1" applyFill="1" applyBorder="1" applyAlignment="1">
      <alignment horizontal="right" vertical="center" indent="1"/>
    </xf>
    <xf numFmtId="0" fontId="47" fillId="0" borderId="60" xfId="3" applyNumberFormat="1" applyFont="1" applyFill="1" applyBorder="1" applyAlignment="1">
      <alignment horizontal="center" wrapText="1"/>
    </xf>
    <xf numFmtId="0" fontId="47" fillId="0" borderId="60" xfId="3" applyNumberFormat="1" applyFont="1" applyFill="1" applyBorder="1" applyAlignment="1">
      <alignment horizontal="left" wrapText="1" indent="2"/>
    </xf>
    <xf numFmtId="166" fontId="47" fillId="15" borderId="60" xfId="3" applyNumberFormat="1" applyFont="1" applyFill="1" applyBorder="1" applyAlignment="1">
      <alignment horizontal="right" vertical="center" indent="1"/>
    </xf>
    <xf numFmtId="2" fontId="52" fillId="0" borderId="60" xfId="9" applyNumberFormat="1" applyFont="1" applyFill="1" applyBorder="1" applyAlignment="1">
      <alignment horizontal="center" vertical="center" wrapText="1"/>
    </xf>
    <xf numFmtId="2" fontId="47" fillId="0" borderId="60" xfId="3" applyNumberFormat="1" applyFont="1" applyFill="1" applyBorder="1" applyAlignment="1">
      <alignment horizontal="center" wrapText="1"/>
    </xf>
    <xf numFmtId="166" fontId="47" fillId="0" borderId="60" xfId="3" applyNumberFormat="1" applyFont="1" applyBorder="1" applyAlignment="1">
      <alignment horizontal="right" vertical="center" indent="1"/>
    </xf>
    <xf numFmtId="169" fontId="47" fillId="4" borderId="60" xfId="3" applyNumberFormat="1" applyFont="1" applyFill="1" applyBorder="1" applyAlignment="1">
      <alignment horizontal="center" vertical="center"/>
    </xf>
    <xf numFmtId="0" fontId="46" fillId="16" borderId="60" xfId="3" applyNumberFormat="1" applyFont="1" applyFill="1" applyBorder="1" applyAlignment="1">
      <alignment horizontal="left" vertical="center" wrapText="1"/>
    </xf>
    <xf numFmtId="166" fontId="47" fillId="16" borderId="60" xfId="3" applyNumberFormat="1" applyFont="1" applyFill="1" applyBorder="1" applyAlignment="1">
      <alignment horizontal="right" vertical="center" indent="1"/>
    </xf>
    <xf numFmtId="169" fontId="47" fillId="16" borderId="60" xfId="3" applyNumberFormat="1" applyFont="1" applyFill="1" applyBorder="1" applyAlignment="1">
      <alignment horizontal="center" wrapText="1"/>
    </xf>
    <xf numFmtId="0" fontId="46" fillId="4" borderId="60" xfId="3" applyFont="1" applyFill="1" applyBorder="1" applyAlignment="1">
      <alignment horizontal="left" vertical="center" wrapText="1" indent="2"/>
    </xf>
    <xf numFmtId="2" fontId="52" fillId="0" borderId="60" xfId="9" applyNumberFormat="1" applyFont="1" applyBorder="1" applyAlignment="1">
      <alignment horizontal="center" vertical="center" wrapText="1"/>
    </xf>
    <xf numFmtId="0" fontId="48" fillId="32" borderId="60" xfId="3" applyFont="1" applyFill="1" applyBorder="1" applyAlignment="1">
      <alignment horizontal="left" wrapText="1" indent="2"/>
    </xf>
    <xf numFmtId="0" fontId="49" fillId="31" borderId="60" xfId="3" applyFont="1" applyFill="1" applyBorder="1" applyAlignment="1">
      <alignment horizontal="left" vertical="center" wrapText="1" indent="2"/>
    </xf>
    <xf numFmtId="0" fontId="46" fillId="4" borderId="60" xfId="3" applyFont="1" applyFill="1" applyBorder="1" applyAlignment="1">
      <alignment horizontal="left" vertical="center" wrapText="1" indent="5"/>
    </xf>
    <xf numFmtId="0" fontId="50" fillId="13" borderId="60" xfId="3" applyFont="1" applyFill="1" applyBorder="1" applyAlignment="1">
      <alignment horizontal="left" vertical="center" wrapText="1" indent="7"/>
    </xf>
    <xf numFmtId="0" fontId="46" fillId="4" borderId="60" xfId="3" applyFont="1" applyFill="1" applyBorder="1" applyAlignment="1">
      <alignment horizontal="left" vertical="center" wrapText="1" indent="8"/>
    </xf>
    <xf numFmtId="0" fontId="47" fillId="4" borderId="60" xfId="3" applyFont="1" applyFill="1" applyBorder="1" applyAlignment="1">
      <alignment horizontal="left" vertical="center" wrapText="1" indent="8"/>
    </xf>
    <xf numFmtId="0" fontId="50" fillId="31" borderId="60" xfId="3" applyFont="1" applyFill="1" applyBorder="1" applyAlignment="1">
      <alignment horizontal="left" vertical="center" wrapText="1" indent="2"/>
    </xf>
    <xf numFmtId="0" fontId="46" fillId="4" borderId="60" xfId="3" applyNumberFormat="1" applyFont="1" applyFill="1" applyBorder="1" applyAlignment="1">
      <alignment horizontal="left" vertical="center" wrapText="1" indent="2"/>
    </xf>
    <xf numFmtId="0" fontId="47" fillId="4" borderId="60" xfId="3" applyNumberFormat="1" applyFont="1" applyFill="1" applyBorder="1" applyAlignment="1">
      <alignment horizontal="left" vertical="center" wrapText="1" indent="3"/>
    </xf>
    <xf numFmtId="0" fontId="47" fillId="4" borderId="60" xfId="3" applyFont="1" applyFill="1" applyBorder="1" applyAlignment="1">
      <alignment horizontal="left" vertical="center" wrapText="1" indent="5"/>
    </xf>
    <xf numFmtId="0" fontId="48" fillId="32" borderId="60" xfId="3" applyFont="1" applyFill="1" applyBorder="1" applyAlignment="1">
      <alignment horizontal="left" vertical="center" wrapText="1" indent="2"/>
    </xf>
    <xf numFmtId="0" fontId="46" fillId="19" borderId="60" xfId="3" applyNumberFormat="1" applyFont="1" applyFill="1" applyBorder="1" applyAlignment="1">
      <alignment horizontal="left" wrapText="1" indent="2"/>
    </xf>
    <xf numFmtId="9" fontId="47" fillId="4" borderId="60" xfId="8" applyFont="1" applyFill="1" applyBorder="1" applyAlignment="1">
      <alignment horizontal="center" vertical="center"/>
    </xf>
    <xf numFmtId="9" fontId="47" fillId="0" borderId="60" xfId="8" applyFont="1" applyFill="1" applyBorder="1" applyAlignment="1">
      <alignment horizontal="center" wrapText="1"/>
    </xf>
    <xf numFmtId="166" fontId="47" fillId="26" borderId="60" xfId="3" applyNumberFormat="1" applyFont="1" applyFill="1" applyBorder="1" applyAlignment="1">
      <alignment horizontal="right" vertical="center" indent="1"/>
    </xf>
    <xf numFmtId="0" fontId="47" fillId="4" borderId="60" xfId="3" applyNumberFormat="1" applyFont="1" applyFill="1" applyBorder="1" applyAlignment="1">
      <alignment horizontal="left" wrapText="1" indent="2"/>
    </xf>
    <xf numFmtId="2" fontId="52" fillId="4" borderId="60" xfId="9" applyNumberFormat="1" applyFont="1" applyFill="1" applyBorder="1" applyAlignment="1">
      <alignment horizontal="center" vertical="center" wrapText="1"/>
    </xf>
    <xf numFmtId="0" fontId="9" fillId="16" borderId="0" xfId="9" applyFont="1" applyFill="1" applyBorder="1" applyAlignment="1">
      <alignment horizontal="center" vertical="center" wrapText="1"/>
    </xf>
    <xf numFmtId="2" fontId="14" fillId="4" borderId="0" xfId="3" applyNumberFormat="1" applyFont="1" applyFill="1" applyBorder="1" applyAlignment="1">
      <alignment horizontal="right" vertical="center"/>
    </xf>
    <xf numFmtId="0" fontId="53" fillId="33" borderId="61" xfId="0" applyFont="1" applyFill="1" applyBorder="1" applyAlignment="1">
      <alignment horizontal="center" vertical="center"/>
    </xf>
    <xf numFmtId="0" fontId="53" fillId="33" borderId="62" xfId="0" applyFont="1" applyFill="1" applyBorder="1" applyAlignment="1">
      <alignment horizontal="center" vertical="center"/>
    </xf>
    <xf numFmtId="0" fontId="47" fillId="0" borderId="63" xfId="3" applyFont="1" applyFill="1" applyBorder="1" applyAlignment="1">
      <alignment wrapText="1"/>
    </xf>
    <xf numFmtId="0" fontId="47" fillId="7" borderId="63" xfId="3" applyFont="1" applyFill="1" applyBorder="1" applyAlignment="1">
      <alignment wrapText="1"/>
    </xf>
    <xf numFmtId="0" fontId="46" fillId="7" borderId="63" xfId="3" applyFont="1" applyFill="1" applyBorder="1" applyAlignment="1">
      <alignment wrapText="1"/>
    </xf>
    <xf numFmtId="0" fontId="53" fillId="33" borderId="61" xfId="0" applyFont="1" applyFill="1" applyBorder="1" applyAlignment="1">
      <alignment horizontal="center" vertical="center" wrapText="1"/>
    </xf>
    <xf numFmtId="0" fontId="53" fillId="33" borderId="62" xfId="0" applyFont="1" applyFill="1" applyBorder="1" applyAlignment="1">
      <alignment horizontal="center" vertical="center" wrapText="1"/>
    </xf>
    <xf numFmtId="170" fontId="47" fillId="0" borderId="63" xfId="0" applyNumberFormat="1" applyFont="1" applyFill="1" applyBorder="1" applyAlignment="1">
      <alignment horizontal="center" vertical="center" wrapText="1"/>
    </xf>
    <xf numFmtId="14" fontId="47" fillId="0" borderId="63" xfId="0" applyNumberFormat="1" applyFont="1" applyFill="1" applyBorder="1" applyAlignment="1">
      <alignment horizontal="center" vertical="center"/>
    </xf>
    <xf numFmtId="171" fontId="47" fillId="24" borderId="63" xfId="0" applyNumberFormat="1" applyFont="1" applyFill="1" applyBorder="1" applyAlignment="1">
      <alignment horizontal="center" vertical="center" wrapText="1"/>
    </xf>
    <xf numFmtId="14" fontId="47" fillId="24" borderId="63" xfId="0" applyNumberFormat="1" applyFont="1" applyFill="1" applyBorder="1" applyAlignment="1">
      <alignment horizontal="center" vertical="center"/>
    </xf>
    <xf numFmtId="171" fontId="47" fillId="0" borderId="63" xfId="0" applyNumberFormat="1" applyFont="1" applyFill="1" applyBorder="1" applyAlignment="1">
      <alignment horizontal="center" vertical="center" wrapText="1"/>
    </xf>
    <xf numFmtId="0" fontId="47" fillId="4" borderId="63" xfId="0" applyFont="1" applyFill="1" applyBorder="1" applyAlignment="1">
      <alignment horizontal="center" vertical="center"/>
    </xf>
    <xf numFmtId="170" fontId="47" fillId="0" borderId="63" xfId="0" applyNumberFormat="1" applyFont="1" applyFill="1" applyBorder="1" applyAlignment="1">
      <alignment horizontal="center" vertical="center"/>
    </xf>
    <xf numFmtId="170" fontId="47" fillId="0" borderId="63" xfId="0" applyNumberFormat="1" applyFont="1" applyFill="1" applyBorder="1" applyAlignment="1">
      <alignment horizontal="right" vertical="center"/>
    </xf>
    <xf numFmtId="9" fontId="47" fillId="0" borderId="63" xfId="8" applyNumberFormat="1" applyFont="1" applyFill="1" applyBorder="1" applyAlignment="1">
      <alignment horizontal="center" vertical="center"/>
    </xf>
    <xf numFmtId="170" fontId="47" fillId="24" borderId="63" xfId="0" applyNumberFormat="1" applyFont="1" applyFill="1" applyBorder="1" applyAlignment="1">
      <alignment horizontal="right" vertical="center"/>
    </xf>
    <xf numFmtId="9" fontId="47" fillId="0" borderId="63" xfId="8" applyFont="1" applyFill="1" applyBorder="1" applyAlignment="1">
      <alignment horizontal="center" vertical="center" wrapText="1"/>
    </xf>
    <xf numFmtId="172" fontId="47" fillId="0" borderId="63" xfId="0" applyNumberFormat="1" applyFont="1" applyFill="1" applyBorder="1" applyAlignment="1">
      <alignment horizontal="center" vertical="center" wrapText="1"/>
    </xf>
    <xf numFmtId="172" fontId="47" fillId="4" borderId="63" xfId="0" applyNumberFormat="1" applyFont="1" applyFill="1" applyBorder="1" applyAlignment="1">
      <alignment horizontal="center" vertical="center" wrapText="1"/>
    </xf>
    <xf numFmtId="171" fontId="47" fillId="4" borderId="63" xfId="0" applyNumberFormat="1" applyFont="1" applyFill="1" applyBorder="1" applyAlignment="1">
      <alignment horizontal="center" vertical="center" wrapText="1"/>
    </xf>
    <xf numFmtId="170" fontId="47" fillId="0" borderId="63" xfId="0" applyNumberFormat="1" applyFont="1" applyFill="1" applyBorder="1" applyAlignment="1">
      <alignment horizontal="center"/>
    </xf>
    <xf numFmtId="170" fontId="47" fillId="2" borderId="63" xfId="0" applyNumberFormat="1" applyFont="1" applyFill="1" applyBorder="1" applyAlignment="1">
      <alignment horizontal="center" vertical="center"/>
    </xf>
    <xf numFmtId="0" fontId="55" fillId="16" borderId="63" xfId="3" applyNumberFormat="1" applyFont="1" applyFill="1" applyBorder="1" applyAlignment="1">
      <alignment horizontal="center" vertical="center"/>
    </xf>
    <xf numFmtId="170" fontId="48" fillId="12" borderId="63" xfId="3" applyNumberFormat="1" applyFont="1" applyFill="1" applyBorder="1" applyAlignment="1">
      <alignment horizontal="center" vertical="center" wrapText="1"/>
    </xf>
    <xf numFmtId="170" fontId="48" fillId="12" borderId="63" xfId="3" applyNumberFormat="1" applyFont="1" applyFill="1" applyBorder="1" applyAlignment="1">
      <alignment horizontal="center" vertical="center"/>
    </xf>
    <xf numFmtId="170" fontId="47" fillId="7" borderId="63" xfId="0" applyNumberFormat="1" applyFont="1" applyFill="1" applyBorder="1" applyAlignment="1">
      <alignment horizontal="center" vertical="center" wrapText="1"/>
    </xf>
    <xf numFmtId="171" fontId="47" fillId="7" borderId="63" xfId="0" applyNumberFormat="1" applyFont="1" applyFill="1" applyBorder="1" applyAlignment="1">
      <alignment horizontal="center" vertical="center" wrapText="1"/>
    </xf>
    <xf numFmtId="0" fontId="55" fillId="7" borderId="63" xfId="3" applyNumberFormat="1" applyFont="1" applyFill="1" applyBorder="1" applyAlignment="1">
      <alignment horizontal="center" vertical="center"/>
    </xf>
    <xf numFmtId="0" fontId="47" fillId="7" borderId="63" xfId="3" applyFont="1" applyFill="1" applyBorder="1" applyAlignment="1">
      <alignment vertical="center"/>
    </xf>
    <xf numFmtId="170" fontId="55" fillId="7" borderId="63" xfId="3" applyNumberFormat="1" applyFont="1" applyFill="1" applyBorder="1" applyAlignment="1">
      <alignment horizontal="center" vertical="center"/>
    </xf>
    <xf numFmtId="0" fontId="15" fillId="0" borderId="13" xfId="3" applyFont="1" applyFill="1" applyBorder="1" applyAlignment="1">
      <alignment horizontal="left" wrapText="1"/>
    </xf>
    <xf numFmtId="0" fontId="15" fillId="0" borderId="0" xfId="3" applyFont="1" applyFill="1" applyBorder="1" applyAlignment="1">
      <alignment horizontal="left" wrapText="1"/>
    </xf>
    <xf numFmtId="0" fontId="15" fillId="0" borderId="43" xfId="3" applyFont="1" applyFill="1" applyBorder="1" applyAlignment="1">
      <alignment horizontal="left" wrapText="1"/>
    </xf>
    <xf numFmtId="0" fontId="15" fillId="0" borderId="39" xfId="3" applyFont="1" applyFill="1" applyBorder="1" applyAlignment="1">
      <alignment horizontal="left" wrapText="1"/>
    </xf>
    <xf numFmtId="0" fontId="38" fillId="4" borderId="37" xfId="3" applyFont="1" applyFill="1" applyBorder="1" applyAlignment="1">
      <alignment horizontal="center" wrapText="1"/>
    </xf>
    <xf numFmtId="0" fontId="15" fillId="0" borderId="42" xfId="3" applyFont="1" applyFill="1" applyBorder="1" applyAlignment="1">
      <alignment horizontal="left" wrapText="1"/>
    </xf>
    <xf numFmtId="0" fontId="15" fillId="0" borderId="38" xfId="3" applyFont="1" applyFill="1" applyBorder="1" applyAlignment="1">
      <alignment horizontal="left" wrapText="1"/>
    </xf>
    <xf numFmtId="0" fontId="54" fillId="4" borderId="63" xfId="3" applyFont="1" applyFill="1" applyBorder="1" applyAlignment="1">
      <alignment horizontal="center" wrapText="1"/>
    </xf>
    <xf numFmtId="0" fontId="15" fillId="0" borderId="37" xfId="3" applyFont="1" applyFill="1" applyBorder="1" applyAlignment="1">
      <alignment horizontal="left" wrapText="1"/>
    </xf>
    <xf numFmtId="0" fontId="23" fillId="0" borderId="0" xfId="9" applyFont="1" applyAlignment="1">
      <alignment horizontal="center" vertical="center" textRotation="90" wrapText="1"/>
    </xf>
    <xf numFmtId="0" fontId="23" fillId="0" borderId="0" xfId="9" applyFont="1" applyAlignment="1">
      <alignment horizontal="center" vertical="center" textRotation="90"/>
    </xf>
    <xf numFmtId="0" fontId="23" fillId="11" borderId="0" xfId="9" applyFont="1" applyFill="1" applyAlignment="1">
      <alignment horizontal="center" vertical="center" textRotation="90"/>
    </xf>
    <xf numFmtId="0" fontId="13" fillId="10" borderId="8" xfId="3" applyFont="1" applyFill="1" applyBorder="1" applyAlignment="1">
      <alignment horizontal="center" vertical="center"/>
    </xf>
    <xf numFmtId="1" fontId="13" fillId="10" borderId="8" xfId="3" applyNumberFormat="1" applyFont="1" applyFill="1" applyBorder="1" applyAlignment="1">
      <alignment horizontal="center" vertical="center"/>
    </xf>
    <xf numFmtId="0" fontId="12" fillId="0" borderId="0" xfId="3" applyFont="1" applyAlignment="1">
      <alignment horizontal="center"/>
    </xf>
    <xf numFmtId="1" fontId="13" fillId="10" borderId="34" xfId="3" applyNumberFormat="1" applyFont="1" applyFill="1" applyBorder="1" applyAlignment="1">
      <alignment horizontal="center" vertical="center"/>
    </xf>
    <xf numFmtId="1" fontId="13" fillId="10" borderId="35" xfId="3" applyNumberFormat="1" applyFont="1" applyFill="1" applyBorder="1" applyAlignment="1">
      <alignment horizontal="center" vertical="center"/>
    </xf>
    <xf numFmtId="1" fontId="13" fillId="10" borderId="36" xfId="3" applyNumberFormat="1" applyFont="1" applyFill="1" applyBorder="1" applyAlignment="1">
      <alignment horizontal="center" vertical="center"/>
    </xf>
    <xf numFmtId="0" fontId="13" fillId="10" borderId="34" xfId="3" applyFont="1" applyFill="1" applyBorder="1" applyAlignment="1">
      <alignment horizontal="center" vertical="center"/>
    </xf>
    <xf numFmtId="0" fontId="13" fillId="10" borderId="35" xfId="3" applyFont="1" applyFill="1" applyBorder="1" applyAlignment="1">
      <alignment horizontal="center" vertical="center"/>
    </xf>
    <xf numFmtId="0" fontId="13" fillId="10" borderId="36" xfId="3" applyFont="1" applyFill="1" applyBorder="1" applyAlignment="1">
      <alignment horizontal="center" vertical="center"/>
    </xf>
    <xf numFmtId="0" fontId="15" fillId="0" borderId="2" xfId="3" applyFont="1" applyBorder="1" applyAlignment="1">
      <alignment horizontal="center" vertical="center"/>
    </xf>
    <xf numFmtId="0" fontId="14" fillId="0" borderId="0" xfId="3" applyFont="1" applyAlignment="1">
      <alignment horizontal="center"/>
    </xf>
    <xf numFmtId="0" fontId="15" fillId="0" borderId="0" xfId="3" applyFont="1" applyAlignment="1">
      <alignment horizontal="center" wrapText="1"/>
    </xf>
    <xf numFmtId="9" fontId="31" fillId="0" borderId="0" xfId="3" applyNumberFormat="1" applyFont="1" applyAlignment="1">
      <alignment horizontal="right" vertical="center"/>
    </xf>
    <xf numFmtId="0" fontId="15" fillId="0" borderId="2" xfId="3" applyFont="1" applyFill="1" applyBorder="1" applyAlignment="1">
      <alignment horizontal="center" vertical="center"/>
    </xf>
    <xf numFmtId="0" fontId="31" fillId="0" borderId="49" xfId="3" applyFont="1" applyBorder="1" applyAlignment="1">
      <alignment horizontal="center" vertical="center"/>
    </xf>
    <xf numFmtId="170" fontId="31" fillId="7" borderId="49" xfId="16" applyNumberFormat="1" applyFont="1" applyFill="1" applyBorder="1" applyAlignment="1">
      <alignment horizontal="center" vertical="center"/>
    </xf>
    <xf numFmtId="0" fontId="14" fillId="0" borderId="0" xfId="3" applyFont="1" applyAlignment="1">
      <alignment horizontal="center" wrapText="1"/>
    </xf>
    <xf numFmtId="0" fontId="14" fillId="0" borderId="2" xfId="3" applyFont="1" applyBorder="1" applyAlignment="1">
      <alignment horizontal="center" vertical="center"/>
    </xf>
    <xf numFmtId="0" fontId="15" fillId="0" borderId="0" xfId="3" applyNumberFormat="1" applyFont="1" applyFill="1" applyBorder="1" applyAlignment="1">
      <alignment horizontal="left" vertical="center" wrapText="1" indent="1"/>
    </xf>
    <xf numFmtId="0" fontId="15" fillId="23" borderId="39" xfId="3" applyNumberFormat="1" applyFont="1" applyFill="1" applyBorder="1" applyAlignment="1">
      <alignment horizontal="left" vertical="center" wrapText="1" indent="1"/>
    </xf>
    <xf numFmtId="0" fontId="14" fillId="16" borderId="38" xfId="3" applyFont="1" applyFill="1" applyBorder="1" applyAlignment="1">
      <alignment horizontal="left"/>
    </xf>
    <xf numFmtId="164" fontId="16" fillId="22" borderId="37" xfId="3" applyNumberFormat="1" applyFont="1" applyFill="1" applyBorder="1" applyAlignment="1">
      <alignment horizontal="center" vertical="center"/>
    </xf>
    <xf numFmtId="0" fontId="13" fillId="0" borderId="4" xfId="3" applyFont="1" applyFill="1" applyBorder="1" applyAlignment="1">
      <alignment horizontal="center" vertical="center"/>
    </xf>
    <xf numFmtId="170" fontId="14" fillId="16" borderId="0" xfId="3" applyNumberFormat="1" applyFont="1" applyFill="1" applyBorder="1" applyAlignment="1">
      <alignment horizontal="center" vertical="center"/>
    </xf>
    <xf numFmtId="170" fontId="16" fillId="22" borderId="37" xfId="3" applyNumberFormat="1" applyFont="1" applyFill="1" applyBorder="1" applyAlignment="1">
      <alignment horizontal="center" vertical="center"/>
    </xf>
    <xf numFmtId="166" fontId="23" fillId="0" borderId="38" xfId="0" applyNumberFormat="1" applyFont="1" applyBorder="1" applyAlignment="1">
      <alignment horizontal="left" vertical="center"/>
    </xf>
    <xf numFmtId="166" fontId="23" fillId="0" borderId="0" xfId="0" applyNumberFormat="1" applyFont="1" applyBorder="1" applyAlignment="1">
      <alignment horizontal="left" vertical="center"/>
    </xf>
    <xf numFmtId="166" fontId="23" fillId="0" borderId="19" xfId="0" applyNumberFormat="1" applyFont="1" applyBorder="1" applyAlignment="1">
      <alignment horizontal="justify" vertical="justify"/>
    </xf>
    <xf numFmtId="166" fontId="23" fillId="0" borderId="20" xfId="0" applyNumberFormat="1" applyFont="1" applyBorder="1" applyAlignment="1">
      <alignment horizontal="justify" vertical="justify"/>
    </xf>
    <xf numFmtId="166" fontId="23" fillId="0" borderId="21" xfId="0" applyNumberFormat="1" applyFont="1" applyBorder="1" applyAlignment="1">
      <alignment horizontal="justify" vertical="justify"/>
    </xf>
    <xf numFmtId="170" fontId="26" fillId="14" borderId="16" xfId="3" applyNumberFormat="1" applyFont="1" applyFill="1" applyBorder="1" applyAlignment="1">
      <alignment horizontal="center" vertical="center"/>
    </xf>
    <xf numFmtId="170" fontId="26" fillId="14" borderId="0" xfId="3" applyNumberFormat="1" applyFont="1" applyFill="1" applyBorder="1" applyAlignment="1">
      <alignment horizontal="center" vertical="center"/>
    </xf>
    <xf numFmtId="170" fontId="26" fillId="14" borderId="14" xfId="3" applyNumberFormat="1" applyFont="1" applyFill="1" applyBorder="1" applyAlignment="1">
      <alignment horizontal="center" vertical="center"/>
    </xf>
    <xf numFmtId="166" fontId="23" fillId="0" borderId="39" xfId="0" applyNumberFormat="1" applyFont="1" applyBorder="1" applyAlignment="1">
      <alignment horizontal="left" vertical="center"/>
    </xf>
    <xf numFmtId="166" fontId="23" fillId="0" borderId="19" xfId="0" applyNumberFormat="1" applyFont="1" applyBorder="1" applyAlignment="1">
      <alignment horizontal="left" vertical="center"/>
    </xf>
    <xf numFmtId="166" fontId="23" fillId="0" borderId="20" xfId="0" applyNumberFormat="1" applyFont="1" applyBorder="1" applyAlignment="1">
      <alignment horizontal="left" vertical="center"/>
    </xf>
    <xf numFmtId="166" fontId="23" fillId="0" borderId="21" xfId="0" applyNumberFormat="1" applyFont="1" applyBorder="1" applyAlignment="1">
      <alignment horizontal="left" vertical="center"/>
    </xf>
    <xf numFmtId="166" fontId="16" fillId="0" borderId="19" xfId="0" applyNumberFormat="1" applyFont="1" applyBorder="1" applyAlignment="1">
      <alignment horizontal="left" vertical="center"/>
    </xf>
    <xf numFmtId="166" fontId="16" fillId="0" borderId="20" xfId="0" applyNumberFormat="1" applyFont="1" applyBorder="1" applyAlignment="1">
      <alignment horizontal="left" vertical="center"/>
    </xf>
    <xf numFmtId="166" fontId="16" fillId="0" borderId="21" xfId="0" applyNumberFormat="1" applyFont="1" applyBorder="1" applyAlignment="1">
      <alignment horizontal="left" vertical="center"/>
    </xf>
    <xf numFmtId="166" fontId="23" fillId="0" borderId="19" xfId="0" applyNumberFormat="1" applyFont="1" applyBorder="1" applyAlignment="1">
      <alignment horizontal="left" vertical="center" wrapText="1"/>
    </xf>
    <xf numFmtId="166" fontId="23" fillId="0" borderId="20" xfId="0" applyNumberFormat="1" applyFont="1" applyBorder="1" applyAlignment="1">
      <alignment horizontal="left" vertical="center" wrapText="1"/>
    </xf>
    <xf numFmtId="166" fontId="23" fillId="0" borderId="21" xfId="0" applyNumberFormat="1" applyFont="1" applyBorder="1" applyAlignment="1">
      <alignment horizontal="left" vertical="center" wrapText="1"/>
    </xf>
    <xf numFmtId="170" fontId="14" fillId="0" borderId="0" xfId="3" applyNumberFormat="1" applyFont="1" applyAlignment="1">
      <alignment horizontal="center"/>
    </xf>
    <xf numFmtId="170" fontId="26" fillId="14" borderId="11" xfId="3" applyNumberFormat="1" applyFont="1" applyFill="1" applyBorder="1" applyAlignment="1">
      <alignment horizontal="left" vertical="center"/>
    </xf>
    <xf numFmtId="170" fontId="26" fillId="14" borderId="23" xfId="3" applyNumberFormat="1" applyFont="1" applyFill="1" applyBorder="1" applyAlignment="1">
      <alignment horizontal="left" vertical="center"/>
    </xf>
    <xf numFmtId="170" fontId="26" fillId="14" borderId="12" xfId="3" applyNumberFormat="1" applyFont="1" applyFill="1" applyBorder="1" applyAlignment="1">
      <alignment horizontal="left" vertical="center"/>
    </xf>
    <xf numFmtId="170" fontId="26" fillId="14" borderId="25" xfId="3" applyNumberFormat="1" applyFont="1" applyFill="1" applyBorder="1" applyAlignment="1">
      <alignment horizontal="left" vertical="center"/>
    </xf>
    <xf numFmtId="170" fontId="26" fillId="14" borderId="20" xfId="3" applyNumberFormat="1" applyFont="1" applyFill="1" applyBorder="1" applyAlignment="1">
      <alignment horizontal="left" vertical="center"/>
    </xf>
    <xf numFmtId="170" fontId="26" fillId="14" borderId="26" xfId="3" applyNumberFormat="1" applyFont="1" applyFill="1" applyBorder="1" applyAlignment="1">
      <alignment horizontal="left" vertical="center"/>
    </xf>
    <xf numFmtId="170" fontId="14" fillId="0" borderId="4" xfId="3" applyNumberFormat="1" applyFont="1" applyFill="1" applyBorder="1" applyAlignment="1">
      <alignment horizontal="center" vertical="center"/>
    </xf>
  </cellXfs>
  <cellStyles count="17">
    <cellStyle name="Millares 2" xfId="1" xr:uid="{00000000-0005-0000-0000-000000000000}"/>
    <cellStyle name="Moneda" xfId="12" builtinId="4"/>
    <cellStyle name="Moneda 2" xfId="2" xr:uid="{00000000-0005-0000-0000-000002000000}"/>
    <cellStyle name="Moneda 3" xfId="11" xr:uid="{00000000-0005-0000-0000-000003000000}"/>
    <cellStyle name="Moneda 4" xfId="16" xr:uid="{E9701C7F-881C-402B-B9BB-44648206DF9D}"/>
    <cellStyle name="Moneda 5" xfId="15" xr:uid="{3CB47C51-145D-4941-AF28-FCF9EDF2BF90}"/>
    <cellStyle name="Normal" xfId="0" builtinId="0"/>
    <cellStyle name="Normal 2" xfId="3" xr:uid="{00000000-0005-0000-0000-000005000000}"/>
    <cellStyle name="Normal 3" xfId="4" xr:uid="{00000000-0005-0000-0000-000006000000}"/>
    <cellStyle name="Normal 4" xfId="5" xr:uid="{00000000-0005-0000-0000-000007000000}"/>
    <cellStyle name="Normal 5" xfId="7" xr:uid="{00000000-0005-0000-0000-000008000000}"/>
    <cellStyle name="Normal 6" xfId="9" xr:uid="{00000000-0005-0000-0000-000009000000}"/>
    <cellStyle name="Normal 6 2" xfId="10" xr:uid="{00000000-0005-0000-0000-00000A000000}"/>
    <cellStyle name="Normal 7" xfId="13" xr:uid="{00000000-0005-0000-0000-00000B000000}"/>
    <cellStyle name="Normal 7 2" xfId="14" xr:uid="{00000000-0005-0000-0000-00000C000000}"/>
    <cellStyle name="Porcentaje" xfId="8" builtinId="5"/>
    <cellStyle name="Porcentaje 2" xfId="6" xr:uid="{00000000-0005-0000-0000-00000E000000}"/>
  </cellStyles>
  <dxfs count="0"/>
  <tableStyles count="0" defaultTableStyle="TableStyleMedium2" defaultPivotStyle="PivotStyleLight16"/>
  <colors>
    <mruColors>
      <color rgb="FF009999"/>
      <color rgb="FF33CCFF"/>
      <color rgb="FFB9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D718C90-24D9-4BC3-846F-428D1AA689B5}" type="doc">
      <dgm:prSet loTypeId="urn:microsoft.com/office/officeart/2005/8/layout/hierarchy4" loCatId="list" qsTypeId="urn:microsoft.com/office/officeart/2005/8/quickstyle/simple4" qsCatId="simple" csTypeId="urn:microsoft.com/office/officeart/2005/8/colors/accent1_2" csCatId="accent1" phldr="1"/>
      <dgm:spPr/>
      <dgm:t>
        <a:bodyPr/>
        <a:lstStyle/>
        <a:p>
          <a:endParaRPr lang="es-MX"/>
        </a:p>
      </dgm:t>
    </dgm:pt>
    <dgm:pt modelId="{156BD996-7C7F-4FFB-A04C-A6E088F956CB}">
      <dgm:prSet phldrT="[Texto]" custT="1"/>
      <dgm:spPr>
        <a:solidFill>
          <a:srgbClr val="00B0F0"/>
        </a:solidFill>
      </dgm:spPr>
      <dgm:t>
        <a:bodyPr/>
        <a:lstStyle/>
        <a:p>
          <a:r>
            <a:rPr lang="es-MX" sz="1800" dirty="0">
              <a:latin typeface="Arial Nova Light" panose="020B0304020202020204" pitchFamily="34" charset="0"/>
              <a:cs typeface="Arial" pitchFamily="34" charset="0"/>
            </a:rPr>
            <a:t>Construcción</a:t>
          </a:r>
        </a:p>
      </dgm:t>
    </dgm:pt>
    <dgm:pt modelId="{3A49BC96-28B5-4C88-BA01-8ECB56FDEE7C}" type="parTrans" cxnId="{B9DDE2F5-51F5-4D40-A8C7-242DDB623280}">
      <dgm:prSet/>
      <dgm:spPr/>
      <dgm:t>
        <a:bodyPr/>
        <a:lstStyle/>
        <a:p>
          <a:endParaRPr lang="es-MX" sz="1600">
            <a:latin typeface="Arial" pitchFamily="34" charset="0"/>
            <a:cs typeface="Arial" pitchFamily="34" charset="0"/>
          </a:endParaRPr>
        </a:p>
      </dgm:t>
    </dgm:pt>
    <dgm:pt modelId="{63547526-6A86-4730-AA2D-46040BE092AB}" type="sibTrans" cxnId="{B9DDE2F5-51F5-4D40-A8C7-242DDB623280}">
      <dgm:prSet custT="1"/>
      <dgm:spPr/>
      <dgm:t>
        <a:bodyPr/>
        <a:lstStyle/>
        <a:p>
          <a:endParaRPr lang="es-MX" sz="1600">
            <a:latin typeface="Arial" pitchFamily="34" charset="0"/>
            <a:cs typeface="Arial" pitchFamily="34" charset="0"/>
          </a:endParaRPr>
        </a:p>
      </dgm:t>
    </dgm:pt>
    <dgm:pt modelId="{035FB5B3-84B0-43FB-9A39-9BA15CE325AD}">
      <dgm:prSet phldrT="[Texto]" custT="1"/>
      <dgm:spPr>
        <a:solidFill>
          <a:srgbClr val="00B0F0"/>
        </a:solidFill>
      </dgm:spPr>
      <dgm:t>
        <a:bodyPr/>
        <a:lstStyle/>
        <a:p>
          <a:r>
            <a:rPr lang="es-MX" sz="1800" dirty="0">
              <a:latin typeface="Arial" pitchFamily="34" charset="0"/>
              <a:cs typeface="Arial" pitchFamily="34" charset="0"/>
            </a:rPr>
            <a:t>Análisis y diseño</a:t>
          </a:r>
        </a:p>
      </dgm:t>
    </dgm:pt>
    <dgm:pt modelId="{DBD689F2-8C81-4677-92A9-49755926A076}" type="sibTrans" cxnId="{9E43727F-EE43-4674-8206-C4DB5DB17D83}">
      <dgm:prSet/>
      <dgm:spPr/>
      <dgm:t>
        <a:bodyPr/>
        <a:lstStyle/>
        <a:p>
          <a:endParaRPr lang="es-MX" sz="1600"/>
        </a:p>
      </dgm:t>
    </dgm:pt>
    <dgm:pt modelId="{597F9C13-3B58-44B3-8639-A9443D874C66}" type="parTrans" cxnId="{9E43727F-EE43-4674-8206-C4DB5DB17D83}">
      <dgm:prSet/>
      <dgm:spPr/>
      <dgm:t>
        <a:bodyPr/>
        <a:lstStyle/>
        <a:p>
          <a:endParaRPr lang="es-MX" sz="1600"/>
        </a:p>
      </dgm:t>
    </dgm:pt>
    <dgm:pt modelId="{7A77BBBC-C617-4CA2-A5CB-F65A97CAA37D}">
      <dgm:prSet phldrT="[Texto]" custT="1"/>
      <dgm:spPr>
        <a:solidFill>
          <a:srgbClr val="00B0F0"/>
        </a:solidFill>
      </dgm:spPr>
      <dgm:t>
        <a:bodyPr/>
        <a:lstStyle/>
        <a:p>
          <a:r>
            <a:rPr lang="es-MX" sz="1800" dirty="0">
              <a:latin typeface="Arial Nova Light" panose="020B0304020202020204" pitchFamily="34" charset="0"/>
              <a:cs typeface="Arial" pitchFamily="34" charset="0"/>
            </a:rPr>
            <a:t>Integración</a:t>
          </a:r>
        </a:p>
      </dgm:t>
    </dgm:pt>
    <dgm:pt modelId="{CC58B2D8-9C0B-4932-A380-691F10C70A4C}" type="parTrans" cxnId="{7FD53A8A-D904-44E6-B206-6B48DD8312FD}">
      <dgm:prSet/>
      <dgm:spPr/>
      <dgm:t>
        <a:bodyPr/>
        <a:lstStyle/>
        <a:p>
          <a:endParaRPr lang="es-MX" sz="1600"/>
        </a:p>
      </dgm:t>
    </dgm:pt>
    <dgm:pt modelId="{8581A4A3-BEC7-4D7D-883C-55D193EB4AB8}" type="sibTrans" cxnId="{7FD53A8A-D904-44E6-B206-6B48DD8312FD}">
      <dgm:prSet/>
      <dgm:spPr/>
      <dgm:t>
        <a:bodyPr/>
        <a:lstStyle/>
        <a:p>
          <a:endParaRPr lang="es-MX" sz="1600"/>
        </a:p>
      </dgm:t>
    </dgm:pt>
    <dgm:pt modelId="{7108E42A-7B7B-4160-945B-E91E20D85DD3}">
      <dgm:prSet phldrT="[Texto]" custT="1"/>
      <dgm:spPr>
        <a:solidFill>
          <a:srgbClr val="00B0F0"/>
        </a:solidFill>
      </dgm:spPr>
      <dgm:t>
        <a:bodyPr/>
        <a:lstStyle/>
        <a:p>
          <a:r>
            <a:rPr lang="es-MX" sz="1800" dirty="0">
              <a:latin typeface="Arial Nova Light" panose="020B0304020202020204" pitchFamily="34" charset="0"/>
              <a:cs typeface="Arial" pitchFamily="34" charset="0"/>
            </a:rPr>
            <a:t>Implementación</a:t>
          </a:r>
        </a:p>
      </dgm:t>
    </dgm:pt>
    <dgm:pt modelId="{A117880E-C924-4091-B7B7-275665D35803}" type="parTrans" cxnId="{949BEF24-924F-4A18-9935-1187577B8C9C}">
      <dgm:prSet/>
      <dgm:spPr/>
      <dgm:t>
        <a:bodyPr/>
        <a:lstStyle/>
        <a:p>
          <a:endParaRPr lang="es-MX" sz="1600"/>
        </a:p>
      </dgm:t>
    </dgm:pt>
    <dgm:pt modelId="{B3A6BF4C-7FD3-4B55-B81D-A07E129953FF}" type="sibTrans" cxnId="{949BEF24-924F-4A18-9935-1187577B8C9C}">
      <dgm:prSet/>
      <dgm:spPr/>
      <dgm:t>
        <a:bodyPr/>
        <a:lstStyle/>
        <a:p>
          <a:endParaRPr lang="es-MX" sz="1600"/>
        </a:p>
      </dgm:t>
    </dgm:pt>
    <dgm:pt modelId="{937CF713-0E04-4654-AADB-A6F0E0517CF9}">
      <dgm:prSet phldrT="[Texto]" custT="1"/>
      <dgm:spPr>
        <a:solidFill>
          <a:srgbClr val="00B0F0"/>
        </a:solidFill>
      </dgm:spPr>
      <dgm:t>
        <a:bodyPr/>
        <a:lstStyle/>
        <a:p>
          <a:r>
            <a:rPr lang="es-MX" sz="1800" b="1" dirty="0">
              <a:latin typeface="Arial" pitchFamily="34" charset="0"/>
              <a:cs typeface="Arial" pitchFamily="34" charset="0"/>
            </a:rPr>
            <a:t>DESARROLLO DE SOFTWARE</a:t>
          </a:r>
        </a:p>
      </dgm:t>
    </dgm:pt>
    <dgm:pt modelId="{A06FE6A2-DBFA-4171-9128-A2548600EA15}" type="sibTrans" cxnId="{9547B0A4-DFEE-49AF-A40A-F0C35F763047}">
      <dgm:prSet/>
      <dgm:spPr/>
      <dgm:t>
        <a:bodyPr/>
        <a:lstStyle/>
        <a:p>
          <a:endParaRPr lang="es-MX" sz="1600"/>
        </a:p>
      </dgm:t>
    </dgm:pt>
    <dgm:pt modelId="{940C3A7A-F0E2-410C-A23C-A6CA7184A09D}" type="parTrans" cxnId="{9547B0A4-DFEE-49AF-A40A-F0C35F763047}">
      <dgm:prSet/>
      <dgm:spPr/>
      <dgm:t>
        <a:bodyPr/>
        <a:lstStyle/>
        <a:p>
          <a:endParaRPr lang="es-MX" sz="1600"/>
        </a:p>
      </dgm:t>
    </dgm:pt>
    <dgm:pt modelId="{4CDEA560-4144-4E68-9A88-A504346640C7}" type="pres">
      <dgm:prSet presAssocID="{7D718C90-24D9-4BC3-846F-428D1AA689B5}" presName="Name0" presStyleCnt="0">
        <dgm:presLayoutVars>
          <dgm:chPref val="1"/>
          <dgm:dir/>
          <dgm:animOne val="branch"/>
          <dgm:animLvl val="lvl"/>
          <dgm:resizeHandles/>
        </dgm:presLayoutVars>
      </dgm:prSet>
      <dgm:spPr/>
    </dgm:pt>
    <dgm:pt modelId="{EC2C909B-930C-49FF-9EC1-C3998DA3C4F1}" type="pres">
      <dgm:prSet presAssocID="{937CF713-0E04-4654-AADB-A6F0E0517CF9}" presName="vertOne" presStyleCnt="0"/>
      <dgm:spPr/>
    </dgm:pt>
    <dgm:pt modelId="{89E083BC-D111-4803-A19F-4069DD733483}" type="pres">
      <dgm:prSet presAssocID="{937CF713-0E04-4654-AADB-A6F0E0517CF9}" presName="txOne" presStyleLbl="node0" presStyleIdx="0" presStyleCnt="1" custScaleY="75073" custLinFactNeighborX="182">
        <dgm:presLayoutVars>
          <dgm:chPref val="3"/>
        </dgm:presLayoutVars>
      </dgm:prSet>
      <dgm:spPr/>
    </dgm:pt>
    <dgm:pt modelId="{86845F74-1147-4681-8B72-4BCBD8D278E1}" type="pres">
      <dgm:prSet presAssocID="{937CF713-0E04-4654-AADB-A6F0E0517CF9}" presName="parTransOne" presStyleCnt="0"/>
      <dgm:spPr/>
    </dgm:pt>
    <dgm:pt modelId="{E1CED98A-58BD-4CD3-905A-C6E1D9D8A2C9}" type="pres">
      <dgm:prSet presAssocID="{937CF713-0E04-4654-AADB-A6F0E0517CF9}" presName="horzOne" presStyleCnt="0"/>
      <dgm:spPr/>
    </dgm:pt>
    <dgm:pt modelId="{C53C6B3F-CB9C-4059-A3FA-564FB393F2B0}" type="pres">
      <dgm:prSet presAssocID="{035FB5B3-84B0-43FB-9A39-9BA15CE325AD}" presName="vertTwo" presStyleCnt="0"/>
      <dgm:spPr/>
    </dgm:pt>
    <dgm:pt modelId="{F1ABAAEC-53AF-40F8-A36D-21F5552A7C39}" type="pres">
      <dgm:prSet presAssocID="{035FB5B3-84B0-43FB-9A39-9BA15CE325AD}" presName="txTwo" presStyleLbl="node2" presStyleIdx="0" presStyleCnt="4" custLinFactNeighborY="-28090">
        <dgm:presLayoutVars>
          <dgm:chPref val="3"/>
        </dgm:presLayoutVars>
      </dgm:prSet>
      <dgm:spPr/>
    </dgm:pt>
    <dgm:pt modelId="{83905A8F-7B77-4D48-9514-2870569E7B49}" type="pres">
      <dgm:prSet presAssocID="{035FB5B3-84B0-43FB-9A39-9BA15CE325AD}" presName="horzTwo" presStyleCnt="0"/>
      <dgm:spPr/>
    </dgm:pt>
    <dgm:pt modelId="{57570F83-90EB-4981-A84D-03720FB7C3ED}" type="pres">
      <dgm:prSet presAssocID="{DBD689F2-8C81-4677-92A9-49755926A076}" presName="sibSpaceTwo" presStyleCnt="0"/>
      <dgm:spPr/>
    </dgm:pt>
    <dgm:pt modelId="{47338B92-B1DD-43C2-BEDC-A50EB832DB77}" type="pres">
      <dgm:prSet presAssocID="{156BD996-7C7F-4FFB-A04C-A6E088F956CB}" presName="vertTwo" presStyleCnt="0"/>
      <dgm:spPr/>
    </dgm:pt>
    <dgm:pt modelId="{B05BE9B8-7467-4D63-B3BC-262F138E26B5}" type="pres">
      <dgm:prSet presAssocID="{156BD996-7C7F-4FFB-A04C-A6E088F956CB}" presName="txTwo" presStyleLbl="node2" presStyleIdx="1" presStyleCnt="4" custLinFactNeighborY="-28090">
        <dgm:presLayoutVars>
          <dgm:chPref val="3"/>
        </dgm:presLayoutVars>
      </dgm:prSet>
      <dgm:spPr/>
    </dgm:pt>
    <dgm:pt modelId="{8758DF78-E9B1-4D17-9A37-1B14485EDC2C}" type="pres">
      <dgm:prSet presAssocID="{156BD996-7C7F-4FFB-A04C-A6E088F956CB}" presName="horzTwo" presStyleCnt="0"/>
      <dgm:spPr/>
    </dgm:pt>
    <dgm:pt modelId="{894B9F34-167C-4D85-BDC5-6715B55B9949}" type="pres">
      <dgm:prSet presAssocID="{63547526-6A86-4730-AA2D-46040BE092AB}" presName="sibSpaceTwo" presStyleCnt="0"/>
      <dgm:spPr/>
    </dgm:pt>
    <dgm:pt modelId="{E11B61AA-E326-4360-B24F-E9C4D35774B5}" type="pres">
      <dgm:prSet presAssocID="{7A77BBBC-C617-4CA2-A5CB-F65A97CAA37D}" presName="vertTwo" presStyleCnt="0"/>
      <dgm:spPr/>
    </dgm:pt>
    <dgm:pt modelId="{93150627-9968-4710-B50E-FD24FA099885}" type="pres">
      <dgm:prSet presAssocID="{7A77BBBC-C617-4CA2-A5CB-F65A97CAA37D}" presName="txTwo" presStyleLbl="node2" presStyleIdx="2" presStyleCnt="4" custLinFactNeighborY="-28090">
        <dgm:presLayoutVars>
          <dgm:chPref val="3"/>
        </dgm:presLayoutVars>
      </dgm:prSet>
      <dgm:spPr/>
    </dgm:pt>
    <dgm:pt modelId="{D256B712-B334-46C7-BD9A-5EAC000DAF1D}" type="pres">
      <dgm:prSet presAssocID="{7A77BBBC-C617-4CA2-A5CB-F65A97CAA37D}" presName="horzTwo" presStyleCnt="0"/>
      <dgm:spPr/>
    </dgm:pt>
    <dgm:pt modelId="{B5FC0888-9638-46A1-9D13-A5AF2E04D0CC}" type="pres">
      <dgm:prSet presAssocID="{8581A4A3-BEC7-4D7D-883C-55D193EB4AB8}" presName="sibSpaceTwo" presStyleCnt="0"/>
      <dgm:spPr/>
    </dgm:pt>
    <dgm:pt modelId="{CC770414-74A3-41FB-A74B-DDEBFEA35399}" type="pres">
      <dgm:prSet presAssocID="{7108E42A-7B7B-4160-945B-E91E20D85DD3}" presName="vertTwo" presStyleCnt="0"/>
      <dgm:spPr/>
    </dgm:pt>
    <dgm:pt modelId="{468D6618-9CB0-404C-A2B0-61F2FB9BD69C}" type="pres">
      <dgm:prSet presAssocID="{7108E42A-7B7B-4160-945B-E91E20D85DD3}" presName="txTwo" presStyleLbl="node2" presStyleIdx="3" presStyleCnt="4" custLinFactNeighborY="-28090">
        <dgm:presLayoutVars>
          <dgm:chPref val="3"/>
        </dgm:presLayoutVars>
      </dgm:prSet>
      <dgm:spPr/>
    </dgm:pt>
    <dgm:pt modelId="{42B4019D-E979-4350-9EE0-1B49D38AEAA9}" type="pres">
      <dgm:prSet presAssocID="{7108E42A-7B7B-4160-945B-E91E20D85DD3}" presName="horzTwo" presStyleCnt="0"/>
      <dgm:spPr/>
    </dgm:pt>
  </dgm:ptLst>
  <dgm:cxnLst>
    <dgm:cxn modelId="{67B62D24-0F0B-4FA1-9D09-FEAFFA30B44B}" type="presOf" srcId="{035FB5B3-84B0-43FB-9A39-9BA15CE325AD}" destId="{F1ABAAEC-53AF-40F8-A36D-21F5552A7C39}" srcOrd="0" destOrd="0" presId="urn:microsoft.com/office/officeart/2005/8/layout/hierarchy4"/>
    <dgm:cxn modelId="{949BEF24-924F-4A18-9935-1187577B8C9C}" srcId="{937CF713-0E04-4654-AADB-A6F0E0517CF9}" destId="{7108E42A-7B7B-4160-945B-E91E20D85DD3}" srcOrd="3" destOrd="0" parTransId="{A117880E-C924-4091-B7B7-275665D35803}" sibTransId="{B3A6BF4C-7FD3-4B55-B81D-A07E129953FF}"/>
    <dgm:cxn modelId="{02F58A74-F13A-4902-A56D-30A039D3FE12}" type="presOf" srcId="{937CF713-0E04-4654-AADB-A6F0E0517CF9}" destId="{89E083BC-D111-4803-A19F-4069DD733483}" srcOrd="0" destOrd="0" presId="urn:microsoft.com/office/officeart/2005/8/layout/hierarchy4"/>
    <dgm:cxn modelId="{9E43727F-EE43-4674-8206-C4DB5DB17D83}" srcId="{937CF713-0E04-4654-AADB-A6F0E0517CF9}" destId="{035FB5B3-84B0-43FB-9A39-9BA15CE325AD}" srcOrd="0" destOrd="0" parTransId="{597F9C13-3B58-44B3-8639-A9443D874C66}" sibTransId="{DBD689F2-8C81-4677-92A9-49755926A076}"/>
    <dgm:cxn modelId="{7FD53A8A-D904-44E6-B206-6B48DD8312FD}" srcId="{937CF713-0E04-4654-AADB-A6F0E0517CF9}" destId="{7A77BBBC-C617-4CA2-A5CB-F65A97CAA37D}" srcOrd="2" destOrd="0" parTransId="{CC58B2D8-9C0B-4932-A380-691F10C70A4C}" sibTransId="{8581A4A3-BEC7-4D7D-883C-55D193EB4AB8}"/>
    <dgm:cxn modelId="{639D889B-4483-4D13-B95F-573B3A53A563}" type="presOf" srcId="{7A77BBBC-C617-4CA2-A5CB-F65A97CAA37D}" destId="{93150627-9968-4710-B50E-FD24FA099885}" srcOrd="0" destOrd="0" presId="urn:microsoft.com/office/officeart/2005/8/layout/hierarchy4"/>
    <dgm:cxn modelId="{9547B0A4-DFEE-49AF-A40A-F0C35F763047}" srcId="{7D718C90-24D9-4BC3-846F-428D1AA689B5}" destId="{937CF713-0E04-4654-AADB-A6F0E0517CF9}" srcOrd="0" destOrd="0" parTransId="{940C3A7A-F0E2-410C-A23C-A6CA7184A09D}" sibTransId="{A06FE6A2-DBFA-4171-9128-A2548600EA15}"/>
    <dgm:cxn modelId="{C93770A7-1430-402C-BB6A-CA21D85E2E2F}" type="presOf" srcId="{7108E42A-7B7B-4160-945B-E91E20D85DD3}" destId="{468D6618-9CB0-404C-A2B0-61F2FB9BD69C}" srcOrd="0" destOrd="0" presId="urn:microsoft.com/office/officeart/2005/8/layout/hierarchy4"/>
    <dgm:cxn modelId="{A92677CD-63DC-431D-A357-C4D59284DA74}" type="presOf" srcId="{7D718C90-24D9-4BC3-846F-428D1AA689B5}" destId="{4CDEA560-4144-4E68-9A88-A504346640C7}" srcOrd="0" destOrd="0" presId="urn:microsoft.com/office/officeart/2005/8/layout/hierarchy4"/>
    <dgm:cxn modelId="{0D468EE9-BAC6-48AA-AB85-7C274A2FC131}" type="presOf" srcId="{156BD996-7C7F-4FFB-A04C-A6E088F956CB}" destId="{B05BE9B8-7467-4D63-B3BC-262F138E26B5}" srcOrd="0" destOrd="0" presId="urn:microsoft.com/office/officeart/2005/8/layout/hierarchy4"/>
    <dgm:cxn modelId="{B9DDE2F5-51F5-4D40-A8C7-242DDB623280}" srcId="{937CF713-0E04-4654-AADB-A6F0E0517CF9}" destId="{156BD996-7C7F-4FFB-A04C-A6E088F956CB}" srcOrd="1" destOrd="0" parTransId="{3A49BC96-28B5-4C88-BA01-8ECB56FDEE7C}" sibTransId="{63547526-6A86-4730-AA2D-46040BE092AB}"/>
    <dgm:cxn modelId="{E33B4596-C425-4B11-81E5-9088E28CAB30}" type="presParOf" srcId="{4CDEA560-4144-4E68-9A88-A504346640C7}" destId="{EC2C909B-930C-49FF-9EC1-C3998DA3C4F1}" srcOrd="0" destOrd="0" presId="urn:microsoft.com/office/officeart/2005/8/layout/hierarchy4"/>
    <dgm:cxn modelId="{76BCF4C4-194F-439B-801B-86655488C08A}" type="presParOf" srcId="{EC2C909B-930C-49FF-9EC1-C3998DA3C4F1}" destId="{89E083BC-D111-4803-A19F-4069DD733483}" srcOrd="0" destOrd="0" presId="urn:microsoft.com/office/officeart/2005/8/layout/hierarchy4"/>
    <dgm:cxn modelId="{8E0A0D79-71FC-459E-AD78-61C6F44678CB}" type="presParOf" srcId="{EC2C909B-930C-49FF-9EC1-C3998DA3C4F1}" destId="{86845F74-1147-4681-8B72-4BCBD8D278E1}" srcOrd="1" destOrd="0" presId="urn:microsoft.com/office/officeart/2005/8/layout/hierarchy4"/>
    <dgm:cxn modelId="{6964C091-1099-4AC6-9E69-D13F214B9EAA}" type="presParOf" srcId="{EC2C909B-930C-49FF-9EC1-C3998DA3C4F1}" destId="{E1CED98A-58BD-4CD3-905A-C6E1D9D8A2C9}" srcOrd="2" destOrd="0" presId="urn:microsoft.com/office/officeart/2005/8/layout/hierarchy4"/>
    <dgm:cxn modelId="{CEEDA584-2ACC-4561-9F0F-DCB55D926DAA}" type="presParOf" srcId="{E1CED98A-58BD-4CD3-905A-C6E1D9D8A2C9}" destId="{C53C6B3F-CB9C-4059-A3FA-564FB393F2B0}" srcOrd="0" destOrd="0" presId="urn:microsoft.com/office/officeart/2005/8/layout/hierarchy4"/>
    <dgm:cxn modelId="{487A1ACD-E978-426C-91E3-4AC2AE5D3F5F}" type="presParOf" srcId="{C53C6B3F-CB9C-4059-A3FA-564FB393F2B0}" destId="{F1ABAAEC-53AF-40F8-A36D-21F5552A7C39}" srcOrd="0" destOrd="0" presId="urn:microsoft.com/office/officeart/2005/8/layout/hierarchy4"/>
    <dgm:cxn modelId="{F994F438-CCA8-44FC-BB25-CF6C719B69D2}" type="presParOf" srcId="{C53C6B3F-CB9C-4059-A3FA-564FB393F2B0}" destId="{83905A8F-7B77-4D48-9514-2870569E7B49}" srcOrd="1" destOrd="0" presId="urn:microsoft.com/office/officeart/2005/8/layout/hierarchy4"/>
    <dgm:cxn modelId="{4251B2B1-710C-4216-B988-12D24FDEBDEE}" type="presParOf" srcId="{E1CED98A-58BD-4CD3-905A-C6E1D9D8A2C9}" destId="{57570F83-90EB-4981-A84D-03720FB7C3ED}" srcOrd="1" destOrd="0" presId="urn:microsoft.com/office/officeart/2005/8/layout/hierarchy4"/>
    <dgm:cxn modelId="{06187A51-A85B-4F79-89CC-3DDEBB280407}" type="presParOf" srcId="{E1CED98A-58BD-4CD3-905A-C6E1D9D8A2C9}" destId="{47338B92-B1DD-43C2-BEDC-A50EB832DB77}" srcOrd="2" destOrd="0" presId="urn:microsoft.com/office/officeart/2005/8/layout/hierarchy4"/>
    <dgm:cxn modelId="{D046F8E5-B0AE-4B8E-BAE8-14CADE2074D5}" type="presParOf" srcId="{47338B92-B1DD-43C2-BEDC-A50EB832DB77}" destId="{B05BE9B8-7467-4D63-B3BC-262F138E26B5}" srcOrd="0" destOrd="0" presId="urn:microsoft.com/office/officeart/2005/8/layout/hierarchy4"/>
    <dgm:cxn modelId="{80E334BC-943C-4FE2-B627-2824DE54F91E}" type="presParOf" srcId="{47338B92-B1DD-43C2-BEDC-A50EB832DB77}" destId="{8758DF78-E9B1-4D17-9A37-1B14485EDC2C}" srcOrd="1" destOrd="0" presId="urn:microsoft.com/office/officeart/2005/8/layout/hierarchy4"/>
    <dgm:cxn modelId="{C3536DC3-E5CF-4035-8514-B056E3E45BA6}" type="presParOf" srcId="{E1CED98A-58BD-4CD3-905A-C6E1D9D8A2C9}" destId="{894B9F34-167C-4D85-BDC5-6715B55B9949}" srcOrd="3" destOrd="0" presId="urn:microsoft.com/office/officeart/2005/8/layout/hierarchy4"/>
    <dgm:cxn modelId="{A5D9CD1A-A5D1-4E35-837C-87318521981D}" type="presParOf" srcId="{E1CED98A-58BD-4CD3-905A-C6E1D9D8A2C9}" destId="{E11B61AA-E326-4360-B24F-E9C4D35774B5}" srcOrd="4" destOrd="0" presId="urn:microsoft.com/office/officeart/2005/8/layout/hierarchy4"/>
    <dgm:cxn modelId="{7E3C56D3-FC6F-493C-B973-DF992A338E57}" type="presParOf" srcId="{E11B61AA-E326-4360-B24F-E9C4D35774B5}" destId="{93150627-9968-4710-B50E-FD24FA099885}" srcOrd="0" destOrd="0" presId="urn:microsoft.com/office/officeart/2005/8/layout/hierarchy4"/>
    <dgm:cxn modelId="{7E4CE561-701B-4526-8EFB-EC1F3D328998}" type="presParOf" srcId="{E11B61AA-E326-4360-B24F-E9C4D35774B5}" destId="{D256B712-B334-46C7-BD9A-5EAC000DAF1D}" srcOrd="1" destOrd="0" presId="urn:microsoft.com/office/officeart/2005/8/layout/hierarchy4"/>
    <dgm:cxn modelId="{86CB627A-53E5-468A-B489-ABC61C3D9627}" type="presParOf" srcId="{E1CED98A-58BD-4CD3-905A-C6E1D9D8A2C9}" destId="{B5FC0888-9638-46A1-9D13-A5AF2E04D0CC}" srcOrd="5" destOrd="0" presId="urn:microsoft.com/office/officeart/2005/8/layout/hierarchy4"/>
    <dgm:cxn modelId="{FEAA8E42-9FE6-467D-A7AB-03A75C7C8B42}" type="presParOf" srcId="{E1CED98A-58BD-4CD3-905A-C6E1D9D8A2C9}" destId="{CC770414-74A3-41FB-A74B-DDEBFEA35399}" srcOrd="6" destOrd="0" presId="urn:microsoft.com/office/officeart/2005/8/layout/hierarchy4"/>
    <dgm:cxn modelId="{D0508B11-2060-430B-BD39-328FDF66BCBE}" type="presParOf" srcId="{CC770414-74A3-41FB-A74B-DDEBFEA35399}" destId="{468D6618-9CB0-404C-A2B0-61F2FB9BD69C}" srcOrd="0" destOrd="0" presId="urn:microsoft.com/office/officeart/2005/8/layout/hierarchy4"/>
    <dgm:cxn modelId="{9C558410-5477-4C28-92BB-EA75FD298285}" type="presParOf" srcId="{CC770414-74A3-41FB-A74B-DDEBFEA35399}" destId="{42B4019D-E979-4350-9EE0-1B49D38AEAA9}"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9E083BC-D111-4803-A19F-4069DD733483}">
      <dsp:nvSpPr>
        <dsp:cNvPr id="0" name=""/>
        <dsp:cNvSpPr/>
      </dsp:nvSpPr>
      <dsp:spPr>
        <a:xfrm>
          <a:off x="2744" y="483"/>
          <a:ext cx="8488677" cy="454676"/>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b="1" kern="1200" dirty="0">
              <a:latin typeface="Arial" pitchFamily="34" charset="0"/>
              <a:cs typeface="Arial" pitchFamily="34" charset="0"/>
            </a:rPr>
            <a:t>DESARROLLO DE SOFTWARE</a:t>
          </a:r>
        </a:p>
      </dsp:txBody>
      <dsp:txXfrm>
        <a:off x="16061" y="13800"/>
        <a:ext cx="8462043" cy="428042"/>
      </dsp:txXfrm>
    </dsp:sp>
    <dsp:sp modelId="{F1ABAAEC-53AF-40F8-A36D-21F5552A7C39}">
      <dsp:nvSpPr>
        <dsp:cNvPr id="0" name=""/>
        <dsp:cNvSpPr/>
      </dsp:nvSpPr>
      <dsp:spPr>
        <a:xfrm>
          <a:off x="1372" y="509095"/>
          <a:ext cx="1996396" cy="605646"/>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Análisis y diseño</a:t>
          </a:r>
        </a:p>
      </dsp:txBody>
      <dsp:txXfrm>
        <a:off x="19111" y="526834"/>
        <a:ext cx="1960918" cy="570168"/>
      </dsp:txXfrm>
    </dsp:sp>
    <dsp:sp modelId="{B05BE9B8-7467-4D63-B3BC-262F138E26B5}">
      <dsp:nvSpPr>
        <dsp:cNvPr id="0" name=""/>
        <dsp:cNvSpPr/>
      </dsp:nvSpPr>
      <dsp:spPr>
        <a:xfrm>
          <a:off x="2165466" y="509095"/>
          <a:ext cx="1996396" cy="605646"/>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Construcción</a:t>
          </a:r>
        </a:p>
      </dsp:txBody>
      <dsp:txXfrm>
        <a:off x="2183205" y="526834"/>
        <a:ext cx="1960918" cy="570168"/>
      </dsp:txXfrm>
    </dsp:sp>
    <dsp:sp modelId="{93150627-9968-4710-B50E-FD24FA099885}">
      <dsp:nvSpPr>
        <dsp:cNvPr id="0" name=""/>
        <dsp:cNvSpPr/>
      </dsp:nvSpPr>
      <dsp:spPr>
        <a:xfrm>
          <a:off x="4329559" y="509095"/>
          <a:ext cx="1996396" cy="605646"/>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Integración</a:t>
          </a:r>
        </a:p>
      </dsp:txBody>
      <dsp:txXfrm>
        <a:off x="4347298" y="526834"/>
        <a:ext cx="1960918" cy="570168"/>
      </dsp:txXfrm>
    </dsp:sp>
    <dsp:sp modelId="{468D6618-9CB0-404C-A2B0-61F2FB9BD69C}">
      <dsp:nvSpPr>
        <dsp:cNvPr id="0" name=""/>
        <dsp:cNvSpPr/>
      </dsp:nvSpPr>
      <dsp:spPr>
        <a:xfrm>
          <a:off x="6493653" y="509095"/>
          <a:ext cx="1996396" cy="605646"/>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Implementación</a:t>
          </a:r>
        </a:p>
      </dsp:txBody>
      <dsp:txXfrm>
        <a:off x="6511392" y="526834"/>
        <a:ext cx="1960918" cy="57016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 Id="rId9"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158750</xdr:colOff>
      <xdr:row>138</xdr:row>
      <xdr:rowOff>2289</xdr:rowOff>
    </xdr:from>
    <xdr:to>
      <xdr:col>5</xdr:col>
      <xdr:colOff>655460</xdr:colOff>
      <xdr:row>175</xdr:row>
      <xdr:rowOff>0</xdr:rowOff>
    </xdr:to>
    <xdr:grpSp>
      <xdr:nvGrpSpPr>
        <xdr:cNvPr id="2" name="Grupo 1">
          <a:extLst>
            <a:ext uri="{FF2B5EF4-FFF2-40B4-BE49-F238E27FC236}">
              <a16:creationId xmlns:a16="http://schemas.microsoft.com/office/drawing/2014/main" id="{00000000-0008-0000-0000-000002000000}"/>
            </a:ext>
          </a:extLst>
        </xdr:cNvPr>
        <xdr:cNvGrpSpPr/>
      </xdr:nvGrpSpPr>
      <xdr:grpSpPr>
        <a:xfrm>
          <a:off x="401707" y="16109202"/>
          <a:ext cx="8492188" cy="7148363"/>
          <a:chOff x="391583" y="19790833"/>
          <a:chExt cx="8497710" cy="5424120"/>
        </a:xfrm>
      </xdr:grpSpPr>
      <xdr:grpSp>
        <xdr:nvGrpSpPr>
          <xdr:cNvPr id="13" name="8 Grupo">
            <a:extLst>
              <a:ext uri="{FF2B5EF4-FFF2-40B4-BE49-F238E27FC236}">
                <a16:creationId xmlns:a16="http://schemas.microsoft.com/office/drawing/2014/main" id="{00000000-0008-0000-0000-00000D000000}"/>
              </a:ext>
            </a:extLst>
          </xdr:cNvPr>
          <xdr:cNvGrpSpPr/>
        </xdr:nvGrpSpPr>
        <xdr:grpSpPr>
          <a:xfrm>
            <a:off x="391583" y="19790833"/>
            <a:ext cx="8497710" cy="5413534"/>
            <a:chOff x="338262" y="1240722"/>
            <a:chExt cx="8497710" cy="5034137"/>
          </a:xfrm>
        </xdr:grpSpPr>
        <xdr:graphicFrame macro="">
          <xdr:nvGraphicFramePr>
            <xdr:cNvPr id="14" name="41 Diagrama">
              <a:extLst>
                <a:ext uri="{FF2B5EF4-FFF2-40B4-BE49-F238E27FC236}">
                  <a16:creationId xmlns:a16="http://schemas.microsoft.com/office/drawing/2014/main" id="{00000000-0008-0000-0000-00000E000000}"/>
                </a:ext>
              </a:extLst>
            </xdr:cNvPr>
            <xdr:cNvGraphicFramePr/>
          </xdr:nvGraphicFramePr>
          <xdr:xfrm>
            <a:off x="339028" y="1240722"/>
            <a:ext cx="8496944" cy="90696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5" name="42 Rectángulo redondeado">
              <a:extLst>
                <a:ext uri="{FF2B5EF4-FFF2-40B4-BE49-F238E27FC236}">
                  <a16:creationId xmlns:a16="http://schemas.microsoft.com/office/drawing/2014/main" id="{00000000-0008-0000-0000-00000F000000}"/>
                </a:ext>
              </a:extLst>
            </xdr:cNvPr>
            <xdr:cNvSpPr/>
          </xdr:nvSpPr>
          <xdr:spPr>
            <a:xfrm>
              <a:off x="338262" y="2098393"/>
              <a:ext cx="2016990" cy="4176466"/>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marR="0" lvl="0" indent="-171450" algn="l" defTabSz="1300163" eaLnBrk="1" fontAlgn="auto" latinLnBrk="0" hangingPunct="1">
                <a:lnSpc>
                  <a:spcPct val="100000"/>
                </a:lnSpc>
                <a:spcBef>
                  <a:spcPct val="20000"/>
                </a:spcBef>
                <a:spcAft>
                  <a:spcPts val="0"/>
                </a:spcAft>
                <a:buClrTx/>
                <a:buSzTx/>
                <a:buFontTx/>
                <a:buChar char="-"/>
                <a:tabLst/>
                <a:defRPr/>
              </a:pPr>
              <a:endParaRPr kumimoji="0" lang="es-MX" sz="1100" b="0" i="0" u="none" strike="noStrike" kern="1200" cap="none" spc="0" normalizeH="0" baseline="0" noProof="0">
                <a:ln>
                  <a:noFill/>
                </a:ln>
                <a:solidFill>
                  <a:prstClr val="black">
                    <a:lumMod val="75000"/>
                    <a:lumOff val="25000"/>
                  </a:prstClr>
                </a:solidFill>
                <a:effectLst/>
                <a:uLnTx/>
                <a:uFillTx/>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Especificación de req.</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Descripción de req.</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Req. de infraestructura</a:t>
              </a:r>
            </a:p>
            <a:p>
              <a:pPr marL="171450" indent="-171450" algn="l" defTabSz="1300163">
                <a:spcBef>
                  <a:spcPct val="20000"/>
                </a:spcBef>
                <a:buFontTx/>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Arquitectura del sistema</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Especificación técnica</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Análisis de componentes</a:t>
              </a: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Diseño de interfaz</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Casos de uso</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Documentación</a:t>
              </a:r>
              <a:r>
                <a:rPr lang="es-MX" sz="1100" baseline="0">
                  <a:solidFill>
                    <a:schemeClr val="tx1">
                      <a:lumMod val="75000"/>
                      <a:lumOff val="25000"/>
                    </a:schemeClr>
                  </a:solidFill>
                  <a:effectLst/>
                  <a:latin typeface="Arial Nova Light" panose="020B0304020202020204" pitchFamily="34" charset="0"/>
                  <a:ea typeface="MS PGothic" pitchFamily="34" charset="-128"/>
                  <a:cs typeface="Arial" pitchFamily="34" charset="0"/>
                </a:rPr>
                <a:t> técnica</a:t>
              </a: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endParaRPr lang="es-MX" sz="1100" kern="12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Arquitectura de BD</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relacional</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Diccionario de datos</a:t>
              </a:r>
            </a:p>
            <a:p>
              <a:pPr marL="171450" indent="-171450" algn="l" defTabSz="1300163">
                <a:spcBef>
                  <a:spcPct val="20000"/>
                </a:spcBef>
                <a:buFontTx/>
                <a:buChar char="-"/>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xdr:txBody>
        </xdr:sp>
        <xdr:sp macro="" textlink="">
          <xdr:nvSpPr>
            <xdr:cNvPr id="16" name="43 Rectángulo redondeado">
              <a:extLst>
                <a:ext uri="{FF2B5EF4-FFF2-40B4-BE49-F238E27FC236}">
                  <a16:creationId xmlns:a16="http://schemas.microsoft.com/office/drawing/2014/main" id="{00000000-0008-0000-0000-000010000000}"/>
                </a:ext>
              </a:extLst>
            </xdr:cNvPr>
            <xdr:cNvSpPr/>
          </xdr:nvSpPr>
          <xdr:spPr>
            <a:xfrm>
              <a:off x="2451767" y="2098393"/>
              <a:ext cx="2084607" cy="4176464"/>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Componentes</a:t>
              </a:r>
            </a:p>
            <a:p>
              <a:pPr marL="171450" indent="-171450"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Construcción</a:t>
              </a:r>
            </a:p>
            <a:p>
              <a:pPr defTabSz="1300163">
                <a:spcBef>
                  <a:spcPct val="20000"/>
                </a:spcBef>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defTabSz="1300163">
                <a:spcBef>
                  <a:spcPct val="20000"/>
                </a:spcBef>
              </a:pPr>
              <a:r>
                <a:rPr lang="es-MX" sz="1100" kern="1200">
                  <a:solidFill>
                    <a:schemeClr val="tx1">
                      <a:lumMod val="75000"/>
                      <a:lumOff val="25000"/>
                    </a:schemeClr>
                  </a:solidFill>
                  <a:latin typeface="Arial Nova Light" panose="020B0304020202020204" pitchFamily="34" charset="0"/>
                  <a:ea typeface="MS PGothic" pitchFamily="34" charset="-128"/>
                  <a:cs typeface="Arial" pitchFamily="34" charset="0"/>
                </a:rPr>
                <a:t>Casos de prueba de aceptación</a:t>
              </a:r>
            </a:p>
          </xdr:txBody>
        </xdr:sp>
        <xdr:sp macro="" textlink="">
          <xdr:nvSpPr>
            <xdr:cNvPr id="17" name="44 Rectángulo redondeado">
              <a:extLst>
                <a:ext uri="{FF2B5EF4-FFF2-40B4-BE49-F238E27FC236}">
                  <a16:creationId xmlns:a16="http://schemas.microsoft.com/office/drawing/2014/main" id="{00000000-0008-0000-0000-000011000000}"/>
                </a:ext>
              </a:extLst>
            </xdr:cNvPr>
            <xdr:cNvSpPr/>
          </xdr:nvSpPr>
          <xdr:spPr>
            <a:xfrm>
              <a:off x="4631373" y="2102586"/>
              <a:ext cx="2099542" cy="4172272"/>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Documentación</a:t>
              </a:r>
            </a:p>
            <a:p>
              <a:pPr marL="171450" indent="-171450" defTabSz="1300163">
                <a:spcBef>
                  <a:spcPct val="20000"/>
                </a:spcBef>
                <a:buFontTx/>
                <a:buChar char="-"/>
              </a:pPr>
              <a:r>
                <a:rPr lang="es-MX" sz="1100" kern="1200">
                  <a:solidFill>
                    <a:schemeClr val="tx1">
                      <a:lumMod val="75000"/>
                      <a:lumOff val="25000"/>
                    </a:schemeClr>
                  </a:solidFill>
                  <a:latin typeface="Arial Nova Light" panose="020B0304020202020204" pitchFamily="34" charset="0"/>
                  <a:ea typeface="MS PGothic" pitchFamily="34" charset="-128"/>
                  <a:cs typeface="Arial" pitchFamily="34" charset="0"/>
                </a:rPr>
                <a:t>Manual</a:t>
              </a:r>
              <a:r>
                <a:rPr lang="es-MX" sz="1100" kern="1200" baseline="0">
                  <a:solidFill>
                    <a:schemeClr val="tx1">
                      <a:lumMod val="75000"/>
                      <a:lumOff val="25000"/>
                    </a:schemeClr>
                  </a:solidFill>
                  <a:latin typeface="Arial Nova Light" panose="020B0304020202020204" pitchFamily="34" charset="0"/>
                  <a:ea typeface="MS PGothic" pitchFamily="34" charset="-128"/>
                  <a:cs typeface="Arial" pitchFamily="34" charset="0"/>
                </a:rPr>
                <a:t> de usuario</a:t>
              </a:r>
              <a:endParaRPr lang="es-MX" sz="1100" kern="12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defTabSz="1300163">
                <a:spcBef>
                  <a:spcPct val="20000"/>
                </a:spcBef>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Reporte de pruebas de integración</a:t>
              </a:r>
            </a:p>
            <a:p>
              <a:pPr marL="342900" indent="-342900" algn="l" defTabSz="1300163">
                <a:spcBef>
                  <a:spcPct val="20000"/>
                </a:spcBef>
                <a:buFont typeface="Arial" pitchFamily="34" charset="0"/>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342900" indent="-342900" algn="l" defTabSz="1300163">
                <a:spcBef>
                  <a:spcPct val="20000"/>
                </a:spcBef>
                <a:buFont typeface="Arial" pitchFamily="34" charset="0"/>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xdr:txBody>
        </xdr:sp>
      </xdr:grpSp>
      <xdr:sp macro="" textlink="">
        <xdr:nvSpPr>
          <xdr:cNvPr id="9" name="45 Rectángulo redondeado">
            <a:extLst>
              <a:ext uri="{FF2B5EF4-FFF2-40B4-BE49-F238E27FC236}">
                <a16:creationId xmlns:a16="http://schemas.microsoft.com/office/drawing/2014/main" id="{00000000-0008-0000-0000-000009000000}"/>
              </a:ext>
            </a:extLst>
          </xdr:cNvPr>
          <xdr:cNvSpPr/>
        </xdr:nvSpPr>
        <xdr:spPr>
          <a:xfrm>
            <a:off x="6889749" y="20717033"/>
            <a:ext cx="1968501" cy="4497920"/>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Reporte de pruebas de aceptación</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Lista  de asistencia</a:t>
            </a:r>
            <a:r>
              <a:rPr lang="es-MX" sz="1100" baseline="0">
                <a:solidFill>
                  <a:schemeClr val="tx1">
                    <a:lumMod val="75000"/>
                    <a:lumOff val="25000"/>
                  </a:schemeClr>
                </a:solidFill>
                <a:effectLst/>
                <a:latin typeface="Arial Nova Light" panose="020B0304020202020204" pitchFamily="34" charset="0"/>
                <a:ea typeface="MS PGothic" pitchFamily="34" charset="-128"/>
                <a:cs typeface="Arial" pitchFamily="34" charset="0"/>
              </a:rPr>
              <a:t> de c</a:t>
            </a: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apacitación a usuarios</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Base de datos</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Sistema compilado</a:t>
            </a:r>
          </a:p>
          <a:p>
            <a:pPr algn="l" defTabSz="1300163">
              <a:spcBef>
                <a:spcPct val="20000"/>
              </a:spcBef>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Código</a:t>
            </a:r>
            <a:r>
              <a:rPr lang="es-MX" sz="1100" baseline="0">
                <a:solidFill>
                  <a:schemeClr val="tx1">
                    <a:lumMod val="75000"/>
                    <a:lumOff val="25000"/>
                  </a:schemeClr>
                </a:solidFill>
                <a:latin typeface="Arial Nova Light" panose="020B0304020202020204" pitchFamily="34" charset="0"/>
                <a:ea typeface="MS PGothic" pitchFamily="34" charset="-128"/>
                <a:cs typeface="Arial" pitchFamily="34" charset="0"/>
              </a:rPr>
              <a:t> fuente </a:t>
            </a:r>
          </a:p>
          <a:p>
            <a:pPr algn="l" defTabSz="1300163">
              <a:spcBef>
                <a:spcPct val="20000"/>
              </a:spcBef>
            </a:pPr>
            <a:r>
              <a:rPr lang="es-MX" sz="1100" baseline="0">
                <a:solidFill>
                  <a:schemeClr val="tx1">
                    <a:lumMod val="75000"/>
                    <a:lumOff val="25000"/>
                  </a:schemeClr>
                </a:solidFill>
                <a:latin typeface="Arial Nova Light" panose="020B0304020202020204" pitchFamily="34" charset="0"/>
                <a:ea typeface="MS PGothic" pitchFamily="34" charset="-128"/>
                <a:cs typeface="Arial" pitchFamily="34" charset="0"/>
              </a:rPr>
              <a:t>(después de pago final)</a:t>
            </a: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xdr:txBody>
      </xdr:sp>
    </xdr:grpSp>
    <xdr:clientData/>
  </xdr:twoCellAnchor>
  <xdr:twoCellAnchor editAs="oneCell">
    <xdr:from>
      <xdr:col>5</xdr:col>
      <xdr:colOff>442382</xdr:colOff>
      <xdr:row>47</xdr:row>
      <xdr:rowOff>9525</xdr:rowOff>
    </xdr:from>
    <xdr:to>
      <xdr:col>8</xdr:col>
      <xdr:colOff>239183</xdr:colOff>
      <xdr:row>95</xdr:row>
      <xdr:rowOff>6398</xdr:rowOff>
    </xdr:to>
    <xdr:pic>
      <xdr:nvPicPr>
        <xdr:cNvPr id="11" name="Imagen 10" descr="Resultado de imagen para IOS">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81457" y="10963275"/>
          <a:ext cx="2012951" cy="2163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812388</xdr:colOff>
      <xdr:row>30</xdr:row>
      <xdr:rowOff>169335</xdr:rowOff>
    </xdr:from>
    <xdr:to>
      <xdr:col>7</xdr:col>
      <xdr:colOff>598414</xdr:colOff>
      <xdr:row>93</xdr:row>
      <xdr:rowOff>296333</xdr:rowOff>
    </xdr:to>
    <xdr:pic>
      <xdr:nvPicPr>
        <xdr:cNvPr id="12" name="Imagen 11" descr="Resultado de imagen para android">
          <a:extLst>
            <a:ext uri="{FF2B5EF4-FFF2-40B4-BE49-F238E27FC236}">
              <a16:creationId xmlns:a16="http://schemas.microsoft.com/office/drawing/2014/main" id="{00000000-0008-0000-0000-00000C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r="47459"/>
        <a:stretch/>
      </xdr:blipFill>
      <xdr:spPr bwMode="auto">
        <a:xfrm>
          <a:off x="7818555" y="7059085"/>
          <a:ext cx="2164101" cy="1940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296019</xdr:colOff>
      <xdr:row>15</xdr:row>
      <xdr:rowOff>169332</xdr:rowOff>
    </xdr:from>
    <xdr:to>
      <xdr:col>9</xdr:col>
      <xdr:colOff>75830</xdr:colOff>
      <xdr:row>24</xdr:row>
      <xdr:rowOff>203660</xdr:rowOff>
    </xdr:to>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7302186" y="4032249"/>
          <a:ext cx="3494561" cy="1957917"/>
        </a:xfrm>
        <a:prstGeom prst="rect">
          <a:avLst/>
        </a:prstGeom>
      </xdr:spPr>
    </xdr:pic>
    <xdr:clientData/>
  </xdr:twoCellAnchor>
  <xdr:twoCellAnchor editAs="oneCell">
    <xdr:from>
      <xdr:col>1</xdr:col>
      <xdr:colOff>95249</xdr:colOff>
      <xdr:row>0</xdr:row>
      <xdr:rowOff>0</xdr:rowOff>
    </xdr:from>
    <xdr:to>
      <xdr:col>2</xdr:col>
      <xdr:colOff>1287992</xdr:colOff>
      <xdr:row>3</xdr:row>
      <xdr:rowOff>10866</xdr:rowOff>
    </xdr:to>
    <xdr:pic>
      <xdr:nvPicPr>
        <xdr:cNvPr id="19" name="3 Imagen">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11666" y="0"/>
          <a:ext cx="1312334" cy="58554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10583</xdr:colOff>
      <xdr:row>0</xdr:row>
      <xdr:rowOff>21166</xdr:rowOff>
    </xdr:from>
    <xdr:to>
      <xdr:col>5</xdr:col>
      <xdr:colOff>1220681</xdr:colOff>
      <xdr:row>2</xdr:row>
      <xdr:rowOff>168758</xdr:rowOff>
    </xdr:to>
    <xdr:pic>
      <xdr:nvPicPr>
        <xdr:cNvPr id="2" name="3 Imagen">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47650" y="17356"/>
          <a:ext cx="1211156" cy="5362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10583</xdr:colOff>
      <xdr:row>0</xdr:row>
      <xdr:rowOff>21166</xdr:rowOff>
    </xdr:from>
    <xdr:to>
      <xdr:col>6</xdr:col>
      <xdr:colOff>172931</xdr:colOff>
      <xdr:row>2</xdr:row>
      <xdr:rowOff>168758</xdr:rowOff>
    </xdr:to>
    <xdr:pic>
      <xdr:nvPicPr>
        <xdr:cNvPr id="3" name="3 Imagen">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43416" y="21166"/>
          <a:ext cx="1184275" cy="5247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1876425</xdr:colOff>
      <xdr:row>3</xdr:row>
      <xdr:rowOff>35949</xdr:rowOff>
    </xdr:to>
    <xdr:pic>
      <xdr:nvPicPr>
        <xdr:cNvPr id="2" name="3 Imagen">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2028825" cy="597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624417</xdr:colOff>
      <xdr:row>0</xdr:row>
      <xdr:rowOff>0</xdr:rowOff>
    </xdr:from>
    <xdr:to>
      <xdr:col>11</xdr:col>
      <xdr:colOff>1236132</xdr:colOff>
      <xdr:row>3</xdr:row>
      <xdr:rowOff>907</xdr:rowOff>
    </xdr:to>
    <xdr:pic>
      <xdr:nvPicPr>
        <xdr:cNvPr id="3" name="3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3185584" y="0"/>
          <a:ext cx="1185333" cy="5226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1200785</xdr:colOff>
      <xdr:row>2</xdr:row>
      <xdr:rowOff>174262</xdr:rowOff>
    </xdr:to>
    <xdr:pic>
      <xdr:nvPicPr>
        <xdr:cNvPr id="2" name="3 Imagen">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28600" y="29845"/>
          <a:ext cx="1196975" cy="5216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860002</xdr:colOff>
      <xdr:row>2</xdr:row>
      <xdr:rowOff>174897</xdr:rowOff>
    </xdr:to>
    <xdr:pic>
      <xdr:nvPicPr>
        <xdr:cNvPr id="3" name="3 Imagen">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54000" y="31750"/>
          <a:ext cx="1184275" cy="5247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1200785</xdr:colOff>
      <xdr:row>2</xdr:row>
      <xdr:rowOff>174262</xdr:rowOff>
    </xdr:to>
    <xdr:pic>
      <xdr:nvPicPr>
        <xdr:cNvPr id="2" name="3 Image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28600" y="31750"/>
          <a:ext cx="1196975" cy="5216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1196975</xdr:colOff>
      <xdr:row>2</xdr:row>
      <xdr:rowOff>170452</xdr:rowOff>
    </xdr:to>
    <xdr:pic>
      <xdr:nvPicPr>
        <xdr:cNvPr id="2" name="3 Image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28600" y="29845"/>
          <a:ext cx="1200785" cy="525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1200785</xdr:colOff>
      <xdr:row>2</xdr:row>
      <xdr:rowOff>174262</xdr:rowOff>
    </xdr:to>
    <xdr:pic>
      <xdr:nvPicPr>
        <xdr:cNvPr id="2" name="3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28600" y="29845"/>
          <a:ext cx="1196975" cy="5216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10584</xdr:colOff>
      <xdr:row>0</xdr:row>
      <xdr:rowOff>0</xdr:rowOff>
    </xdr:from>
    <xdr:to>
      <xdr:col>2</xdr:col>
      <xdr:colOff>1202479</xdr:colOff>
      <xdr:row>2</xdr:row>
      <xdr:rowOff>132352</xdr:rowOff>
    </xdr:to>
    <xdr:pic>
      <xdr:nvPicPr>
        <xdr:cNvPr id="3" name="3 Imagen">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43417" y="0"/>
          <a:ext cx="1184275" cy="5247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21</xdr:row>
          <xdr:rowOff>12700</xdr:rowOff>
        </xdr:from>
        <xdr:to>
          <xdr:col>10</xdr:col>
          <xdr:colOff>0</xdr:colOff>
          <xdr:row>53</xdr:row>
          <xdr:rowOff>107950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B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ge%20Mart&#237;nez/OneDrive%20-%20Axsis%20Tecnologia%20SA%20de%20CV/Estimaciones/Grupo%20Control/GPY_ESTIMACION(GCC%20-%20Control%20Actividades%20)%20_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xsistecnologia-my.sharepoint.com/Users/Lapaxsis-00/Downloads/GPY_ESTIMACION(PROTOSA-B2B%20SR01)%20_v1.0%202022-06-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xsistecnologia-my.sharepoint.com/personal/jmartinez_axsistec_com/Documents/Estimaciones/YZa/GPY_ESTIMACION(Metas-%20Super%20Lo%20Tengo%20-%20FEMSA%20SALUD)%2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proyecto"/>
      <sheetName val="Modelo"/>
      <sheetName val="CB_DATA_"/>
      <sheetName val="Alcance y tiempo"/>
      <sheetName val="Hoja1"/>
      <sheetName val="Fechas y costos"/>
      <sheetName val="Inversión CELULA"/>
      <sheetName val="Inversión"/>
      <sheetName val="Anexo 1 - Calendario"/>
      <sheetName val="Anexo 2 - Flujo de pago"/>
      <sheetName val="Anexo 3 - Poliza Software"/>
      <sheetName val="Anexo 4 - Hosting"/>
      <sheetName val="Anexo 5 - Implementación"/>
    </sheetNames>
    <sheetDataSet>
      <sheetData sheetId="0"/>
      <sheetData sheetId="1">
        <row r="2">
          <cell r="H2">
            <v>0.05</v>
          </cell>
          <cell r="I2">
            <v>0.05</v>
          </cell>
        </row>
        <row r="3">
          <cell r="H3">
            <v>0.25</v>
          </cell>
        </row>
        <row r="4">
          <cell r="H4">
            <v>0.2</v>
          </cell>
        </row>
        <row r="5">
          <cell r="H5">
            <v>0.04</v>
          </cell>
        </row>
        <row r="6">
          <cell r="H6">
            <v>0.33333333333333331</v>
          </cell>
        </row>
        <row r="7">
          <cell r="F7" t="str">
            <v>Chica 1</v>
          </cell>
          <cell r="H7">
            <v>0.30000000000000004</v>
          </cell>
          <cell r="I7">
            <v>0.1</v>
          </cell>
        </row>
        <row r="8">
          <cell r="F8" t="str">
            <v>Chica 2</v>
          </cell>
          <cell r="H8">
            <v>0.60000000000000009</v>
          </cell>
          <cell r="I8">
            <v>0.2</v>
          </cell>
        </row>
        <row r="9">
          <cell r="F9" t="str">
            <v>Chica 3</v>
          </cell>
          <cell r="H9">
            <v>0.9</v>
          </cell>
          <cell r="I9">
            <v>0.3</v>
          </cell>
        </row>
        <row r="10">
          <cell r="F10" t="str">
            <v>Chica 4</v>
          </cell>
          <cell r="H10">
            <v>1.2000000000000002</v>
          </cell>
          <cell r="I10">
            <v>0.4</v>
          </cell>
        </row>
        <row r="11">
          <cell r="F11" t="str">
            <v>Mediana 1</v>
          </cell>
          <cell r="H11">
            <v>1.5</v>
          </cell>
          <cell r="I11">
            <v>0.5</v>
          </cell>
        </row>
        <row r="12">
          <cell r="F12" t="str">
            <v>Mediana 2</v>
          </cell>
          <cell r="H12">
            <v>1.8</v>
          </cell>
          <cell r="I12">
            <v>0.6</v>
          </cell>
        </row>
        <row r="13">
          <cell r="F13" t="str">
            <v>Mediana 3</v>
          </cell>
          <cell r="H13">
            <v>2.1</v>
          </cell>
          <cell r="I13">
            <v>0.7</v>
          </cell>
        </row>
        <row r="14">
          <cell r="F14" t="str">
            <v>Mediana 4</v>
          </cell>
          <cell r="H14">
            <v>2.4000000000000004</v>
          </cell>
          <cell r="I14">
            <v>0.8</v>
          </cell>
        </row>
        <row r="15">
          <cell r="F15" t="str">
            <v>Grande 1</v>
          </cell>
          <cell r="H15">
            <v>2.7</v>
          </cell>
          <cell r="I15">
            <v>0.9</v>
          </cell>
        </row>
        <row r="16">
          <cell r="F16" t="str">
            <v>Grande 2</v>
          </cell>
          <cell r="H16">
            <v>3</v>
          </cell>
          <cell r="I16">
            <v>1</v>
          </cell>
        </row>
        <row r="17">
          <cell r="F17" t="str">
            <v>Grande 3</v>
          </cell>
          <cell r="H17">
            <v>3.3000000000000003</v>
          </cell>
          <cell r="I17">
            <v>1.1000000000000001</v>
          </cell>
        </row>
        <row r="18">
          <cell r="F18" t="str">
            <v>Grande 4</v>
          </cell>
          <cell r="H18">
            <v>3.6</v>
          </cell>
          <cell r="I18">
            <v>1.2</v>
          </cell>
        </row>
        <row r="19">
          <cell r="F19" t="str">
            <v>M. grande 1</v>
          </cell>
          <cell r="H19">
            <v>3.9000000000000004</v>
          </cell>
          <cell r="I19">
            <v>1.3</v>
          </cell>
        </row>
        <row r="20">
          <cell r="F20" t="str">
            <v>M. grande 2</v>
          </cell>
          <cell r="H20">
            <v>4.2</v>
          </cell>
          <cell r="I20">
            <v>1.4</v>
          </cell>
        </row>
        <row r="21">
          <cell r="F21" t="str">
            <v>M. grande 3</v>
          </cell>
          <cell r="H21">
            <v>4.5</v>
          </cell>
          <cell r="I21">
            <v>1.5</v>
          </cell>
        </row>
        <row r="22">
          <cell r="F22" t="str">
            <v>M. grande 4</v>
          </cell>
          <cell r="H22">
            <v>4.8000000000000007</v>
          </cell>
          <cell r="I22">
            <v>1.6</v>
          </cell>
        </row>
        <row r="23">
          <cell r="F23" t="str">
            <v>Baja</v>
          </cell>
          <cell r="H23">
            <v>1</v>
          </cell>
        </row>
        <row r="24">
          <cell r="F24" t="str">
            <v>Media</v>
          </cell>
          <cell r="H24">
            <v>1.2</v>
          </cell>
        </row>
        <row r="25">
          <cell r="F25" t="str">
            <v>Alta</v>
          </cell>
          <cell r="H25">
            <v>1.4</v>
          </cell>
        </row>
        <row r="26">
          <cell r="F26" t="str">
            <v>Baja</v>
          </cell>
          <cell r="H26">
            <v>0.1</v>
          </cell>
        </row>
        <row r="27">
          <cell r="F27" t="str">
            <v>Media</v>
          </cell>
          <cell r="H27">
            <v>0.2</v>
          </cell>
        </row>
        <row r="28">
          <cell r="F28" t="str">
            <v>Alta</v>
          </cell>
          <cell r="H28">
            <v>0.3</v>
          </cell>
        </row>
        <row r="29">
          <cell r="H29">
            <v>1</v>
          </cell>
        </row>
        <row r="30">
          <cell r="F30" t="str">
            <v>Baja</v>
          </cell>
          <cell r="H30">
            <v>0.8</v>
          </cell>
        </row>
        <row r="31">
          <cell r="F31" t="str">
            <v>Media</v>
          </cell>
          <cell r="H31">
            <v>1</v>
          </cell>
        </row>
        <row r="32">
          <cell r="F32" t="str">
            <v>Alta</v>
          </cell>
          <cell r="H32">
            <v>1.2</v>
          </cell>
        </row>
        <row r="33">
          <cell r="F33" t="str">
            <v>Baja</v>
          </cell>
          <cell r="H33">
            <v>0.3</v>
          </cell>
        </row>
        <row r="34">
          <cell r="F34" t="str">
            <v>Media</v>
          </cell>
          <cell r="H34">
            <v>0.4</v>
          </cell>
        </row>
        <row r="35">
          <cell r="F35" t="str">
            <v>Alta</v>
          </cell>
          <cell r="H35">
            <v>0.5</v>
          </cell>
        </row>
        <row r="36">
          <cell r="H36">
            <v>2</v>
          </cell>
        </row>
        <row r="37">
          <cell r="F37" t="str">
            <v>Baja</v>
          </cell>
          <cell r="H37">
            <v>0.8</v>
          </cell>
        </row>
        <row r="38">
          <cell r="F38" t="str">
            <v>Media</v>
          </cell>
          <cell r="H38">
            <v>1</v>
          </cell>
        </row>
        <row r="39">
          <cell r="F39" t="str">
            <v>Alta</v>
          </cell>
          <cell r="H39">
            <v>1.2</v>
          </cell>
        </row>
        <row r="40">
          <cell r="F40" t="str">
            <v>Baja</v>
          </cell>
          <cell r="H40">
            <v>0.4</v>
          </cell>
        </row>
        <row r="41">
          <cell r="F41" t="str">
            <v>Media</v>
          </cell>
          <cell r="H41">
            <v>0.45</v>
          </cell>
        </row>
        <row r="42">
          <cell r="F42" t="str">
            <v>Alta</v>
          </cell>
          <cell r="H42">
            <v>0.5</v>
          </cell>
        </row>
        <row r="43">
          <cell r="H43">
            <v>0.04</v>
          </cell>
        </row>
        <row r="44">
          <cell r="F44" t="str">
            <v>Consulta</v>
          </cell>
          <cell r="H44">
            <v>1.7</v>
          </cell>
        </row>
        <row r="45">
          <cell r="F45" t="str">
            <v>Catálogo</v>
          </cell>
          <cell r="H45">
            <v>1.5</v>
          </cell>
        </row>
        <row r="46">
          <cell r="F46" t="str">
            <v>Captura</v>
          </cell>
          <cell r="H46">
            <v>2.2000000000000002</v>
          </cell>
        </row>
        <row r="47">
          <cell r="F47" t="str">
            <v>Configuración</v>
          </cell>
          <cell r="H47">
            <v>1.7</v>
          </cell>
        </row>
        <row r="48">
          <cell r="F48" t="str">
            <v>Filtro</v>
          </cell>
          <cell r="H48">
            <v>1</v>
          </cell>
        </row>
        <row r="49">
          <cell r="F49" t="str">
            <v>Informativa</v>
          </cell>
          <cell r="H49">
            <v>1.1000000000000001</v>
          </cell>
        </row>
        <row r="50">
          <cell r="F50" t="str">
            <v>Operación</v>
          </cell>
          <cell r="H50">
            <v>4</v>
          </cell>
        </row>
        <row r="51">
          <cell r="F51" t="str">
            <v>Procedimiento</v>
          </cell>
          <cell r="H51">
            <v>2.5</v>
          </cell>
        </row>
        <row r="52">
          <cell r="F52" t="str">
            <v>Formato</v>
          </cell>
          <cell r="H52">
            <v>1</v>
          </cell>
        </row>
        <row r="53">
          <cell r="F53" t="str">
            <v>Reporte</v>
          </cell>
          <cell r="H53">
            <v>2</v>
          </cell>
        </row>
        <row r="54">
          <cell r="F54" t="str">
            <v>Baja</v>
          </cell>
          <cell r="H54">
            <v>1</v>
          </cell>
        </row>
        <row r="55">
          <cell r="F55" t="str">
            <v>Media</v>
          </cell>
          <cell r="H55">
            <v>1.2</v>
          </cell>
        </row>
        <row r="56">
          <cell r="F56" t="str">
            <v>Alta</v>
          </cell>
          <cell r="H56">
            <v>1.4</v>
          </cell>
        </row>
        <row r="57">
          <cell r="H57">
            <v>0.45</v>
          </cell>
        </row>
        <row r="58">
          <cell r="F58" t="str">
            <v>Baja</v>
          </cell>
          <cell r="H58">
            <v>0.9</v>
          </cell>
        </row>
        <row r="59">
          <cell r="F59" t="str">
            <v>Media</v>
          </cell>
          <cell r="H59">
            <v>1</v>
          </cell>
        </row>
        <row r="60">
          <cell r="F60" t="str">
            <v>Alta</v>
          </cell>
          <cell r="H60">
            <v>1.1000000000000001</v>
          </cell>
        </row>
        <row r="61">
          <cell r="H61">
            <v>0.04</v>
          </cell>
        </row>
        <row r="62">
          <cell r="H62">
            <v>6.4000000000000015E-2</v>
          </cell>
        </row>
        <row r="63">
          <cell r="H63">
            <v>0.33333333333333331</v>
          </cell>
        </row>
        <row r="64">
          <cell r="H64">
            <v>0.2</v>
          </cell>
        </row>
        <row r="65">
          <cell r="H65">
            <v>0.5</v>
          </cell>
        </row>
        <row r="66">
          <cell r="H66">
            <v>0.04</v>
          </cell>
        </row>
        <row r="69">
          <cell r="H69">
            <v>0.216</v>
          </cell>
        </row>
        <row r="71">
          <cell r="H71">
            <v>2</v>
          </cell>
        </row>
        <row r="75">
          <cell r="I75">
            <v>1</v>
          </cell>
        </row>
        <row r="82">
          <cell r="G82" t="str">
            <v>ConsultaChica1</v>
          </cell>
          <cell r="H82">
            <v>1</v>
          </cell>
        </row>
        <row r="83">
          <cell r="G83" t="str">
            <v>ConsultaChica2</v>
          </cell>
          <cell r="H83">
            <v>2</v>
          </cell>
        </row>
        <row r="84">
          <cell r="G84" t="str">
            <v>ConsultaChica3</v>
          </cell>
          <cell r="H84">
            <v>3</v>
          </cell>
        </row>
        <row r="85">
          <cell r="G85" t="str">
            <v>ConsultaChica4</v>
          </cell>
          <cell r="H85">
            <v>4</v>
          </cell>
        </row>
        <row r="86">
          <cell r="G86" t="str">
            <v>ConsultaChica5</v>
          </cell>
          <cell r="H86">
            <v>5</v>
          </cell>
        </row>
        <row r="87">
          <cell r="G87" t="str">
            <v>ConsultaMedia1</v>
          </cell>
          <cell r="H87">
            <v>6</v>
          </cell>
        </row>
        <row r="88">
          <cell r="G88" t="str">
            <v>ConsultaMedia2</v>
          </cell>
          <cell r="H88">
            <v>7</v>
          </cell>
        </row>
        <row r="89">
          <cell r="G89" t="str">
            <v>ConsultaMedia3</v>
          </cell>
          <cell r="H89">
            <v>8</v>
          </cell>
        </row>
        <row r="90">
          <cell r="G90" t="str">
            <v>ConsultaMedia4</v>
          </cell>
          <cell r="H90">
            <v>9</v>
          </cell>
        </row>
        <row r="91">
          <cell r="G91" t="str">
            <v>ConsultaMedia5</v>
          </cell>
          <cell r="H91">
            <v>10</v>
          </cell>
        </row>
        <row r="92">
          <cell r="G92" t="str">
            <v>ConsultaGrand1</v>
          </cell>
          <cell r="H92">
            <v>11</v>
          </cell>
        </row>
        <row r="93">
          <cell r="G93" t="str">
            <v>ConsultaGrand2</v>
          </cell>
          <cell r="H93">
            <v>12</v>
          </cell>
        </row>
        <row r="94">
          <cell r="G94" t="str">
            <v>ConsultaGrand3</v>
          </cell>
          <cell r="H94">
            <v>13</v>
          </cell>
        </row>
        <row r="95">
          <cell r="G95" t="str">
            <v>ConsultaGrand4</v>
          </cell>
          <cell r="H95">
            <v>14</v>
          </cell>
        </row>
        <row r="96">
          <cell r="G96" t="str">
            <v>ConsultaGrand5</v>
          </cell>
          <cell r="H96">
            <v>15</v>
          </cell>
        </row>
        <row r="97">
          <cell r="G97" t="str">
            <v>ConsultaM. gr1</v>
          </cell>
          <cell r="H97">
            <v>16</v>
          </cell>
        </row>
        <row r="98">
          <cell r="G98" t="str">
            <v>ConsultaM. gr2</v>
          </cell>
          <cell r="H98">
            <v>17</v>
          </cell>
        </row>
        <row r="99">
          <cell r="G99" t="str">
            <v>ConsultaM. gr3</v>
          </cell>
          <cell r="H99">
            <v>18</v>
          </cell>
        </row>
        <row r="100">
          <cell r="G100" t="str">
            <v>ConsultaM. gr4</v>
          </cell>
          <cell r="H100">
            <v>19</v>
          </cell>
        </row>
        <row r="101">
          <cell r="G101" t="str">
            <v>ConsultaM. gr5</v>
          </cell>
          <cell r="H101">
            <v>20</v>
          </cell>
        </row>
        <row r="102">
          <cell r="G102" t="str">
            <v>CatálogoChica1</v>
          </cell>
          <cell r="H102">
            <v>21</v>
          </cell>
        </row>
        <row r="103">
          <cell r="G103" t="str">
            <v>CatálogoChica2</v>
          </cell>
          <cell r="H103">
            <v>22</v>
          </cell>
        </row>
        <row r="104">
          <cell r="G104" t="str">
            <v>CatálogoChica3</v>
          </cell>
          <cell r="H104">
            <v>23</v>
          </cell>
        </row>
        <row r="105">
          <cell r="G105" t="str">
            <v>CatálogoChica4</v>
          </cell>
          <cell r="H105">
            <v>24</v>
          </cell>
        </row>
        <row r="106">
          <cell r="G106" t="str">
            <v>CatálogoChica5</v>
          </cell>
          <cell r="H106">
            <v>25</v>
          </cell>
        </row>
        <row r="107">
          <cell r="G107" t="str">
            <v>CatálogoMedia1</v>
          </cell>
          <cell r="H107">
            <v>26</v>
          </cell>
        </row>
        <row r="108">
          <cell r="G108" t="str">
            <v>CatálogoMedia2</v>
          </cell>
          <cell r="H108">
            <v>27</v>
          </cell>
        </row>
        <row r="109">
          <cell r="G109" t="str">
            <v>CatálogoMedia3</v>
          </cell>
          <cell r="H109">
            <v>28</v>
          </cell>
        </row>
        <row r="110">
          <cell r="G110" t="str">
            <v>CatálogoMedia4</v>
          </cell>
          <cell r="H110">
            <v>29</v>
          </cell>
        </row>
        <row r="111">
          <cell r="G111" t="str">
            <v>CatálogoMedia5</v>
          </cell>
          <cell r="H111">
            <v>30</v>
          </cell>
        </row>
        <row r="112">
          <cell r="G112" t="str">
            <v>CatálogoGrand1</v>
          </cell>
          <cell r="H112">
            <v>31</v>
          </cell>
        </row>
        <row r="113">
          <cell r="G113" t="str">
            <v>CatálogoGrand2</v>
          </cell>
          <cell r="H113">
            <v>32</v>
          </cell>
        </row>
        <row r="114">
          <cell r="G114" t="str">
            <v>CatálogoGrand3</v>
          </cell>
          <cell r="H114">
            <v>33</v>
          </cell>
        </row>
        <row r="115">
          <cell r="G115" t="str">
            <v>CatálogoGrand4</v>
          </cell>
          <cell r="H115">
            <v>34</v>
          </cell>
        </row>
        <row r="116">
          <cell r="G116" t="str">
            <v>CatálogoGrand5</v>
          </cell>
          <cell r="H116">
            <v>35</v>
          </cell>
        </row>
        <row r="117">
          <cell r="G117" t="str">
            <v>CatálogoM. gr1</v>
          </cell>
          <cell r="H117">
            <v>36</v>
          </cell>
        </row>
        <row r="118">
          <cell r="G118" t="str">
            <v>CatálogoM. gr2</v>
          </cell>
          <cell r="H118">
            <v>37</v>
          </cell>
        </row>
        <row r="119">
          <cell r="G119" t="str">
            <v>CatálogoM. gr3</v>
          </cell>
          <cell r="H119">
            <v>38</v>
          </cell>
        </row>
        <row r="120">
          <cell r="G120" t="str">
            <v>CatálogoM. gr4</v>
          </cell>
          <cell r="H120">
            <v>39</v>
          </cell>
        </row>
        <row r="121">
          <cell r="G121" t="str">
            <v>CatálogoM. gr5</v>
          </cell>
          <cell r="H121">
            <v>40</v>
          </cell>
        </row>
        <row r="122">
          <cell r="G122" t="str">
            <v>CapturaChica1</v>
          </cell>
          <cell r="H122">
            <v>41</v>
          </cell>
        </row>
        <row r="123">
          <cell r="G123" t="str">
            <v>CapturaChica2</v>
          </cell>
          <cell r="H123">
            <v>42</v>
          </cell>
        </row>
        <row r="124">
          <cell r="G124" t="str">
            <v>CapturaChica3</v>
          </cell>
          <cell r="H124">
            <v>43</v>
          </cell>
        </row>
        <row r="125">
          <cell r="G125" t="str">
            <v>CapturaChica4</v>
          </cell>
          <cell r="H125">
            <v>44</v>
          </cell>
        </row>
        <row r="126">
          <cell r="G126" t="str">
            <v>CapturaChica5</v>
          </cell>
          <cell r="H126">
            <v>45</v>
          </cell>
        </row>
        <row r="127">
          <cell r="G127" t="str">
            <v>CapturaMedia1</v>
          </cell>
          <cell r="H127">
            <v>46</v>
          </cell>
        </row>
        <row r="128">
          <cell r="G128" t="str">
            <v>CapturaMedia2</v>
          </cell>
          <cell r="H128">
            <v>47</v>
          </cell>
        </row>
        <row r="129">
          <cell r="G129" t="str">
            <v>CapturaMedia3</v>
          </cell>
          <cell r="H129">
            <v>48</v>
          </cell>
        </row>
        <row r="130">
          <cell r="G130" t="str">
            <v>CapturaMedia4</v>
          </cell>
          <cell r="H130">
            <v>49</v>
          </cell>
        </row>
        <row r="131">
          <cell r="G131" t="str">
            <v>CapturaMedia5</v>
          </cell>
          <cell r="H131">
            <v>50</v>
          </cell>
        </row>
        <row r="132">
          <cell r="G132" t="str">
            <v>CapturaGrand1</v>
          </cell>
          <cell r="H132">
            <v>51</v>
          </cell>
        </row>
        <row r="133">
          <cell r="G133" t="str">
            <v>CapturaGrand2</v>
          </cell>
          <cell r="H133">
            <v>52</v>
          </cell>
        </row>
        <row r="134">
          <cell r="G134" t="str">
            <v>CapturaGrand3</v>
          </cell>
          <cell r="H134">
            <v>53</v>
          </cell>
        </row>
        <row r="135">
          <cell r="G135" t="str">
            <v>CapturaGrand4</v>
          </cell>
          <cell r="H135">
            <v>54</v>
          </cell>
        </row>
        <row r="136">
          <cell r="G136" t="str">
            <v>CapturaGrand5</v>
          </cell>
          <cell r="H136">
            <v>55</v>
          </cell>
        </row>
        <row r="137">
          <cell r="G137" t="str">
            <v>CapturaM. gr1</v>
          </cell>
          <cell r="H137">
            <v>56</v>
          </cell>
        </row>
        <row r="138">
          <cell r="G138" t="str">
            <v>CapturaM. gr2</v>
          </cell>
          <cell r="H138">
            <v>57</v>
          </cell>
        </row>
        <row r="139">
          <cell r="G139" t="str">
            <v>CapturaM. gr3</v>
          </cell>
          <cell r="H139">
            <v>58</v>
          </cell>
        </row>
        <row r="140">
          <cell r="G140" t="str">
            <v>CapturaM. gr4</v>
          </cell>
          <cell r="H140">
            <v>59</v>
          </cell>
        </row>
        <row r="141">
          <cell r="G141" t="str">
            <v>CapturaM. gr5</v>
          </cell>
          <cell r="H141">
            <v>60</v>
          </cell>
        </row>
        <row r="142">
          <cell r="G142" t="str">
            <v>ConfiguraciónChica1</v>
          </cell>
          <cell r="H142">
            <v>61</v>
          </cell>
        </row>
        <row r="143">
          <cell r="G143" t="str">
            <v>ConfiguraciónChica2</v>
          </cell>
          <cell r="H143">
            <v>62</v>
          </cell>
        </row>
        <row r="144">
          <cell r="G144" t="str">
            <v>ConfiguraciónChica3</v>
          </cell>
          <cell r="H144">
            <v>63</v>
          </cell>
        </row>
        <row r="145">
          <cell r="G145" t="str">
            <v>ConfiguraciónChica4</v>
          </cell>
          <cell r="H145">
            <v>64</v>
          </cell>
        </row>
        <row r="146">
          <cell r="G146" t="str">
            <v>ConfiguraciónChica5</v>
          </cell>
          <cell r="H146">
            <v>65</v>
          </cell>
        </row>
        <row r="147">
          <cell r="G147" t="str">
            <v>ConfiguraciónMedia1</v>
          </cell>
          <cell r="H147">
            <v>66</v>
          </cell>
        </row>
        <row r="148">
          <cell r="G148" t="str">
            <v>ConfiguraciónMedia2</v>
          </cell>
          <cell r="H148">
            <v>67</v>
          </cell>
        </row>
        <row r="149">
          <cell r="G149" t="str">
            <v>ConfiguraciónMedia3</v>
          </cell>
          <cell r="H149">
            <v>68</v>
          </cell>
        </row>
        <row r="150">
          <cell r="G150" t="str">
            <v>ConfiguraciónMedia4</v>
          </cell>
          <cell r="H150">
            <v>69</v>
          </cell>
        </row>
        <row r="151">
          <cell r="G151" t="str">
            <v>ConfiguraciónMedia5</v>
          </cell>
          <cell r="H151">
            <v>70</v>
          </cell>
        </row>
        <row r="152">
          <cell r="G152" t="str">
            <v>ConfiguraciónGrand1</v>
          </cell>
          <cell r="H152">
            <v>71</v>
          </cell>
        </row>
        <row r="153">
          <cell r="G153" t="str">
            <v>ConfiguraciónGrand2</v>
          </cell>
          <cell r="H153">
            <v>72</v>
          </cell>
        </row>
        <row r="154">
          <cell r="G154" t="str">
            <v>ConfiguraciónGrand3</v>
          </cell>
          <cell r="H154">
            <v>73</v>
          </cell>
        </row>
        <row r="155">
          <cell r="G155" t="str">
            <v>ConfiguraciónGrand4</v>
          </cell>
          <cell r="H155">
            <v>74</v>
          </cell>
        </row>
        <row r="156">
          <cell r="G156" t="str">
            <v>ConfiguraciónGrand5</v>
          </cell>
          <cell r="H156">
            <v>75</v>
          </cell>
        </row>
        <row r="157">
          <cell r="G157" t="str">
            <v>ConfiguraciónM. gr1</v>
          </cell>
          <cell r="H157">
            <v>76</v>
          </cell>
        </row>
        <row r="158">
          <cell r="G158" t="str">
            <v>ConfiguraciónM. gr2</v>
          </cell>
          <cell r="H158">
            <v>77</v>
          </cell>
        </row>
        <row r="159">
          <cell r="G159" t="str">
            <v>ConfiguraciónM. gr3</v>
          </cell>
          <cell r="H159">
            <v>78</v>
          </cell>
        </row>
        <row r="160">
          <cell r="G160" t="str">
            <v>ConfiguraciónM. gr4</v>
          </cell>
          <cell r="H160">
            <v>79</v>
          </cell>
        </row>
        <row r="161">
          <cell r="G161" t="str">
            <v>ConfiguraciónM. gr5</v>
          </cell>
          <cell r="H161">
            <v>80</v>
          </cell>
        </row>
        <row r="162">
          <cell r="G162" t="str">
            <v>FiltroChica1</v>
          </cell>
          <cell r="H162">
            <v>81</v>
          </cell>
        </row>
        <row r="163">
          <cell r="G163" t="str">
            <v>FiltroChica2</v>
          </cell>
          <cell r="H163">
            <v>82</v>
          </cell>
        </row>
        <row r="164">
          <cell r="G164" t="str">
            <v>FiltroChica3</v>
          </cell>
          <cell r="H164">
            <v>83</v>
          </cell>
        </row>
        <row r="165">
          <cell r="G165" t="str">
            <v>FiltroChica4</v>
          </cell>
          <cell r="H165">
            <v>84</v>
          </cell>
        </row>
        <row r="166">
          <cell r="G166" t="str">
            <v>FiltroChica5</v>
          </cell>
          <cell r="H166">
            <v>85</v>
          </cell>
        </row>
        <row r="167">
          <cell r="G167" t="str">
            <v>FiltroMedia1</v>
          </cell>
          <cell r="H167">
            <v>86</v>
          </cell>
        </row>
        <row r="168">
          <cell r="G168" t="str">
            <v>FiltroMedia2</v>
          </cell>
          <cell r="H168">
            <v>87</v>
          </cell>
        </row>
        <row r="169">
          <cell r="G169" t="str">
            <v>FiltroMedia3</v>
          </cell>
          <cell r="H169">
            <v>88</v>
          </cell>
        </row>
        <row r="170">
          <cell r="G170" t="str">
            <v>FiltroMedia4</v>
          </cell>
          <cell r="H170">
            <v>89</v>
          </cell>
        </row>
        <row r="171">
          <cell r="G171" t="str">
            <v>FiltroMedia5</v>
          </cell>
          <cell r="H171">
            <v>90</v>
          </cell>
        </row>
        <row r="172">
          <cell r="G172" t="str">
            <v>FiltroGrand1</v>
          </cell>
          <cell r="H172">
            <v>91</v>
          </cell>
        </row>
        <row r="173">
          <cell r="G173" t="str">
            <v>FiltroGrand2</v>
          </cell>
          <cell r="H173">
            <v>92</v>
          </cell>
        </row>
        <row r="174">
          <cell r="G174" t="str">
            <v>FiltroGrand3</v>
          </cell>
          <cell r="H174">
            <v>93</v>
          </cell>
        </row>
        <row r="175">
          <cell r="G175" t="str">
            <v>FiltroGrand4</v>
          </cell>
          <cell r="H175">
            <v>94</v>
          </cell>
        </row>
        <row r="176">
          <cell r="G176" t="str">
            <v>FiltroGrand5</v>
          </cell>
          <cell r="H176">
            <v>95</v>
          </cell>
        </row>
        <row r="177">
          <cell r="G177" t="str">
            <v>FiltroM. gr1</v>
          </cell>
          <cell r="H177">
            <v>96</v>
          </cell>
        </row>
        <row r="178">
          <cell r="G178" t="str">
            <v>FiltroM. gr2</v>
          </cell>
          <cell r="H178">
            <v>97</v>
          </cell>
        </row>
        <row r="179">
          <cell r="G179" t="str">
            <v>FiltroM. gr3</v>
          </cell>
          <cell r="H179">
            <v>98</v>
          </cell>
        </row>
        <row r="180">
          <cell r="G180" t="str">
            <v>FiltroM. gr4</v>
          </cell>
          <cell r="H180">
            <v>99</v>
          </cell>
        </row>
        <row r="181">
          <cell r="G181" t="str">
            <v>FiltroM. gr5</v>
          </cell>
          <cell r="H181">
            <v>100</v>
          </cell>
        </row>
        <row r="182">
          <cell r="G182" t="str">
            <v>InformativaChica1</v>
          </cell>
          <cell r="H182">
            <v>101</v>
          </cell>
        </row>
        <row r="183">
          <cell r="G183" t="str">
            <v>InformativaChica2</v>
          </cell>
          <cell r="H183">
            <v>102</v>
          </cell>
        </row>
        <row r="184">
          <cell r="G184" t="str">
            <v>InformativaChica3</v>
          </cell>
          <cell r="H184">
            <v>103</v>
          </cell>
        </row>
        <row r="185">
          <cell r="G185" t="str">
            <v>InformativaChica4</v>
          </cell>
          <cell r="H185">
            <v>104</v>
          </cell>
        </row>
        <row r="186">
          <cell r="G186" t="str">
            <v>InformativaChica5</v>
          </cell>
          <cell r="H186">
            <v>105</v>
          </cell>
        </row>
        <row r="187">
          <cell r="G187" t="str">
            <v>InformativaMedia1</v>
          </cell>
          <cell r="H187">
            <v>106</v>
          </cell>
        </row>
        <row r="188">
          <cell r="G188" t="str">
            <v>InformativaMedia2</v>
          </cell>
          <cell r="H188">
            <v>107</v>
          </cell>
        </row>
        <row r="189">
          <cell r="G189" t="str">
            <v>InformativaMedia3</v>
          </cell>
          <cell r="H189">
            <v>108</v>
          </cell>
        </row>
        <row r="190">
          <cell r="G190" t="str">
            <v>InformativaMedia4</v>
          </cell>
          <cell r="H190">
            <v>109</v>
          </cell>
        </row>
        <row r="191">
          <cell r="G191" t="str">
            <v>InformativaMedia5</v>
          </cell>
          <cell r="H191">
            <v>110</v>
          </cell>
        </row>
        <row r="192">
          <cell r="G192" t="str">
            <v>InformativaGrand1</v>
          </cell>
          <cell r="H192">
            <v>111</v>
          </cell>
        </row>
        <row r="193">
          <cell r="G193" t="str">
            <v>InformativaGrand2</v>
          </cell>
          <cell r="H193">
            <v>112</v>
          </cell>
        </row>
        <row r="194">
          <cell r="G194" t="str">
            <v>InformativaGrand3</v>
          </cell>
          <cell r="H194">
            <v>113</v>
          </cell>
        </row>
        <row r="195">
          <cell r="G195" t="str">
            <v>InformativaGrand4</v>
          </cell>
          <cell r="H195">
            <v>114</v>
          </cell>
        </row>
        <row r="196">
          <cell r="G196" t="str">
            <v>InformativaGrand5</v>
          </cell>
          <cell r="H196">
            <v>115</v>
          </cell>
        </row>
        <row r="197">
          <cell r="G197" t="str">
            <v>InformativaM. gr1</v>
          </cell>
          <cell r="H197">
            <v>116</v>
          </cell>
        </row>
        <row r="198">
          <cell r="G198" t="str">
            <v>InformativaM. gr2</v>
          </cell>
          <cell r="H198">
            <v>117</v>
          </cell>
        </row>
        <row r="199">
          <cell r="G199" t="str">
            <v>InformativaM. gr3</v>
          </cell>
          <cell r="H199">
            <v>118</v>
          </cell>
        </row>
        <row r="200">
          <cell r="G200" t="str">
            <v>InformativaM. gr4</v>
          </cell>
          <cell r="H200">
            <v>119</v>
          </cell>
        </row>
        <row r="201">
          <cell r="G201" t="str">
            <v>InformativaM. gr5</v>
          </cell>
          <cell r="H201">
            <v>120</v>
          </cell>
        </row>
        <row r="202">
          <cell r="G202" t="str">
            <v>OperaciónChica1</v>
          </cell>
          <cell r="H202">
            <v>121</v>
          </cell>
        </row>
        <row r="203">
          <cell r="G203" t="str">
            <v>OperaciónChica2</v>
          </cell>
          <cell r="H203">
            <v>122</v>
          </cell>
        </row>
        <row r="204">
          <cell r="G204" t="str">
            <v>OperaciónChica3</v>
          </cell>
          <cell r="H204">
            <v>123</v>
          </cell>
        </row>
        <row r="205">
          <cell r="G205" t="str">
            <v>OperaciónChica4</v>
          </cell>
          <cell r="H205">
            <v>124</v>
          </cell>
        </row>
        <row r="206">
          <cell r="G206" t="str">
            <v>OperaciónChica5</v>
          </cell>
          <cell r="H206">
            <v>125</v>
          </cell>
        </row>
        <row r="207">
          <cell r="G207" t="str">
            <v>OperaciónMedia1</v>
          </cell>
          <cell r="H207">
            <v>126</v>
          </cell>
        </row>
        <row r="208">
          <cell r="G208" t="str">
            <v>OperaciónMedia2</v>
          </cell>
          <cell r="H208">
            <v>127</v>
          </cell>
        </row>
        <row r="209">
          <cell r="G209" t="str">
            <v>OperaciónMedia3</v>
          </cell>
          <cell r="H209">
            <v>128</v>
          </cell>
        </row>
        <row r="210">
          <cell r="G210" t="str">
            <v>OperaciónMedia4</v>
          </cell>
          <cell r="H210">
            <v>129</v>
          </cell>
        </row>
        <row r="211">
          <cell r="G211" t="str">
            <v>OperaciónMedia5</v>
          </cell>
          <cell r="H211">
            <v>130</v>
          </cell>
        </row>
        <row r="212">
          <cell r="G212" t="str">
            <v>OperaciónGrand1</v>
          </cell>
          <cell r="H212">
            <v>131</v>
          </cell>
        </row>
        <row r="213">
          <cell r="G213" t="str">
            <v>OperaciónGrand2</v>
          </cell>
          <cell r="H213">
            <v>132</v>
          </cell>
        </row>
        <row r="214">
          <cell r="G214" t="str">
            <v>OperaciónGrand3</v>
          </cell>
          <cell r="H214">
            <v>133</v>
          </cell>
        </row>
        <row r="215">
          <cell r="G215" t="str">
            <v>OperaciónGrand4</v>
          </cell>
          <cell r="H215">
            <v>134</v>
          </cell>
        </row>
        <row r="216">
          <cell r="G216" t="str">
            <v>OperaciónGrand5</v>
          </cell>
          <cell r="H216">
            <v>135</v>
          </cell>
        </row>
        <row r="217">
          <cell r="G217" t="str">
            <v>OperaciónM. gr1</v>
          </cell>
          <cell r="H217">
            <v>136</v>
          </cell>
        </row>
        <row r="218">
          <cell r="G218" t="str">
            <v>OperaciónM. gr2</v>
          </cell>
          <cell r="H218">
            <v>137</v>
          </cell>
        </row>
        <row r="219">
          <cell r="G219" t="str">
            <v>OperaciónM. gr3</v>
          </cell>
          <cell r="H219">
            <v>138</v>
          </cell>
        </row>
        <row r="220">
          <cell r="G220" t="str">
            <v>OperaciónM. gr4</v>
          </cell>
          <cell r="H220">
            <v>139</v>
          </cell>
        </row>
        <row r="221">
          <cell r="G221" t="str">
            <v>OperaciónM. gr5</v>
          </cell>
          <cell r="H221">
            <v>140</v>
          </cell>
        </row>
        <row r="222">
          <cell r="G222" t="str">
            <v>ProcedimientoChica1</v>
          </cell>
          <cell r="H222">
            <v>141</v>
          </cell>
        </row>
        <row r="223">
          <cell r="G223" t="str">
            <v>ProcedimientoChica2</v>
          </cell>
          <cell r="H223">
            <v>142</v>
          </cell>
        </row>
        <row r="224">
          <cell r="G224" t="str">
            <v>ProcedimientoChica3</v>
          </cell>
          <cell r="H224">
            <v>143</v>
          </cell>
        </row>
        <row r="225">
          <cell r="G225" t="str">
            <v>ProcedimientoChica4</v>
          </cell>
          <cell r="H225">
            <v>144</v>
          </cell>
        </row>
        <row r="226">
          <cell r="G226" t="str">
            <v>ProcedimientoChica5</v>
          </cell>
          <cell r="H226">
            <v>145</v>
          </cell>
        </row>
        <row r="227">
          <cell r="G227" t="str">
            <v>ProcedimientoMedia1</v>
          </cell>
          <cell r="H227">
            <v>146</v>
          </cell>
        </row>
        <row r="228">
          <cell r="G228" t="str">
            <v>ProcedimientoMedia2</v>
          </cell>
          <cell r="H228">
            <v>147</v>
          </cell>
        </row>
        <row r="229">
          <cell r="G229" t="str">
            <v>ProcedimientoMedia3</v>
          </cell>
          <cell r="H229">
            <v>148</v>
          </cell>
        </row>
        <row r="230">
          <cell r="G230" t="str">
            <v>ProcedimientoMedia4</v>
          </cell>
          <cell r="H230">
            <v>149</v>
          </cell>
        </row>
        <row r="231">
          <cell r="G231" t="str">
            <v>ProcedimientoMedia5</v>
          </cell>
          <cell r="H231">
            <v>150</v>
          </cell>
        </row>
        <row r="232">
          <cell r="G232" t="str">
            <v>ProcedimientoGrand1</v>
          </cell>
          <cell r="H232">
            <v>151</v>
          </cell>
        </row>
        <row r="233">
          <cell r="G233" t="str">
            <v>ProcedimientoGrand2</v>
          </cell>
          <cell r="H233">
            <v>152</v>
          </cell>
        </row>
        <row r="234">
          <cell r="G234" t="str">
            <v>ProcedimientoGrand3</v>
          </cell>
          <cell r="H234">
            <v>153</v>
          </cell>
        </row>
        <row r="235">
          <cell r="G235" t="str">
            <v>ProcedimientoGrand4</v>
          </cell>
          <cell r="H235">
            <v>154</v>
          </cell>
        </row>
        <row r="236">
          <cell r="G236" t="str">
            <v>ProcedimientoGrand5</v>
          </cell>
          <cell r="H236">
            <v>155</v>
          </cell>
        </row>
        <row r="237">
          <cell r="G237" t="str">
            <v>ProcedimientoM. gr1</v>
          </cell>
          <cell r="H237">
            <v>156</v>
          </cell>
        </row>
        <row r="238">
          <cell r="G238" t="str">
            <v>ProcedimientoM. gr2</v>
          </cell>
          <cell r="H238">
            <v>157</v>
          </cell>
        </row>
        <row r="239">
          <cell r="G239" t="str">
            <v>ProcedimientoM. gr3</v>
          </cell>
          <cell r="H239">
            <v>158</v>
          </cell>
        </row>
        <row r="240">
          <cell r="G240" t="str">
            <v>ProcedimientoM. gr4</v>
          </cell>
          <cell r="H240">
            <v>159</v>
          </cell>
        </row>
        <row r="241">
          <cell r="G241" t="str">
            <v>ProcedimientoM. gr5</v>
          </cell>
          <cell r="H241">
            <v>160</v>
          </cell>
        </row>
        <row r="242">
          <cell r="G242" t="str">
            <v>FormatoChica1</v>
          </cell>
          <cell r="H242">
            <v>161</v>
          </cell>
        </row>
        <row r="243">
          <cell r="G243" t="str">
            <v>FormatoChica2</v>
          </cell>
          <cell r="H243">
            <v>162</v>
          </cell>
        </row>
        <row r="244">
          <cell r="G244" t="str">
            <v>FormatoChica3</v>
          </cell>
          <cell r="H244">
            <v>163</v>
          </cell>
        </row>
        <row r="245">
          <cell r="G245" t="str">
            <v>FormatoChica4</v>
          </cell>
          <cell r="H245">
            <v>164</v>
          </cell>
        </row>
        <row r="246">
          <cell r="G246" t="str">
            <v>FormatoChica5</v>
          </cell>
          <cell r="H246">
            <v>165</v>
          </cell>
        </row>
        <row r="247">
          <cell r="G247" t="str">
            <v>FormatoMedia1</v>
          </cell>
          <cell r="H247">
            <v>166</v>
          </cell>
        </row>
        <row r="248">
          <cell r="G248" t="str">
            <v>FormatoMedia2</v>
          </cell>
          <cell r="H248">
            <v>167</v>
          </cell>
        </row>
        <row r="249">
          <cell r="G249" t="str">
            <v>FormatoMedia3</v>
          </cell>
          <cell r="H249">
            <v>168</v>
          </cell>
        </row>
        <row r="250">
          <cell r="G250" t="str">
            <v>FormatoMedia4</v>
          </cell>
          <cell r="H250">
            <v>169</v>
          </cell>
        </row>
        <row r="251">
          <cell r="G251" t="str">
            <v>FormatoMedia5</v>
          </cell>
          <cell r="H251">
            <v>170</v>
          </cell>
        </row>
        <row r="252">
          <cell r="G252" t="str">
            <v>FormatoGrand1</v>
          </cell>
          <cell r="H252">
            <v>171</v>
          </cell>
        </row>
        <row r="253">
          <cell r="G253" t="str">
            <v>FormatoGrand2</v>
          </cell>
          <cell r="H253">
            <v>172</v>
          </cell>
        </row>
        <row r="254">
          <cell r="G254" t="str">
            <v>FormatoGrand3</v>
          </cell>
          <cell r="H254">
            <v>173</v>
          </cell>
        </row>
        <row r="255">
          <cell r="G255" t="str">
            <v>FormatoGrand4</v>
          </cell>
          <cell r="H255">
            <v>174</v>
          </cell>
        </row>
        <row r="256">
          <cell r="G256" t="str">
            <v>FormatoGrand5</v>
          </cell>
          <cell r="H256">
            <v>175</v>
          </cell>
        </row>
        <row r="257">
          <cell r="G257" t="str">
            <v>FormatoM. gr1</v>
          </cell>
          <cell r="H257">
            <v>176</v>
          </cell>
        </row>
        <row r="258">
          <cell r="G258" t="str">
            <v>FormatoM. gr2</v>
          </cell>
          <cell r="H258">
            <v>177</v>
          </cell>
        </row>
        <row r="259">
          <cell r="G259" t="str">
            <v>FormatoM. gr3</v>
          </cell>
          <cell r="H259">
            <v>178</v>
          </cell>
        </row>
        <row r="260">
          <cell r="G260" t="str">
            <v>FormatoM. gr4</v>
          </cell>
          <cell r="H260">
            <v>179</v>
          </cell>
        </row>
        <row r="261">
          <cell r="G261" t="str">
            <v>FormatoM. gr5</v>
          </cell>
          <cell r="H261">
            <v>180</v>
          </cell>
        </row>
        <row r="262">
          <cell r="G262" t="str">
            <v>ReporteChica1</v>
          </cell>
          <cell r="H262">
            <v>181</v>
          </cell>
        </row>
        <row r="263">
          <cell r="G263" t="str">
            <v>ReporteChica2</v>
          </cell>
          <cell r="H263">
            <v>182</v>
          </cell>
        </row>
        <row r="264">
          <cell r="G264" t="str">
            <v>ReporteChica3</v>
          </cell>
          <cell r="H264">
            <v>183</v>
          </cell>
        </row>
        <row r="265">
          <cell r="G265" t="str">
            <v>ReporteChica4</v>
          </cell>
          <cell r="H265">
            <v>184</v>
          </cell>
        </row>
        <row r="266">
          <cell r="G266" t="str">
            <v>ReporteChica5</v>
          </cell>
          <cell r="H266">
            <v>185</v>
          </cell>
        </row>
        <row r="267">
          <cell r="G267" t="str">
            <v>ReporteMedia1</v>
          </cell>
          <cell r="H267">
            <v>186</v>
          </cell>
        </row>
        <row r="268">
          <cell r="G268" t="str">
            <v>ReporteMedia2</v>
          </cell>
          <cell r="H268">
            <v>187</v>
          </cell>
        </row>
        <row r="269">
          <cell r="G269" t="str">
            <v>ReporteMedia3</v>
          </cell>
          <cell r="H269">
            <v>188</v>
          </cell>
        </row>
        <row r="270">
          <cell r="G270" t="str">
            <v>ReporteMedia4</v>
          </cell>
          <cell r="H270">
            <v>189</v>
          </cell>
        </row>
        <row r="271">
          <cell r="G271" t="str">
            <v>ReporteMedia5</v>
          </cell>
          <cell r="H271">
            <v>190</v>
          </cell>
        </row>
        <row r="272">
          <cell r="G272" t="str">
            <v>ReporteGrand1</v>
          </cell>
          <cell r="H272">
            <v>191</v>
          </cell>
        </row>
        <row r="273">
          <cell r="G273" t="str">
            <v>ReporteGrand2</v>
          </cell>
          <cell r="H273">
            <v>192</v>
          </cell>
        </row>
        <row r="274">
          <cell r="G274" t="str">
            <v>ReporteGrand3</v>
          </cell>
          <cell r="H274">
            <v>193</v>
          </cell>
        </row>
        <row r="275">
          <cell r="G275" t="str">
            <v>ReporteGrand4</v>
          </cell>
          <cell r="H275">
            <v>194</v>
          </cell>
        </row>
        <row r="276">
          <cell r="G276" t="str">
            <v>ReporteGrand5</v>
          </cell>
          <cell r="H276">
            <v>195</v>
          </cell>
        </row>
        <row r="277">
          <cell r="G277" t="str">
            <v>ReporteM. gr1</v>
          </cell>
          <cell r="H277">
            <v>196</v>
          </cell>
        </row>
        <row r="278">
          <cell r="G278" t="str">
            <v>ReporteM. gr2</v>
          </cell>
          <cell r="H278">
            <v>197</v>
          </cell>
        </row>
        <row r="279">
          <cell r="G279" t="str">
            <v>ReporteM. gr3</v>
          </cell>
          <cell r="H279">
            <v>198</v>
          </cell>
        </row>
        <row r="280">
          <cell r="G280" t="str">
            <v>ReporteM. gr4</v>
          </cell>
          <cell r="H280">
            <v>199</v>
          </cell>
        </row>
        <row r="281">
          <cell r="G281" t="str">
            <v>ReporteM. gr5</v>
          </cell>
          <cell r="H281">
            <v>200</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proyecto"/>
      <sheetName val="Modelo"/>
      <sheetName val="CB_DATA_"/>
      <sheetName val="Alcance y tiempo"/>
      <sheetName val="Fechas y costos"/>
      <sheetName val="Inversión"/>
      <sheetName val="Anexo 1 - Calendario"/>
      <sheetName val="Anexo 2 - Flujo de pago"/>
      <sheetName val="Anexo 3 - Poliza Software"/>
      <sheetName val="Anexo 4 - Hosting"/>
      <sheetName val="Anexo 5 - Implementación"/>
    </sheetNames>
    <sheetDataSet>
      <sheetData sheetId="0" refreshError="1">
        <row r="3">
          <cell r="D3" t="str">
            <v>Versión: 0.1</v>
          </cell>
        </row>
        <row r="4">
          <cell r="D4"/>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proyecto"/>
      <sheetName val="Hoja1"/>
      <sheetName val="Modelo"/>
      <sheetName val="CB_DATA_"/>
      <sheetName val="Alcance y tiempo"/>
      <sheetName val="Fechas y costos"/>
      <sheetName val="Inversión CELULA"/>
      <sheetName val="Inversión"/>
      <sheetName val="Anexo 1 - Calendario"/>
      <sheetName val="Anexo 2 - Flujo de pago"/>
      <sheetName val="Anexo 3 - Poliza Software"/>
      <sheetName val="Anexo 4 - Hosting"/>
      <sheetName val="Anexo 5 - Implementación"/>
    </sheetNames>
    <sheetDataSet>
      <sheetData sheetId="0">
        <row r="5">
          <cell r="D5" t="str">
            <v>Proyecto:  Metas - Super Lo Tengo - Celula de Trabajo</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5.emf"/><Relationship Id="rId4" Type="http://schemas.openxmlformats.org/officeDocument/2006/relationships/oleObject" Target="../embeddings/oleObject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176"/>
  <sheetViews>
    <sheetView showGridLines="0" topLeftCell="A120" zoomScale="115" zoomScaleNormal="115" workbookViewId="0">
      <selection activeCell="D87" sqref="D87"/>
    </sheetView>
  </sheetViews>
  <sheetFormatPr baseColWidth="10" defaultColWidth="10" defaultRowHeight="15" outlineLevelRow="1" x14ac:dyDescent="0.3"/>
  <cols>
    <col min="1" max="2" width="1.7265625" style="58" customWidth="1"/>
    <col min="3" max="3" width="43" style="56" customWidth="1"/>
    <col min="4" max="4" width="58.7265625" style="57" customWidth="1"/>
    <col min="5" max="5" width="12.7265625" style="57" customWidth="1"/>
    <col min="6" max="6" width="15.1796875" style="57" customWidth="1"/>
    <col min="7" max="7" width="8.1796875" style="58" bestFit="1" customWidth="1"/>
    <col min="8" max="10" width="10" style="58" customWidth="1"/>
    <col min="11" max="16384" width="10" style="58"/>
  </cols>
  <sheetData>
    <row r="1" spans="3:9" ht="15" customHeight="1" x14ac:dyDescent="0.3"/>
    <row r="2" spans="3:9" ht="15" customHeight="1" x14ac:dyDescent="0.3">
      <c r="D2" s="29" t="s">
        <v>0</v>
      </c>
    </row>
    <row r="3" spans="3:9" ht="15" customHeight="1" x14ac:dyDescent="0.3">
      <c r="D3" s="59" t="s">
        <v>279</v>
      </c>
      <c r="I3" s="60"/>
    </row>
    <row r="4" spans="3:9" ht="1.5" customHeight="1" x14ac:dyDescent="0.3">
      <c r="C4" s="61"/>
      <c r="D4" s="61"/>
    </row>
    <row r="5" spans="3:9" ht="15" customHeight="1" x14ac:dyDescent="0.3">
      <c r="D5" s="62" t="s">
        <v>734</v>
      </c>
      <c r="I5" s="60"/>
    </row>
    <row r="6" spans="3:9" x14ac:dyDescent="0.3">
      <c r="C6" s="63"/>
      <c r="E6" s="63"/>
      <c r="F6" s="63"/>
      <c r="G6" s="64"/>
    </row>
    <row r="7" spans="3:9" x14ac:dyDescent="0.3">
      <c r="C7" s="359" t="s">
        <v>3</v>
      </c>
      <c r="D7" s="65"/>
      <c r="E7" s="65"/>
      <c r="F7" s="65"/>
    </row>
    <row r="8" spans="3:9" ht="18" customHeight="1" thickBot="1" x14ac:dyDescent="0.35"/>
    <row r="9" spans="3:9" ht="15.5" thickBot="1" x14ac:dyDescent="0.35">
      <c r="C9" s="593" t="s">
        <v>4</v>
      </c>
      <c r="D9" s="593"/>
    </row>
    <row r="10" spans="3:9" ht="187.5" customHeight="1" outlineLevel="1" thickBot="1" x14ac:dyDescent="0.35">
      <c r="C10" s="597" t="s">
        <v>756</v>
      </c>
      <c r="D10" s="597"/>
    </row>
    <row r="11" spans="3:9" ht="15.5" thickBot="1" x14ac:dyDescent="0.35"/>
    <row r="12" spans="3:9" ht="16" thickBot="1" x14ac:dyDescent="0.4">
      <c r="C12" s="596" t="s">
        <v>513</v>
      </c>
      <c r="D12" s="596"/>
    </row>
    <row r="13" spans="3:9" ht="15.5" thickBot="1" x14ac:dyDescent="0.35">
      <c r="C13" s="563" t="s">
        <v>10</v>
      </c>
      <c r="D13" s="564" t="s">
        <v>230</v>
      </c>
    </row>
    <row r="14" spans="3:9" ht="29.5" outlineLevel="1" thickBot="1" x14ac:dyDescent="0.4">
      <c r="C14" s="561" t="s">
        <v>798</v>
      </c>
      <c r="D14" s="560" t="s">
        <v>608</v>
      </c>
      <c r="E14" s="56"/>
      <c r="F14" s="56"/>
    </row>
    <row r="15" spans="3:9" ht="16" outlineLevel="1" thickBot="1" x14ac:dyDescent="0.4">
      <c r="C15" s="561" t="s">
        <v>799</v>
      </c>
      <c r="D15" s="560" t="s">
        <v>609</v>
      </c>
      <c r="E15" s="56"/>
      <c r="F15" s="56"/>
    </row>
    <row r="16" spans="3:9" ht="16" outlineLevel="1" thickBot="1" x14ac:dyDescent="0.4">
      <c r="C16" s="561" t="s">
        <v>800</v>
      </c>
      <c r="D16" s="560" t="s">
        <v>657</v>
      </c>
      <c r="E16" s="66"/>
      <c r="F16" s="66"/>
    </row>
    <row r="17" spans="3:6" ht="16" outlineLevel="1" thickBot="1" x14ac:dyDescent="0.4">
      <c r="C17" s="561" t="s">
        <v>801</v>
      </c>
      <c r="D17" s="560" t="s">
        <v>533</v>
      </c>
      <c r="E17" s="66"/>
      <c r="F17" s="66"/>
    </row>
    <row r="18" spans="3:6" ht="16" outlineLevel="1" thickBot="1" x14ac:dyDescent="0.4">
      <c r="C18" s="561" t="s">
        <v>802</v>
      </c>
      <c r="D18" s="560" t="s">
        <v>623</v>
      </c>
    </row>
    <row r="19" spans="3:6" ht="16" outlineLevel="1" thickBot="1" x14ac:dyDescent="0.4">
      <c r="C19" s="562" t="s">
        <v>541</v>
      </c>
      <c r="D19" s="560" t="s">
        <v>529</v>
      </c>
    </row>
    <row r="20" spans="3:6" ht="16" outlineLevel="1" thickBot="1" x14ac:dyDescent="0.4">
      <c r="C20" s="562" t="s">
        <v>603</v>
      </c>
      <c r="D20" s="560" t="s">
        <v>729</v>
      </c>
    </row>
    <row r="21" spans="3:6" ht="16" outlineLevel="1" thickBot="1" x14ac:dyDescent="0.4">
      <c r="C21" s="562" t="s">
        <v>604</v>
      </c>
      <c r="D21" s="560" t="s">
        <v>733</v>
      </c>
    </row>
    <row r="22" spans="3:6" ht="16" outlineLevel="1" thickBot="1" x14ac:dyDescent="0.4">
      <c r="C22" s="562" t="s">
        <v>540</v>
      </c>
      <c r="D22" s="560" t="s">
        <v>530</v>
      </c>
    </row>
    <row r="23" spans="3:6" ht="16" outlineLevel="1" thickBot="1" x14ac:dyDescent="0.4">
      <c r="C23" s="562" t="s">
        <v>539</v>
      </c>
      <c r="D23" s="560" t="s">
        <v>531</v>
      </c>
    </row>
    <row r="24" spans="3:6" ht="16" outlineLevel="1" thickBot="1" x14ac:dyDescent="0.4">
      <c r="C24" s="561" t="s">
        <v>803</v>
      </c>
      <c r="D24" s="560" t="s">
        <v>605</v>
      </c>
    </row>
    <row r="25" spans="3:6" ht="16" outlineLevel="1" thickBot="1" x14ac:dyDescent="0.4">
      <c r="C25" s="562" t="s">
        <v>537</v>
      </c>
      <c r="D25" s="560" t="s">
        <v>533</v>
      </c>
    </row>
    <row r="26" spans="3:6" ht="16" outlineLevel="1" thickBot="1" x14ac:dyDescent="0.4">
      <c r="C26" s="562" t="s">
        <v>606</v>
      </c>
      <c r="D26" s="560" t="s">
        <v>730</v>
      </c>
    </row>
    <row r="27" spans="3:6" ht="16" outlineLevel="1" thickBot="1" x14ac:dyDescent="0.4">
      <c r="C27" s="561" t="s">
        <v>804</v>
      </c>
      <c r="D27" s="560" t="s">
        <v>730</v>
      </c>
    </row>
    <row r="28" spans="3:6" outlineLevel="1" x14ac:dyDescent="0.3">
      <c r="C28" s="67"/>
    </row>
    <row r="29" spans="3:6" ht="15.5" hidden="1" thickBot="1" x14ac:dyDescent="0.35">
      <c r="C29" s="66"/>
      <c r="D29" s="56"/>
      <c r="E29" s="56"/>
      <c r="F29" s="56"/>
    </row>
    <row r="30" spans="3:6" ht="20.25" hidden="1" customHeight="1" collapsed="1" thickBot="1" x14ac:dyDescent="0.35">
      <c r="C30" s="593" t="s">
        <v>448</v>
      </c>
      <c r="D30" s="593"/>
    </row>
    <row r="31" spans="3:6" hidden="1" outlineLevel="1" x14ac:dyDescent="0.3">
      <c r="C31" s="357" t="s">
        <v>544</v>
      </c>
      <c r="D31" s="357" t="s">
        <v>527</v>
      </c>
      <c r="E31" s="56"/>
      <c r="F31" s="56"/>
    </row>
    <row r="32" spans="3:6" hidden="1" outlineLevel="1" x14ac:dyDescent="0.3">
      <c r="C32" s="356" t="s">
        <v>550</v>
      </c>
      <c r="D32" s="67" t="s">
        <v>528</v>
      </c>
      <c r="E32" s="56"/>
      <c r="F32" s="56"/>
    </row>
    <row r="33" spans="3:6" hidden="1" outlineLevel="1" x14ac:dyDescent="0.3">
      <c r="C33" s="356" t="s">
        <v>551</v>
      </c>
      <c r="D33" s="67" t="s">
        <v>545</v>
      </c>
      <c r="E33" s="66"/>
      <c r="F33" s="66"/>
    </row>
    <row r="34" spans="3:6" hidden="1" outlineLevel="1" x14ac:dyDescent="0.3">
      <c r="C34" s="356" t="s">
        <v>552</v>
      </c>
      <c r="D34" s="67" t="s">
        <v>546</v>
      </c>
      <c r="E34" s="66"/>
      <c r="F34" s="66"/>
    </row>
    <row r="35" spans="3:6" hidden="1" outlineLevel="1" x14ac:dyDescent="0.3">
      <c r="C35" s="356" t="s">
        <v>553</v>
      </c>
      <c r="D35" s="67" t="s">
        <v>547</v>
      </c>
    </row>
    <row r="36" spans="3:6" hidden="1" outlineLevel="1" x14ac:dyDescent="0.3">
      <c r="C36" s="356" t="s">
        <v>541</v>
      </c>
      <c r="D36" s="67" t="s">
        <v>529</v>
      </c>
    </row>
    <row r="37" spans="3:6" hidden="1" outlineLevel="1" x14ac:dyDescent="0.3">
      <c r="C37" s="67" t="s">
        <v>554</v>
      </c>
      <c r="D37" s="67" t="s">
        <v>12</v>
      </c>
    </row>
    <row r="38" spans="3:6" hidden="1" outlineLevel="1" x14ac:dyDescent="0.3">
      <c r="C38" s="356" t="s">
        <v>540</v>
      </c>
      <c r="D38" s="67" t="s">
        <v>530</v>
      </c>
    </row>
    <row r="39" spans="3:6" hidden="1" outlineLevel="1" x14ac:dyDescent="0.3">
      <c r="C39" s="356" t="s">
        <v>539</v>
      </c>
      <c r="D39" s="67" t="s">
        <v>531</v>
      </c>
      <c r="E39" s="54"/>
    </row>
    <row r="40" spans="3:6" hidden="1" outlineLevel="1" x14ac:dyDescent="0.3">
      <c r="C40" s="356" t="s">
        <v>555</v>
      </c>
      <c r="D40" s="67" t="s">
        <v>532</v>
      </c>
    </row>
    <row r="41" spans="3:6" hidden="1" outlineLevel="1" x14ac:dyDescent="0.3">
      <c r="C41" s="356" t="s">
        <v>537</v>
      </c>
      <c r="D41" s="67" t="s">
        <v>548</v>
      </c>
    </row>
    <row r="42" spans="3:6" hidden="1" outlineLevel="1" x14ac:dyDescent="0.3">
      <c r="C42" s="356" t="s">
        <v>556</v>
      </c>
      <c r="D42" s="67" t="s">
        <v>549</v>
      </c>
    </row>
    <row r="43" spans="3:6" hidden="1" outlineLevel="1" x14ac:dyDescent="0.3">
      <c r="C43" s="67" t="s">
        <v>536</v>
      </c>
      <c r="D43" s="67" t="s">
        <v>534</v>
      </c>
    </row>
    <row r="44" spans="3:6" ht="15.5" hidden="1" outlineLevel="1" thickBot="1" x14ac:dyDescent="0.35">
      <c r="C44" s="358" t="s">
        <v>535</v>
      </c>
      <c r="D44" s="358" t="s">
        <v>12</v>
      </c>
    </row>
    <row r="45" spans="3:6" ht="15.5" hidden="1" outlineLevel="1" thickBot="1" x14ac:dyDescent="0.35">
      <c r="C45" s="67"/>
    </row>
    <row r="46" spans="3:6" ht="15.5" hidden="1" collapsed="1" thickBot="1" x14ac:dyDescent="0.35">
      <c r="C46" s="593" t="s">
        <v>449</v>
      </c>
      <c r="D46" s="593"/>
    </row>
    <row r="47" spans="3:6" hidden="1" outlineLevel="1" x14ac:dyDescent="0.3">
      <c r="C47" s="357" t="s">
        <v>544</v>
      </c>
      <c r="D47" s="357" t="s">
        <v>527</v>
      </c>
      <c r="E47" s="56"/>
      <c r="F47" s="56"/>
    </row>
    <row r="48" spans="3:6" hidden="1" outlineLevel="1" x14ac:dyDescent="0.3">
      <c r="C48" s="67" t="s">
        <v>543</v>
      </c>
      <c r="D48" s="67" t="s">
        <v>528</v>
      </c>
      <c r="E48" s="56"/>
      <c r="F48" s="56"/>
    </row>
    <row r="49" spans="3:6" hidden="1" outlineLevel="1" x14ac:dyDescent="0.3">
      <c r="C49" s="356" t="s">
        <v>551</v>
      </c>
      <c r="D49" s="67" t="s">
        <v>559</v>
      </c>
      <c r="E49" s="66"/>
      <c r="F49" s="66"/>
    </row>
    <row r="50" spans="3:6" hidden="1" outlineLevel="1" x14ac:dyDescent="0.3">
      <c r="C50" s="67" t="s">
        <v>542</v>
      </c>
      <c r="D50" s="67" t="s">
        <v>546</v>
      </c>
      <c r="E50" s="66"/>
      <c r="F50" s="66"/>
    </row>
    <row r="51" spans="3:6" hidden="1" outlineLevel="1" x14ac:dyDescent="0.3">
      <c r="C51" s="356" t="s">
        <v>553</v>
      </c>
      <c r="D51" s="67" t="s">
        <v>547</v>
      </c>
    </row>
    <row r="52" spans="3:6" hidden="1" outlineLevel="1" x14ac:dyDescent="0.3">
      <c r="C52" s="356" t="s">
        <v>541</v>
      </c>
      <c r="D52" s="67" t="s">
        <v>529</v>
      </c>
    </row>
    <row r="53" spans="3:6" hidden="1" outlineLevel="1" x14ac:dyDescent="0.3">
      <c r="C53" s="67" t="s">
        <v>554</v>
      </c>
      <c r="D53" s="67" t="s">
        <v>12</v>
      </c>
    </row>
    <row r="54" spans="3:6" hidden="1" outlineLevel="1" x14ac:dyDescent="0.3">
      <c r="C54" s="356" t="s">
        <v>540</v>
      </c>
      <c r="D54" s="67" t="s">
        <v>530</v>
      </c>
      <c r="E54" s="54"/>
    </row>
    <row r="55" spans="3:6" hidden="1" outlineLevel="1" x14ac:dyDescent="0.3">
      <c r="C55" s="356" t="s">
        <v>539</v>
      </c>
      <c r="D55" s="67" t="s">
        <v>531</v>
      </c>
    </row>
    <row r="56" spans="3:6" hidden="1" outlineLevel="1" x14ac:dyDescent="0.3">
      <c r="C56" s="67" t="s">
        <v>538</v>
      </c>
      <c r="D56" s="67" t="s">
        <v>532</v>
      </c>
    </row>
    <row r="57" spans="3:6" hidden="1" outlineLevel="1" x14ac:dyDescent="0.3">
      <c r="C57" s="67" t="s">
        <v>557</v>
      </c>
      <c r="D57" s="67" t="s">
        <v>560</v>
      </c>
    </row>
    <row r="58" spans="3:6" hidden="1" outlineLevel="1" x14ac:dyDescent="0.3">
      <c r="C58" s="356" t="s">
        <v>558</v>
      </c>
      <c r="D58" s="67" t="s">
        <v>561</v>
      </c>
    </row>
    <row r="59" spans="3:6" hidden="1" outlineLevel="1" x14ac:dyDescent="0.3">
      <c r="C59" s="67" t="s">
        <v>536</v>
      </c>
      <c r="D59" s="67" t="s">
        <v>534</v>
      </c>
    </row>
    <row r="60" spans="3:6" ht="15.5" hidden="1" outlineLevel="1" thickBot="1" x14ac:dyDescent="0.35">
      <c r="C60" s="358" t="s">
        <v>535</v>
      </c>
      <c r="D60" s="358" t="s">
        <v>12</v>
      </c>
    </row>
    <row r="61" spans="3:6" hidden="1" outlineLevel="1" x14ac:dyDescent="0.3">
      <c r="C61" s="67"/>
    </row>
    <row r="62" spans="3:6" hidden="1" x14ac:dyDescent="0.3">
      <c r="C62" s="66"/>
      <c r="D62" s="56"/>
      <c r="E62" s="56"/>
      <c r="F62" s="56"/>
    </row>
    <row r="63" spans="3:6" ht="15.5" hidden="1" thickBot="1" x14ac:dyDescent="0.35">
      <c r="C63" s="66"/>
      <c r="D63" s="56"/>
      <c r="E63" s="56"/>
      <c r="F63" s="56"/>
    </row>
    <row r="64" spans="3:6" ht="15.5" hidden="1" collapsed="1" thickBot="1" x14ac:dyDescent="0.35">
      <c r="C64" s="593" t="s">
        <v>414</v>
      </c>
      <c r="D64" s="593"/>
    </row>
    <row r="65" spans="3:6" hidden="1" outlineLevel="1" x14ac:dyDescent="0.3">
      <c r="C65" s="360" t="s">
        <v>562</v>
      </c>
      <c r="D65" s="357" t="s">
        <v>567</v>
      </c>
    </row>
    <row r="66" spans="3:6" hidden="1" outlineLevel="1" x14ac:dyDescent="0.3">
      <c r="C66" s="67" t="s">
        <v>563</v>
      </c>
      <c r="D66" s="67" t="s">
        <v>568</v>
      </c>
    </row>
    <row r="67" spans="3:6" hidden="1" outlineLevel="1" x14ac:dyDescent="0.3">
      <c r="C67" s="67" t="s">
        <v>564</v>
      </c>
      <c r="D67" s="67" t="s">
        <v>569</v>
      </c>
    </row>
    <row r="68" spans="3:6" hidden="1" outlineLevel="1" x14ac:dyDescent="0.3">
      <c r="C68" s="67" t="s">
        <v>565</v>
      </c>
      <c r="D68" s="67" t="s">
        <v>570</v>
      </c>
    </row>
    <row r="69" spans="3:6" ht="15.5" hidden="1" outlineLevel="1" thickBot="1" x14ac:dyDescent="0.35">
      <c r="C69" s="358" t="s">
        <v>566</v>
      </c>
      <c r="D69" s="358" t="s">
        <v>571</v>
      </c>
    </row>
    <row r="70" spans="3:6" ht="15.5" hidden="1" thickBot="1" x14ac:dyDescent="0.35">
      <c r="C70" s="69"/>
      <c r="D70" s="68"/>
    </row>
    <row r="71" spans="3:6" ht="15.5" hidden="1" collapsed="1" thickBot="1" x14ac:dyDescent="0.35">
      <c r="C71" s="593" t="s">
        <v>415</v>
      </c>
      <c r="D71" s="593"/>
    </row>
    <row r="72" spans="3:6" hidden="1" outlineLevel="1" x14ac:dyDescent="0.3">
      <c r="C72" s="360" t="s">
        <v>562</v>
      </c>
      <c r="D72" s="357" t="s">
        <v>567</v>
      </c>
    </row>
    <row r="73" spans="3:6" hidden="1" outlineLevel="1" x14ac:dyDescent="0.3">
      <c r="C73" s="356" t="s">
        <v>572</v>
      </c>
      <c r="D73" s="67" t="s">
        <v>568</v>
      </c>
    </row>
    <row r="74" spans="3:6" hidden="1" outlineLevel="1" x14ac:dyDescent="0.3">
      <c r="C74" s="356" t="s">
        <v>573</v>
      </c>
      <c r="D74" s="67" t="s">
        <v>569</v>
      </c>
    </row>
    <row r="75" spans="3:6" hidden="1" outlineLevel="1" x14ac:dyDescent="0.3">
      <c r="C75" s="356" t="s">
        <v>574</v>
      </c>
      <c r="D75" s="67" t="s">
        <v>570</v>
      </c>
    </row>
    <row r="76" spans="3:6" ht="15.5" hidden="1" outlineLevel="1" thickBot="1" x14ac:dyDescent="0.35">
      <c r="C76" s="361" t="s">
        <v>575</v>
      </c>
      <c r="D76" s="358" t="s">
        <v>576</v>
      </c>
    </row>
    <row r="77" spans="3:6" ht="15.5" hidden="1" thickBot="1" x14ac:dyDescent="0.35">
      <c r="C77" s="69"/>
      <c r="D77" s="68"/>
    </row>
    <row r="78" spans="3:6" ht="15.5" hidden="1" collapsed="1" thickBot="1" x14ac:dyDescent="0.35">
      <c r="C78" s="593" t="s">
        <v>416</v>
      </c>
      <c r="D78" s="593"/>
    </row>
    <row r="79" spans="3:6" hidden="1" outlineLevel="1" x14ac:dyDescent="0.3">
      <c r="C79" s="360" t="s">
        <v>577</v>
      </c>
      <c r="D79" s="360" t="s">
        <v>583</v>
      </c>
      <c r="E79" s="56"/>
      <c r="F79" s="56"/>
    </row>
    <row r="80" spans="3:6" hidden="1" outlineLevel="1" x14ac:dyDescent="0.3">
      <c r="C80" s="356" t="s">
        <v>562</v>
      </c>
      <c r="D80" s="67" t="s">
        <v>584</v>
      </c>
    </row>
    <row r="81" spans="3:6" hidden="1" outlineLevel="1" x14ac:dyDescent="0.3">
      <c r="C81" s="356" t="s">
        <v>572</v>
      </c>
      <c r="D81" s="67" t="s">
        <v>568</v>
      </c>
    </row>
    <row r="82" spans="3:6" hidden="1" outlineLevel="1" x14ac:dyDescent="0.3">
      <c r="C82" s="356" t="s">
        <v>578</v>
      </c>
      <c r="D82" s="67" t="s">
        <v>585</v>
      </c>
    </row>
    <row r="83" spans="3:6" hidden="1" outlineLevel="1" x14ac:dyDescent="0.3">
      <c r="C83" s="356" t="s">
        <v>579</v>
      </c>
      <c r="D83" s="67" t="s">
        <v>586</v>
      </c>
    </row>
    <row r="84" spans="3:6" hidden="1" outlineLevel="1" x14ac:dyDescent="0.3">
      <c r="C84" s="356" t="s">
        <v>580</v>
      </c>
      <c r="D84" s="67" t="s">
        <v>587</v>
      </c>
    </row>
    <row r="85" spans="3:6" hidden="1" outlineLevel="1" x14ac:dyDescent="0.3">
      <c r="C85" s="67" t="s">
        <v>581</v>
      </c>
      <c r="D85" s="67" t="s">
        <v>588</v>
      </c>
    </row>
    <row r="86" spans="3:6" ht="15.5" hidden="1" outlineLevel="1" thickBot="1" x14ac:dyDescent="0.35">
      <c r="C86" s="361" t="s">
        <v>582</v>
      </c>
      <c r="D86" s="358" t="s">
        <v>12</v>
      </c>
    </row>
    <row r="87" spans="3:6" x14ac:dyDescent="0.3">
      <c r="C87" s="66"/>
    </row>
    <row r="88" spans="3:6" ht="15.5" thickBot="1" x14ac:dyDescent="0.35">
      <c r="C88" s="70" t="s">
        <v>5</v>
      </c>
    </row>
    <row r="89" spans="3:6" ht="15.5" outlineLevel="1" thickBot="1" x14ac:dyDescent="0.35">
      <c r="C89" s="593" t="s">
        <v>6</v>
      </c>
      <c r="D89" s="593"/>
      <c r="E89" s="71"/>
      <c r="F89" s="71"/>
    </row>
    <row r="90" spans="3:6" s="72" customFormat="1" outlineLevel="1" x14ac:dyDescent="0.3">
      <c r="C90" s="595" t="s">
        <v>253</v>
      </c>
      <c r="D90" s="595"/>
      <c r="E90" s="71"/>
      <c r="F90" s="71"/>
    </row>
    <row r="91" spans="3:6" outlineLevel="1" x14ac:dyDescent="0.3">
      <c r="C91" s="590" t="s">
        <v>245</v>
      </c>
      <c r="D91" s="590"/>
    </row>
    <row r="92" spans="3:6" outlineLevel="1" x14ac:dyDescent="0.3">
      <c r="C92" s="590" t="s">
        <v>254</v>
      </c>
      <c r="D92" s="590"/>
    </row>
    <row r="93" spans="3:6" outlineLevel="1" x14ac:dyDescent="0.3">
      <c r="C93" s="590" t="s">
        <v>425</v>
      </c>
      <c r="D93" s="590"/>
    </row>
    <row r="94" spans="3:6" ht="28.5" customHeight="1" outlineLevel="1" x14ac:dyDescent="0.3">
      <c r="C94" s="590" t="s">
        <v>426</v>
      </c>
      <c r="D94" s="590"/>
    </row>
    <row r="95" spans="3:6" ht="28.5" customHeight="1" outlineLevel="1" x14ac:dyDescent="0.3">
      <c r="C95" s="590" t="s">
        <v>429</v>
      </c>
      <c r="D95" s="590"/>
    </row>
    <row r="96" spans="3:6" ht="62.5" customHeight="1" outlineLevel="1" thickBot="1" x14ac:dyDescent="0.35">
      <c r="C96" s="592" t="s">
        <v>440</v>
      </c>
      <c r="D96" s="592"/>
    </row>
    <row r="97" spans="3:6" ht="15.5" outlineLevel="1" thickBot="1" x14ac:dyDescent="0.35">
      <c r="C97" s="73"/>
    </row>
    <row r="98" spans="3:6" ht="15.5" outlineLevel="1" thickBot="1" x14ac:dyDescent="0.35">
      <c r="C98" s="593" t="s">
        <v>7</v>
      </c>
      <c r="D98" s="593"/>
      <c r="E98" s="74"/>
      <c r="F98" s="74"/>
    </row>
    <row r="99" spans="3:6" outlineLevel="1" x14ac:dyDescent="0.3">
      <c r="C99" s="594" t="s">
        <v>319</v>
      </c>
      <c r="D99" s="595"/>
      <c r="E99" s="71"/>
      <c r="F99" s="71"/>
    </row>
    <row r="100" spans="3:6" outlineLevel="1" x14ac:dyDescent="0.3">
      <c r="C100" s="589" t="s">
        <v>314</v>
      </c>
      <c r="D100" s="590"/>
      <c r="E100" s="71"/>
      <c r="F100" s="71"/>
    </row>
    <row r="101" spans="3:6" outlineLevel="1" x14ac:dyDescent="0.3">
      <c r="C101" s="589" t="s">
        <v>315</v>
      </c>
      <c r="D101" s="590"/>
      <c r="E101" s="74"/>
      <c r="F101" s="74"/>
    </row>
    <row r="102" spans="3:6" outlineLevel="1" x14ac:dyDescent="0.3">
      <c r="C102" s="589" t="s">
        <v>446</v>
      </c>
      <c r="D102" s="590"/>
    </row>
    <row r="103" spans="3:6" outlineLevel="1" x14ac:dyDescent="0.3">
      <c r="C103" s="589" t="s">
        <v>320</v>
      </c>
      <c r="D103" s="590"/>
    </row>
    <row r="104" spans="3:6" outlineLevel="1" x14ac:dyDescent="0.3">
      <c r="C104" s="589" t="s">
        <v>316</v>
      </c>
      <c r="D104" s="590"/>
    </row>
    <row r="105" spans="3:6" outlineLevel="1" x14ac:dyDescent="0.3">
      <c r="C105" s="589" t="s">
        <v>317</v>
      </c>
      <c r="D105" s="590"/>
    </row>
    <row r="106" spans="3:6" outlineLevel="1" x14ac:dyDescent="0.3">
      <c r="C106" s="589" t="s">
        <v>321</v>
      </c>
      <c r="D106" s="590"/>
    </row>
    <row r="107" spans="3:6" outlineLevel="1" x14ac:dyDescent="0.3">
      <c r="C107" s="589" t="s">
        <v>322</v>
      </c>
      <c r="D107" s="590"/>
    </row>
    <row r="108" spans="3:6" outlineLevel="1" x14ac:dyDescent="0.3">
      <c r="C108" s="589" t="s">
        <v>318</v>
      </c>
      <c r="D108" s="590"/>
    </row>
    <row r="109" spans="3:6" outlineLevel="1" x14ac:dyDescent="0.3">
      <c r="C109" s="589" t="s">
        <v>451</v>
      </c>
      <c r="D109" s="590"/>
    </row>
    <row r="110" spans="3:6" outlineLevel="1" x14ac:dyDescent="0.3">
      <c r="C110" s="589" t="s">
        <v>431</v>
      </c>
      <c r="D110" s="590"/>
    </row>
    <row r="111" spans="3:6" outlineLevel="1" x14ac:dyDescent="0.3">
      <c r="C111" s="589" t="s">
        <v>417</v>
      </c>
      <c r="D111" s="590"/>
    </row>
    <row r="112" spans="3:6" ht="15.5" outlineLevel="1" thickBot="1" x14ac:dyDescent="0.35">
      <c r="C112" s="591" t="s">
        <v>418</v>
      </c>
      <c r="D112" s="592"/>
    </row>
    <row r="113" spans="2:7" outlineLevel="1" x14ac:dyDescent="0.3">
      <c r="C113" s="67"/>
    </row>
    <row r="114" spans="2:7" ht="15.5" outlineLevel="1" thickBot="1" x14ac:dyDescent="0.35">
      <c r="C114" s="67"/>
    </row>
    <row r="115" spans="2:7" ht="15.5" outlineLevel="1" thickBot="1" x14ac:dyDescent="0.35">
      <c r="C115" s="593" t="s">
        <v>334</v>
      </c>
      <c r="D115" s="593"/>
      <c r="E115" s="74"/>
      <c r="F115" s="74"/>
    </row>
    <row r="116" spans="2:7" outlineLevel="1" x14ac:dyDescent="0.3">
      <c r="C116" s="594" t="s">
        <v>335</v>
      </c>
      <c r="D116" s="595"/>
      <c r="E116" s="71"/>
      <c r="F116" s="71"/>
    </row>
    <row r="117" spans="2:7" outlineLevel="1" x14ac:dyDescent="0.3">
      <c r="C117" s="589" t="s">
        <v>336</v>
      </c>
      <c r="D117" s="590"/>
      <c r="E117" s="71"/>
      <c r="F117" s="71"/>
    </row>
    <row r="118" spans="2:7" outlineLevel="1" x14ac:dyDescent="0.3">
      <c r="C118" s="589" t="s">
        <v>337</v>
      </c>
      <c r="D118" s="590"/>
      <c r="E118" s="74"/>
      <c r="F118" s="589"/>
      <c r="G118" s="590"/>
    </row>
    <row r="119" spans="2:7" outlineLevel="1" x14ac:dyDescent="0.3">
      <c r="C119" s="589" t="s">
        <v>338</v>
      </c>
      <c r="D119" s="590"/>
    </row>
    <row r="120" spans="2:7" ht="15.5" outlineLevel="1" thickBot="1" x14ac:dyDescent="0.35">
      <c r="C120" s="591" t="s">
        <v>339</v>
      </c>
      <c r="D120" s="592"/>
    </row>
    <row r="122" spans="2:7" ht="12.75" customHeight="1" collapsed="1" x14ac:dyDescent="0.3">
      <c r="C122" s="70" t="s">
        <v>246</v>
      </c>
      <c r="D122" s="75"/>
      <c r="E122" s="58"/>
      <c r="F122" s="58"/>
    </row>
    <row r="123" spans="2:7" ht="12.75" hidden="1" customHeight="1" outlineLevel="1" x14ac:dyDescent="0.3">
      <c r="B123" s="60"/>
      <c r="C123" s="73" t="s">
        <v>247</v>
      </c>
      <c r="D123" s="75"/>
      <c r="E123" s="58"/>
      <c r="F123" s="58"/>
    </row>
    <row r="124" spans="2:7" ht="12.75" hidden="1" customHeight="1" outlineLevel="1" x14ac:dyDescent="0.3">
      <c r="B124" s="60"/>
      <c r="C124" s="73" t="s">
        <v>8</v>
      </c>
      <c r="D124" s="75"/>
      <c r="E124" s="58"/>
      <c r="F124" s="58"/>
    </row>
    <row r="125" spans="2:7" ht="12.75" hidden="1" customHeight="1" outlineLevel="1" x14ac:dyDescent="0.3">
      <c r="B125" s="76"/>
      <c r="C125" s="73" t="s">
        <v>302</v>
      </c>
      <c r="D125" s="75"/>
      <c r="E125" s="58"/>
      <c r="F125" s="58"/>
    </row>
    <row r="126" spans="2:7" ht="12.75" hidden="1" customHeight="1" outlineLevel="1" x14ac:dyDescent="0.3">
      <c r="B126" s="76"/>
      <c r="C126" s="73" t="s">
        <v>301</v>
      </c>
      <c r="D126" s="75"/>
      <c r="E126" s="58"/>
      <c r="F126" s="58"/>
    </row>
    <row r="127" spans="2:7" ht="12.75" hidden="1" customHeight="1" outlineLevel="1" x14ac:dyDescent="0.3">
      <c r="B127" s="76"/>
      <c r="C127" s="73" t="s">
        <v>303</v>
      </c>
      <c r="D127" s="75"/>
      <c r="E127" s="58"/>
      <c r="F127" s="58"/>
    </row>
    <row r="128" spans="2:7" ht="12.75" hidden="1" customHeight="1" outlineLevel="1" x14ac:dyDescent="0.3">
      <c r="B128" s="76"/>
      <c r="C128" s="73" t="s">
        <v>304</v>
      </c>
      <c r="D128" s="75"/>
      <c r="E128" s="58"/>
      <c r="F128" s="58"/>
    </row>
    <row r="129" spans="1:10" ht="12.75" hidden="1" customHeight="1" outlineLevel="1" x14ac:dyDescent="0.3">
      <c r="B129" s="76"/>
      <c r="C129" s="73" t="s">
        <v>234</v>
      </c>
      <c r="D129" s="75"/>
      <c r="E129" s="58"/>
      <c r="F129" s="58"/>
    </row>
    <row r="130" spans="1:10" ht="12.75" hidden="1" customHeight="1" outlineLevel="1" x14ac:dyDescent="0.3">
      <c r="B130" s="76"/>
      <c r="C130" s="73" t="s">
        <v>235</v>
      </c>
      <c r="D130" s="75"/>
      <c r="E130" s="58"/>
      <c r="F130" s="58"/>
    </row>
    <row r="131" spans="1:10" s="57" customFormat="1" ht="12.75" hidden="1" customHeight="1" outlineLevel="1" x14ac:dyDescent="0.3">
      <c r="A131" s="58"/>
      <c r="B131" s="76"/>
      <c r="C131" s="73" t="s">
        <v>236</v>
      </c>
      <c r="G131" s="58"/>
      <c r="H131" s="58"/>
      <c r="I131" s="58"/>
      <c r="J131" s="58"/>
    </row>
    <row r="132" spans="1:10" s="57" customFormat="1" ht="12.75" hidden="1" customHeight="1" outlineLevel="1" x14ac:dyDescent="0.3">
      <c r="A132" s="58"/>
      <c r="B132" s="60"/>
      <c r="C132" s="73" t="s">
        <v>237</v>
      </c>
      <c r="G132" s="58"/>
      <c r="H132" s="58"/>
      <c r="I132" s="58"/>
      <c r="J132" s="58"/>
    </row>
    <row r="133" spans="1:10" ht="12.75" hidden="1" customHeight="1" outlineLevel="1" x14ac:dyDescent="0.3">
      <c r="B133" s="60"/>
      <c r="C133" s="73" t="s">
        <v>238</v>
      </c>
      <c r="D133" s="75"/>
      <c r="E133" s="58"/>
      <c r="F133" s="58"/>
    </row>
    <row r="134" spans="1:10" ht="12.75" hidden="1" customHeight="1" outlineLevel="1" x14ac:dyDescent="0.3">
      <c r="B134" s="60"/>
      <c r="C134" s="73" t="s">
        <v>239</v>
      </c>
      <c r="D134" s="75"/>
      <c r="E134" s="58"/>
      <c r="F134" s="58"/>
    </row>
    <row r="135" spans="1:10" ht="12.75" hidden="1" customHeight="1" outlineLevel="1" x14ac:dyDescent="0.3">
      <c r="B135" s="60"/>
      <c r="C135" s="73"/>
      <c r="D135" s="75"/>
      <c r="E135" s="58"/>
      <c r="F135" s="58"/>
    </row>
    <row r="136" spans="1:10" s="57" customFormat="1" ht="12.75" hidden="1" customHeight="1" outlineLevel="1" x14ac:dyDescent="0.3">
      <c r="A136" s="58"/>
      <c r="B136" s="60"/>
      <c r="C136" s="77" t="s">
        <v>73</v>
      </c>
      <c r="G136" s="58"/>
      <c r="H136" s="58"/>
      <c r="I136" s="58"/>
      <c r="J136" s="58"/>
    </row>
    <row r="176" spans="3:3" x14ac:dyDescent="0.3">
      <c r="C176" s="78"/>
    </row>
  </sheetData>
  <dataConsolidate/>
  <mergeCells count="38">
    <mergeCell ref="C12:D12"/>
    <mergeCell ref="C10:D10"/>
    <mergeCell ref="C9:D9"/>
    <mergeCell ref="C30:D30"/>
    <mergeCell ref="C46:D46"/>
    <mergeCell ref="C64:D64"/>
    <mergeCell ref="C71:D71"/>
    <mergeCell ref="C78:D78"/>
    <mergeCell ref="C89:D89"/>
    <mergeCell ref="C90:D90"/>
    <mergeCell ref="C91:D91"/>
    <mergeCell ref="C92:D92"/>
    <mergeCell ref="C93:D93"/>
    <mergeCell ref="C94:D94"/>
    <mergeCell ref="C95:D95"/>
    <mergeCell ref="C96:D96"/>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9:D119"/>
    <mergeCell ref="C120:D120"/>
    <mergeCell ref="F118:G118"/>
    <mergeCell ref="C112:D112"/>
    <mergeCell ref="C115:D115"/>
    <mergeCell ref="C116:D116"/>
    <mergeCell ref="C117:D117"/>
    <mergeCell ref="C118:D118"/>
  </mergeCells>
  <phoneticPr fontId="37" type="noConversion"/>
  <pageMargins left="0.87" right="0.64" top="0.35433070866141736" bottom="0.74803149606299213" header="0.12" footer="0.59055118110236227"/>
  <pageSetup scale="57" orientation="portrait" horizontalDpi="300" verticalDpi="300" r:id="rId1"/>
  <headerFooter alignWithMargins="0">
    <oddHeader>&amp;R</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019C-5FEF-459F-8925-0967AD5015C4}">
  <dimension ref="C1:S149"/>
  <sheetViews>
    <sheetView showGridLines="0" topLeftCell="A13" zoomScale="70" zoomScaleNormal="70" workbookViewId="0">
      <selection activeCell="M22" sqref="M22"/>
    </sheetView>
  </sheetViews>
  <sheetFormatPr baseColWidth="10" defaultColWidth="10" defaultRowHeight="15" x14ac:dyDescent="0.3"/>
  <cols>
    <col min="1" max="2" width="1.7265625" style="58" customWidth="1"/>
    <col min="3" max="3" width="5.26953125" style="56" hidden="1" customWidth="1"/>
    <col min="4" max="4" width="20.54296875" style="57" customWidth="1"/>
    <col min="5" max="5" width="22" style="57" customWidth="1"/>
    <col min="6" max="6" width="28.453125" style="57" customWidth="1"/>
    <col min="7" max="7" width="24.26953125" style="57" customWidth="1"/>
    <col min="8" max="8" width="28.7265625" style="58" hidden="1" customWidth="1"/>
    <col min="9" max="9" width="22.453125" style="58" customWidth="1"/>
    <col min="10" max="10" width="26.26953125" style="58" customWidth="1"/>
    <col min="11" max="11" width="25.1796875" style="58" customWidth="1"/>
    <col min="12" max="12" width="22.453125" style="58" customWidth="1"/>
    <col min="13" max="13" width="19.81640625" style="58" customWidth="1"/>
    <col min="14" max="14" width="19.453125" style="58" customWidth="1"/>
    <col min="15" max="15" width="18.7265625" style="58" bestFit="1" customWidth="1"/>
    <col min="16" max="16" width="11.54296875" style="58" customWidth="1"/>
    <col min="17" max="17" width="18.7265625" style="58" bestFit="1" customWidth="1"/>
    <col min="18" max="18" width="13.7265625" style="58" bestFit="1" customWidth="1"/>
    <col min="19" max="19" width="14.81640625" style="58" bestFit="1" customWidth="1"/>
    <col min="20" max="16384" width="10" style="58"/>
  </cols>
  <sheetData>
    <row r="1" spans="3:19" ht="15" customHeight="1" x14ac:dyDescent="0.3">
      <c r="C1" s="58"/>
      <c r="D1" s="56"/>
      <c r="E1" s="56"/>
      <c r="F1" s="56"/>
      <c r="G1" s="56"/>
      <c r="H1" s="57"/>
      <c r="I1" s="57"/>
      <c r="J1" s="57"/>
      <c r="K1" s="57"/>
    </row>
    <row r="2" spans="3:19" ht="15" customHeight="1" x14ac:dyDescent="0.3">
      <c r="C2" s="58"/>
      <c r="D2" s="56"/>
      <c r="E2" s="56"/>
      <c r="F2" s="56"/>
      <c r="G2" s="56"/>
      <c r="H2" s="57"/>
      <c r="I2" s="57"/>
      <c r="J2" s="57"/>
      <c r="K2" s="29" t="s">
        <v>0</v>
      </c>
    </row>
    <row r="3" spans="3:19" ht="15" customHeight="1" x14ac:dyDescent="0.3">
      <c r="C3" s="152"/>
      <c r="D3" s="152"/>
      <c r="E3" s="152"/>
      <c r="F3" s="152"/>
      <c r="G3" s="152"/>
      <c r="H3" s="57"/>
      <c r="I3" s="57"/>
      <c r="J3" s="57"/>
      <c r="K3" s="59" t="str">
        <f>'[2]Información proyecto'!D3</f>
        <v>Versión: 0.1</v>
      </c>
    </row>
    <row r="4" spans="3:19" ht="1.5" customHeight="1" x14ac:dyDescent="0.3">
      <c r="C4" s="153"/>
      <c r="D4" s="153"/>
      <c r="E4" s="153"/>
      <c r="F4" s="153"/>
      <c r="G4" s="153"/>
      <c r="H4" s="153"/>
      <c r="I4" s="153"/>
      <c r="J4" s="153"/>
      <c r="K4" s="153">
        <f>'[2]Información proyecto'!D4</f>
        <v>0</v>
      </c>
    </row>
    <row r="5" spans="3:19" ht="15" customHeight="1" x14ac:dyDescent="0.3">
      <c r="C5" s="152"/>
      <c r="D5" s="152"/>
      <c r="E5" s="152"/>
      <c r="F5" s="152"/>
      <c r="G5" s="152"/>
      <c r="H5" s="57"/>
      <c r="I5" s="57"/>
      <c r="J5" s="57"/>
      <c r="K5" s="59" t="str">
        <f>'[3]Información proyecto'!D5</f>
        <v>Proyecto:  Metas - Super Lo Tengo - Celula de Trabajo</v>
      </c>
    </row>
    <row r="6" spans="3:19" ht="12.75" customHeight="1" x14ac:dyDescent="0.3">
      <c r="C6" s="58"/>
      <c r="D6" s="152"/>
      <c r="E6" s="152"/>
      <c r="F6" s="152"/>
      <c r="G6" s="152"/>
      <c r="H6" s="57"/>
      <c r="I6" s="57"/>
      <c r="J6" s="57"/>
      <c r="K6" s="62"/>
    </row>
    <row r="7" spans="3:19" x14ac:dyDescent="0.3">
      <c r="C7" s="611" t="s">
        <v>35</v>
      </c>
      <c r="D7" s="611"/>
      <c r="E7" s="611"/>
      <c r="F7" s="611"/>
      <c r="G7" s="611"/>
      <c r="H7" s="611"/>
      <c r="I7" s="611"/>
      <c r="J7" s="611"/>
      <c r="K7" s="611"/>
    </row>
    <row r="8" spans="3:19" ht="18" customHeight="1" x14ac:dyDescent="0.3">
      <c r="C8" s="69"/>
      <c r="D8" s="154"/>
      <c r="E8" s="154"/>
      <c r="F8" s="154"/>
      <c r="G8" s="154"/>
    </row>
    <row r="9" spans="3:19" ht="15" customHeight="1" x14ac:dyDescent="0.3">
      <c r="C9" s="610" t="s">
        <v>36</v>
      </c>
      <c r="D9" s="610"/>
      <c r="E9" s="610"/>
      <c r="F9" s="610"/>
      <c r="G9" s="610"/>
      <c r="H9" s="610"/>
      <c r="I9" s="610"/>
      <c r="J9" s="610"/>
      <c r="K9" s="610"/>
    </row>
    <row r="10" spans="3:19" ht="15.5" thickBot="1" x14ac:dyDescent="0.35">
      <c r="C10" s="69"/>
      <c r="D10" s="154"/>
      <c r="E10" s="154"/>
      <c r="F10" s="154"/>
      <c r="G10" s="154"/>
      <c r="N10" s="155"/>
    </row>
    <row r="11" spans="3:19" ht="24" customHeight="1" thickBot="1" x14ac:dyDescent="0.35">
      <c r="C11" s="69"/>
      <c r="E11" s="459" t="s">
        <v>37</v>
      </c>
      <c r="F11" s="459" t="s">
        <v>38</v>
      </c>
      <c r="G11" s="459" t="s">
        <v>39</v>
      </c>
      <c r="H11" s="459" t="s">
        <v>277</v>
      </c>
      <c r="I11" s="459" t="s">
        <v>40</v>
      </c>
      <c r="N11" s="155"/>
    </row>
    <row r="12" spans="3:19" ht="21.75" customHeight="1" thickBot="1" x14ac:dyDescent="0.35">
      <c r="C12" s="69"/>
      <c r="E12" s="178">
        <f>'Fechas y costos'!E12</f>
        <v>45323</v>
      </c>
      <c r="F12" s="178">
        <f>'Fechas y costos'!F12</f>
        <v>45436.948652261082</v>
      </c>
      <c r="G12" s="437">
        <f>(F12-E12)</f>
        <v>113.94865226108232</v>
      </c>
      <c r="H12" s="405">
        <f>ROUND(G12/7,1)</f>
        <v>16.3</v>
      </c>
      <c r="I12" s="405">
        <f>ROUND(G12/30,1)</f>
        <v>3.8</v>
      </c>
      <c r="N12" s="155"/>
    </row>
    <row r="13" spans="3:19" x14ac:dyDescent="0.3">
      <c r="C13" s="69"/>
      <c r="F13" s="324"/>
      <c r="G13" s="324"/>
      <c r="N13" s="155"/>
    </row>
    <row r="14" spans="3:19" x14ac:dyDescent="0.3">
      <c r="C14" s="157"/>
      <c r="G14" s="438"/>
      <c r="N14" s="155"/>
    </row>
    <row r="15" spans="3:19" ht="18" customHeight="1" x14ac:dyDescent="0.3">
      <c r="C15" s="157"/>
      <c r="N15" s="155"/>
    </row>
    <row r="16" spans="3:19" ht="12.75" customHeight="1" x14ac:dyDescent="0.3">
      <c r="C16" s="618" t="s">
        <v>665</v>
      </c>
      <c r="D16" s="618"/>
      <c r="E16" s="618"/>
      <c r="F16" s="618"/>
      <c r="G16" s="618"/>
      <c r="H16" s="618"/>
      <c r="I16" s="618"/>
      <c r="J16" s="618"/>
      <c r="K16" s="618"/>
      <c r="L16" s="58" t="s">
        <v>644</v>
      </c>
      <c r="N16" s="155"/>
      <c r="Q16" s="617" t="s">
        <v>263</v>
      </c>
      <c r="R16" s="495"/>
      <c r="S16" s="495"/>
    </row>
    <row r="17" spans="3:19" ht="15" customHeight="1" thickBot="1" x14ac:dyDescent="0.35">
      <c r="N17" s="155"/>
      <c r="Q17" s="617"/>
      <c r="R17" s="495"/>
      <c r="S17" s="495"/>
    </row>
    <row r="18" spans="3:19" ht="31.9" customHeight="1" thickBot="1" x14ac:dyDescent="0.35">
      <c r="C18" s="193" t="s">
        <v>42</v>
      </c>
      <c r="D18" s="439" t="s">
        <v>43</v>
      </c>
      <c r="E18" s="439" t="s">
        <v>625</v>
      </c>
      <c r="F18" s="439" t="s">
        <v>626</v>
      </c>
      <c r="G18" s="439" t="s">
        <v>627</v>
      </c>
      <c r="H18" s="439" t="s">
        <v>628</v>
      </c>
      <c r="I18" s="439" t="s">
        <v>629</v>
      </c>
      <c r="J18" s="439" t="s">
        <v>630</v>
      </c>
      <c r="K18" s="439" t="s">
        <v>631</v>
      </c>
      <c r="M18" s="439" t="s">
        <v>636</v>
      </c>
      <c r="N18" s="439" t="s">
        <v>645</v>
      </c>
      <c r="Q18" s="617"/>
      <c r="R18" s="495" t="s">
        <v>662</v>
      </c>
      <c r="S18" s="495" t="s">
        <v>284</v>
      </c>
    </row>
    <row r="19" spans="3:19" ht="28.5" customHeight="1" x14ac:dyDescent="0.3">
      <c r="C19" s="440">
        <v>1</v>
      </c>
      <c r="D19" s="441" t="s">
        <v>632</v>
      </c>
      <c r="E19" s="442">
        <v>1</v>
      </c>
      <c r="F19" s="442">
        <v>30</v>
      </c>
      <c r="G19" s="442">
        <f>I12</f>
        <v>3.8</v>
      </c>
      <c r="H19" s="443">
        <v>45000</v>
      </c>
      <c r="I19" s="444">
        <v>100925</v>
      </c>
      <c r="J19" s="444">
        <f t="shared" ref="J19:J24" si="0">(I19*E19)* (F19/100)</f>
        <v>30277.5</v>
      </c>
      <c r="K19" s="445">
        <f t="shared" ref="K19:K24" si="1">J19*G19</f>
        <v>115054.5</v>
      </c>
      <c r="O19" s="446"/>
      <c r="P19" s="446" t="s">
        <v>658</v>
      </c>
      <c r="Q19" s="493">
        <v>40370</v>
      </c>
      <c r="R19" s="493">
        <f t="shared" ref="R19:R24" si="2">Q19*1.25</f>
        <v>50462.5</v>
      </c>
      <c r="S19" s="494">
        <f t="shared" ref="S19:S24" si="3">R19*2</f>
        <v>100925</v>
      </c>
    </row>
    <row r="20" spans="3:19" ht="25.5" customHeight="1" x14ac:dyDescent="0.3">
      <c r="C20" s="181">
        <v>2</v>
      </c>
      <c r="D20" s="441" t="s">
        <v>311</v>
      </c>
      <c r="E20" s="442">
        <v>1</v>
      </c>
      <c r="F20" s="442">
        <v>100</v>
      </c>
      <c r="G20" s="442">
        <f>'Fechas y costos'!I19</f>
        <v>0.9</v>
      </c>
      <c r="H20" s="443">
        <v>35000</v>
      </c>
      <c r="I20" s="444">
        <v>65095</v>
      </c>
      <c r="J20" s="444">
        <f t="shared" si="0"/>
        <v>65095</v>
      </c>
      <c r="K20" s="445">
        <f t="shared" si="1"/>
        <v>58585.5</v>
      </c>
      <c r="O20" s="446"/>
      <c r="P20" s="446" t="s">
        <v>311</v>
      </c>
      <c r="Q20" s="493">
        <v>26038</v>
      </c>
      <c r="R20" s="493">
        <f t="shared" si="2"/>
        <v>32547.5</v>
      </c>
      <c r="S20" s="494">
        <f t="shared" si="3"/>
        <v>65095</v>
      </c>
    </row>
    <row r="21" spans="3:19" ht="25.5" customHeight="1" x14ac:dyDescent="0.3">
      <c r="C21" s="181">
        <v>2</v>
      </c>
      <c r="D21" s="441" t="s">
        <v>597</v>
      </c>
      <c r="E21" s="442">
        <v>1</v>
      </c>
      <c r="F21" s="442">
        <v>100</v>
      </c>
      <c r="G21" s="442">
        <f>'Fechas y costos'!I23</f>
        <v>0.9</v>
      </c>
      <c r="H21" s="443">
        <v>35000</v>
      </c>
      <c r="I21" s="444">
        <v>52500</v>
      </c>
      <c r="J21" s="444">
        <f t="shared" si="0"/>
        <v>52500</v>
      </c>
      <c r="K21" s="445">
        <f t="shared" si="1"/>
        <v>47250</v>
      </c>
      <c r="O21" s="446"/>
      <c r="P21" s="446" t="s">
        <v>597</v>
      </c>
      <c r="Q21" s="493">
        <v>21000</v>
      </c>
      <c r="R21" s="493">
        <f t="shared" si="2"/>
        <v>26250</v>
      </c>
      <c r="S21" s="494">
        <f t="shared" si="3"/>
        <v>52500</v>
      </c>
    </row>
    <row r="22" spans="3:19" ht="31.15" customHeight="1" x14ac:dyDescent="0.3">
      <c r="C22" s="181">
        <v>3</v>
      </c>
      <c r="D22" s="441" t="s">
        <v>642</v>
      </c>
      <c r="E22" s="442">
        <v>1</v>
      </c>
      <c r="F22" s="442">
        <v>100</v>
      </c>
      <c r="G22" s="442">
        <f>'Fechas y costos'!I26+'Fechas y costos'!I31+'Fechas y costos'!I35</f>
        <v>2.8</v>
      </c>
      <c r="H22" s="443">
        <v>35000</v>
      </c>
      <c r="I22" s="444">
        <v>87500</v>
      </c>
      <c r="J22" s="444">
        <f t="shared" si="0"/>
        <v>87500</v>
      </c>
      <c r="K22" s="445">
        <f t="shared" si="1"/>
        <v>244999.99999999997</v>
      </c>
      <c r="O22" s="446"/>
      <c r="P22" s="446" t="s">
        <v>659</v>
      </c>
      <c r="Q22" s="493">
        <v>35000</v>
      </c>
      <c r="R22" s="493">
        <f t="shared" si="2"/>
        <v>43750</v>
      </c>
      <c r="S22" s="494">
        <f t="shared" si="3"/>
        <v>87500</v>
      </c>
    </row>
    <row r="23" spans="3:19" ht="31.15" customHeight="1" x14ac:dyDescent="0.3">
      <c r="C23" s="181">
        <v>3</v>
      </c>
      <c r="D23" s="441" t="s">
        <v>643</v>
      </c>
      <c r="E23" s="442">
        <v>1</v>
      </c>
      <c r="F23" s="442">
        <v>100</v>
      </c>
      <c r="G23" s="442" t="e">
        <f>'Fechas y costos'!#REF!</f>
        <v>#REF!</v>
      </c>
      <c r="H23" s="443">
        <v>35000</v>
      </c>
      <c r="I23" s="444">
        <v>57500</v>
      </c>
      <c r="J23" s="444">
        <v>57500</v>
      </c>
      <c r="K23" s="445" t="e">
        <f t="shared" si="1"/>
        <v>#REF!</v>
      </c>
      <c r="O23" s="446"/>
      <c r="P23" s="446" t="s">
        <v>661</v>
      </c>
      <c r="Q23" s="493">
        <v>23000</v>
      </c>
      <c r="R23" s="493">
        <f t="shared" si="2"/>
        <v>28750</v>
      </c>
      <c r="S23" s="494">
        <f t="shared" si="3"/>
        <v>57500</v>
      </c>
    </row>
    <row r="24" spans="3:19" ht="35.25" customHeight="1" thickBot="1" x14ac:dyDescent="0.35">
      <c r="C24" s="199">
        <v>3</v>
      </c>
      <c r="D24" s="441" t="s">
        <v>633</v>
      </c>
      <c r="E24" s="442">
        <v>1</v>
      </c>
      <c r="F24" s="442">
        <v>100</v>
      </c>
      <c r="G24" s="442">
        <f>'Fechas y costos'!I28+'Fechas y costos'!I32+'Fechas y costos'!I36</f>
        <v>2.8</v>
      </c>
      <c r="H24" s="443">
        <v>35000</v>
      </c>
      <c r="I24" s="444">
        <v>52500</v>
      </c>
      <c r="J24" s="444">
        <f t="shared" si="0"/>
        <v>52500</v>
      </c>
      <c r="K24" s="445">
        <f t="shared" si="1"/>
        <v>147000</v>
      </c>
      <c r="O24" s="446"/>
      <c r="P24" s="446" t="s">
        <v>660</v>
      </c>
      <c r="Q24" s="493">
        <v>21000</v>
      </c>
      <c r="R24" s="493">
        <f t="shared" si="2"/>
        <v>26250</v>
      </c>
      <c r="S24" s="494">
        <f t="shared" si="3"/>
        <v>52500</v>
      </c>
    </row>
    <row r="25" spans="3:19" ht="9.75" customHeight="1" x14ac:dyDescent="0.3">
      <c r="C25" s="447"/>
      <c r="D25" s="447"/>
      <c r="E25" s="447"/>
      <c r="F25" s="447"/>
      <c r="G25" s="447"/>
      <c r="H25" s="324"/>
      <c r="I25" s="324"/>
      <c r="J25" s="324"/>
      <c r="K25" s="324"/>
      <c r="O25" s="446"/>
      <c r="P25" s="446"/>
      <c r="Q25" s="155"/>
      <c r="R25" s="446"/>
    </row>
    <row r="26" spans="3:19" ht="28.5" customHeight="1" x14ac:dyDescent="0.3">
      <c r="C26" s="181"/>
      <c r="D26" s="448"/>
      <c r="E26" s="448"/>
      <c r="F26" s="448"/>
      <c r="G26" s="448"/>
      <c r="O26" s="446"/>
    </row>
    <row r="27" spans="3:19" ht="22.5" hidden="1" customHeight="1" x14ac:dyDescent="0.3">
      <c r="C27" s="181"/>
      <c r="D27" s="448"/>
      <c r="E27" s="448"/>
      <c r="F27" s="448"/>
      <c r="G27" s="613" t="s">
        <v>634</v>
      </c>
      <c r="H27" s="613"/>
      <c r="I27" s="613"/>
      <c r="J27" s="613"/>
      <c r="K27" s="449"/>
      <c r="O27" s="446"/>
      <c r="P27" s="446"/>
      <c r="Q27" s="446"/>
      <c r="R27" s="446"/>
    </row>
    <row r="28" spans="3:19" ht="17.5" x14ac:dyDescent="0.3">
      <c r="G28" s="450"/>
      <c r="H28" s="450"/>
      <c r="I28" s="450" t="s">
        <v>519</v>
      </c>
      <c r="J28" s="450" t="s">
        <v>519</v>
      </c>
      <c r="K28" s="449" t="e">
        <f>SUM(K19:K24)</f>
        <v>#REF!</v>
      </c>
      <c r="N28" s="165"/>
      <c r="O28" s="446"/>
      <c r="P28" s="446"/>
      <c r="Q28" s="155"/>
      <c r="R28" s="446"/>
    </row>
    <row r="29" spans="3:19" ht="17.5" x14ac:dyDescent="0.3">
      <c r="G29" s="450"/>
      <c r="H29" s="450"/>
      <c r="I29" s="450" t="s">
        <v>602</v>
      </c>
      <c r="J29" s="450" t="s">
        <v>639</v>
      </c>
      <c r="K29" s="449" t="e">
        <f>K28*0.16</f>
        <v>#REF!</v>
      </c>
      <c r="O29" s="446"/>
      <c r="P29" s="446"/>
      <c r="Q29" s="446"/>
      <c r="R29" s="446"/>
    </row>
    <row r="30" spans="3:19" ht="17.5" x14ac:dyDescent="0.3">
      <c r="G30" s="450"/>
      <c r="H30" s="450"/>
      <c r="I30" s="450" t="s">
        <v>518</v>
      </c>
      <c r="J30" s="450" t="s">
        <v>518</v>
      </c>
      <c r="K30" s="449" t="e">
        <f>K28+K29</f>
        <v>#REF!</v>
      </c>
      <c r="L30" s="165"/>
      <c r="O30" s="446"/>
      <c r="P30" s="446"/>
      <c r="Q30" s="446"/>
      <c r="R30" s="446"/>
    </row>
    <row r="31" spans="3:19" x14ac:dyDescent="0.3">
      <c r="K31" s="155"/>
      <c r="O31" s="446"/>
      <c r="P31" s="446"/>
      <c r="Q31" s="446"/>
      <c r="R31" s="446"/>
    </row>
    <row r="32" spans="3:19" hidden="1" x14ac:dyDescent="0.3">
      <c r="K32" s="155"/>
      <c r="O32" s="446"/>
      <c r="P32" s="446"/>
      <c r="Q32" s="446"/>
      <c r="R32" s="446"/>
    </row>
    <row r="33" spans="3:19" ht="12.75" hidden="1" customHeight="1" x14ac:dyDescent="0.3">
      <c r="C33" s="618" t="s">
        <v>666</v>
      </c>
      <c r="D33" s="618"/>
      <c r="E33" s="618"/>
      <c r="F33" s="618"/>
      <c r="G33" s="618"/>
      <c r="H33" s="618"/>
      <c r="I33" s="618"/>
      <c r="J33" s="618"/>
      <c r="K33" s="618"/>
      <c r="L33" s="58" t="s">
        <v>644</v>
      </c>
      <c r="N33" s="155"/>
      <c r="Q33" s="446"/>
      <c r="R33" s="495"/>
      <c r="S33" s="495"/>
    </row>
    <row r="34" spans="3:19" ht="15" hidden="1" customHeight="1" thickBot="1" x14ac:dyDescent="0.35">
      <c r="N34" s="155"/>
      <c r="Q34" s="446"/>
    </row>
    <row r="35" spans="3:19" ht="34.5" hidden="1" customHeight="1" thickBot="1" x14ac:dyDescent="0.35">
      <c r="C35" s="193" t="s">
        <v>42</v>
      </c>
      <c r="D35" s="439" t="s">
        <v>43</v>
      </c>
      <c r="E35" s="439" t="s">
        <v>625</v>
      </c>
      <c r="F35" s="439" t="s">
        <v>626</v>
      </c>
      <c r="G35" s="439" t="s">
        <v>627</v>
      </c>
      <c r="H35" s="439" t="s">
        <v>628</v>
      </c>
      <c r="I35" s="439" t="s">
        <v>629</v>
      </c>
      <c r="J35" s="439" t="s">
        <v>630</v>
      </c>
      <c r="K35" s="439" t="s">
        <v>631</v>
      </c>
      <c r="Q35" s="446"/>
    </row>
    <row r="36" spans="3:19" ht="28.5" hidden="1" customHeight="1" x14ac:dyDescent="0.3">
      <c r="C36" s="440">
        <v>1</v>
      </c>
      <c r="D36" s="441" t="s">
        <v>632</v>
      </c>
      <c r="E36" s="442">
        <v>1</v>
      </c>
      <c r="F36" s="442">
        <v>30</v>
      </c>
      <c r="G36" s="442">
        <v>2</v>
      </c>
      <c r="H36" s="443">
        <v>45000</v>
      </c>
      <c r="I36" s="444">
        <v>100925</v>
      </c>
      <c r="J36" s="444">
        <f>(I36*E36)* (F36/100)</f>
        <v>30277.5</v>
      </c>
      <c r="K36" s="445">
        <f t="shared" ref="K36:K41" si="4">J36*G36</f>
        <v>60555</v>
      </c>
      <c r="O36" s="446"/>
      <c r="P36" s="446"/>
      <c r="Q36" s="446"/>
      <c r="R36" s="86"/>
    </row>
    <row r="37" spans="3:19" ht="25.5" hidden="1" customHeight="1" x14ac:dyDescent="0.3">
      <c r="C37" s="181">
        <v>2</v>
      </c>
      <c r="D37" s="441" t="s">
        <v>311</v>
      </c>
      <c r="E37" s="442">
        <v>1</v>
      </c>
      <c r="F37" s="442">
        <v>100</v>
      </c>
      <c r="G37" s="442">
        <f>'Fechas y costos'!I21</f>
        <v>0.9</v>
      </c>
      <c r="H37" s="443">
        <v>35000</v>
      </c>
      <c r="I37" s="444">
        <v>65095</v>
      </c>
      <c r="J37" s="444">
        <f>(I37*E37)* (F37/100)</f>
        <v>65095</v>
      </c>
      <c r="K37" s="445">
        <f t="shared" si="4"/>
        <v>58585.5</v>
      </c>
      <c r="O37" s="446"/>
      <c r="P37" s="446"/>
      <c r="Q37" s="446"/>
      <c r="R37" s="86"/>
    </row>
    <row r="38" spans="3:19" ht="25.5" hidden="1" customHeight="1" x14ac:dyDescent="0.3">
      <c r="C38" s="181">
        <v>2</v>
      </c>
      <c r="D38" s="441" t="s">
        <v>597</v>
      </c>
      <c r="E38" s="442">
        <v>1</v>
      </c>
      <c r="F38" s="442">
        <v>100</v>
      </c>
      <c r="G38" s="442">
        <v>1</v>
      </c>
      <c r="H38" s="443">
        <v>35000</v>
      </c>
      <c r="I38" s="444">
        <v>52500</v>
      </c>
      <c r="J38" s="444">
        <f>(I38*E38)* (F38/100)</f>
        <v>52500</v>
      </c>
      <c r="K38" s="445">
        <f t="shared" si="4"/>
        <v>52500</v>
      </c>
      <c r="O38" s="446"/>
      <c r="P38" s="446"/>
      <c r="Q38" s="446"/>
      <c r="R38" s="86"/>
    </row>
    <row r="39" spans="3:19" ht="31.15" hidden="1" customHeight="1" x14ac:dyDescent="0.3">
      <c r="C39" s="181">
        <v>3</v>
      </c>
      <c r="D39" s="441" t="s">
        <v>642</v>
      </c>
      <c r="E39" s="442">
        <v>1</v>
      </c>
      <c r="F39" s="442">
        <v>100</v>
      </c>
      <c r="G39" s="442">
        <v>1.5</v>
      </c>
      <c r="H39" s="443">
        <v>35000</v>
      </c>
      <c r="I39" s="444">
        <v>87500</v>
      </c>
      <c r="J39" s="444">
        <f>(I39*E39)* (F39/100)</f>
        <v>87500</v>
      </c>
      <c r="K39" s="445">
        <f t="shared" si="4"/>
        <v>131250</v>
      </c>
      <c r="O39" s="446"/>
      <c r="P39" s="446"/>
      <c r="Q39" s="446"/>
      <c r="R39" s="86"/>
    </row>
    <row r="40" spans="3:19" ht="31.15" hidden="1" customHeight="1" x14ac:dyDescent="0.3">
      <c r="C40" s="181">
        <v>3</v>
      </c>
      <c r="D40" s="441" t="s">
        <v>643</v>
      </c>
      <c r="E40" s="442">
        <v>1</v>
      </c>
      <c r="F40" s="442">
        <v>100</v>
      </c>
      <c r="G40" s="442">
        <v>0</v>
      </c>
      <c r="H40" s="443">
        <v>35000</v>
      </c>
      <c r="I40" s="444">
        <v>57500</v>
      </c>
      <c r="J40" s="444">
        <v>57500</v>
      </c>
      <c r="K40" s="445">
        <f t="shared" si="4"/>
        <v>0</v>
      </c>
      <c r="O40" s="446"/>
      <c r="P40" s="446"/>
      <c r="Q40" s="446"/>
      <c r="R40" s="86"/>
    </row>
    <row r="41" spans="3:19" ht="35.25" hidden="1" customHeight="1" thickBot="1" x14ac:dyDescent="0.35">
      <c r="C41" s="199">
        <v>3</v>
      </c>
      <c r="D41" s="441" t="s">
        <v>633</v>
      </c>
      <c r="E41" s="442">
        <v>1</v>
      </c>
      <c r="F41" s="442">
        <v>100</v>
      </c>
      <c r="G41" s="442">
        <v>1</v>
      </c>
      <c r="H41" s="443">
        <v>35000</v>
      </c>
      <c r="I41" s="444">
        <v>52500</v>
      </c>
      <c r="J41" s="444">
        <f>(I41*E41)* (F41/100)</f>
        <v>52500</v>
      </c>
      <c r="K41" s="445">
        <f t="shared" si="4"/>
        <v>52500</v>
      </c>
      <c r="O41" s="446"/>
      <c r="P41" s="446"/>
      <c r="Q41" s="446"/>
      <c r="R41" s="446"/>
    </row>
    <row r="42" spans="3:19" ht="9.75" hidden="1" customHeight="1" x14ac:dyDescent="0.3">
      <c r="C42" s="447"/>
      <c r="D42" s="447"/>
      <c r="E42" s="447"/>
      <c r="F42" s="447"/>
      <c r="G42" s="447"/>
      <c r="H42" s="324"/>
      <c r="I42" s="324"/>
      <c r="J42" s="324"/>
      <c r="K42" s="324"/>
      <c r="O42" s="446"/>
      <c r="P42" s="446"/>
      <c r="Q42" s="155"/>
      <c r="R42" s="446"/>
    </row>
    <row r="43" spans="3:19" ht="28.5" hidden="1" customHeight="1" x14ac:dyDescent="0.3">
      <c r="C43" s="181"/>
      <c r="D43" s="448"/>
      <c r="E43" s="448"/>
      <c r="F43" s="448"/>
      <c r="G43" s="448"/>
      <c r="O43" s="446"/>
      <c r="P43" s="446"/>
      <c r="Q43" s="446"/>
      <c r="R43" s="446"/>
    </row>
    <row r="44" spans="3:19" ht="22.5" hidden="1" customHeight="1" x14ac:dyDescent="0.3">
      <c r="C44" s="181"/>
      <c r="D44" s="448"/>
      <c r="E44" s="448"/>
      <c r="F44" s="448"/>
      <c r="G44" s="613" t="s">
        <v>634</v>
      </c>
      <c r="H44" s="613"/>
      <c r="I44" s="613"/>
      <c r="J44" s="613"/>
      <c r="K44" s="449"/>
      <c r="O44" s="446"/>
      <c r="P44" s="446"/>
      <c r="Q44" s="446"/>
      <c r="R44" s="446"/>
    </row>
    <row r="45" spans="3:19" ht="17.5" hidden="1" x14ac:dyDescent="0.3">
      <c r="G45" s="450"/>
      <c r="H45" s="450"/>
      <c r="I45" s="450" t="s">
        <v>519</v>
      </c>
      <c r="J45" s="450" t="s">
        <v>519</v>
      </c>
      <c r="K45" s="449">
        <f>SUM(K36:K41)</f>
        <v>355390.5</v>
      </c>
      <c r="N45" s="165"/>
      <c r="O45" s="446"/>
      <c r="P45" s="446"/>
      <c r="Q45" s="155"/>
      <c r="R45" s="446"/>
    </row>
    <row r="46" spans="3:19" ht="17.5" hidden="1" x14ac:dyDescent="0.3">
      <c r="G46" s="450"/>
      <c r="H46" s="450"/>
      <c r="I46" s="450" t="s">
        <v>602</v>
      </c>
      <c r="J46" s="450" t="s">
        <v>602</v>
      </c>
      <c r="K46" s="449">
        <f>K45*0.16</f>
        <v>56862.48</v>
      </c>
      <c r="O46" s="446"/>
      <c r="P46" s="446"/>
      <c r="Q46" s="446"/>
      <c r="R46" s="446"/>
    </row>
    <row r="47" spans="3:19" ht="17.5" hidden="1" x14ac:dyDescent="0.3">
      <c r="G47" s="450"/>
      <c r="H47" s="450"/>
      <c r="I47" s="450" t="s">
        <v>518</v>
      </c>
      <c r="J47" s="450" t="s">
        <v>518</v>
      </c>
      <c r="K47" s="449">
        <f>K45+K46</f>
        <v>412252.98</v>
      </c>
      <c r="L47" s="165"/>
      <c r="O47" s="446"/>
      <c r="P47" s="446"/>
      <c r="Q47" s="446"/>
      <c r="R47" s="446"/>
    </row>
    <row r="48" spans="3:19" hidden="1" x14ac:dyDescent="0.3">
      <c r="K48" s="155"/>
      <c r="O48" s="446"/>
      <c r="P48" s="446"/>
      <c r="Q48" s="446"/>
      <c r="R48" s="446"/>
    </row>
    <row r="49" spans="3:18" hidden="1" x14ac:dyDescent="0.3">
      <c r="K49" s="155"/>
      <c r="O49" s="446"/>
      <c r="P49" s="446"/>
      <c r="Q49" s="446"/>
      <c r="R49" s="446"/>
    </row>
    <row r="50" spans="3:18" hidden="1" x14ac:dyDescent="0.3">
      <c r="K50" s="168"/>
      <c r="O50" s="446"/>
      <c r="P50" s="446"/>
      <c r="Q50" s="155"/>
      <c r="R50" s="446"/>
    </row>
    <row r="51" spans="3:18" ht="15" hidden="1" customHeight="1" thickBot="1" x14ac:dyDescent="0.35">
      <c r="N51" s="155"/>
      <c r="Q51" s="446"/>
    </row>
    <row r="52" spans="3:18" ht="34.5" hidden="1" customHeight="1" thickBot="1" x14ac:dyDescent="0.35">
      <c r="C52" s="193" t="s">
        <v>42</v>
      </c>
      <c r="D52" s="439" t="s">
        <v>43</v>
      </c>
      <c r="E52" s="439" t="s">
        <v>625</v>
      </c>
      <c r="F52" s="439" t="s">
        <v>626</v>
      </c>
      <c r="G52" s="439" t="s">
        <v>627</v>
      </c>
      <c r="H52" s="439" t="s">
        <v>628</v>
      </c>
      <c r="I52" s="439" t="s">
        <v>629</v>
      </c>
      <c r="J52" s="439" t="s">
        <v>630</v>
      </c>
      <c r="K52" s="439" t="s">
        <v>631</v>
      </c>
      <c r="Q52" s="446"/>
    </row>
    <row r="53" spans="3:18" ht="28.5" hidden="1" customHeight="1" x14ac:dyDescent="0.3">
      <c r="C53" s="440">
        <v>1</v>
      </c>
      <c r="D53" s="441" t="s">
        <v>632</v>
      </c>
      <c r="E53" s="442">
        <v>1</v>
      </c>
      <c r="F53" s="442">
        <v>30</v>
      </c>
      <c r="G53" s="442">
        <v>1</v>
      </c>
      <c r="H53" s="443">
        <v>45000</v>
      </c>
      <c r="I53" s="444">
        <v>100925</v>
      </c>
      <c r="J53" s="444">
        <f>(I53*E53)* (F53/100)</f>
        <v>30277.5</v>
      </c>
      <c r="K53" s="445">
        <f t="shared" ref="K53:K58" si="5">J53*G53</f>
        <v>30277.5</v>
      </c>
      <c r="O53" s="446"/>
      <c r="P53" s="446"/>
      <c r="Q53" s="446"/>
      <c r="R53" s="86"/>
    </row>
    <row r="54" spans="3:18" ht="25.5" hidden="1" customHeight="1" x14ac:dyDescent="0.3">
      <c r="C54" s="181">
        <v>2</v>
      </c>
      <c r="D54" s="441" t="s">
        <v>311</v>
      </c>
      <c r="E54" s="442">
        <v>1</v>
      </c>
      <c r="F54" s="442">
        <v>100</v>
      </c>
      <c r="G54" s="442">
        <v>0.5</v>
      </c>
      <c r="H54" s="443">
        <v>35000</v>
      </c>
      <c r="I54" s="444">
        <v>65095</v>
      </c>
      <c r="J54" s="444">
        <f>(I54*E54)* (F54/100)</f>
        <v>65095</v>
      </c>
      <c r="K54" s="445">
        <f t="shared" si="5"/>
        <v>32547.5</v>
      </c>
      <c r="O54" s="446"/>
      <c r="P54" s="446"/>
      <c r="Q54" s="446"/>
      <c r="R54" s="86"/>
    </row>
    <row r="55" spans="3:18" ht="25.5" hidden="1" customHeight="1" x14ac:dyDescent="0.3">
      <c r="C55" s="181">
        <v>2</v>
      </c>
      <c r="D55" s="441" t="s">
        <v>597</v>
      </c>
      <c r="E55" s="442">
        <v>1</v>
      </c>
      <c r="F55" s="442">
        <v>100</v>
      </c>
      <c r="G55" s="442">
        <v>0.5</v>
      </c>
      <c r="H55" s="443">
        <v>35000</v>
      </c>
      <c r="I55" s="444">
        <v>52500</v>
      </c>
      <c r="J55" s="444">
        <f>(I55*E55)* (F55/100)</f>
        <v>52500</v>
      </c>
      <c r="K55" s="445">
        <f t="shared" si="5"/>
        <v>26250</v>
      </c>
      <c r="O55" s="446"/>
      <c r="P55" s="446"/>
      <c r="Q55" s="446"/>
      <c r="R55" s="86"/>
    </row>
    <row r="56" spans="3:18" ht="31.15" hidden="1" customHeight="1" x14ac:dyDescent="0.3">
      <c r="C56" s="181">
        <v>3</v>
      </c>
      <c r="D56" s="441" t="s">
        <v>642</v>
      </c>
      <c r="E56" s="442">
        <v>1</v>
      </c>
      <c r="F56" s="442">
        <v>100</v>
      </c>
      <c r="G56" s="442">
        <v>1</v>
      </c>
      <c r="H56" s="443">
        <v>35000</v>
      </c>
      <c r="I56" s="444">
        <v>87500</v>
      </c>
      <c r="J56" s="444">
        <f>(I56*E56)* (F56/100)</f>
        <v>87500</v>
      </c>
      <c r="K56" s="445">
        <f t="shared" si="5"/>
        <v>87500</v>
      </c>
      <c r="O56" s="446"/>
      <c r="P56" s="446"/>
      <c r="Q56" s="446"/>
      <c r="R56" s="86"/>
    </row>
    <row r="57" spans="3:18" ht="31.15" hidden="1" customHeight="1" x14ac:dyDescent="0.3">
      <c r="C57" s="181">
        <v>3</v>
      </c>
      <c r="D57" s="441" t="s">
        <v>643</v>
      </c>
      <c r="E57" s="442">
        <v>1</v>
      </c>
      <c r="F57" s="442">
        <v>100</v>
      </c>
      <c r="G57" s="442">
        <v>1</v>
      </c>
      <c r="H57" s="443">
        <v>35000</v>
      </c>
      <c r="I57" s="444">
        <v>57500</v>
      </c>
      <c r="J57" s="444">
        <v>57500</v>
      </c>
      <c r="K57" s="445">
        <f t="shared" si="5"/>
        <v>57500</v>
      </c>
      <c r="O57" s="446"/>
      <c r="P57" s="446"/>
      <c r="Q57" s="446"/>
      <c r="R57" s="86"/>
    </row>
    <row r="58" spans="3:18" ht="35.25" hidden="1" customHeight="1" thickBot="1" x14ac:dyDescent="0.35">
      <c r="C58" s="199">
        <v>3</v>
      </c>
      <c r="D58" s="441" t="s">
        <v>633</v>
      </c>
      <c r="E58" s="442">
        <v>1</v>
      </c>
      <c r="F58" s="442">
        <v>100</v>
      </c>
      <c r="G58" s="442">
        <v>1</v>
      </c>
      <c r="H58" s="443">
        <v>35000</v>
      </c>
      <c r="I58" s="444">
        <v>52500</v>
      </c>
      <c r="J58" s="444">
        <f>(I58*E58)* (F58/100)</f>
        <v>52500</v>
      </c>
      <c r="K58" s="445">
        <f t="shared" si="5"/>
        <v>52500</v>
      </c>
      <c r="O58" s="446"/>
      <c r="P58" s="446"/>
      <c r="Q58" s="446"/>
      <c r="R58" s="446"/>
    </row>
    <row r="59" spans="3:18" ht="9.75" hidden="1" customHeight="1" x14ac:dyDescent="0.3">
      <c r="C59" s="447"/>
      <c r="D59" s="447"/>
      <c r="E59" s="447"/>
      <c r="F59" s="447"/>
      <c r="G59" s="447"/>
      <c r="H59" s="324"/>
      <c r="I59" s="324"/>
      <c r="J59" s="324"/>
      <c r="K59" s="324"/>
      <c r="O59" s="446"/>
      <c r="P59" s="446"/>
      <c r="Q59" s="155"/>
      <c r="R59" s="446"/>
    </row>
    <row r="60" spans="3:18" ht="28.5" hidden="1" customHeight="1" x14ac:dyDescent="0.3">
      <c r="C60" s="181"/>
      <c r="D60" s="448"/>
      <c r="E60" s="448"/>
      <c r="F60" s="448"/>
      <c r="G60" s="448"/>
      <c r="O60" s="446"/>
      <c r="P60" s="446"/>
      <c r="Q60" s="446"/>
      <c r="R60" s="446"/>
    </row>
    <row r="61" spans="3:18" ht="22.5" hidden="1" customHeight="1" x14ac:dyDescent="0.3">
      <c r="C61" s="181"/>
      <c r="D61" s="448"/>
      <c r="E61" s="448"/>
      <c r="F61" s="448"/>
      <c r="G61" s="613" t="s">
        <v>634</v>
      </c>
      <c r="H61" s="613"/>
      <c r="I61" s="613"/>
      <c r="J61" s="613"/>
      <c r="K61" s="449"/>
      <c r="O61" s="446"/>
      <c r="P61" s="446"/>
      <c r="Q61" s="446"/>
      <c r="R61" s="446"/>
    </row>
    <row r="62" spans="3:18" ht="17.5" hidden="1" x14ac:dyDescent="0.3">
      <c r="G62" s="450"/>
      <c r="H62" s="450"/>
      <c r="I62" s="450" t="s">
        <v>519</v>
      </c>
      <c r="J62" s="450" t="s">
        <v>519</v>
      </c>
      <c r="K62" s="449">
        <f>SUM(K53:K58)</f>
        <v>286575</v>
      </c>
      <c r="N62" s="165"/>
      <c r="O62" s="446"/>
      <c r="P62" s="446"/>
      <c r="Q62" s="155"/>
      <c r="R62" s="446"/>
    </row>
    <row r="63" spans="3:18" ht="17.5" hidden="1" x14ac:dyDescent="0.3">
      <c r="G63" s="450"/>
      <c r="H63" s="450"/>
      <c r="I63" s="450" t="s">
        <v>602</v>
      </c>
      <c r="J63" s="450" t="s">
        <v>602</v>
      </c>
      <c r="K63" s="449">
        <f>K62*0.16</f>
        <v>45852</v>
      </c>
      <c r="O63" s="446"/>
      <c r="P63" s="446"/>
      <c r="Q63" s="446"/>
      <c r="R63" s="446"/>
    </row>
    <row r="64" spans="3:18" ht="17.5" hidden="1" x14ac:dyDescent="0.3">
      <c r="G64" s="450"/>
      <c r="H64" s="450"/>
      <c r="I64" s="450" t="s">
        <v>518</v>
      </c>
      <c r="J64" s="450" t="s">
        <v>518</v>
      </c>
      <c r="K64" s="449">
        <f>K62+K63</f>
        <v>332427</v>
      </c>
      <c r="L64" s="165"/>
      <c r="O64" s="446"/>
      <c r="P64" s="446"/>
      <c r="Q64" s="446"/>
      <c r="R64" s="446"/>
    </row>
    <row r="65" spans="3:18" hidden="1" x14ac:dyDescent="0.3">
      <c r="K65" s="155"/>
      <c r="O65" s="446"/>
      <c r="P65" s="446"/>
      <c r="Q65" s="446"/>
      <c r="R65" s="446"/>
    </row>
    <row r="66" spans="3:18" hidden="1" x14ac:dyDescent="0.3">
      <c r="K66" s="168"/>
      <c r="O66" s="446"/>
      <c r="P66" s="446"/>
      <c r="Q66" s="155"/>
      <c r="R66" s="446"/>
    </row>
    <row r="67" spans="3:18" ht="15" hidden="1" customHeight="1" thickBot="1" x14ac:dyDescent="0.35">
      <c r="N67" s="155"/>
      <c r="Q67" s="446"/>
    </row>
    <row r="68" spans="3:18" ht="34.5" hidden="1" customHeight="1" thickBot="1" x14ac:dyDescent="0.35">
      <c r="C68" s="193" t="s">
        <v>42</v>
      </c>
      <c r="D68" s="439" t="s">
        <v>43</v>
      </c>
      <c r="E68" s="439" t="s">
        <v>625</v>
      </c>
      <c r="F68" s="439" t="s">
        <v>626</v>
      </c>
      <c r="G68" s="439" t="s">
        <v>627</v>
      </c>
      <c r="H68" s="439" t="s">
        <v>628</v>
      </c>
      <c r="I68" s="439" t="s">
        <v>629</v>
      </c>
      <c r="J68" s="439" t="s">
        <v>630</v>
      </c>
      <c r="K68" s="439" t="s">
        <v>631</v>
      </c>
      <c r="Q68" s="446"/>
    </row>
    <row r="69" spans="3:18" ht="28.5" hidden="1" customHeight="1" x14ac:dyDescent="0.3">
      <c r="C69" s="440">
        <v>1</v>
      </c>
      <c r="D69" s="441" t="s">
        <v>632</v>
      </c>
      <c r="E69" s="442">
        <v>1</v>
      </c>
      <c r="F69" s="442">
        <v>30</v>
      </c>
      <c r="G69" s="442">
        <v>2</v>
      </c>
      <c r="H69" s="443">
        <v>45000</v>
      </c>
      <c r="I69" s="444">
        <v>100925</v>
      </c>
      <c r="J69" s="444">
        <f>(I69*E69)* (F69/100)</f>
        <v>30277.5</v>
      </c>
      <c r="K69" s="445">
        <f t="shared" ref="K69:K74" si="6">J69*G69</f>
        <v>60555</v>
      </c>
      <c r="O69" s="446"/>
      <c r="P69" s="446"/>
      <c r="Q69" s="446"/>
      <c r="R69" s="86"/>
    </row>
    <row r="70" spans="3:18" ht="25.5" hidden="1" customHeight="1" x14ac:dyDescent="0.3">
      <c r="C70" s="181">
        <v>2</v>
      </c>
      <c r="D70" s="441" t="s">
        <v>311</v>
      </c>
      <c r="E70" s="442">
        <v>1</v>
      </c>
      <c r="F70" s="442">
        <v>100</v>
      </c>
      <c r="G70" s="442">
        <v>1</v>
      </c>
      <c r="H70" s="443">
        <v>35000</v>
      </c>
      <c r="I70" s="444">
        <v>65095</v>
      </c>
      <c r="J70" s="444">
        <f>(I70*E70)* (F70/100)</f>
        <v>65095</v>
      </c>
      <c r="K70" s="445">
        <f t="shared" si="6"/>
        <v>65095</v>
      </c>
      <c r="O70" s="446"/>
      <c r="P70" s="446"/>
      <c r="Q70" s="446"/>
      <c r="R70" s="86"/>
    </row>
    <row r="71" spans="3:18" ht="25.5" hidden="1" customHeight="1" x14ac:dyDescent="0.3">
      <c r="C71" s="181">
        <v>2</v>
      </c>
      <c r="D71" s="441" t="s">
        <v>597</v>
      </c>
      <c r="E71" s="442">
        <v>1</v>
      </c>
      <c r="F71" s="442">
        <v>100</v>
      </c>
      <c r="G71" s="442">
        <v>1</v>
      </c>
      <c r="H71" s="443">
        <v>35000</v>
      </c>
      <c r="I71" s="444">
        <v>52500</v>
      </c>
      <c r="J71" s="444">
        <f>(I71*E71)* (F71/100)</f>
        <v>52500</v>
      </c>
      <c r="K71" s="445">
        <f t="shared" si="6"/>
        <v>52500</v>
      </c>
      <c r="O71" s="446"/>
      <c r="P71" s="446"/>
      <c r="Q71" s="446"/>
      <c r="R71" s="86"/>
    </row>
    <row r="72" spans="3:18" ht="31.15" hidden="1" customHeight="1" x14ac:dyDescent="0.3">
      <c r="C72" s="181">
        <v>3</v>
      </c>
      <c r="D72" s="441" t="s">
        <v>642</v>
      </c>
      <c r="E72" s="442">
        <v>1</v>
      </c>
      <c r="F72" s="442">
        <v>100</v>
      </c>
      <c r="G72" s="442">
        <v>2</v>
      </c>
      <c r="H72" s="443">
        <v>35000</v>
      </c>
      <c r="I72" s="444">
        <v>87500</v>
      </c>
      <c r="J72" s="444">
        <f>(I72*E72)* (F72/100)</f>
        <v>87500</v>
      </c>
      <c r="K72" s="445">
        <f t="shared" si="6"/>
        <v>175000</v>
      </c>
      <c r="O72" s="446"/>
      <c r="P72" s="446"/>
      <c r="Q72" s="446"/>
      <c r="R72" s="86"/>
    </row>
    <row r="73" spans="3:18" ht="31.15" hidden="1" customHeight="1" x14ac:dyDescent="0.3">
      <c r="C73" s="181">
        <v>3</v>
      </c>
      <c r="D73" s="441" t="s">
        <v>643</v>
      </c>
      <c r="E73" s="442">
        <v>1</v>
      </c>
      <c r="F73" s="442">
        <v>100</v>
      </c>
      <c r="G73" s="442">
        <v>2</v>
      </c>
      <c r="H73" s="443">
        <v>35000</v>
      </c>
      <c r="I73" s="444">
        <v>57500</v>
      </c>
      <c r="J73" s="444">
        <v>57500</v>
      </c>
      <c r="K73" s="445">
        <f t="shared" si="6"/>
        <v>115000</v>
      </c>
      <c r="O73" s="446"/>
      <c r="P73" s="446"/>
      <c r="Q73" s="446"/>
      <c r="R73" s="86"/>
    </row>
    <row r="74" spans="3:18" ht="35.25" hidden="1" customHeight="1" thickBot="1" x14ac:dyDescent="0.35">
      <c r="C74" s="199">
        <v>3</v>
      </c>
      <c r="D74" s="441" t="s">
        <v>633</v>
      </c>
      <c r="E74" s="442">
        <v>1</v>
      </c>
      <c r="F74" s="442">
        <v>100</v>
      </c>
      <c r="G74" s="442">
        <v>2</v>
      </c>
      <c r="H74" s="443">
        <v>35000</v>
      </c>
      <c r="I74" s="444">
        <v>52500</v>
      </c>
      <c r="J74" s="444">
        <f>(I74*E74)* (F74/100)</f>
        <v>52500</v>
      </c>
      <c r="K74" s="445">
        <f t="shared" si="6"/>
        <v>105000</v>
      </c>
      <c r="O74" s="446"/>
      <c r="P74" s="446"/>
      <c r="Q74" s="446"/>
      <c r="R74" s="446"/>
    </row>
    <row r="75" spans="3:18" ht="9.75" hidden="1" customHeight="1" x14ac:dyDescent="0.3">
      <c r="C75" s="447"/>
      <c r="D75" s="447"/>
      <c r="E75" s="447"/>
      <c r="F75" s="447"/>
      <c r="G75" s="447"/>
      <c r="H75" s="324"/>
      <c r="I75" s="324"/>
      <c r="J75" s="324"/>
      <c r="K75" s="324"/>
      <c r="O75" s="446"/>
      <c r="P75" s="446"/>
      <c r="Q75" s="155"/>
      <c r="R75" s="446"/>
    </row>
    <row r="76" spans="3:18" ht="28.5" hidden="1" customHeight="1" x14ac:dyDescent="0.3">
      <c r="C76" s="181"/>
      <c r="D76" s="448"/>
      <c r="E76" s="448"/>
      <c r="F76" s="448"/>
      <c r="G76" s="448"/>
      <c r="O76" s="446"/>
      <c r="P76" s="446"/>
      <c r="Q76" s="446"/>
      <c r="R76" s="446"/>
    </row>
    <row r="77" spans="3:18" ht="22.5" hidden="1" customHeight="1" x14ac:dyDescent="0.3">
      <c r="C77" s="181"/>
      <c r="D77" s="448"/>
      <c r="E77" s="448"/>
      <c r="F77" s="448"/>
      <c r="G77" s="613" t="s">
        <v>634</v>
      </c>
      <c r="H77" s="613"/>
      <c r="I77" s="613"/>
      <c r="J77" s="613"/>
      <c r="K77" s="449"/>
      <c r="O77" s="446"/>
      <c r="P77" s="446"/>
      <c r="Q77" s="446"/>
      <c r="R77" s="446"/>
    </row>
    <row r="78" spans="3:18" ht="17.5" hidden="1" x14ac:dyDescent="0.3">
      <c r="G78" s="450"/>
      <c r="H78" s="450"/>
      <c r="I78" s="450" t="s">
        <v>519</v>
      </c>
      <c r="J78" s="450" t="s">
        <v>519</v>
      </c>
      <c r="K78" s="449">
        <f>SUM(K69:K74)</f>
        <v>573150</v>
      </c>
      <c r="N78" s="165"/>
      <c r="O78" s="446"/>
      <c r="P78" s="446"/>
      <c r="Q78" s="155"/>
      <c r="R78" s="446"/>
    </row>
    <row r="79" spans="3:18" ht="17.5" hidden="1" x14ac:dyDescent="0.3">
      <c r="G79" s="450"/>
      <c r="H79" s="450"/>
      <c r="I79" s="450" t="s">
        <v>602</v>
      </c>
      <c r="J79" s="450" t="s">
        <v>602</v>
      </c>
      <c r="K79" s="449">
        <f>K78*0.16</f>
        <v>91704</v>
      </c>
      <c r="O79" s="446"/>
      <c r="P79" s="446"/>
      <c r="Q79" s="446"/>
      <c r="R79" s="446"/>
    </row>
    <row r="80" spans="3:18" ht="17.5" hidden="1" x14ac:dyDescent="0.3">
      <c r="G80" s="450"/>
      <c r="H80" s="450"/>
      <c r="I80" s="450" t="s">
        <v>518</v>
      </c>
      <c r="J80" s="450" t="s">
        <v>518</v>
      </c>
      <c r="K80" s="449">
        <f>K78+K79</f>
        <v>664854</v>
      </c>
      <c r="L80" s="165"/>
      <c r="O80" s="446"/>
      <c r="P80" s="446"/>
      <c r="Q80" s="446"/>
      <c r="R80" s="446"/>
    </row>
    <row r="81" spans="3:18" hidden="1" x14ac:dyDescent="0.3">
      <c r="K81" s="155"/>
      <c r="O81" s="446"/>
      <c r="P81" s="446"/>
      <c r="Q81" s="446"/>
      <c r="R81" s="446"/>
    </row>
    <row r="82" spans="3:18" ht="15" hidden="1" customHeight="1" thickBot="1" x14ac:dyDescent="0.35">
      <c r="N82" s="155"/>
      <c r="Q82" s="446"/>
    </row>
    <row r="83" spans="3:18" ht="34.5" hidden="1" customHeight="1" thickBot="1" x14ac:dyDescent="0.35">
      <c r="C83" s="193" t="s">
        <v>42</v>
      </c>
      <c r="D83" s="439" t="s">
        <v>43</v>
      </c>
      <c r="E83" s="439" t="s">
        <v>625</v>
      </c>
      <c r="F83" s="439" t="s">
        <v>626</v>
      </c>
      <c r="G83" s="439" t="s">
        <v>627</v>
      </c>
      <c r="H83" s="439" t="s">
        <v>628</v>
      </c>
      <c r="I83" s="439" t="s">
        <v>629</v>
      </c>
      <c r="J83" s="439" t="s">
        <v>630</v>
      </c>
      <c r="K83" s="439" t="s">
        <v>631</v>
      </c>
      <c r="Q83" s="446"/>
    </row>
    <row r="84" spans="3:18" ht="28.5" hidden="1" customHeight="1" x14ac:dyDescent="0.3">
      <c r="C84" s="440">
        <v>1</v>
      </c>
      <c r="D84" s="441" t="s">
        <v>632</v>
      </c>
      <c r="E84" s="442">
        <v>1</v>
      </c>
      <c r="F84" s="442">
        <v>30</v>
      </c>
      <c r="G84" s="442">
        <v>1.5</v>
      </c>
      <c r="H84" s="443">
        <v>45000</v>
      </c>
      <c r="I84" s="444">
        <v>100925</v>
      </c>
      <c r="J84" s="444">
        <f>(I84*E84)* (F84/100)</f>
        <v>30277.5</v>
      </c>
      <c r="K84" s="445">
        <f t="shared" ref="K84:K89" si="7">J84*G84</f>
        <v>45416.25</v>
      </c>
      <c r="O84" s="446"/>
      <c r="P84" s="446"/>
      <c r="Q84" s="446"/>
      <c r="R84" s="86"/>
    </row>
    <row r="85" spans="3:18" ht="25.5" hidden="1" customHeight="1" x14ac:dyDescent="0.3">
      <c r="C85" s="181">
        <v>2</v>
      </c>
      <c r="D85" s="441" t="s">
        <v>311</v>
      </c>
      <c r="E85" s="442">
        <v>1</v>
      </c>
      <c r="F85" s="442">
        <v>100</v>
      </c>
      <c r="G85" s="442">
        <v>0.5</v>
      </c>
      <c r="H85" s="443">
        <v>35000</v>
      </c>
      <c r="I85" s="444">
        <v>65095</v>
      </c>
      <c r="J85" s="444">
        <f>(I85*E85)* (F85/100)</f>
        <v>65095</v>
      </c>
      <c r="K85" s="445">
        <f t="shared" si="7"/>
        <v>32547.5</v>
      </c>
      <c r="O85" s="446"/>
      <c r="P85" s="446"/>
      <c r="Q85" s="446"/>
      <c r="R85" s="86"/>
    </row>
    <row r="86" spans="3:18" ht="25.5" hidden="1" customHeight="1" x14ac:dyDescent="0.3">
      <c r="C86" s="181">
        <v>2</v>
      </c>
      <c r="D86" s="441" t="s">
        <v>597</v>
      </c>
      <c r="E86" s="442">
        <v>1</v>
      </c>
      <c r="F86" s="442">
        <v>100</v>
      </c>
      <c r="G86" s="442">
        <v>0.5</v>
      </c>
      <c r="H86" s="443">
        <v>35000</v>
      </c>
      <c r="I86" s="444">
        <v>52500</v>
      </c>
      <c r="J86" s="444">
        <f>(I86*E86)* (F86/100)</f>
        <v>52500</v>
      </c>
      <c r="K86" s="445">
        <f t="shared" si="7"/>
        <v>26250</v>
      </c>
      <c r="O86" s="446"/>
      <c r="P86" s="446"/>
      <c r="Q86" s="446"/>
      <c r="R86" s="86"/>
    </row>
    <row r="87" spans="3:18" ht="31.15" hidden="1" customHeight="1" x14ac:dyDescent="0.3">
      <c r="C87" s="181">
        <v>3</v>
      </c>
      <c r="D87" s="441" t="s">
        <v>642</v>
      </c>
      <c r="E87" s="442">
        <v>1</v>
      </c>
      <c r="F87" s="442">
        <v>100</v>
      </c>
      <c r="G87" s="442">
        <v>1.5</v>
      </c>
      <c r="H87" s="443">
        <v>35000</v>
      </c>
      <c r="I87" s="444">
        <v>87500</v>
      </c>
      <c r="J87" s="444">
        <f>(I87*E87)* (F87/100)</f>
        <v>87500</v>
      </c>
      <c r="K87" s="445">
        <f t="shared" si="7"/>
        <v>131250</v>
      </c>
      <c r="O87" s="446"/>
      <c r="P87" s="446"/>
      <c r="Q87" s="446"/>
      <c r="R87" s="86"/>
    </row>
    <row r="88" spans="3:18" ht="31.15" hidden="1" customHeight="1" x14ac:dyDescent="0.3">
      <c r="C88" s="181">
        <v>3</v>
      </c>
      <c r="D88" s="441" t="s">
        <v>643</v>
      </c>
      <c r="E88" s="442">
        <v>1</v>
      </c>
      <c r="F88" s="442">
        <v>100</v>
      </c>
      <c r="G88" s="442">
        <v>0</v>
      </c>
      <c r="H88" s="443">
        <v>35000</v>
      </c>
      <c r="I88" s="444">
        <v>57500</v>
      </c>
      <c r="J88" s="444">
        <v>57500</v>
      </c>
      <c r="K88" s="445">
        <f t="shared" si="7"/>
        <v>0</v>
      </c>
      <c r="O88" s="446"/>
      <c r="P88" s="446"/>
      <c r="Q88" s="446"/>
      <c r="R88" s="86"/>
    </row>
    <row r="89" spans="3:18" ht="35.25" hidden="1" customHeight="1" thickBot="1" x14ac:dyDescent="0.35">
      <c r="C89" s="199">
        <v>3</v>
      </c>
      <c r="D89" s="441" t="s">
        <v>633</v>
      </c>
      <c r="E89" s="442">
        <v>1</v>
      </c>
      <c r="F89" s="442">
        <v>100</v>
      </c>
      <c r="G89" s="442">
        <v>1</v>
      </c>
      <c r="H89" s="443">
        <v>35000</v>
      </c>
      <c r="I89" s="444">
        <v>52500</v>
      </c>
      <c r="J89" s="444">
        <f>(I89*E89)* (F89/100)</f>
        <v>52500</v>
      </c>
      <c r="K89" s="445">
        <f t="shared" si="7"/>
        <v>52500</v>
      </c>
      <c r="O89" s="446"/>
      <c r="P89" s="446"/>
      <c r="Q89" s="446"/>
      <c r="R89" s="446"/>
    </row>
    <row r="90" spans="3:18" ht="9.75" hidden="1" customHeight="1" x14ac:dyDescent="0.3">
      <c r="C90" s="447"/>
      <c r="D90" s="447"/>
      <c r="E90" s="447"/>
      <c r="F90" s="447"/>
      <c r="G90" s="447"/>
      <c r="H90" s="324"/>
      <c r="I90" s="324"/>
      <c r="J90" s="324"/>
      <c r="K90" s="324"/>
      <c r="O90" s="446"/>
      <c r="P90" s="446"/>
      <c r="Q90" s="155"/>
      <c r="R90" s="446"/>
    </row>
    <row r="91" spans="3:18" ht="28.5" hidden="1" customHeight="1" x14ac:dyDescent="0.3">
      <c r="C91" s="181"/>
      <c r="D91" s="448"/>
      <c r="E91" s="448"/>
      <c r="F91" s="448"/>
      <c r="G91" s="448"/>
      <c r="O91" s="446"/>
      <c r="P91" s="446"/>
      <c r="Q91" s="446"/>
      <c r="R91" s="446"/>
    </row>
    <row r="92" spans="3:18" ht="22.5" hidden="1" customHeight="1" x14ac:dyDescent="0.3">
      <c r="C92" s="181"/>
      <c r="D92" s="448"/>
      <c r="E92" s="448"/>
      <c r="F92" s="448"/>
      <c r="G92" s="613" t="s">
        <v>634</v>
      </c>
      <c r="H92" s="613"/>
      <c r="I92" s="613"/>
      <c r="J92" s="613"/>
      <c r="K92" s="449"/>
      <c r="O92" s="446"/>
      <c r="P92" s="446"/>
      <c r="Q92" s="446"/>
      <c r="R92" s="446"/>
    </row>
    <row r="93" spans="3:18" ht="17.5" hidden="1" x14ac:dyDescent="0.3">
      <c r="G93" s="450"/>
      <c r="H93" s="450"/>
      <c r="I93" s="450" t="s">
        <v>519</v>
      </c>
      <c r="J93" s="450" t="s">
        <v>519</v>
      </c>
      <c r="K93" s="449">
        <f>SUM(K84:K89)</f>
        <v>287963.75</v>
      </c>
      <c r="N93" s="165"/>
      <c r="O93" s="446"/>
      <c r="P93" s="446"/>
      <c r="Q93" s="155"/>
      <c r="R93" s="446"/>
    </row>
    <row r="94" spans="3:18" ht="17.5" hidden="1" x14ac:dyDescent="0.3">
      <c r="G94" s="450"/>
      <c r="H94" s="450"/>
      <c r="I94" s="450" t="s">
        <v>602</v>
      </c>
      <c r="J94" s="450" t="s">
        <v>602</v>
      </c>
      <c r="K94" s="449">
        <f>K93*0.16</f>
        <v>46074.200000000004</v>
      </c>
      <c r="O94" s="446"/>
      <c r="P94" s="446"/>
      <c r="Q94" s="446"/>
      <c r="R94" s="446"/>
    </row>
    <row r="95" spans="3:18" ht="17.5" hidden="1" x14ac:dyDescent="0.3">
      <c r="G95" s="450"/>
      <c r="H95" s="450"/>
      <c r="I95" s="450" t="s">
        <v>518</v>
      </c>
      <c r="J95" s="450" t="s">
        <v>518</v>
      </c>
      <c r="K95" s="449">
        <f>K93+K94</f>
        <v>334037.95</v>
      </c>
      <c r="L95" s="165"/>
      <c r="O95" s="446"/>
      <c r="P95" s="446"/>
      <c r="Q95" s="446"/>
      <c r="R95" s="446"/>
    </row>
    <row r="96" spans="3:18" hidden="1" x14ac:dyDescent="0.3">
      <c r="K96" s="155"/>
      <c r="O96" s="446"/>
      <c r="P96" s="446"/>
      <c r="Q96" s="446"/>
      <c r="R96" s="446"/>
    </row>
    <row r="97" spans="4:18" x14ac:dyDescent="0.3">
      <c r="K97" s="155"/>
      <c r="O97" s="446"/>
      <c r="P97" s="446"/>
      <c r="Q97" s="446"/>
      <c r="R97" s="446"/>
    </row>
    <row r="98" spans="4:18" x14ac:dyDescent="0.3">
      <c r="K98" s="168"/>
      <c r="O98" s="446"/>
      <c r="P98" s="446"/>
      <c r="Q98" s="155"/>
      <c r="R98" s="446"/>
    </row>
    <row r="99" spans="4:18" x14ac:dyDescent="0.3">
      <c r="D99" s="618" t="s">
        <v>672</v>
      </c>
      <c r="E99" s="618"/>
      <c r="F99" s="618"/>
      <c r="G99" s="618"/>
      <c r="H99" s="618"/>
      <c r="I99" s="618"/>
      <c r="J99" s="618"/>
      <c r="K99" s="618"/>
      <c r="L99" s="618"/>
      <c r="O99" s="171"/>
      <c r="P99" s="171"/>
      <c r="Q99" s="171"/>
    </row>
    <row r="100" spans="4:18" x14ac:dyDescent="0.3">
      <c r="H100" s="169" t="s">
        <v>74</v>
      </c>
      <c r="I100" s="169"/>
      <c r="J100" s="169"/>
      <c r="K100" s="451"/>
    </row>
    <row r="101" spans="4:18" ht="17.5" x14ac:dyDescent="0.3">
      <c r="E101" s="497" t="s">
        <v>636</v>
      </c>
      <c r="F101" s="497" t="s">
        <v>637</v>
      </c>
      <c r="G101" s="498" t="s">
        <v>638</v>
      </c>
      <c r="H101" s="497" t="s">
        <v>646</v>
      </c>
      <c r="I101" s="497" t="s">
        <v>646</v>
      </c>
      <c r="J101" s="497" t="s">
        <v>647</v>
      </c>
      <c r="K101" s="498" t="s">
        <v>648</v>
      </c>
      <c r="L101" s="498"/>
    </row>
    <row r="102" spans="4:18" ht="17.5" x14ac:dyDescent="0.35">
      <c r="D102" s="441" t="s">
        <v>632</v>
      </c>
      <c r="E102" s="486">
        <f>J19</f>
        <v>30277.5</v>
      </c>
      <c r="F102" s="487">
        <f>J19</f>
        <v>30277.5</v>
      </c>
      <c r="G102" s="472">
        <f>K53</f>
        <v>30277.5</v>
      </c>
      <c r="H102" s="454"/>
      <c r="I102" s="482">
        <f>K69/2</f>
        <v>30277.5</v>
      </c>
      <c r="J102" s="482">
        <f>K69/2</f>
        <v>30277.5</v>
      </c>
      <c r="K102" s="476">
        <f>J19*0.9</f>
        <v>27249.75</v>
      </c>
      <c r="L102" s="477"/>
    </row>
    <row r="103" spans="4:18" ht="17.5" x14ac:dyDescent="0.35">
      <c r="D103" s="441" t="s">
        <v>311</v>
      </c>
      <c r="E103" s="486">
        <f>J20</f>
        <v>65095</v>
      </c>
      <c r="F103" s="487">
        <f>J20*0.5</f>
        <v>32547.5</v>
      </c>
      <c r="G103" s="472"/>
      <c r="H103" s="454"/>
      <c r="I103" s="482"/>
      <c r="J103" s="482"/>
      <c r="K103" s="476"/>
      <c r="L103" s="477"/>
    </row>
    <row r="104" spans="4:18" ht="17.5" x14ac:dyDescent="0.35">
      <c r="D104" s="441" t="s">
        <v>597</v>
      </c>
      <c r="E104" s="486">
        <f>J21</f>
        <v>52500</v>
      </c>
      <c r="F104" s="487">
        <f>J21*0.5</f>
        <v>26250</v>
      </c>
      <c r="G104" s="472"/>
      <c r="H104" s="454"/>
      <c r="I104" s="482"/>
      <c r="J104" s="482"/>
      <c r="K104" s="476"/>
      <c r="L104" s="477"/>
    </row>
    <row r="105" spans="4:18" ht="17.5" x14ac:dyDescent="0.35">
      <c r="D105" s="441" t="s">
        <v>650</v>
      </c>
      <c r="E105" s="486"/>
      <c r="F105" s="487">
        <f>J22*0.5</f>
        <v>43750</v>
      </c>
      <c r="G105" s="472">
        <f>K56</f>
        <v>87500</v>
      </c>
      <c r="H105" s="454"/>
      <c r="I105" s="482">
        <f>K72/2</f>
        <v>87500</v>
      </c>
      <c r="J105" s="482">
        <f>K72/2</f>
        <v>87500</v>
      </c>
      <c r="K105" s="476">
        <f>J22*0.8</f>
        <v>70000</v>
      </c>
      <c r="L105" s="477"/>
    </row>
    <row r="106" spans="4:18" ht="17.5" x14ac:dyDescent="0.35">
      <c r="D106" s="441" t="s">
        <v>652</v>
      </c>
      <c r="E106" s="486">
        <f>K40/2</f>
        <v>0</v>
      </c>
      <c r="F106" s="487">
        <f>J23*0.5</f>
        <v>28750</v>
      </c>
      <c r="G106" s="472">
        <f>K57</f>
        <v>57500</v>
      </c>
      <c r="H106" s="454"/>
      <c r="I106" s="482">
        <f>J23*0.5</f>
        <v>28750</v>
      </c>
      <c r="J106" s="482"/>
      <c r="K106" s="476">
        <f>K88/1.5</f>
        <v>0</v>
      </c>
      <c r="L106" s="477"/>
    </row>
    <row r="107" spans="4:18" ht="17.5" x14ac:dyDescent="0.35">
      <c r="D107" s="441" t="s">
        <v>651</v>
      </c>
      <c r="E107" s="488"/>
      <c r="F107" s="489">
        <f>J24*0.5</f>
        <v>26250</v>
      </c>
      <c r="G107" s="473">
        <f>K58</f>
        <v>52500</v>
      </c>
      <c r="H107" s="454"/>
      <c r="I107" s="484">
        <f>K74/2</f>
        <v>52500</v>
      </c>
      <c r="J107" s="484">
        <f>K74/2</f>
        <v>52500</v>
      </c>
      <c r="K107" s="478">
        <f>J24*0.8</f>
        <v>42000</v>
      </c>
      <c r="L107" s="479"/>
    </row>
    <row r="108" spans="4:18" ht="17.5" x14ac:dyDescent="0.35">
      <c r="E108" s="457"/>
      <c r="F108" s="457"/>
      <c r="G108" s="457"/>
      <c r="H108" s="454"/>
      <c r="I108" s="454"/>
    </row>
    <row r="109" spans="4:18" ht="17.5" x14ac:dyDescent="0.3">
      <c r="D109" s="450" t="s">
        <v>519</v>
      </c>
      <c r="E109" s="468">
        <f t="shared" ref="E109:L109" si="8">SUM(E102:E107)</f>
        <v>147872.5</v>
      </c>
      <c r="F109" s="468">
        <f t="shared" si="8"/>
        <v>187825</v>
      </c>
      <c r="G109" s="468">
        <f t="shared" si="8"/>
        <v>227777.5</v>
      </c>
      <c r="H109" s="468">
        <f t="shared" si="8"/>
        <v>0</v>
      </c>
      <c r="I109" s="468">
        <f t="shared" si="8"/>
        <v>199027.5</v>
      </c>
      <c r="J109" s="468">
        <f t="shared" si="8"/>
        <v>170277.5</v>
      </c>
      <c r="K109" s="468">
        <f t="shared" si="8"/>
        <v>139249.75</v>
      </c>
      <c r="L109" s="468">
        <f t="shared" si="8"/>
        <v>0</v>
      </c>
      <c r="N109" s="494">
        <f>SUM(E109:L109)</f>
        <v>1072029.75</v>
      </c>
      <c r="O109" s="494">
        <f>N109/6</f>
        <v>178671.625</v>
      </c>
    </row>
    <row r="110" spans="4:18" ht="17.5" x14ac:dyDescent="0.3">
      <c r="D110" s="450" t="s">
        <v>639</v>
      </c>
      <c r="E110" s="468">
        <f>E109*0.16</f>
        <v>23659.600000000002</v>
      </c>
      <c r="F110" s="468">
        <f t="shared" ref="F110:L110" si="9">F109*0.16</f>
        <v>30052</v>
      </c>
      <c r="G110" s="468">
        <f t="shared" si="9"/>
        <v>36444.400000000001</v>
      </c>
      <c r="H110" s="468">
        <f t="shared" si="9"/>
        <v>0</v>
      </c>
      <c r="I110" s="468">
        <f t="shared" si="9"/>
        <v>31844.400000000001</v>
      </c>
      <c r="J110" s="468">
        <f t="shared" si="9"/>
        <v>27244.400000000001</v>
      </c>
      <c r="K110" s="468">
        <f t="shared" si="9"/>
        <v>22279.96</v>
      </c>
      <c r="L110" s="468">
        <f t="shared" si="9"/>
        <v>0</v>
      </c>
      <c r="N110" s="494">
        <f>SUM(E110:L110)</f>
        <v>171524.75999999998</v>
      </c>
    </row>
    <row r="111" spans="4:18" ht="17.5" x14ac:dyDescent="0.3">
      <c r="D111" s="450" t="s">
        <v>518</v>
      </c>
      <c r="E111" s="468">
        <f>E109+E110</f>
        <v>171532.1</v>
      </c>
      <c r="F111" s="468">
        <f t="shared" ref="F111:L111" si="10">F109+F110</f>
        <v>217877</v>
      </c>
      <c r="G111" s="468">
        <f t="shared" si="10"/>
        <v>264221.90000000002</v>
      </c>
      <c r="H111" s="468">
        <f t="shared" si="10"/>
        <v>0</v>
      </c>
      <c r="I111" s="468">
        <f t="shared" si="10"/>
        <v>230871.9</v>
      </c>
      <c r="J111" s="468">
        <f t="shared" si="10"/>
        <v>197521.9</v>
      </c>
      <c r="K111" s="468">
        <f t="shared" si="10"/>
        <v>161529.71</v>
      </c>
      <c r="L111" s="468">
        <f t="shared" si="10"/>
        <v>0</v>
      </c>
      <c r="N111" s="494">
        <f>SUM(E111:L111)</f>
        <v>1243554.51</v>
      </c>
    </row>
    <row r="114" spans="4:14" x14ac:dyDescent="0.3">
      <c r="E114" s="496">
        <f>$L$119</f>
        <v>153147.10714285713</v>
      </c>
      <c r="F114" s="496">
        <f>$L$119</f>
        <v>153147.10714285713</v>
      </c>
      <c r="G114" s="496">
        <f>$L$119</f>
        <v>153147.10714285713</v>
      </c>
      <c r="H114" s="496"/>
      <c r="I114" s="496">
        <f>$L$119</f>
        <v>153147.10714285713</v>
      </c>
      <c r="J114" s="496">
        <f>$L$119</f>
        <v>153147.10714285713</v>
      </c>
      <c r="K114" s="496">
        <f>$L$119</f>
        <v>153147.10714285713</v>
      </c>
      <c r="L114" s="496">
        <f>$L$119</f>
        <v>153147.10714285713</v>
      </c>
      <c r="M114" s="494">
        <f>SUM(E114:L114)</f>
        <v>1072029.75</v>
      </c>
      <c r="N114" s="494">
        <f>N109/'Alcance y tiempo'!P148</f>
        <v>1226.5786613272312</v>
      </c>
    </row>
    <row r="115" spans="4:14" x14ac:dyDescent="0.3">
      <c r="E115" s="496">
        <f>N109*0.2</f>
        <v>214405.95</v>
      </c>
      <c r="F115" s="496">
        <f>$J$123</f>
        <v>150084.16499999998</v>
      </c>
      <c r="G115" s="496">
        <f>$J$123</f>
        <v>150084.16499999998</v>
      </c>
      <c r="H115" s="496"/>
      <c r="I115" s="496">
        <f>$J$123</f>
        <v>150084.16499999998</v>
      </c>
      <c r="J115" s="496">
        <f>$J$123</f>
        <v>150084.16499999998</v>
      </c>
      <c r="K115" s="496">
        <f>$J$123</f>
        <v>150084.16499999998</v>
      </c>
      <c r="L115" s="496">
        <f>N109*0.1</f>
        <v>107202.97500000001</v>
      </c>
      <c r="M115" s="494">
        <f>SUM(E115:L115)</f>
        <v>1072029.75</v>
      </c>
    </row>
    <row r="117" spans="4:14" x14ac:dyDescent="0.3">
      <c r="D117" s="57" t="s">
        <v>671</v>
      </c>
      <c r="N117" s="58">
        <f>Inversión!N20</f>
        <v>1048800</v>
      </c>
    </row>
    <row r="118" spans="4:14" x14ac:dyDescent="0.3">
      <c r="N118" s="494">
        <f>N117-N109</f>
        <v>-23229.75</v>
      </c>
    </row>
    <row r="119" spans="4:14" x14ac:dyDescent="0.3">
      <c r="L119" s="494">
        <f>N109/7</f>
        <v>153147.10714285713</v>
      </c>
    </row>
    <row r="121" spans="4:14" x14ac:dyDescent="0.3">
      <c r="J121" s="494">
        <f>E115+L115</f>
        <v>321608.92500000005</v>
      </c>
    </row>
    <row r="122" spans="4:14" x14ac:dyDescent="0.3">
      <c r="J122" s="494">
        <f>N109-J121</f>
        <v>750420.82499999995</v>
      </c>
    </row>
    <row r="123" spans="4:14" x14ac:dyDescent="0.3">
      <c r="J123" s="494">
        <f>J122/5</f>
        <v>150084.16499999998</v>
      </c>
    </row>
    <row r="149" spans="4:18" s="56" customFormat="1" x14ac:dyDescent="0.3">
      <c r="D149" s="57"/>
      <c r="E149" s="57"/>
      <c r="F149" s="57"/>
      <c r="G149" s="57"/>
      <c r="H149" s="58"/>
      <c r="I149" s="58"/>
      <c r="J149" s="58"/>
      <c r="K149" s="58"/>
      <c r="L149" s="58"/>
      <c r="M149" s="58"/>
      <c r="N149" s="58"/>
      <c r="O149" s="58"/>
      <c r="P149" s="58"/>
      <c r="Q149" s="58"/>
      <c r="R149" s="58"/>
    </row>
  </sheetData>
  <mergeCells count="11">
    <mergeCell ref="C7:K7"/>
    <mergeCell ref="C9:K9"/>
    <mergeCell ref="C16:K16"/>
    <mergeCell ref="D99:L99"/>
    <mergeCell ref="Q16:Q18"/>
    <mergeCell ref="G27:J27"/>
    <mergeCell ref="G61:J61"/>
    <mergeCell ref="G77:J77"/>
    <mergeCell ref="G92:J92"/>
    <mergeCell ref="G44:J44"/>
    <mergeCell ref="C33:K3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38"/>
  <sheetViews>
    <sheetView showGridLines="0" topLeftCell="A10" zoomScale="90" zoomScaleNormal="90" workbookViewId="0">
      <selection activeCell="N12" sqref="N12"/>
    </sheetView>
  </sheetViews>
  <sheetFormatPr baseColWidth="10" defaultColWidth="10" defaultRowHeight="15" x14ac:dyDescent="0.3"/>
  <cols>
    <col min="1" max="1" width="1.7265625" style="58" customWidth="1"/>
    <col min="2" max="2" width="1.7265625" style="207" customWidth="1"/>
    <col min="3" max="3" width="21.7265625" style="56" customWidth="1"/>
    <col min="4" max="4" width="15.26953125" style="56" customWidth="1"/>
    <col min="5" max="5" width="17.1796875" style="56" customWidth="1"/>
    <col min="6" max="6" width="12.81640625" style="56" hidden="1" customWidth="1"/>
    <col min="7" max="8" width="15.26953125" style="56" hidden="1" customWidth="1"/>
    <col min="9" max="9" width="13.1796875" style="56" customWidth="1"/>
    <col min="10" max="10" width="19.7265625" style="57" hidden="1" customWidth="1"/>
    <col min="11" max="11" width="21.7265625" style="84" hidden="1" customWidth="1"/>
    <col min="12" max="12" width="12" style="58" hidden="1" customWidth="1"/>
    <col min="13" max="13" width="26.81640625" style="58" customWidth="1"/>
    <col min="14" max="14" width="25.1796875" style="58" customWidth="1"/>
    <col min="15" max="15" width="10" style="58" customWidth="1"/>
    <col min="16" max="16" width="15.453125" style="58" bestFit="1" customWidth="1"/>
    <col min="17" max="17" width="18.81640625" style="58" customWidth="1"/>
    <col min="18" max="18" width="6.81640625" style="58" customWidth="1"/>
    <col min="19" max="19" width="18.26953125" style="58" customWidth="1"/>
    <col min="20" max="16384" width="10" style="58"/>
  </cols>
  <sheetData>
    <row r="1" spans="2:20" ht="15" customHeight="1" x14ac:dyDescent="0.3">
      <c r="C1" s="58"/>
      <c r="E1" s="57"/>
      <c r="F1" s="57"/>
      <c r="G1" s="169"/>
      <c r="H1" s="169"/>
      <c r="I1" s="169"/>
      <c r="J1" s="60"/>
      <c r="K1" s="58"/>
    </row>
    <row r="2" spans="2:20" ht="15" customHeight="1" x14ac:dyDescent="0.3">
      <c r="B2" s="208"/>
      <c r="C2" s="29"/>
      <c r="E2" s="57"/>
      <c r="F2" s="57"/>
      <c r="G2" s="169"/>
      <c r="H2" s="169"/>
      <c r="I2" s="169"/>
      <c r="J2" s="29"/>
      <c r="K2" s="29" t="s">
        <v>0</v>
      </c>
    </row>
    <row r="3" spans="2:20" ht="15" customHeight="1" x14ac:dyDescent="0.3">
      <c r="B3" s="209"/>
      <c r="C3" s="59"/>
      <c r="D3" s="152"/>
      <c r="E3" s="57"/>
      <c r="F3" s="57"/>
      <c r="G3" s="210"/>
      <c r="H3" s="210"/>
      <c r="I3" s="210"/>
      <c r="J3" s="59"/>
      <c r="K3" s="59" t="str">
        <f>'Información proyecto'!D3</f>
        <v>Versión: 0.1</v>
      </c>
    </row>
    <row r="4" spans="2:20" ht="1.5" customHeight="1" x14ac:dyDescent="0.3">
      <c r="C4" s="61"/>
      <c r="D4" s="153"/>
      <c r="E4" s="153"/>
      <c r="F4" s="153"/>
      <c r="G4" s="211"/>
      <c r="H4" s="211"/>
      <c r="I4" s="211"/>
      <c r="J4" s="212"/>
      <c r="K4" s="212">
        <f>'Información proyecto'!D4</f>
        <v>0</v>
      </c>
    </row>
    <row r="5" spans="2:20" ht="15" customHeight="1" x14ac:dyDescent="0.3">
      <c r="C5" s="58"/>
      <c r="D5" s="65"/>
      <c r="E5" s="65"/>
      <c r="F5" s="65"/>
      <c r="G5" s="76"/>
      <c r="H5" s="76"/>
      <c r="I5" s="76"/>
      <c r="J5" s="60"/>
      <c r="K5" s="59" t="str">
        <f>'Información proyecto'!D5</f>
        <v>Proyecto:  Admin Eventos</v>
      </c>
    </row>
    <row r="6" spans="2:20" x14ac:dyDescent="0.3">
      <c r="C6" s="63"/>
      <c r="D6" s="63"/>
      <c r="E6" s="63"/>
      <c r="F6" s="63"/>
      <c r="G6" s="76"/>
      <c r="H6" s="76"/>
      <c r="I6" s="76"/>
      <c r="J6" s="76"/>
      <c r="K6" s="58"/>
    </row>
    <row r="7" spans="2:20" x14ac:dyDescent="0.3">
      <c r="C7" s="611" t="s">
        <v>46</v>
      </c>
      <c r="D7" s="611"/>
      <c r="E7" s="611"/>
      <c r="F7" s="611"/>
      <c r="G7" s="611"/>
      <c r="H7" s="611"/>
      <c r="I7" s="611"/>
      <c r="J7" s="611"/>
      <c r="K7" s="611"/>
      <c r="L7" s="58" t="s">
        <v>601</v>
      </c>
      <c r="M7" s="58">
        <v>20.14</v>
      </c>
      <c r="N7" s="58">
        <f>M7*O7</f>
        <v>946.58</v>
      </c>
      <c r="O7" s="58">
        <v>47</v>
      </c>
    </row>
    <row r="8" spans="2:20" ht="18.75" customHeight="1" thickBot="1" x14ac:dyDescent="0.35">
      <c r="C8" s="69"/>
      <c r="D8" s="69"/>
      <c r="E8" s="69"/>
      <c r="F8" s="69"/>
      <c r="G8" s="69"/>
      <c r="H8" s="69"/>
      <c r="I8" s="69"/>
      <c r="J8" s="69"/>
      <c r="K8" s="210"/>
    </row>
    <row r="9" spans="2:20" ht="24.75" customHeight="1" thickBot="1" x14ac:dyDescent="0.35">
      <c r="C9" s="622" t="s">
        <v>10</v>
      </c>
      <c r="D9" s="622"/>
      <c r="E9" s="622"/>
      <c r="F9" s="177" t="s">
        <v>248</v>
      </c>
      <c r="G9" s="177" t="s">
        <v>263</v>
      </c>
      <c r="H9" s="177" t="s">
        <v>284</v>
      </c>
      <c r="I9" s="177" t="s">
        <v>47</v>
      </c>
      <c r="J9" s="177" t="s">
        <v>48</v>
      </c>
      <c r="K9" s="177" t="s">
        <v>49</v>
      </c>
      <c r="M9" s="424" t="s">
        <v>48</v>
      </c>
      <c r="N9" s="424" t="s">
        <v>49</v>
      </c>
      <c r="R9" s="431" t="s">
        <v>613</v>
      </c>
      <c r="S9" s="432"/>
      <c r="T9" s="432"/>
    </row>
    <row r="10" spans="2:20" ht="20.149999999999999" customHeight="1" x14ac:dyDescent="0.3">
      <c r="C10" s="621" t="s">
        <v>50</v>
      </c>
      <c r="D10" s="621"/>
      <c r="E10" s="621"/>
      <c r="F10" s="232">
        <f>SUM(F11:F14)</f>
        <v>3.2609895833333331</v>
      </c>
      <c r="G10" s="233">
        <f>SUM(G11:G14)</f>
        <v>272182.90000000002</v>
      </c>
      <c r="H10" s="233">
        <f>SUM(H11:H14)</f>
        <v>3680.9830799386373</v>
      </c>
      <c r="I10" s="234">
        <f>SUM(I11:I14)</f>
        <v>874</v>
      </c>
      <c r="J10" s="235"/>
      <c r="K10" s="236">
        <f>SUM(K11:K14)</f>
        <v>786600.00000000012</v>
      </c>
      <c r="M10" s="235"/>
      <c r="N10" s="236">
        <f>SUM(N11:N14)</f>
        <v>1048800</v>
      </c>
      <c r="R10" s="428" t="s">
        <v>611</v>
      </c>
      <c r="S10" s="429">
        <v>5000</v>
      </c>
      <c r="T10" s="430" t="s">
        <v>614</v>
      </c>
    </row>
    <row r="11" spans="2:20" ht="58.15" customHeight="1" x14ac:dyDescent="0.3">
      <c r="B11" s="213"/>
      <c r="C11" s="619" t="s">
        <v>589</v>
      </c>
      <c r="D11" s="619"/>
      <c r="E11" s="619"/>
      <c r="F11" s="226">
        <f>(I11/160)/1.5</f>
        <v>0.91208333333333336</v>
      </c>
      <c r="G11" s="227">
        <f>SUM('Fechas y costos'!K20:K23)</f>
        <v>73584.899999999994</v>
      </c>
      <c r="H11" s="227">
        <f>G11/I11*100/40</f>
        <v>840.39401553220648</v>
      </c>
      <c r="I11" s="227">
        <f>'Alcance y tiempo'!P11</f>
        <v>218.9</v>
      </c>
      <c r="J11" s="228">
        <v>900</v>
      </c>
      <c r="K11" s="228">
        <f>I11*J11</f>
        <v>197010</v>
      </c>
      <c r="M11" s="228">
        <v>1200</v>
      </c>
      <c r="N11" s="228">
        <f>M11*I11</f>
        <v>262680</v>
      </c>
      <c r="R11" s="428" t="s">
        <v>611</v>
      </c>
      <c r="S11" s="429">
        <v>50000</v>
      </c>
      <c r="T11" s="430" t="s">
        <v>612</v>
      </c>
    </row>
    <row r="12" spans="2:20" ht="49.9" customHeight="1" x14ac:dyDescent="0.3">
      <c r="B12" s="213"/>
      <c r="C12" s="619" t="s">
        <v>590</v>
      </c>
      <c r="D12" s="619"/>
      <c r="E12" s="619"/>
      <c r="F12" s="226">
        <f>(I12/160)/2</f>
        <v>1.4382812500000004</v>
      </c>
      <c r="G12" s="227">
        <f>SUM('Fechas y costos'!K25:K28)</f>
        <v>111445.75</v>
      </c>
      <c r="H12" s="227">
        <f>G12/I12*100/40</f>
        <v>605.3544269418793</v>
      </c>
      <c r="I12" s="227">
        <f>'Alcance y tiempo'!P41</f>
        <v>460.25000000000011</v>
      </c>
      <c r="J12" s="228">
        <v>900</v>
      </c>
      <c r="K12" s="228">
        <f>I12*J12</f>
        <v>414225.00000000012</v>
      </c>
      <c r="M12" s="228">
        <v>1200</v>
      </c>
      <c r="N12" s="228">
        <f>M12*I12</f>
        <v>552300.00000000012</v>
      </c>
      <c r="Q12" s="165">
        <f>N11+N12</f>
        <v>814980.00000000012</v>
      </c>
      <c r="R12" s="58" t="s">
        <v>702</v>
      </c>
    </row>
    <row r="13" spans="2:20" ht="67.900000000000006" customHeight="1" x14ac:dyDescent="0.3">
      <c r="B13" s="213"/>
      <c r="C13" s="619" t="s">
        <v>591</v>
      </c>
      <c r="D13" s="619"/>
      <c r="E13" s="619"/>
      <c r="F13" s="226">
        <f>(I13/160)/2</f>
        <v>0.30718750000000006</v>
      </c>
      <c r="G13" s="227">
        <f>SUM('Fechas y costos'!K30:K32)</f>
        <v>46481.200000000004</v>
      </c>
      <c r="H13" s="227">
        <f>G13/I13*100/40</f>
        <v>1182.1261444557476</v>
      </c>
      <c r="I13" s="227">
        <f>'Alcance y tiempo'!P114</f>
        <v>98.300000000000011</v>
      </c>
      <c r="J13" s="228">
        <v>900</v>
      </c>
      <c r="K13" s="228">
        <f>I13*J13</f>
        <v>88470.000000000015</v>
      </c>
      <c r="M13" s="228">
        <v>1200</v>
      </c>
      <c r="N13" s="228">
        <f>M13*I13</f>
        <v>117960.00000000001</v>
      </c>
      <c r="O13" s="165"/>
      <c r="Q13" s="165">
        <f>N13+N14</f>
        <v>233820</v>
      </c>
      <c r="R13" s="165" t="s">
        <v>701</v>
      </c>
    </row>
    <row r="14" spans="2:20" ht="64.150000000000006" customHeight="1" x14ac:dyDescent="0.3">
      <c r="B14" s="213"/>
      <c r="C14" s="619" t="s">
        <v>592</v>
      </c>
      <c r="D14" s="619"/>
      <c r="E14" s="619"/>
      <c r="F14" s="390">
        <f>(I14/160)/1</f>
        <v>0.60343749999999985</v>
      </c>
      <c r="G14" s="227">
        <f>SUM('Fechas y costos'!K34:K36)</f>
        <v>40671.049999999996</v>
      </c>
      <c r="H14" s="227">
        <f>G14/I14*100/40</f>
        <v>1053.1084930088039</v>
      </c>
      <c r="I14" s="227">
        <f>'Alcance y tiempo'!P129</f>
        <v>96.549999999999983</v>
      </c>
      <c r="J14" s="228">
        <v>900</v>
      </c>
      <c r="K14" s="228">
        <f>I14*J14</f>
        <v>86894.999999999985</v>
      </c>
      <c r="M14" s="228">
        <v>1200</v>
      </c>
      <c r="N14" s="228">
        <f>M14*I14</f>
        <v>115859.99999999999</v>
      </c>
    </row>
    <row r="15" spans="2:20" ht="3.65" customHeight="1" x14ac:dyDescent="0.3">
      <c r="B15" s="213"/>
      <c r="C15" s="390"/>
      <c r="D15" s="390"/>
      <c r="E15" s="390"/>
      <c r="F15" s="390"/>
      <c r="G15" s="227"/>
      <c r="H15" s="227"/>
      <c r="I15" s="227"/>
      <c r="J15" s="228"/>
      <c r="K15" s="228"/>
      <c r="M15" s="228"/>
      <c r="N15" s="228"/>
    </row>
    <row r="16" spans="2:20" ht="15" hidden="1" customHeight="1" x14ac:dyDescent="0.3">
      <c r="C16" s="621" t="s">
        <v>430</v>
      </c>
      <c r="D16" s="621"/>
      <c r="E16" s="621"/>
      <c r="F16" s="237"/>
      <c r="G16" s="238"/>
      <c r="H16" s="238"/>
      <c r="I16" s="238"/>
      <c r="J16" s="238"/>
      <c r="K16" s="236">
        <f>K17</f>
        <v>0</v>
      </c>
      <c r="L16" s="58" t="s">
        <v>444</v>
      </c>
      <c r="M16" s="238"/>
      <c r="N16" s="236">
        <f>N17</f>
        <v>0</v>
      </c>
    </row>
    <row r="17" spans="2:19" ht="21.25" hidden="1" customHeight="1" thickBot="1" x14ac:dyDescent="0.35">
      <c r="C17" s="620" t="s">
        <v>450</v>
      </c>
      <c r="D17" s="620"/>
      <c r="E17" s="620"/>
      <c r="F17" s="246"/>
      <c r="G17" s="247"/>
      <c r="H17" s="247"/>
      <c r="I17" s="248">
        <v>0</v>
      </c>
      <c r="J17" s="249"/>
      <c r="K17" s="249">
        <f>I17*K10</f>
        <v>0</v>
      </c>
      <c r="M17" s="249"/>
      <c r="N17" s="249">
        <f>L17*N10</f>
        <v>0</v>
      </c>
    </row>
    <row r="18" spans="2:19" x14ac:dyDescent="0.3">
      <c r="C18" s="214"/>
      <c r="D18" s="214"/>
      <c r="E18" s="214"/>
      <c r="F18" s="214"/>
      <c r="G18" s="214"/>
      <c r="H18" s="214"/>
      <c r="I18" s="214"/>
      <c r="J18" s="229"/>
      <c r="K18" s="215"/>
      <c r="M18" s="229"/>
      <c r="N18" s="215"/>
    </row>
    <row r="19" spans="2:19" ht="7.5" customHeight="1" x14ac:dyDescent="0.3">
      <c r="C19" s="216"/>
      <c r="D19" s="216"/>
      <c r="E19" s="216"/>
      <c r="F19" s="216"/>
      <c r="G19" s="216"/>
      <c r="H19" s="216"/>
      <c r="I19" s="216"/>
      <c r="J19" s="217"/>
      <c r="K19" s="230"/>
      <c r="M19" s="217"/>
      <c r="N19" s="230"/>
    </row>
    <row r="20" spans="2:19" x14ac:dyDescent="0.3">
      <c r="C20" s="216"/>
      <c r="D20" s="216"/>
      <c r="E20" s="216"/>
      <c r="F20" s="216"/>
      <c r="G20" s="216"/>
      <c r="H20" s="216"/>
      <c r="I20" s="216"/>
      <c r="J20" s="229" t="s">
        <v>519</v>
      </c>
      <c r="K20" s="245">
        <f>K10-K16</f>
        <v>786600.00000000012</v>
      </c>
      <c r="L20" s="218">
        <f>'Fechas y costos'!L45</f>
        <v>0.67560199752097638</v>
      </c>
      <c r="M20" s="229" t="s">
        <v>519</v>
      </c>
      <c r="N20" s="245">
        <f>N10-N16</f>
        <v>1048800</v>
      </c>
      <c r="O20" s="426" t="s">
        <v>611</v>
      </c>
      <c r="P20" s="165">
        <f>N20*0.05</f>
        <v>52440</v>
      </c>
      <c r="Q20" s="501">
        <f>N20-P20</f>
        <v>996360</v>
      </c>
      <c r="S20" s="165"/>
    </row>
    <row r="21" spans="2:19" x14ac:dyDescent="0.3">
      <c r="C21" s="216"/>
      <c r="D21" s="216"/>
      <c r="E21" s="216"/>
      <c r="F21" s="216"/>
      <c r="G21" s="216"/>
      <c r="H21" s="216"/>
      <c r="I21" s="216"/>
      <c r="J21" s="229" t="s">
        <v>517</v>
      </c>
      <c r="K21" s="239">
        <f>K20*0.16</f>
        <v>125856.00000000001</v>
      </c>
      <c r="L21" s="218"/>
      <c r="M21" s="229" t="s">
        <v>602</v>
      </c>
      <c r="N21" s="239">
        <f>N20*0.16</f>
        <v>167808</v>
      </c>
      <c r="O21" s="426" t="s">
        <v>611</v>
      </c>
      <c r="P21" s="165"/>
      <c r="Q21" s="219"/>
    </row>
    <row r="22" spans="2:19" x14ac:dyDescent="0.3">
      <c r="C22" s="216"/>
      <c r="D22" s="216"/>
      <c r="E22" s="216"/>
      <c r="F22" s="216"/>
      <c r="G22" s="216"/>
      <c r="H22" s="216"/>
      <c r="I22" s="216"/>
      <c r="J22" s="229" t="s">
        <v>518</v>
      </c>
      <c r="K22" s="245">
        <f>K20*1.16</f>
        <v>912456.00000000012</v>
      </c>
      <c r="L22" s="218"/>
      <c r="M22" s="229" t="s">
        <v>518</v>
      </c>
      <c r="N22" s="245">
        <f>N20*1.16</f>
        <v>1216608</v>
      </c>
      <c r="O22" s="426" t="s">
        <v>611</v>
      </c>
      <c r="P22" s="165"/>
      <c r="Q22" s="219"/>
    </row>
    <row r="23" spans="2:19" x14ac:dyDescent="0.3">
      <c r="C23" s="188"/>
      <c r="D23" s="188"/>
      <c r="E23" s="188"/>
      <c r="F23" s="188"/>
      <c r="G23" s="188"/>
      <c r="H23" s="188"/>
      <c r="I23" s="188"/>
      <c r="J23" s="220"/>
      <c r="K23" s="221"/>
      <c r="M23" s="220"/>
      <c r="N23" s="221"/>
    </row>
    <row r="24" spans="2:19" x14ac:dyDescent="0.3">
      <c r="C24" s="188"/>
      <c r="D24" s="188"/>
      <c r="E24" s="188"/>
      <c r="F24" s="188"/>
      <c r="G24" s="188"/>
      <c r="H24" s="188"/>
      <c r="I24" s="188"/>
      <c r="J24" s="220"/>
      <c r="K24" s="221"/>
      <c r="N24" s="165"/>
    </row>
    <row r="25" spans="2:19" x14ac:dyDescent="0.3">
      <c r="C25" s="188"/>
      <c r="D25" s="188"/>
      <c r="E25" s="188"/>
      <c r="F25" s="188"/>
      <c r="G25" s="188"/>
      <c r="H25" s="188"/>
      <c r="I25" s="188"/>
      <c r="J25" s="220"/>
      <c r="K25" s="240"/>
      <c r="L25" s="188"/>
      <c r="M25" s="188"/>
      <c r="N25" s="433">
        <v>1</v>
      </c>
      <c r="O25" s="188"/>
    </row>
    <row r="26" spans="2:19" s="56" customFormat="1" ht="21.75" hidden="1" customHeight="1" x14ac:dyDescent="0.3">
      <c r="B26" s="222"/>
      <c r="E26" s="158"/>
      <c r="F26" s="158"/>
      <c r="G26" s="158"/>
      <c r="H26" s="158"/>
      <c r="I26" s="174" t="s">
        <v>47</v>
      </c>
      <c r="J26" s="239" t="s">
        <v>48</v>
      </c>
      <c r="K26" s="239" t="s">
        <v>49</v>
      </c>
      <c r="L26" s="188"/>
      <c r="M26" s="188"/>
      <c r="N26" s="188"/>
      <c r="O26" s="158"/>
    </row>
    <row r="27" spans="2:19" s="56" customFormat="1" hidden="1" x14ac:dyDescent="0.3">
      <c r="B27" s="222"/>
      <c r="E27" s="158"/>
      <c r="F27" s="158"/>
      <c r="G27" s="158"/>
      <c r="H27" s="158"/>
      <c r="I27" s="224">
        <f>SUM(I28:I31)</f>
        <v>874</v>
      </c>
      <c r="J27" s="241"/>
      <c r="K27" s="225">
        <f>SUM(K28:K31)</f>
        <v>782464.48499999987</v>
      </c>
      <c r="L27" s="188"/>
      <c r="M27" s="188"/>
      <c r="N27" s="188"/>
      <c r="O27" s="158"/>
    </row>
    <row r="28" spans="2:19" hidden="1" x14ac:dyDescent="0.3">
      <c r="E28" s="158"/>
      <c r="F28" s="158"/>
      <c r="G28" s="158"/>
      <c r="H28" s="158"/>
      <c r="I28" s="227">
        <f>'Alcance y tiempo'!P11</f>
        <v>218.9</v>
      </c>
      <c r="J28" s="228">
        <f>'Fechas y costos'!N19</f>
        <v>967.15</v>
      </c>
      <c r="K28" s="228">
        <f>I28*J28</f>
        <v>211709.13500000001</v>
      </c>
      <c r="L28" s="188"/>
      <c r="M28" s="188"/>
      <c r="N28" s="188"/>
      <c r="O28" s="188"/>
    </row>
    <row r="29" spans="2:19" hidden="1" x14ac:dyDescent="0.3">
      <c r="E29" s="158"/>
      <c r="F29" s="158"/>
      <c r="G29" s="158"/>
      <c r="H29" s="158"/>
      <c r="I29" s="227">
        <f>'Alcance y tiempo'!P41</f>
        <v>460.25000000000011</v>
      </c>
      <c r="J29" s="228">
        <f>'Fechas y costos'!N24</f>
        <v>695.75</v>
      </c>
      <c r="K29" s="228">
        <f>I29*J29</f>
        <v>320218.93750000006</v>
      </c>
      <c r="L29" s="188"/>
      <c r="M29" s="188"/>
      <c r="N29" s="188"/>
      <c r="O29" s="188"/>
    </row>
    <row r="30" spans="2:19" hidden="1" x14ac:dyDescent="0.3">
      <c r="E30" s="158"/>
      <c r="F30" s="158"/>
      <c r="G30" s="158"/>
      <c r="H30" s="158"/>
      <c r="I30" s="227">
        <f>'Alcance y tiempo'!P114</f>
        <v>98.300000000000011</v>
      </c>
      <c r="J30" s="228">
        <f>'Fechas y costos'!N29</f>
        <v>1359.3</v>
      </c>
      <c r="K30" s="228">
        <f>I30*J30</f>
        <v>133619.19</v>
      </c>
      <c r="L30" s="188"/>
      <c r="M30" s="188"/>
      <c r="N30" s="188"/>
      <c r="O30" s="188"/>
    </row>
    <row r="31" spans="2:19" hidden="1" x14ac:dyDescent="0.3">
      <c r="E31" s="158"/>
      <c r="F31" s="158"/>
      <c r="G31" s="158"/>
      <c r="H31" s="158"/>
      <c r="I31" s="227">
        <f>'Alcance y tiempo'!P129</f>
        <v>96.549999999999983</v>
      </c>
      <c r="J31" s="228">
        <f>'Fechas y costos'!N33</f>
        <v>1210.9499999999998</v>
      </c>
      <c r="K31" s="228">
        <f>I31*J31</f>
        <v>116917.22249999996</v>
      </c>
      <c r="L31" s="188"/>
      <c r="M31" s="188"/>
      <c r="N31" s="188"/>
      <c r="O31" s="188"/>
    </row>
    <row r="32" spans="2:19" hidden="1" x14ac:dyDescent="0.3">
      <c r="E32" s="158"/>
      <c r="F32" s="158"/>
      <c r="G32" s="158"/>
      <c r="H32" s="158"/>
      <c r="I32" s="158"/>
      <c r="J32" s="220"/>
      <c r="K32" s="220"/>
      <c r="L32" s="188"/>
      <c r="M32" s="188"/>
      <c r="N32" s="188"/>
      <c r="O32" s="188"/>
    </row>
    <row r="33" spans="5:15" hidden="1" x14ac:dyDescent="0.3">
      <c r="E33" s="158"/>
      <c r="F33" s="158"/>
      <c r="G33" s="158"/>
      <c r="H33" s="158"/>
      <c r="I33" s="158"/>
      <c r="J33" s="220"/>
      <c r="K33" s="220"/>
      <c r="L33" s="188"/>
      <c r="M33" s="188"/>
      <c r="N33" s="188"/>
      <c r="O33" s="188"/>
    </row>
    <row r="34" spans="5:15" hidden="1" x14ac:dyDescent="0.3">
      <c r="E34" s="158"/>
      <c r="F34" s="158"/>
      <c r="G34" s="158"/>
      <c r="H34" s="158"/>
      <c r="I34" s="158"/>
      <c r="J34" s="242" t="s">
        <v>249</v>
      </c>
      <c r="K34" s="239">
        <f>K28+K29+K30+K31</f>
        <v>782464.48499999987</v>
      </c>
      <c r="L34" s="243">
        <f>(K34-('Fechas y costos'!K41))/K34</f>
        <v>0.56518330030020469</v>
      </c>
      <c r="M34" s="191" t="s">
        <v>297</v>
      </c>
      <c r="N34" s="188"/>
      <c r="O34" s="188"/>
    </row>
    <row r="35" spans="5:15" hidden="1" x14ac:dyDescent="0.3">
      <c r="E35" s="158"/>
      <c r="F35" s="158"/>
      <c r="G35" s="158"/>
      <c r="H35" s="158"/>
      <c r="I35" s="158"/>
      <c r="J35" s="220"/>
      <c r="K35" s="220"/>
      <c r="L35" s="243"/>
      <c r="M35" s="188"/>
      <c r="N35" s="188"/>
      <c r="O35" s="188"/>
    </row>
    <row r="36" spans="5:15" x14ac:dyDescent="0.3">
      <c r="E36" s="158"/>
      <c r="F36" s="158"/>
      <c r="G36" s="158"/>
      <c r="H36" s="158"/>
      <c r="I36" s="158"/>
      <c r="J36" s="244"/>
      <c r="K36" s="159"/>
      <c r="L36" s="188"/>
      <c r="M36" s="188"/>
      <c r="N36" s="188">
        <f>N25/M14</f>
        <v>8.3333333333333339E-4</v>
      </c>
      <c r="O36" s="188"/>
    </row>
    <row r="37" spans="5:15" x14ac:dyDescent="0.3">
      <c r="K37" s="57"/>
    </row>
    <row r="38" spans="5:15" x14ac:dyDescent="0.3">
      <c r="K38" s="57"/>
    </row>
  </sheetData>
  <mergeCells count="9">
    <mergeCell ref="C13:E13"/>
    <mergeCell ref="C14:E14"/>
    <mergeCell ref="C17:E17"/>
    <mergeCell ref="C16:E16"/>
    <mergeCell ref="C7:K7"/>
    <mergeCell ref="C9:E9"/>
    <mergeCell ref="C10:E10"/>
    <mergeCell ref="C11:E11"/>
    <mergeCell ref="C12:E12"/>
  </mergeCells>
  <pageMargins left="0.7" right="0.7" top="0.75" bottom="0.75" header="0.3" footer="0.3"/>
  <pageSetup orientation="portrait" horizontalDpi="200" verticalDpi="20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88"/>
  <sheetViews>
    <sheetView showGridLines="0" zoomScale="90" zoomScaleNormal="90" zoomScaleSheetLayoutView="100" workbookViewId="0">
      <selection activeCell="C16" sqref="C16"/>
    </sheetView>
  </sheetViews>
  <sheetFormatPr baseColWidth="10" defaultColWidth="11.26953125" defaultRowHeight="13" x14ac:dyDescent="0.3"/>
  <cols>
    <col min="1" max="2" width="1.7265625" style="27" customWidth="1"/>
    <col min="3" max="3" width="60.1796875" style="27" customWidth="1"/>
    <col min="4" max="6" width="11.26953125" style="27"/>
    <col min="7" max="7" width="7.81640625" style="27" customWidth="1"/>
    <col min="8" max="16384" width="11.26953125" style="27"/>
  </cols>
  <sheetData>
    <row r="1" spans="3:7" ht="15" customHeight="1" x14ac:dyDescent="0.3">
      <c r="D1" s="28"/>
      <c r="E1" s="25"/>
      <c r="F1" s="79"/>
    </row>
    <row r="2" spans="3:7" ht="15" customHeight="1" x14ac:dyDescent="0.3">
      <c r="C2" s="205"/>
      <c r="D2" s="28"/>
      <c r="E2" s="25"/>
      <c r="F2" s="79"/>
      <c r="G2" s="29" t="s">
        <v>0</v>
      </c>
    </row>
    <row r="3" spans="3:7" ht="15" customHeight="1" x14ac:dyDescent="0.3">
      <c r="C3" s="31"/>
      <c r="D3" s="30"/>
      <c r="E3" s="25"/>
      <c r="F3" s="31"/>
      <c r="G3" s="31" t="str">
        <f>'Información proyecto'!D3</f>
        <v>Versión: 0.1</v>
      </c>
    </row>
    <row r="4" spans="3:7" ht="1.5" customHeight="1" x14ac:dyDescent="0.3">
      <c r="C4" s="34"/>
      <c r="D4" s="32"/>
      <c r="E4" s="32"/>
      <c r="F4" s="32"/>
      <c r="G4" s="33">
        <f>'Información proyecto'!D4</f>
        <v>0</v>
      </c>
    </row>
    <row r="5" spans="3:7" ht="15" customHeight="1" x14ac:dyDescent="0.3">
      <c r="C5" s="35"/>
      <c r="D5" s="30"/>
      <c r="E5" s="25"/>
      <c r="F5" s="35"/>
      <c r="G5" s="31" t="str">
        <f>'Información proyecto'!D5</f>
        <v>Proyecto:  Admin Eventos</v>
      </c>
    </row>
    <row r="6" spans="3:7" x14ac:dyDescent="0.3">
      <c r="C6" s="36"/>
      <c r="D6" s="36"/>
      <c r="E6" s="36"/>
      <c r="F6" s="36"/>
    </row>
    <row r="7" spans="3:7" x14ac:dyDescent="0.3">
      <c r="C7" s="603" t="s">
        <v>54</v>
      </c>
      <c r="D7" s="603"/>
      <c r="E7" s="603"/>
      <c r="F7" s="603"/>
    </row>
    <row r="8" spans="3:7" ht="18.75" customHeight="1" x14ac:dyDescent="0.3">
      <c r="C8" s="36"/>
      <c r="D8" s="36"/>
      <c r="E8" s="36"/>
      <c r="F8" s="36"/>
    </row>
    <row r="9" spans="3:7" x14ac:dyDescent="0.3">
      <c r="C9" s="623" t="s">
        <v>55</v>
      </c>
      <c r="D9" s="623"/>
      <c r="E9" s="623"/>
      <c r="F9" s="623"/>
    </row>
    <row r="10" spans="3:7" x14ac:dyDescent="0.3">
      <c r="C10" s="319"/>
      <c r="D10" s="319"/>
      <c r="E10" s="319"/>
      <c r="F10" s="319"/>
    </row>
    <row r="11" spans="3:7" x14ac:dyDescent="0.3">
      <c r="C11" s="319"/>
      <c r="D11" s="319"/>
      <c r="E11" s="319"/>
      <c r="F11" s="319"/>
    </row>
    <row r="12" spans="3:7" x14ac:dyDescent="0.3">
      <c r="C12" s="319"/>
      <c r="D12" s="319"/>
      <c r="E12" s="319"/>
      <c r="F12" s="319"/>
    </row>
    <row r="13" spans="3:7" x14ac:dyDescent="0.3">
      <c r="C13" s="319"/>
      <c r="D13" s="319"/>
      <c r="E13" s="319"/>
      <c r="F13" s="319"/>
    </row>
    <row r="14" spans="3:7" x14ac:dyDescent="0.3">
      <c r="C14" s="319"/>
      <c r="D14" s="319"/>
      <c r="E14" s="319"/>
      <c r="F14" s="319"/>
    </row>
    <row r="15" spans="3:7" x14ac:dyDescent="0.3">
      <c r="C15" s="319"/>
      <c r="D15" s="319"/>
      <c r="E15" s="319"/>
      <c r="F15" s="319"/>
    </row>
    <row r="16" spans="3:7" x14ac:dyDescent="0.3">
      <c r="C16" s="319"/>
      <c r="D16" s="319"/>
      <c r="E16" s="319"/>
      <c r="F16" s="319"/>
    </row>
    <row r="17" spans="3:6" x14ac:dyDescent="0.3">
      <c r="C17" s="319"/>
      <c r="D17" s="319"/>
      <c r="E17" s="319"/>
      <c r="F17" s="319"/>
    </row>
    <row r="18" spans="3:6" x14ac:dyDescent="0.3">
      <c r="C18" s="319"/>
      <c r="D18" s="319"/>
      <c r="E18" s="319"/>
      <c r="F18" s="319"/>
    </row>
    <row r="19" spans="3:6" x14ac:dyDescent="0.3">
      <c r="C19" s="319"/>
      <c r="D19" s="319"/>
      <c r="E19" s="319"/>
      <c r="F19" s="319"/>
    </row>
    <row r="20" spans="3:6" x14ac:dyDescent="0.3">
      <c r="C20" s="319"/>
      <c r="D20" s="319"/>
      <c r="E20" s="319"/>
      <c r="F20" s="319"/>
    </row>
    <row r="21" spans="3:6" x14ac:dyDescent="0.3">
      <c r="C21" s="319"/>
      <c r="D21" s="319"/>
      <c r="E21" s="319"/>
      <c r="F21" s="319"/>
    </row>
    <row r="22" spans="3:6" x14ac:dyDescent="0.3">
      <c r="C22" s="319"/>
      <c r="D22" s="319"/>
      <c r="E22" s="319"/>
      <c r="F22" s="319"/>
    </row>
    <row r="23" spans="3:6" x14ac:dyDescent="0.3">
      <c r="C23" s="319"/>
      <c r="D23" s="319"/>
      <c r="E23" s="319"/>
      <c r="F23" s="319"/>
    </row>
    <row r="24" spans="3:6" x14ac:dyDescent="0.3">
      <c r="C24" s="319"/>
      <c r="D24" s="319"/>
      <c r="E24" s="319"/>
      <c r="F24" s="319"/>
    </row>
    <row r="25" spans="3:6" x14ac:dyDescent="0.3">
      <c r="C25" s="319"/>
      <c r="D25" s="319"/>
      <c r="E25" s="319"/>
      <c r="F25" s="319"/>
    </row>
    <row r="26" spans="3:6" x14ac:dyDescent="0.3">
      <c r="C26" s="319"/>
      <c r="D26" s="319"/>
      <c r="E26" s="319"/>
      <c r="F26" s="319"/>
    </row>
    <row r="27" spans="3:6" x14ac:dyDescent="0.3">
      <c r="C27" s="319"/>
      <c r="D27" s="319"/>
      <c r="E27" s="319"/>
      <c r="F27" s="319"/>
    </row>
    <row r="28" spans="3:6" x14ac:dyDescent="0.3">
      <c r="C28" s="319"/>
      <c r="D28" s="319"/>
      <c r="E28" s="319"/>
      <c r="F28" s="319"/>
    </row>
    <row r="29" spans="3:6" x14ac:dyDescent="0.3">
      <c r="C29" s="319"/>
      <c r="D29" s="319"/>
      <c r="E29" s="319"/>
      <c r="F29" s="319"/>
    </row>
    <row r="30" spans="3:6" x14ac:dyDescent="0.3">
      <c r="C30" s="319"/>
      <c r="D30" s="319"/>
      <c r="E30" s="319"/>
      <c r="F30" s="319"/>
    </row>
    <row r="31" spans="3:6" x14ac:dyDescent="0.3">
      <c r="C31" s="319"/>
      <c r="D31" s="319"/>
      <c r="E31" s="319"/>
      <c r="F31" s="319"/>
    </row>
    <row r="32" spans="3:6" x14ac:dyDescent="0.3">
      <c r="C32" s="319"/>
      <c r="D32" s="319"/>
      <c r="E32" s="319"/>
      <c r="F32" s="319"/>
    </row>
    <row r="33" spans="2:9" x14ac:dyDescent="0.3">
      <c r="C33" s="319"/>
      <c r="D33" s="319"/>
      <c r="E33" s="319"/>
      <c r="F33" s="319"/>
    </row>
    <row r="34" spans="2:9" x14ac:dyDescent="0.3">
      <c r="C34" s="319"/>
      <c r="D34" s="319"/>
      <c r="E34" s="319"/>
      <c r="F34" s="319"/>
    </row>
    <row r="35" spans="2:9" x14ac:dyDescent="0.3">
      <c r="C35" s="319"/>
      <c r="D35" s="319"/>
      <c r="E35" s="319"/>
      <c r="F35" s="319"/>
    </row>
    <row r="36" spans="2:9" x14ac:dyDescent="0.3">
      <c r="C36" s="319"/>
      <c r="D36" s="319"/>
      <c r="E36" s="319"/>
      <c r="F36" s="319"/>
      <c r="I36" s="118" t="s">
        <v>232</v>
      </c>
    </row>
    <row r="37" spans="2:9" x14ac:dyDescent="0.3">
      <c r="C37" s="319"/>
      <c r="D37" s="319"/>
      <c r="E37" s="319"/>
      <c r="F37" s="319"/>
      <c r="I37" s="111" t="s">
        <v>233</v>
      </c>
    </row>
    <row r="38" spans="2:9" x14ac:dyDescent="0.3">
      <c r="C38" s="319"/>
      <c r="D38" s="319"/>
      <c r="E38" s="319"/>
      <c r="F38" s="319"/>
    </row>
    <row r="39" spans="2:9" ht="14" x14ac:dyDescent="0.3">
      <c r="B39" s="28"/>
      <c r="C39" s="320" t="str">
        <f>'Alcance y tiempo'!L11</f>
        <v>ANÁLISIS Y DISEÑO</v>
      </c>
      <c r="D39" s="321"/>
      <c r="E39" s="321"/>
      <c r="F39" s="322">
        <f>'Alcance y tiempo'!P11</f>
        <v>218.9</v>
      </c>
    </row>
    <row r="40" spans="2:9" ht="14" x14ac:dyDescent="0.3">
      <c r="B40" s="28"/>
      <c r="C40" s="320" t="str">
        <f>'Alcance y tiempo'!L41</f>
        <v>CONSTRUCCIÓN</v>
      </c>
      <c r="D40" s="321"/>
      <c r="E40" s="321"/>
      <c r="F40" s="322">
        <f>'Alcance y tiempo'!P41</f>
        <v>460.25000000000011</v>
      </c>
    </row>
    <row r="41" spans="2:9" ht="14" x14ac:dyDescent="0.3">
      <c r="B41" s="28"/>
      <c r="C41" s="320" t="str">
        <f>'Alcance y tiempo'!L114</f>
        <v>INTEGRACIÓN</v>
      </c>
      <c r="D41" s="321"/>
      <c r="E41" s="321"/>
      <c r="F41" s="322">
        <f>'Alcance y tiempo'!P114</f>
        <v>98.300000000000011</v>
      </c>
    </row>
    <row r="42" spans="2:9" ht="14" x14ac:dyDescent="0.3">
      <c r="B42" s="28"/>
      <c r="C42" s="320" t="str">
        <f>'Alcance y tiempo'!L129</f>
        <v>IMPLEMENTACIÓN</v>
      </c>
      <c r="D42" s="321"/>
      <c r="E42" s="321"/>
      <c r="F42" s="322">
        <f>'Alcance y tiempo'!P129</f>
        <v>96.549999999999983</v>
      </c>
    </row>
    <row r="43" spans="2:9" ht="17.5" x14ac:dyDescent="0.35">
      <c r="C43" s="28"/>
      <c r="D43" s="28"/>
      <c r="E43" s="91" t="s">
        <v>30</v>
      </c>
      <c r="F43" s="323">
        <f>SUM(F39:F42)</f>
        <v>874</v>
      </c>
    </row>
    <row r="44" spans="2:9" x14ac:dyDescent="0.3">
      <c r="C44" s="28"/>
      <c r="D44" s="28"/>
      <c r="E44" s="25"/>
      <c r="F44" s="79"/>
    </row>
    <row r="45" spans="2:9" x14ac:dyDescent="0.3">
      <c r="C45" s="28"/>
      <c r="D45" s="28"/>
      <c r="E45" s="25"/>
      <c r="F45" s="79"/>
    </row>
    <row r="46" spans="2:9" x14ac:dyDescent="0.3">
      <c r="C46" s="28"/>
      <c r="D46" s="28"/>
      <c r="E46" s="25"/>
      <c r="F46" s="79"/>
    </row>
    <row r="47" spans="2:9" x14ac:dyDescent="0.3">
      <c r="C47" s="28"/>
      <c r="D47" s="28"/>
      <c r="E47" s="25"/>
      <c r="F47" s="79"/>
    </row>
    <row r="48" spans="2:9" x14ac:dyDescent="0.3">
      <c r="C48" s="28"/>
      <c r="D48" s="28"/>
      <c r="E48" s="25"/>
      <c r="F48" s="79"/>
    </row>
    <row r="49" spans="3:6" x14ac:dyDescent="0.3">
      <c r="C49" s="28"/>
      <c r="D49" s="28"/>
      <c r="E49" s="25"/>
      <c r="F49" s="79"/>
    </row>
    <row r="50" spans="3:6" x14ac:dyDescent="0.3">
      <c r="C50" s="28"/>
      <c r="D50" s="28"/>
      <c r="E50" s="25"/>
      <c r="F50" s="79"/>
    </row>
    <row r="51" spans="3:6" x14ac:dyDescent="0.3">
      <c r="C51" s="28"/>
      <c r="D51" s="28"/>
      <c r="E51" s="25"/>
      <c r="F51" s="79"/>
    </row>
    <row r="52" spans="3:6" x14ac:dyDescent="0.3">
      <c r="C52" s="28"/>
      <c r="D52" s="28"/>
      <c r="E52" s="25"/>
      <c r="F52" s="79"/>
    </row>
    <row r="53" spans="3:6" x14ac:dyDescent="0.3">
      <c r="C53" s="28"/>
      <c r="D53" s="28"/>
      <c r="E53" s="25"/>
      <c r="F53" s="79"/>
    </row>
    <row r="54" spans="3:6" x14ac:dyDescent="0.3">
      <c r="C54" s="28"/>
      <c r="D54" s="28"/>
      <c r="E54" s="25"/>
      <c r="F54" s="79"/>
    </row>
    <row r="55" spans="3:6" x14ac:dyDescent="0.3">
      <c r="C55" s="28"/>
      <c r="D55" s="28"/>
      <c r="E55" s="25"/>
      <c r="F55" s="79"/>
    </row>
    <row r="56" spans="3:6" x14ac:dyDescent="0.3">
      <c r="C56" s="28"/>
      <c r="D56" s="28"/>
      <c r="E56" s="25"/>
      <c r="F56" s="79"/>
    </row>
    <row r="57" spans="3:6" x14ac:dyDescent="0.3">
      <c r="C57" s="28"/>
      <c r="D57" s="28"/>
      <c r="E57" s="25"/>
      <c r="F57" s="79"/>
    </row>
    <row r="58" spans="3:6" x14ac:dyDescent="0.3">
      <c r="C58" s="28"/>
      <c r="D58" s="28"/>
      <c r="E58" s="25"/>
      <c r="F58" s="79"/>
    </row>
    <row r="59" spans="3:6" x14ac:dyDescent="0.3">
      <c r="C59" s="28"/>
      <c r="D59" s="28"/>
      <c r="E59" s="25"/>
      <c r="F59" s="79"/>
    </row>
    <row r="60" spans="3:6" x14ac:dyDescent="0.3">
      <c r="C60" s="28"/>
      <c r="D60" s="28"/>
      <c r="E60" s="25"/>
      <c r="F60" s="79"/>
    </row>
    <row r="61" spans="3:6" x14ac:dyDescent="0.3">
      <c r="C61" s="28"/>
      <c r="D61" s="28"/>
      <c r="E61" s="25"/>
      <c r="F61" s="79"/>
    </row>
    <row r="62" spans="3:6" x14ac:dyDescent="0.3">
      <c r="C62" s="28"/>
      <c r="D62" s="28"/>
      <c r="E62" s="25"/>
      <c r="F62" s="79"/>
    </row>
    <row r="63" spans="3:6" x14ac:dyDescent="0.3">
      <c r="C63" s="28"/>
      <c r="D63" s="28"/>
      <c r="E63" s="25"/>
      <c r="F63" s="79"/>
    </row>
    <row r="64" spans="3:6" x14ac:dyDescent="0.3">
      <c r="C64" s="28"/>
      <c r="D64" s="28"/>
      <c r="E64" s="25"/>
      <c r="F64" s="79"/>
    </row>
    <row r="65" spans="3:6" x14ac:dyDescent="0.3">
      <c r="C65" s="28"/>
      <c r="D65" s="28"/>
      <c r="E65" s="25"/>
      <c r="F65" s="79"/>
    </row>
    <row r="66" spans="3:6" x14ac:dyDescent="0.3">
      <c r="C66" s="28"/>
      <c r="D66" s="28"/>
      <c r="E66" s="25"/>
      <c r="F66" s="79"/>
    </row>
    <row r="67" spans="3:6" x14ac:dyDescent="0.3">
      <c r="C67" s="28"/>
      <c r="D67" s="28"/>
      <c r="E67" s="25"/>
      <c r="F67" s="79"/>
    </row>
    <row r="68" spans="3:6" x14ac:dyDescent="0.3">
      <c r="C68" s="28"/>
      <c r="D68" s="28"/>
      <c r="E68" s="25"/>
      <c r="F68" s="79"/>
    </row>
    <row r="69" spans="3:6" x14ac:dyDescent="0.3">
      <c r="C69" s="28"/>
      <c r="D69" s="28"/>
      <c r="E69" s="25"/>
      <c r="F69" s="79"/>
    </row>
    <row r="70" spans="3:6" x14ac:dyDescent="0.3">
      <c r="C70" s="28"/>
      <c r="D70" s="28"/>
      <c r="E70" s="25"/>
      <c r="F70" s="79"/>
    </row>
    <row r="71" spans="3:6" x14ac:dyDescent="0.3">
      <c r="C71" s="28"/>
      <c r="D71" s="28"/>
      <c r="E71" s="25"/>
      <c r="F71" s="79"/>
    </row>
    <row r="72" spans="3:6" x14ac:dyDescent="0.3">
      <c r="C72" s="28"/>
      <c r="D72" s="28"/>
      <c r="E72" s="25"/>
      <c r="F72" s="79"/>
    </row>
    <row r="73" spans="3:6" x14ac:dyDescent="0.3">
      <c r="C73" s="28"/>
      <c r="D73" s="28"/>
      <c r="E73" s="25"/>
      <c r="F73" s="79"/>
    </row>
    <row r="74" spans="3:6" x14ac:dyDescent="0.3">
      <c r="C74" s="28"/>
      <c r="D74" s="28"/>
      <c r="E74" s="25"/>
      <c r="F74" s="79"/>
    </row>
    <row r="75" spans="3:6" x14ac:dyDescent="0.3">
      <c r="C75" s="28"/>
      <c r="D75" s="28"/>
      <c r="E75" s="25"/>
      <c r="F75" s="79"/>
    </row>
    <row r="76" spans="3:6" x14ac:dyDescent="0.3">
      <c r="C76" s="28"/>
      <c r="D76" s="28"/>
      <c r="E76" s="25"/>
      <c r="F76" s="79"/>
    </row>
    <row r="77" spans="3:6" x14ac:dyDescent="0.3">
      <c r="C77" s="28"/>
      <c r="D77" s="28"/>
      <c r="E77" s="25"/>
      <c r="F77" s="79"/>
    </row>
    <row r="78" spans="3:6" x14ac:dyDescent="0.3">
      <c r="C78" s="28"/>
      <c r="D78" s="28"/>
      <c r="E78" s="25"/>
      <c r="F78" s="79"/>
    </row>
    <row r="79" spans="3:6" x14ac:dyDescent="0.3">
      <c r="C79" s="28"/>
      <c r="D79" s="28"/>
      <c r="E79" s="25"/>
      <c r="F79" s="79"/>
    </row>
    <row r="80" spans="3:6" x14ac:dyDescent="0.3">
      <c r="C80" s="28"/>
      <c r="D80" s="28"/>
      <c r="E80" s="25"/>
      <c r="F80" s="79"/>
    </row>
    <row r="81" spans="3:6" x14ac:dyDescent="0.3">
      <c r="C81" s="28"/>
      <c r="D81" s="28"/>
      <c r="E81" s="25"/>
      <c r="F81" s="79"/>
    </row>
    <row r="82" spans="3:6" x14ac:dyDescent="0.3">
      <c r="C82" s="28"/>
      <c r="D82" s="28"/>
      <c r="E82" s="25"/>
      <c r="F82" s="79"/>
    </row>
    <row r="83" spans="3:6" x14ac:dyDescent="0.3">
      <c r="C83" s="28"/>
      <c r="D83" s="28"/>
      <c r="E83" s="25"/>
      <c r="F83" s="79"/>
    </row>
    <row r="84" spans="3:6" x14ac:dyDescent="0.3">
      <c r="C84" s="28"/>
      <c r="D84" s="28"/>
      <c r="E84" s="25"/>
      <c r="F84" s="79"/>
    </row>
    <row r="85" spans="3:6" x14ac:dyDescent="0.3">
      <c r="C85" s="28"/>
      <c r="D85" s="28"/>
      <c r="E85" s="25"/>
      <c r="F85" s="79"/>
    </row>
    <row r="86" spans="3:6" x14ac:dyDescent="0.3">
      <c r="C86" s="28"/>
      <c r="D86" s="28"/>
      <c r="E86" s="25"/>
      <c r="F86" s="79"/>
    </row>
    <row r="87" spans="3:6" x14ac:dyDescent="0.3">
      <c r="C87" s="28"/>
      <c r="D87" s="28"/>
      <c r="E87" s="25"/>
      <c r="F87" s="79"/>
    </row>
    <row r="88" spans="3:6" x14ac:dyDescent="0.3">
      <c r="C88" s="28"/>
      <c r="D88" s="28"/>
      <c r="E88" s="25"/>
      <c r="F88" s="79"/>
    </row>
  </sheetData>
  <mergeCells count="2">
    <mergeCell ref="C7:F7"/>
    <mergeCell ref="C9:F9"/>
  </mergeCells>
  <pageMargins left="0.7" right="0.7" top="0.75" bottom="0.75" header="0.3" footer="0.3"/>
  <pageSetup scale="81" orientation="portrait" r:id="rId1"/>
  <drawing r:id="rId2"/>
  <legacyDrawing r:id="rId3"/>
  <oleObjects>
    <mc:AlternateContent xmlns:mc="http://schemas.openxmlformats.org/markup-compatibility/2006">
      <mc:Choice Requires="x14">
        <oleObject progId="Project" shapeId="7169" r:id="rId4">
          <objectPr defaultSize="0" autoPict="0" r:id="rId5">
            <anchor moveWithCells="1">
              <from>
                <xdr:col>0</xdr:col>
                <xdr:colOff>12700</xdr:colOff>
                <xdr:row>21</xdr:row>
                <xdr:rowOff>12700</xdr:rowOff>
              </from>
              <to>
                <xdr:col>10</xdr:col>
                <xdr:colOff>0</xdr:colOff>
                <xdr:row>53</xdr:row>
                <xdr:rowOff>107950</xdr:rowOff>
              </to>
            </anchor>
          </objectPr>
        </oleObject>
      </mc:Choice>
      <mc:Fallback>
        <oleObject progId="Project" shapeId="7169"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FE54-2D91-4AFC-802E-B6FCB5A38657}">
  <dimension ref="B1:AE32"/>
  <sheetViews>
    <sheetView showGridLines="0" zoomScale="90" zoomScaleNormal="90" workbookViewId="0">
      <selection activeCell="AG23" sqref="AG23"/>
    </sheetView>
  </sheetViews>
  <sheetFormatPr baseColWidth="10" defaultColWidth="10" defaultRowHeight="15" x14ac:dyDescent="0.3"/>
  <cols>
    <col min="1" max="1" width="1.7265625" style="58" customWidth="1"/>
    <col min="2" max="2" width="1.7265625" style="207" customWidth="1"/>
    <col min="3" max="3" width="7.7265625" style="56" hidden="1" customWidth="1"/>
    <col min="4" max="4" width="8" style="56" hidden="1" customWidth="1"/>
    <col min="5" max="5" width="7.7265625" style="56" hidden="1" customWidth="1"/>
    <col min="6" max="6" width="20.7265625" style="56" customWidth="1"/>
    <col min="7" max="7" width="12.26953125" style="57" hidden="1" customWidth="1"/>
    <col min="8" max="8" width="11" style="84" hidden="1" customWidth="1"/>
    <col min="9" max="9" width="12.26953125" style="57" hidden="1" customWidth="1"/>
    <col min="10" max="10" width="11" style="84" hidden="1" customWidth="1"/>
    <col min="11" max="11" width="12.81640625" style="84" hidden="1" customWidth="1"/>
    <col min="12" max="13" width="11" style="84" hidden="1" customWidth="1"/>
    <col min="14" max="14" width="9.81640625" style="58" hidden="1" customWidth="1"/>
    <col min="15" max="15" width="15.453125" style="58" hidden="1" customWidth="1"/>
    <col min="16" max="16" width="11.54296875" style="58" hidden="1" customWidth="1"/>
    <col min="17" max="17" width="12.26953125" style="58" hidden="1" customWidth="1"/>
    <col min="18" max="18" width="19.7265625" style="58" hidden="1" customWidth="1"/>
    <col min="19" max="19" width="26.26953125" style="58" customWidth="1"/>
    <col min="20" max="20" width="19.26953125" style="58" customWidth="1"/>
    <col min="21" max="21" width="26.54296875" style="58" customWidth="1"/>
    <col min="22" max="22" width="17" style="58" customWidth="1"/>
    <col min="23" max="23" width="19.81640625" style="58" customWidth="1"/>
    <col min="24" max="25" width="10" style="58" hidden="1" customWidth="1"/>
    <col min="26" max="26" width="0.26953125" style="58" customWidth="1"/>
    <col min="27" max="27" width="10" style="58"/>
    <col min="28" max="28" width="12.26953125" style="58" hidden="1" customWidth="1"/>
    <col min="29" max="29" width="6.7265625" style="58" hidden="1" customWidth="1"/>
    <col min="30" max="30" width="9.1796875" style="58" hidden="1" customWidth="1"/>
    <col min="31" max="31" width="17.26953125" style="58" hidden="1" customWidth="1"/>
    <col min="32" max="16384" width="10" style="58"/>
  </cols>
  <sheetData>
    <row r="1" spans="2:31" ht="15" customHeight="1" x14ac:dyDescent="0.3">
      <c r="C1" s="58"/>
      <c r="E1" s="57"/>
      <c r="F1" s="84"/>
      <c r="G1" s="58"/>
      <c r="H1" s="58"/>
      <c r="I1" s="58"/>
      <c r="J1" s="58"/>
      <c r="K1" s="58"/>
      <c r="L1" s="58"/>
      <c r="M1" s="58"/>
    </row>
    <row r="2" spans="2:31" ht="15" customHeight="1" x14ac:dyDescent="0.3">
      <c r="B2" s="208"/>
      <c r="C2" s="29"/>
      <c r="E2" s="57"/>
      <c r="F2" s="84"/>
      <c r="G2" s="29"/>
      <c r="H2" s="58"/>
      <c r="I2" s="29"/>
      <c r="J2" s="58"/>
      <c r="K2" s="58"/>
      <c r="L2" s="58"/>
      <c r="M2" s="58"/>
      <c r="T2" s="29"/>
      <c r="W2" s="29" t="s">
        <v>0</v>
      </c>
      <c r="Z2" s="29" t="s">
        <v>0</v>
      </c>
    </row>
    <row r="3" spans="2:31" ht="15" customHeight="1" x14ac:dyDescent="0.3">
      <c r="B3" s="209"/>
      <c r="C3" s="59"/>
      <c r="D3" s="152"/>
      <c r="E3" s="57"/>
      <c r="F3" s="210"/>
      <c r="G3" s="59"/>
      <c r="H3" s="58"/>
      <c r="I3" s="59"/>
      <c r="J3" s="58"/>
      <c r="K3" s="58"/>
      <c r="L3" s="58"/>
      <c r="M3" s="58"/>
      <c r="T3" s="59"/>
      <c r="W3" s="59" t="str">
        <f>'Información proyecto'!D3</f>
        <v>Versión: 0.1</v>
      </c>
      <c r="Z3" s="59" t="s">
        <v>1</v>
      </c>
    </row>
    <row r="4" spans="2:31" ht="1.5" customHeight="1" x14ac:dyDescent="0.3">
      <c r="C4" s="61"/>
      <c r="D4" s="153"/>
      <c r="E4" s="153"/>
      <c r="F4" s="153"/>
      <c r="G4" s="61"/>
      <c r="H4" s="61"/>
      <c r="I4" s="61"/>
      <c r="J4" s="61"/>
      <c r="K4" s="61"/>
      <c r="L4" s="61"/>
      <c r="M4" s="61"/>
      <c r="N4" s="61"/>
      <c r="O4" s="61"/>
      <c r="P4" s="61"/>
      <c r="Q4" s="61"/>
      <c r="R4" s="61"/>
      <c r="S4" s="61"/>
      <c r="T4" s="61"/>
      <c r="U4" s="61"/>
      <c r="V4" s="61"/>
      <c r="W4" s="61"/>
      <c r="X4" s="61"/>
      <c r="Y4" s="61"/>
      <c r="Z4" s="61"/>
    </row>
    <row r="5" spans="2:31" ht="15" customHeight="1" x14ac:dyDescent="0.3">
      <c r="C5" s="58"/>
      <c r="D5" s="65"/>
      <c r="E5" s="65"/>
      <c r="F5" s="65"/>
      <c r="G5" s="58"/>
      <c r="H5" s="58"/>
      <c r="I5" s="58"/>
      <c r="J5" s="58"/>
      <c r="K5" s="58"/>
      <c r="L5" s="58"/>
      <c r="M5" s="58"/>
      <c r="T5" s="62"/>
      <c r="W5" s="62" t="str">
        <f>'Información proyecto'!D5</f>
        <v>Proyecto:  Admin Eventos</v>
      </c>
      <c r="Z5" s="62" t="s">
        <v>2</v>
      </c>
    </row>
    <row r="6" spans="2:31" x14ac:dyDescent="0.3">
      <c r="B6" s="252"/>
      <c r="C6" s="491"/>
      <c r="D6" s="491"/>
      <c r="E6" s="491"/>
      <c r="F6" s="491"/>
      <c r="G6" s="491"/>
      <c r="H6" s="491"/>
      <c r="I6" s="491"/>
      <c r="J6" s="491"/>
      <c r="K6" s="491"/>
      <c r="L6" s="491"/>
      <c r="M6" s="491"/>
      <c r="N6" s="165"/>
      <c r="O6" s="165"/>
      <c r="P6" s="165"/>
      <c r="Q6" s="165"/>
      <c r="R6" s="165"/>
      <c r="S6" s="165"/>
      <c r="T6" s="165"/>
      <c r="U6" s="165"/>
      <c r="V6" s="165"/>
      <c r="W6" s="165"/>
      <c r="X6" s="165"/>
      <c r="Y6" s="165"/>
      <c r="Z6" s="165"/>
    </row>
    <row r="7" spans="2:31" x14ac:dyDescent="0.3">
      <c r="B7" s="252"/>
      <c r="C7" s="399" t="s">
        <v>56</v>
      </c>
      <c r="D7" s="399"/>
      <c r="E7" s="399"/>
      <c r="F7" s="399"/>
      <c r="G7" s="399"/>
      <c r="H7" s="399"/>
      <c r="I7" s="399"/>
      <c r="J7" s="399"/>
      <c r="K7" s="399"/>
      <c r="L7" s="399"/>
      <c r="M7" s="399"/>
      <c r="N7" s="399"/>
      <c r="O7" s="399"/>
      <c r="P7" s="399"/>
      <c r="Q7" s="399"/>
      <c r="R7" s="399"/>
      <c r="S7" s="399"/>
      <c r="T7" s="399"/>
      <c r="U7" s="399"/>
      <c r="V7" s="399"/>
      <c r="W7" s="399"/>
      <c r="X7" s="399"/>
      <c r="Y7" s="399"/>
      <c r="Z7" s="399"/>
    </row>
    <row r="8" spans="2:31" ht="18.75" customHeight="1" x14ac:dyDescent="0.3">
      <c r="B8" s="252"/>
      <c r="C8" s="491"/>
      <c r="D8" s="491"/>
      <c r="E8" s="491"/>
      <c r="F8" s="491"/>
      <c r="G8" s="165"/>
      <c r="H8" s="165"/>
      <c r="I8" s="165"/>
      <c r="J8" s="165"/>
      <c r="K8" s="165"/>
      <c r="L8" s="165"/>
      <c r="M8" s="165"/>
      <c r="N8" s="165"/>
      <c r="O8" s="165"/>
      <c r="P8" s="165"/>
      <c r="Q8" s="165"/>
      <c r="R8" s="165"/>
      <c r="S8" s="165"/>
      <c r="T8" s="165"/>
      <c r="U8" s="165"/>
      <c r="V8" s="165"/>
      <c r="W8" s="165"/>
      <c r="X8" s="165"/>
      <c r="Y8" s="165"/>
      <c r="Z8" s="165"/>
    </row>
    <row r="9" spans="2:31" x14ac:dyDescent="0.3">
      <c r="B9" s="252"/>
      <c r="C9" s="397" t="s">
        <v>57</v>
      </c>
      <c r="D9" s="397"/>
      <c r="E9" s="397"/>
      <c r="F9" s="397"/>
      <c r="G9" s="397"/>
      <c r="H9" s="397"/>
      <c r="I9" s="397"/>
      <c r="J9" s="397"/>
      <c r="K9" s="397"/>
      <c r="L9" s="397"/>
      <c r="M9" s="397"/>
      <c r="N9" s="397"/>
      <c r="O9" s="397"/>
      <c r="P9" s="397"/>
      <c r="Q9" s="397"/>
      <c r="R9" s="397"/>
      <c r="S9" s="397"/>
      <c r="T9" s="397"/>
      <c r="U9" s="397"/>
      <c r="V9" s="397"/>
      <c r="W9" s="397"/>
      <c r="X9" s="397"/>
      <c r="Y9" s="397"/>
      <c r="Z9" s="397"/>
    </row>
    <row r="10" spans="2:31" x14ac:dyDescent="0.3">
      <c r="B10" s="252"/>
      <c r="C10" s="398"/>
      <c r="D10" s="398"/>
      <c r="E10" s="398"/>
      <c r="F10" s="398"/>
      <c r="G10" s="398"/>
      <c r="H10" s="398"/>
      <c r="I10" s="398"/>
      <c r="J10" s="398"/>
      <c r="K10" s="398"/>
      <c r="L10" s="398"/>
      <c r="M10" s="398"/>
      <c r="N10" s="165"/>
      <c r="O10" s="165"/>
      <c r="P10" s="165"/>
      <c r="Q10" s="165"/>
      <c r="R10" s="165"/>
      <c r="S10" s="165"/>
      <c r="T10" s="165"/>
      <c r="U10" s="165"/>
      <c r="V10" s="165"/>
      <c r="W10" s="165"/>
      <c r="X10" s="165"/>
      <c r="Y10" s="165"/>
      <c r="Z10" s="165"/>
    </row>
    <row r="11" spans="2:31" s="258" customFormat="1" ht="22.75" customHeight="1" x14ac:dyDescent="0.35">
      <c r="B11" s="254"/>
      <c r="C11" s="255"/>
      <c r="D11" s="256"/>
      <c r="E11" s="255"/>
      <c r="F11" s="255"/>
      <c r="G11" s="255"/>
      <c r="H11" s="257"/>
      <c r="I11" s="255"/>
      <c r="J11" s="257"/>
      <c r="K11" s="257"/>
      <c r="L11" s="257"/>
      <c r="M11" s="257"/>
      <c r="N11" s="255"/>
      <c r="O11" s="255"/>
      <c r="P11" s="255"/>
      <c r="Q11" s="255"/>
      <c r="R11" s="255"/>
      <c r="S11" s="255"/>
      <c r="T11" s="255"/>
      <c r="U11" s="250" t="s">
        <v>249</v>
      </c>
      <c r="V11" s="624">
        <f>'Inversión CELULA_V2 + .25)'!N111</f>
        <v>1243554.51</v>
      </c>
      <c r="W11" s="624"/>
      <c r="X11" s="255"/>
      <c r="Y11" s="255"/>
      <c r="Z11" s="255"/>
      <c r="AB11" s="259" t="s">
        <v>95</v>
      </c>
    </row>
    <row r="12" spans="2:31" s="266" customFormat="1" ht="15.5" thickBot="1" x14ac:dyDescent="0.35">
      <c r="B12" s="260"/>
      <c r="C12" s="261"/>
      <c r="D12" s="262"/>
      <c r="E12" s="261"/>
      <c r="F12" s="263"/>
      <c r="G12" s="263"/>
      <c r="H12" s="264"/>
      <c r="I12" s="263"/>
      <c r="J12" s="264"/>
      <c r="K12" s="264"/>
      <c r="L12" s="264"/>
      <c r="M12" s="264"/>
      <c r="O12" s="263"/>
      <c r="P12" s="263"/>
      <c r="Q12" s="263"/>
      <c r="S12" s="263"/>
      <c r="T12" s="263"/>
      <c r="U12" s="265"/>
      <c r="V12" s="255"/>
      <c r="W12" s="261"/>
      <c r="X12" s="261"/>
      <c r="Y12" s="261"/>
      <c r="Z12" s="261"/>
      <c r="AB12" s="267" t="s">
        <v>441</v>
      </c>
      <c r="AC12" s="268">
        <v>11</v>
      </c>
      <c r="AD12" s="268"/>
      <c r="AE12" s="269">
        <f>'Fechas y costos'!F12</f>
        <v>45436.948652261082</v>
      </c>
    </row>
    <row r="13" spans="2:31" s="272" customFormat="1" ht="44.5" customHeight="1" thickBot="1" x14ac:dyDescent="0.35">
      <c r="B13" s="270"/>
      <c r="C13" s="271" t="s">
        <v>60</v>
      </c>
      <c r="D13" s="271" t="s">
        <v>61</v>
      </c>
      <c r="E13" s="290" t="s">
        <v>62</v>
      </c>
      <c r="F13" s="307" t="s">
        <v>63</v>
      </c>
      <c r="G13" s="307" t="s">
        <v>452</v>
      </c>
      <c r="H13" s="307" t="s">
        <v>64</v>
      </c>
      <c r="I13" s="307" t="s">
        <v>593</v>
      </c>
      <c r="J13" s="307" t="s">
        <v>594</v>
      </c>
      <c r="K13" s="307" t="s">
        <v>60</v>
      </c>
      <c r="L13" s="307" t="s">
        <v>595</v>
      </c>
      <c r="M13" s="307" t="s">
        <v>598</v>
      </c>
      <c r="N13" s="415" t="s">
        <v>394</v>
      </c>
      <c r="O13" s="307" t="s">
        <v>433</v>
      </c>
      <c r="P13" s="490" t="s">
        <v>432</v>
      </c>
      <c r="Q13" s="490" t="s">
        <v>432</v>
      </c>
      <c r="R13" s="415" t="s">
        <v>596</v>
      </c>
      <c r="S13" s="490" t="s">
        <v>65</v>
      </c>
      <c r="T13" s="490" t="s">
        <v>58</v>
      </c>
      <c r="U13" s="490" t="s">
        <v>66</v>
      </c>
      <c r="V13" s="490" t="s">
        <v>67</v>
      </c>
      <c r="W13" s="490" t="s">
        <v>10</v>
      </c>
      <c r="X13" s="293" t="s">
        <v>68</v>
      </c>
      <c r="Y13" s="271" t="s">
        <v>69</v>
      </c>
      <c r="Z13" s="271" t="s">
        <v>70</v>
      </c>
      <c r="AB13" s="273" t="s">
        <v>442</v>
      </c>
      <c r="AC13" s="274">
        <f>Inversión!I10</f>
        <v>874</v>
      </c>
      <c r="AD13" s="274"/>
      <c r="AE13" s="423"/>
    </row>
    <row r="14" spans="2:31" s="258" customFormat="1" ht="20.149999999999999" customHeight="1" thickBot="1" x14ac:dyDescent="0.35">
      <c r="B14" s="254"/>
      <c r="C14" s="275">
        <v>0</v>
      </c>
      <c r="D14" s="275"/>
      <c r="E14" s="291"/>
      <c r="F14" s="308" t="s">
        <v>663</v>
      </c>
      <c r="G14" s="309">
        <f>'Fechas y costos'!E12</f>
        <v>45323</v>
      </c>
      <c r="H14" s="419"/>
      <c r="I14" s="420"/>
      <c r="J14" s="419"/>
      <c r="K14" s="396"/>
      <c r="L14" s="396"/>
      <c r="M14" s="396"/>
      <c r="N14" s="411">
        <v>477</v>
      </c>
      <c r="O14" s="310">
        <v>980</v>
      </c>
      <c r="P14" s="311">
        <f>N14*(O14-O14*(1-Q14))</f>
        <v>0</v>
      </c>
      <c r="Q14" s="312">
        <v>0</v>
      </c>
      <c r="R14" s="416">
        <f t="shared" ref="R14:R20" si="0">N14*O14</f>
        <v>467460</v>
      </c>
      <c r="S14" s="299">
        <f>'Inversión CELULA_V2 + .25)'!E115</f>
        <v>214405.95</v>
      </c>
      <c r="T14" s="311">
        <f t="shared" ref="T14:T20" si="1">S14*0.16</f>
        <v>34304.952000000005</v>
      </c>
      <c r="U14" s="311">
        <f t="shared" ref="U14:U20" si="2">S14+T14</f>
        <v>248710.902</v>
      </c>
      <c r="V14" s="311">
        <f>V11-U14</f>
        <v>994843.60800000001</v>
      </c>
      <c r="W14" s="308" t="s">
        <v>664</v>
      </c>
      <c r="X14" s="294"/>
      <c r="Y14" s="277"/>
      <c r="Z14" s="278"/>
      <c r="AB14" s="274" t="s">
        <v>599</v>
      </c>
      <c r="AC14" s="274">
        <f>(AC13*0.3)</f>
        <v>262.2</v>
      </c>
      <c r="AD14" s="273">
        <f>N14/AC12</f>
        <v>43.363636363636367</v>
      </c>
      <c r="AE14" s="279">
        <f>V11*0.2</f>
        <v>248710.902</v>
      </c>
    </row>
    <row r="15" spans="2:31" s="258" customFormat="1" ht="20.149999999999999" customHeight="1" thickBot="1" x14ac:dyDescent="0.4">
      <c r="B15" s="254"/>
      <c r="C15" s="280"/>
      <c r="D15" s="280"/>
      <c r="E15" s="292"/>
      <c r="F15" s="301" t="s">
        <v>636</v>
      </c>
      <c r="G15" s="297">
        <f>G14+14</f>
        <v>45337</v>
      </c>
      <c r="H15" s="421"/>
      <c r="I15" s="422"/>
      <c r="J15" s="421"/>
      <c r="K15" s="401">
        <f t="shared" ref="K15:K20" si="3">L15/$N$22</f>
        <v>0.12166588675713617</v>
      </c>
      <c r="L15" s="400">
        <f>M15</f>
        <v>130</v>
      </c>
      <c r="M15" s="400">
        <v>130</v>
      </c>
      <c r="N15" s="412">
        <v>86.5</v>
      </c>
      <c r="O15" s="310">
        <v>980</v>
      </c>
      <c r="P15" s="299">
        <f t="shared" ref="P15:P20" si="4">N15*(O15-O15*(1-Q15))</f>
        <v>0</v>
      </c>
      <c r="Q15" s="300">
        <v>0</v>
      </c>
      <c r="R15" s="416">
        <f t="shared" si="0"/>
        <v>84770</v>
      </c>
      <c r="S15" s="299">
        <f>'Inversión CELULA_V2 + .25)'!F115</f>
        <v>150084.16499999998</v>
      </c>
      <c r="T15" s="299">
        <f t="shared" si="1"/>
        <v>24013.466399999998</v>
      </c>
      <c r="U15" s="299">
        <f t="shared" si="2"/>
        <v>174097.63139999998</v>
      </c>
      <c r="V15" s="299">
        <f t="shared" ref="V15:V20" si="5">V14-U15</f>
        <v>820745.97660000005</v>
      </c>
      <c r="W15" s="296" t="s">
        <v>72</v>
      </c>
      <c r="X15" s="295"/>
      <c r="Y15" s="281"/>
      <c r="Z15" s="282"/>
      <c r="AB15" s="283" t="s">
        <v>600</v>
      </c>
      <c r="AC15" s="283">
        <f>(AC$13*0.6)/AC$12</f>
        <v>47.672727272727272</v>
      </c>
      <c r="AD15" s="283">
        <f>(AC$13*0.9)/AC$12</f>
        <v>71.509090909090915</v>
      </c>
      <c r="AE15" s="284">
        <f>V11*0.7/AC12</f>
        <v>79135.286999999997</v>
      </c>
    </row>
    <row r="16" spans="2:31" s="258" customFormat="1" ht="20.149999999999999" customHeight="1" thickBot="1" x14ac:dyDescent="0.4">
      <c r="B16" s="254"/>
      <c r="C16" s="275"/>
      <c r="D16" s="275"/>
      <c r="E16" s="291"/>
      <c r="F16" s="301" t="s">
        <v>637</v>
      </c>
      <c r="G16" s="297">
        <f>G15+14</f>
        <v>45351</v>
      </c>
      <c r="H16" s="421"/>
      <c r="I16" s="422"/>
      <c r="J16" s="421"/>
      <c r="K16" s="401">
        <f t="shared" si="3"/>
        <v>0.24333177351427235</v>
      </c>
      <c r="L16" s="400">
        <f>L15+M16</f>
        <v>260</v>
      </c>
      <c r="M16" s="400">
        <v>130</v>
      </c>
      <c r="N16" s="412">
        <v>86.5</v>
      </c>
      <c r="O16" s="310">
        <v>980</v>
      </c>
      <c r="P16" s="299">
        <f t="shared" si="4"/>
        <v>0</v>
      </c>
      <c r="Q16" s="300">
        <v>0</v>
      </c>
      <c r="R16" s="416">
        <f t="shared" si="0"/>
        <v>84770</v>
      </c>
      <c r="S16" s="299">
        <f>'Inversión CELULA_V2 + .25)'!G115</f>
        <v>150084.16499999998</v>
      </c>
      <c r="T16" s="299">
        <f t="shared" si="1"/>
        <v>24013.466399999998</v>
      </c>
      <c r="U16" s="299">
        <f t="shared" si="2"/>
        <v>174097.63139999998</v>
      </c>
      <c r="V16" s="299">
        <f t="shared" si="5"/>
        <v>646648.3452000001</v>
      </c>
      <c r="W16" s="296" t="s">
        <v>72</v>
      </c>
      <c r="X16" s="294"/>
      <c r="Y16" s="277"/>
      <c r="Z16" s="278"/>
      <c r="AB16" s="283"/>
      <c r="AC16" s="283"/>
      <c r="AD16" s="283"/>
      <c r="AE16" s="283"/>
    </row>
    <row r="17" spans="2:31" s="258" customFormat="1" ht="20.149999999999999" customHeight="1" thickBot="1" x14ac:dyDescent="0.4">
      <c r="B17" s="254"/>
      <c r="C17" s="280"/>
      <c r="D17" s="280"/>
      <c r="E17" s="292"/>
      <c r="F17" s="301" t="s">
        <v>638</v>
      </c>
      <c r="G17" s="297">
        <f>G16+14</f>
        <v>45365</v>
      </c>
      <c r="H17" s="421"/>
      <c r="I17" s="422"/>
      <c r="J17" s="421"/>
      <c r="K17" s="401">
        <f t="shared" si="3"/>
        <v>0.36499766027140851</v>
      </c>
      <c r="L17" s="400">
        <f>L16+M17</f>
        <v>390</v>
      </c>
      <c r="M17" s="400">
        <v>130</v>
      </c>
      <c r="N17" s="412">
        <v>86.5</v>
      </c>
      <c r="O17" s="310">
        <v>980</v>
      </c>
      <c r="P17" s="299">
        <f t="shared" si="4"/>
        <v>0</v>
      </c>
      <c r="Q17" s="300">
        <v>0</v>
      </c>
      <c r="R17" s="416">
        <f t="shared" si="0"/>
        <v>84770</v>
      </c>
      <c r="S17" s="299">
        <f>'Inversión CELULA_V2 + .25)'!I115</f>
        <v>150084.16499999998</v>
      </c>
      <c r="T17" s="299">
        <f t="shared" si="1"/>
        <v>24013.466399999998</v>
      </c>
      <c r="U17" s="299">
        <f t="shared" si="2"/>
        <v>174097.63139999998</v>
      </c>
      <c r="V17" s="299">
        <f t="shared" si="5"/>
        <v>472550.71380000014</v>
      </c>
      <c r="W17" s="296" t="s">
        <v>72</v>
      </c>
      <c r="X17" s="295"/>
      <c r="Y17" s="281"/>
      <c r="Z17" s="282"/>
      <c r="AB17" s="283"/>
      <c r="AC17" s="283"/>
      <c r="AD17" s="283"/>
      <c r="AE17" s="283"/>
    </row>
    <row r="18" spans="2:31" s="258" customFormat="1" ht="20.149999999999999" customHeight="1" thickBot="1" x14ac:dyDescent="0.4">
      <c r="B18" s="254"/>
      <c r="C18" s="275"/>
      <c r="D18" s="275"/>
      <c r="E18" s="291"/>
      <c r="F18" s="301" t="s">
        <v>646</v>
      </c>
      <c r="G18" s="297">
        <f>G17+14</f>
        <v>45379</v>
      </c>
      <c r="H18" s="421"/>
      <c r="I18" s="422"/>
      <c r="J18" s="421"/>
      <c r="K18" s="401">
        <f t="shared" si="3"/>
        <v>0.4866635470285447</v>
      </c>
      <c r="L18" s="400">
        <f>L17+M18</f>
        <v>520</v>
      </c>
      <c r="M18" s="400">
        <v>130</v>
      </c>
      <c r="N18" s="412">
        <v>86.5</v>
      </c>
      <c r="O18" s="310">
        <v>980</v>
      </c>
      <c r="P18" s="299">
        <f t="shared" si="4"/>
        <v>0</v>
      </c>
      <c r="Q18" s="300">
        <v>0</v>
      </c>
      <c r="R18" s="416">
        <f t="shared" si="0"/>
        <v>84770</v>
      </c>
      <c r="S18" s="299">
        <f>'Inversión CELULA_V2 + .25)'!I115</f>
        <v>150084.16499999998</v>
      </c>
      <c r="T18" s="299">
        <f t="shared" si="1"/>
        <v>24013.466399999998</v>
      </c>
      <c r="U18" s="299">
        <f t="shared" si="2"/>
        <v>174097.63139999998</v>
      </c>
      <c r="V18" s="299">
        <f t="shared" si="5"/>
        <v>298453.08240000019</v>
      </c>
      <c r="W18" s="296" t="s">
        <v>72</v>
      </c>
      <c r="X18" s="294"/>
      <c r="Y18" s="277"/>
      <c r="Z18" s="278"/>
      <c r="AB18" s="283"/>
      <c r="AC18" s="283"/>
      <c r="AD18" s="283"/>
      <c r="AE18" s="283"/>
    </row>
    <row r="19" spans="2:31" s="258" customFormat="1" ht="24.65" customHeight="1" thickBot="1" x14ac:dyDescent="0.4">
      <c r="B19" s="254"/>
      <c r="C19" s="280"/>
      <c r="D19" s="280"/>
      <c r="E19" s="292"/>
      <c r="F19" s="301" t="s">
        <v>647</v>
      </c>
      <c r="G19" s="297">
        <f>G18+14</f>
        <v>45393</v>
      </c>
      <c r="H19" s="421"/>
      <c r="I19" s="422"/>
      <c r="J19" s="421"/>
      <c r="K19" s="401">
        <f t="shared" si="3"/>
        <v>0.60832943378568083</v>
      </c>
      <c r="L19" s="400">
        <f>L18+M19</f>
        <v>650</v>
      </c>
      <c r="M19" s="400">
        <v>130</v>
      </c>
      <c r="N19" s="412">
        <v>86.5</v>
      </c>
      <c r="O19" s="310">
        <v>980</v>
      </c>
      <c r="P19" s="299">
        <f t="shared" si="4"/>
        <v>0</v>
      </c>
      <c r="Q19" s="300">
        <v>0</v>
      </c>
      <c r="R19" s="416">
        <f t="shared" si="0"/>
        <v>84770</v>
      </c>
      <c r="S19" s="299">
        <f>'Inversión CELULA_V2 + .25)'!J115</f>
        <v>150084.16499999998</v>
      </c>
      <c r="T19" s="299">
        <f t="shared" si="1"/>
        <v>24013.466399999998</v>
      </c>
      <c r="U19" s="299">
        <f t="shared" si="2"/>
        <v>174097.63139999998</v>
      </c>
      <c r="V19" s="299">
        <f t="shared" si="5"/>
        <v>124355.4510000002</v>
      </c>
      <c r="W19" s="296" t="s">
        <v>72</v>
      </c>
      <c r="X19" s="295"/>
      <c r="Y19" s="281"/>
      <c r="Z19" s="282"/>
      <c r="AB19" s="283"/>
      <c r="AC19" s="283"/>
      <c r="AD19" s="283"/>
      <c r="AE19" s="283"/>
    </row>
    <row r="20" spans="2:31" s="258" customFormat="1" ht="20.149999999999999" customHeight="1" x14ac:dyDescent="0.35">
      <c r="B20" s="254"/>
      <c r="C20" s="275">
        <v>1</v>
      </c>
      <c r="D20" s="275"/>
      <c r="E20" s="291"/>
      <c r="F20" s="296" t="s">
        <v>59</v>
      </c>
      <c r="G20" s="297" t="e">
        <f>#REF!+12</f>
        <v>#REF!</v>
      </c>
      <c r="H20" s="421"/>
      <c r="I20" s="422"/>
      <c r="J20" s="421"/>
      <c r="K20" s="401" t="e">
        <f t="shared" si="3"/>
        <v>#REF!</v>
      </c>
      <c r="L20" s="400" t="e">
        <f>#REF!+M20</f>
        <v>#REF!</v>
      </c>
      <c r="M20" s="400">
        <v>158</v>
      </c>
      <c r="N20" s="412">
        <v>159</v>
      </c>
      <c r="O20" s="310">
        <v>980</v>
      </c>
      <c r="P20" s="299">
        <f t="shared" si="4"/>
        <v>0</v>
      </c>
      <c r="Q20" s="300">
        <v>0</v>
      </c>
      <c r="R20" s="416">
        <f t="shared" si="0"/>
        <v>155820</v>
      </c>
      <c r="S20" s="299">
        <f>'Inversión CELULA_V2 + .25)'!L115</f>
        <v>107202.97500000001</v>
      </c>
      <c r="T20" s="299">
        <f t="shared" si="1"/>
        <v>17152.476000000002</v>
      </c>
      <c r="U20" s="299">
        <f t="shared" si="2"/>
        <v>124355.451</v>
      </c>
      <c r="V20" s="299">
        <f t="shared" si="5"/>
        <v>2.0372681319713593E-10</v>
      </c>
      <c r="W20" s="296" t="s">
        <v>340</v>
      </c>
      <c r="X20" s="294"/>
      <c r="Y20" s="277"/>
      <c r="Z20" s="278"/>
      <c r="AB20" s="274" t="s">
        <v>443</v>
      </c>
      <c r="AC20" s="274">
        <f>AC13*0.1</f>
        <v>87.4</v>
      </c>
      <c r="AD20" s="274">
        <f>AC13*0.1</f>
        <v>87.4</v>
      </c>
      <c r="AE20" s="279">
        <f>V11*0.1</f>
        <v>124355.451</v>
      </c>
    </row>
    <row r="21" spans="2:31" s="258" customFormat="1" ht="2.5" customHeight="1" thickBot="1" x14ac:dyDescent="0.4">
      <c r="B21" s="254"/>
      <c r="C21" s="296"/>
      <c r="D21" s="296"/>
      <c r="E21" s="296"/>
      <c r="F21" s="313"/>
      <c r="G21" s="314"/>
      <c r="H21" s="313"/>
      <c r="I21" s="314"/>
      <c r="J21" s="313"/>
      <c r="K21" s="313"/>
      <c r="L21" s="402"/>
      <c r="M21" s="402"/>
      <c r="N21" s="413"/>
      <c r="O21" s="315"/>
      <c r="P21" s="316"/>
      <c r="Q21" s="317"/>
      <c r="R21" s="417"/>
      <c r="S21" s="316"/>
      <c r="T21" s="316"/>
      <c r="U21" s="316"/>
      <c r="V21" s="316"/>
      <c r="W21" s="313"/>
      <c r="X21" s="298"/>
      <c r="Y21" s="298"/>
      <c r="Z21" s="391"/>
      <c r="AB21" s="392"/>
      <c r="AC21" s="392"/>
      <c r="AD21" s="392"/>
      <c r="AE21" s="393"/>
    </row>
    <row r="22" spans="2:31" s="272" customFormat="1" ht="25.5" customHeight="1" x14ac:dyDescent="0.3">
      <c r="B22" s="270"/>
      <c r="C22" s="285"/>
      <c r="D22" s="286"/>
      <c r="E22" s="285"/>
      <c r="F22" s="302"/>
      <c r="G22" s="302"/>
      <c r="H22" s="303"/>
      <c r="I22" s="302"/>
      <c r="J22" s="303"/>
      <c r="K22" s="303"/>
      <c r="L22" s="303"/>
      <c r="M22" s="318">
        <f>SUM(M14:M20)</f>
        <v>808</v>
      </c>
      <c r="N22" s="414">
        <f>SUM(N14:N20)</f>
        <v>1068.5</v>
      </c>
      <c r="O22" s="304"/>
      <c r="P22" s="304"/>
      <c r="Q22" s="304"/>
      <c r="R22" s="418">
        <f>SUM(R14:R20)</f>
        <v>1047130</v>
      </c>
      <c r="S22" s="245">
        <f>SUM(S14:S20)</f>
        <v>1072029.75</v>
      </c>
      <c r="T22" s="245">
        <f>SUM(T14:T20)</f>
        <v>171524.76</v>
      </c>
      <c r="U22" s="245">
        <f>SUM(U14:U20)</f>
        <v>1243554.5099999998</v>
      </c>
      <c r="V22" s="305"/>
      <c r="W22" s="306"/>
      <c r="X22" s="255"/>
      <c r="Y22" s="255"/>
      <c r="Z22" s="285"/>
    </row>
    <row r="23" spans="2:31" x14ac:dyDescent="0.3">
      <c r="C23" s="287"/>
      <c r="D23" s="287"/>
      <c r="E23" s="287"/>
      <c r="F23" s="287"/>
      <c r="G23" s="159"/>
      <c r="I23" s="159"/>
      <c r="O23" s="84"/>
      <c r="P23" s="84"/>
      <c r="Q23" s="84"/>
      <c r="T23" s="165"/>
    </row>
    <row r="24" spans="2:31" s="84" customFormat="1" x14ac:dyDescent="0.3">
      <c r="B24" s="288"/>
      <c r="C24" s="158"/>
      <c r="D24" s="158"/>
      <c r="E24" s="158"/>
      <c r="F24" s="158"/>
      <c r="G24" s="159"/>
      <c r="I24" s="159"/>
      <c r="R24" s="221"/>
      <c r="S24" s="221"/>
      <c r="T24" s="289"/>
      <c r="AD24" s="427"/>
    </row>
    <row r="25" spans="2:31" s="56" customFormat="1" x14ac:dyDescent="0.3">
      <c r="B25" s="222"/>
      <c r="G25" s="57"/>
      <c r="H25" s="84"/>
      <c r="I25" s="57"/>
      <c r="J25" s="84"/>
      <c r="K25" s="84"/>
      <c r="L25" s="84"/>
      <c r="M25" s="84"/>
      <c r="N25" s="58"/>
      <c r="O25" s="58"/>
      <c r="P25" s="58"/>
      <c r="Q25" s="58"/>
      <c r="R25" s="58"/>
      <c r="S25" s="58"/>
      <c r="T25" s="58"/>
    </row>
    <row r="26" spans="2:31" s="56" customFormat="1" x14ac:dyDescent="0.3">
      <c r="B26" s="222"/>
      <c r="G26" s="57"/>
      <c r="H26" s="84"/>
      <c r="I26" s="57"/>
      <c r="J26" s="84"/>
      <c r="K26" s="84"/>
      <c r="L26" s="84"/>
      <c r="M26" s="84"/>
      <c r="N26" s="58"/>
      <c r="O26" s="58">
        <f>149/5</f>
        <v>29.8</v>
      </c>
      <c r="P26" s="58"/>
      <c r="Q26" s="58"/>
      <c r="R26" s="58"/>
      <c r="S26" s="58"/>
      <c r="T26" s="58"/>
    </row>
    <row r="27" spans="2:31" s="56" customFormat="1" ht="30.25" customHeight="1" x14ac:dyDescent="0.3">
      <c r="B27" s="222"/>
      <c r="G27" s="57"/>
      <c r="H27" s="84"/>
      <c r="I27" s="57"/>
      <c r="J27" s="84"/>
      <c r="K27" s="84"/>
      <c r="L27" s="84"/>
      <c r="M27" s="84"/>
      <c r="N27" s="58"/>
      <c r="O27" s="58">
        <f>60+29.8</f>
        <v>89.8</v>
      </c>
      <c r="P27" s="58">
        <f>242/10</f>
        <v>24.2</v>
      </c>
      <c r="Q27" s="58"/>
      <c r="R27" s="58"/>
      <c r="S27" s="434"/>
      <c r="T27" s="434"/>
    </row>
    <row r="28" spans="2:31" s="56" customFormat="1" x14ac:dyDescent="0.3">
      <c r="B28" s="222"/>
      <c r="G28" s="57"/>
      <c r="H28" s="84"/>
      <c r="I28" s="57"/>
      <c r="J28" s="84"/>
      <c r="K28" s="84"/>
      <c r="L28" s="84"/>
      <c r="M28" s="84"/>
      <c r="N28" s="58"/>
      <c r="O28" s="58"/>
      <c r="P28" s="58"/>
      <c r="Q28" s="58"/>
      <c r="R28" s="165"/>
      <c r="S28" s="165"/>
      <c r="T28" s="58"/>
    </row>
    <row r="29" spans="2:31" s="56" customFormat="1" x14ac:dyDescent="0.3">
      <c r="B29" s="222"/>
      <c r="G29" s="57"/>
      <c r="H29" s="84"/>
      <c r="I29" s="57"/>
      <c r="J29" s="84"/>
      <c r="K29" s="84"/>
      <c r="L29" s="84"/>
      <c r="M29" s="84"/>
      <c r="N29" s="58"/>
      <c r="O29" s="58"/>
      <c r="P29" s="58"/>
      <c r="Q29" s="58"/>
      <c r="R29" s="58"/>
      <c r="S29" s="58"/>
      <c r="T29" s="58"/>
    </row>
    <row r="30" spans="2:31" s="56" customFormat="1" x14ac:dyDescent="0.3">
      <c r="B30" s="222"/>
      <c r="G30" s="57"/>
      <c r="H30" s="84"/>
      <c r="I30" s="57"/>
      <c r="J30" s="84"/>
      <c r="K30" s="84"/>
      <c r="L30" s="84"/>
      <c r="M30" s="84"/>
      <c r="N30" s="58"/>
      <c r="O30" s="58"/>
      <c r="P30" s="58"/>
      <c r="Q30" s="58"/>
      <c r="R30" s="58"/>
      <c r="S30" s="58"/>
      <c r="T30" s="58"/>
    </row>
    <row r="31" spans="2:31" s="56" customFormat="1" x14ac:dyDescent="0.3">
      <c r="B31" s="222"/>
      <c r="G31" s="57"/>
      <c r="H31" s="84"/>
      <c r="I31" s="57"/>
      <c r="J31" s="84"/>
      <c r="K31" s="84"/>
      <c r="L31" s="84"/>
      <c r="M31" s="84"/>
      <c r="N31" s="58"/>
      <c r="O31" s="58"/>
      <c r="P31" s="58"/>
      <c r="Q31" s="58"/>
      <c r="R31" s="58"/>
      <c r="S31" s="58"/>
      <c r="T31" s="58"/>
    </row>
    <row r="32" spans="2:31" s="56" customFormat="1" x14ac:dyDescent="0.3">
      <c r="B32" s="222"/>
      <c r="G32" s="57"/>
      <c r="H32" s="84"/>
      <c r="I32" s="57"/>
      <c r="J32" s="84"/>
      <c r="K32" s="84"/>
      <c r="L32" s="84"/>
      <c r="M32" s="84"/>
      <c r="N32" s="58"/>
      <c r="O32" s="58"/>
      <c r="P32" s="58"/>
      <c r="Q32" s="58"/>
      <c r="R32" s="58"/>
      <c r="S32" s="58"/>
      <c r="T32" s="58"/>
    </row>
  </sheetData>
  <mergeCells count="1">
    <mergeCell ref="V11:W11"/>
  </mergeCells>
  <conditionalFormatting sqref="X14">
    <cfRule type="iconSet" priority="26">
      <iconSet iconSet="3Symbols2" showValue="0">
        <cfvo type="percent" val="0"/>
        <cfvo type="num" val="-1" gte="0"/>
        <cfvo type="num" val="0" gte="0"/>
      </iconSet>
    </cfRule>
  </conditionalFormatting>
  <conditionalFormatting sqref="Y14">
    <cfRule type="iconSet" priority="25">
      <iconSet iconSet="3Symbols2" showValue="0">
        <cfvo type="percent" val="0"/>
        <cfvo type="num" val="-1" gte="0"/>
        <cfvo type="num" val="0" gte="0"/>
      </iconSet>
    </cfRule>
  </conditionalFormatting>
  <conditionalFormatting sqref="Y17">
    <cfRule type="iconSet" priority="24">
      <iconSet iconSet="3Symbols2" showValue="0">
        <cfvo type="percent" val="0"/>
        <cfvo type="num" val="-1" gte="0"/>
        <cfvo type="num" val="0" gte="0"/>
      </iconSet>
    </cfRule>
  </conditionalFormatting>
  <conditionalFormatting sqref="X17">
    <cfRule type="iconSet" priority="23">
      <iconSet iconSet="3Symbols2" showValue="0">
        <cfvo type="percent" val="0"/>
        <cfvo type="num" val="-1" gte="0"/>
        <cfvo type="num" val="0" gte="0"/>
      </iconSet>
    </cfRule>
  </conditionalFormatting>
  <conditionalFormatting sqref="Y15">
    <cfRule type="iconSet" priority="22">
      <iconSet iconSet="3Symbols2" showValue="0">
        <cfvo type="percent" val="0"/>
        <cfvo type="num" val="-1" gte="0"/>
        <cfvo type="num" val="0" gte="0"/>
      </iconSet>
    </cfRule>
  </conditionalFormatting>
  <conditionalFormatting sqref="X15">
    <cfRule type="iconSet" priority="21">
      <iconSet iconSet="3Symbols2" showValue="0">
        <cfvo type="percent" val="0"/>
        <cfvo type="num" val="-1" gte="0"/>
        <cfvo type="num" val="0" gte="0"/>
      </iconSet>
    </cfRule>
  </conditionalFormatting>
  <conditionalFormatting sqref="X16">
    <cfRule type="iconSet" priority="20">
      <iconSet iconSet="3Symbols2" showValue="0">
        <cfvo type="percent" val="0"/>
        <cfvo type="num" val="-1" gte="0"/>
        <cfvo type="num" val="0" gte="0"/>
      </iconSet>
    </cfRule>
  </conditionalFormatting>
  <conditionalFormatting sqref="Y16">
    <cfRule type="iconSet" priority="19">
      <iconSet iconSet="3Symbols2" showValue="0">
        <cfvo type="percent" val="0"/>
        <cfvo type="num" val="-1" gte="0"/>
        <cfvo type="num" val="0" gte="0"/>
      </iconSet>
    </cfRule>
  </conditionalFormatting>
  <conditionalFormatting sqref="X20:X21">
    <cfRule type="iconSet" priority="16">
      <iconSet iconSet="3Symbols2" showValue="0">
        <cfvo type="percent" val="0"/>
        <cfvo type="num" val="-1" gte="0"/>
        <cfvo type="num" val="0" gte="0"/>
      </iconSet>
    </cfRule>
  </conditionalFormatting>
  <conditionalFormatting sqref="Y20:Y21">
    <cfRule type="iconSet" priority="15">
      <iconSet iconSet="3Symbols2" showValue="0">
        <cfvo type="percent" val="0"/>
        <cfvo type="num" val="-1" gte="0"/>
        <cfvo type="num" val="0" gte="0"/>
      </iconSet>
    </cfRule>
  </conditionalFormatting>
  <conditionalFormatting sqref="X18">
    <cfRule type="iconSet" priority="14">
      <iconSet iconSet="3Symbols2" showValue="0">
        <cfvo type="percent" val="0"/>
        <cfvo type="num" val="-1" gte="0"/>
        <cfvo type="num" val="0" gte="0"/>
      </iconSet>
    </cfRule>
  </conditionalFormatting>
  <conditionalFormatting sqref="Y18">
    <cfRule type="iconSet" priority="13">
      <iconSet iconSet="3Symbols2" showValue="0">
        <cfvo type="percent" val="0"/>
        <cfvo type="num" val="-1" gte="0"/>
        <cfvo type="num" val="0" gte="0"/>
      </iconSet>
    </cfRule>
  </conditionalFormatting>
  <conditionalFormatting sqref="Y19">
    <cfRule type="iconSet" priority="12">
      <iconSet iconSet="3Symbols2" showValue="0">
        <cfvo type="percent" val="0"/>
        <cfvo type="num" val="-1" gte="0"/>
        <cfvo type="num" val="0" gte="0"/>
      </iconSet>
    </cfRule>
  </conditionalFormatting>
  <conditionalFormatting sqref="X19">
    <cfRule type="iconSet" priority="11">
      <iconSet iconSet="3Symbols2" showValue="0">
        <cfvo type="percent" val="0"/>
        <cfvo type="num" val="-1" gte="0"/>
        <cfvo type="num" val="0" gte="0"/>
      </iconSet>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E34"/>
  <sheetViews>
    <sheetView showGridLines="0" tabSelected="1" topLeftCell="A9" zoomScale="90" zoomScaleNormal="90" workbookViewId="0">
      <selection activeCell="K27" sqref="K27"/>
    </sheetView>
  </sheetViews>
  <sheetFormatPr baseColWidth="10" defaultColWidth="10" defaultRowHeight="15" x14ac:dyDescent="0.3"/>
  <cols>
    <col min="1" max="1" width="1.7265625" style="58" customWidth="1"/>
    <col min="2" max="2" width="1.7265625" style="207" customWidth="1"/>
    <col min="3" max="3" width="7.7265625" style="56" hidden="1" customWidth="1"/>
    <col min="4" max="4" width="8" style="56" hidden="1" customWidth="1"/>
    <col min="5" max="5" width="7.7265625" style="56" hidden="1" customWidth="1"/>
    <col min="6" max="6" width="15.26953125" style="56" customWidth="1"/>
    <col min="7" max="7" width="12.26953125" style="57" customWidth="1"/>
    <col min="8" max="8" width="11" style="84" hidden="1" customWidth="1"/>
    <col min="9" max="9" width="12.26953125" style="57" hidden="1" customWidth="1"/>
    <col min="10" max="10" width="11" style="84" hidden="1" customWidth="1"/>
    <col min="11" max="11" width="12.81640625" style="84" customWidth="1"/>
    <col min="12" max="13" width="11" style="84" hidden="1" customWidth="1"/>
    <col min="14" max="14" width="9.81640625" style="58" customWidth="1"/>
    <col min="15" max="15" width="10.81640625" style="58" bestFit="1" customWidth="1"/>
    <col min="16" max="16" width="14.6328125" style="58" customWidth="1"/>
    <col min="17" max="17" width="14.453125" style="58" customWidth="1"/>
    <col min="18" max="18" width="16.90625" style="58" customWidth="1"/>
    <col min="19" max="19" width="15.90625" style="58" bestFit="1" customWidth="1"/>
    <col min="20" max="20" width="19.26953125" style="58" customWidth="1"/>
    <col min="21" max="21" width="24.453125" style="58" customWidth="1"/>
    <col min="22" max="22" width="17" style="58" customWidth="1"/>
    <col min="23" max="23" width="19.81640625" style="58" customWidth="1"/>
    <col min="24" max="25" width="10" style="58" hidden="1" customWidth="1"/>
    <col min="26" max="26" width="0.26953125" style="58" customWidth="1"/>
    <col min="27" max="27" width="10" style="58"/>
    <col min="28" max="28" width="12.26953125" style="58" customWidth="1"/>
    <col min="29" max="29" width="7" style="58" bestFit="1" customWidth="1"/>
    <col min="30" max="30" width="9.1796875" style="58" bestFit="1" customWidth="1"/>
    <col min="31" max="31" width="17.26953125" style="58" customWidth="1"/>
    <col min="32" max="16384" width="10" style="58"/>
  </cols>
  <sheetData>
    <row r="1" spans="2:31" ht="15" customHeight="1" x14ac:dyDescent="0.3">
      <c r="C1" s="58"/>
      <c r="E1" s="57"/>
      <c r="F1" s="84"/>
      <c r="G1" s="58"/>
      <c r="H1" s="58"/>
      <c r="I1" s="58"/>
      <c r="J1" s="58"/>
      <c r="K1" s="58"/>
      <c r="L1" s="58"/>
      <c r="M1" s="58"/>
    </row>
    <row r="2" spans="2:31" ht="15" customHeight="1" x14ac:dyDescent="0.3">
      <c r="B2" s="208"/>
      <c r="C2" s="29"/>
      <c r="E2" s="57"/>
      <c r="F2" s="84"/>
      <c r="G2" s="29"/>
      <c r="H2" s="58"/>
      <c r="I2" s="29"/>
      <c r="J2" s="58"/>
      <c r="K2" s="58"/>
      <c r="L2" s="58"/>
      <c r="M2" s="58"/>
      <c r="T2" s="29"/>
      <c r="W2" s="29" t="s">
        <v>0</v>
      </c>
      <c r="Z2" s="29" t="s">
        <v>0</v>
      </c>
    </row>
    <row r="3" spans="2:31" ht="15" customHeight="1" x14ac:dyDescent="0.3">
      <c r="B3" s="209"/>
      <c r="C3" s="59"/>
      <c r="D3" s="152"/>
      <c r="E3" s="57"/>
      <c r="F3" s="210"/>
      <c r="G3" s="59"/>
      <c r="H3" s="58"/>
      <c r="I3" s="59"/>
      <c r="J3" s="58"/>
      <c r="K3" s="58"/>
      <c r="L3" s="58"/>
      <c r="M3" s="58"/>
      <c r="T3" s="59"/>
      <c r="W3" s="59" t="str">
        <f>'Información proyecto'!D3</f>
        <v>Versión: 0.1</v>
      </c>
      <c r="Z3" s="59" t="s">
        <v>1</v>
      </c>
    </row>
    <row r="4" spans="2:31" ht="1.5" customHeight="1" x14ac:dyDescent="0.3">
      <c r="C4" s="61"/>
      <c r="D4" s="153"/>
      <c r="E4" s="153"/>
      <c r="F4" s="153"/>
      <c r="G4" s="61"/>
      <c r="H4" s="61"/>
      <c r="I4" s="61"/>
      <c r="J4" s="61"/>
      <c r="K4" s="61"/>
      <c r="L4" s="61"/>
      <c r="M4" s="61"/>
      <c r="N4" s="61"/>
      <c r="O4" s="61"/>
      <c r="P4" s="61"/>
      <c r="Q4" s="61"/>
      <c r="R4" s="61"/>
      <c r="S4" s="61"/>
      <c r="T4" s="61"/>
      <c r="U4" s="61"/>
      <c r="V4" s="61"/>
      <c r="W4" s="61"/>
      <c r="X4" s="61"/>
      <c r="Y4" s="61"/>
      <c r="Z4" s="61"/>
    </row>
    <row r="5" spans="2:31" ht="15" customHeight="1" x14ac:dyDescent="0.3">
      <c r="C5" s="58"/>
      <c r="D5" s="65"/>
      <c r="E5" s="65"/>
      <c r="F5" s="65"/>
      <c r="G5" s="58"/>
      <c r="H5" s="58"/>
      <c r="I5" s="58"/>
      <c r="J5" s="58"/>
      <c r="K5" s="58"/>
      <c r="L5" s="58"/>
      <c r="M5" s="58"/>
      <c r="T5" s="62"/>
      <c r="W5" s="62" t="str">
        <f>'Información proyecto'!D5</f>
        <v>Proyecto:  Admin Eventos</v>
      </c>
      <c r="Z5" s="62" t="s">
        <v>2</v>
      </c>
    </row>
    <row r="6" spans="2:31" x14ac:dyDescent="0.3">
      <c r="B6" s="252"/>
      <c r="C6" s="253"/>
      <c r="D6" s="253"/>
      <c r="E6" s="253"/>
      <c r="F6" s="253"/>
      <c r="G6" s="253"/>
      <c r="H6" s="253"/>
      <c r="I6" s="394"/>
      <c r="J6" s="394"/>
      <c r="K6" s="394"/>
      <c r="L6" s="394"/>
      <c r="M6" s="410"/>
      <c r="N6" s="165"/>
      <c r="O6" s="165"/>
      <c r="P6" s="165"/>
      <c r="Q6" s="165"/>
      <c r="R6" s="165"/>
      <c r="S6" s="165"/>
      <c r="T6" s="165"/>
      <c r="U6" s="165"/>
      <c r="V6" s="165"/>
      <c r="W6" s="165"/>
      <c r="X6" s="165"/>
      <c r="Y6" s="165"/>
      <c r="Z6" s="165"/>
    </row>
    <row r="7" spans="2:31" x14ac:dyDescent="0.3">
      <c r="B7" s="252"/>
      <c r="C7" s="399" t="s">
        <v>56</v>
      </c>
      <c r="D7" s="399"/>
      <c r="E7" s="399"/>
      <c r="F7" s="399"/>
      <c r="G7" s="399"/>
      <c r="H7" s="399"/>
      <c r="I7" s="399"/>
      <c r="J7" s="399"/>
      <c r="K7" s="399"/>
      <c r="L7" s="399"/>
      <c r="M7" s="399"/>
      <c r="N7" s="399"/>
      <c r="O7" s="399"/>
      <c r="P7" s="399"/>
      <c r="Q7" s="399"/>
      <c r="R7" s="399"/>
      <c r="S7" s="399"/>
      <c r="T7" s="399"/>
      <c r="U7" s="399"/>
      <c r="V7" s="399"/>
      <c r="W7" s="399"/>
      <c r="X7" s="399"/>
      <c r="Y7" s="399"/>
      <c r="Z7" s="399"/>
    </row>
    <row r="8" spans="2:31" ht="18.75" customHeight="1" x14ac:dyDescent="0.3">
      <c r="B8" s="252"/>
      <c r="C8" s="253"/>
      <c r="D8" s="253"/>
      <c r="E8" s="253"/>
      <c r="F8" s="253"/>
      <c r="G8" s="165"/>
      <c r="H8" s="165"/>
      <c r="I8" s="165"/>
      <c r="J8" s="165"/>
      <c r="K8" s="165"/>
      <c r="L8" s="165"/>
      <c r="M8" s="165"/>
      <c r="N8" s="165"/>
      <c r="O8" s="165"/>
      <c r="P8" s="165"/>
      <c r="Q8" s="165"/>
      <c r="R8" s="165"/>
      <c r="S8" s="165"/>
      <c r="T8" s="165"/>
      <c r="U8" s="165"/>
      <c r="V8" s="165"/>
      <c r="W8" s="165"/>
      <c r="X8" s="165"/>
      <c r="Y8" s="165"/>
      <c r="Z8" s="165"/>
    </row>
    <row r="9" spans="2:31" x14ac:dyDescent="0.3">
      <c r="B9" s="252"/>
      <c r="C9" s="397" t="s">
        <v>57</v>
      </c>
      <c r="D9" s="397"/>
      <c r="E9" s="397"/>
      <c r="F9" s="397"/>
      <c r="G9" s="397"/>
      <c r="H9" s="397"/>
      <c r="I9" s="397"/>
      <c r="J9" s="397"/>
      <c r="K9" s="397"/>
      <c r="L9" s="397"/>
      <c r="M9" s="397"/>
      <c r="N9" s="397"/>
      <c r="O9" s="397"/>
      <c r="P9" s="397"/>
      <c r="Q9" s="397"/>
      <c r="R9" s="397"/>
      <c r="S9" s="397"/>
      <c r="T9" s="397"/>
      <c r="U9" s="397"/>
      <c r="V9" s="397"/>
      <c r="W9" s="397"/>
      <c r="X9" s="397"/>
      <c r="Y9" s="397"/>
      <c r="Z9" s="397"/>
    </row>
    <row r="10" spans="2:31" x14ac:dyDescent="0.3">
      <c r="B10" s="252"/>
      <c r="C10" s="398"/>
      <c r="D10" s="398"/>
      <c r="E10" s="398"/>
      <c r="F10" s="398"/>
      <c r="G10" s="398"/>
      <c r="H10" s="398"/>
      <c r="I10" s="398"/>
      <c r="J10" s="398"/>
      <c r="K10" s="398"/>
      <c r="L10" s="398"/>
      <c r="M10" s="398"/>
      <c r="N10" s="165"/>
      <c r="O10" s="165"/>
      <c r="P10" s="165"/>
      <c r="Q10" s="165"/>
      <c r="R10" s="165"/>
      <c r="S10" s="165"/>
      <c r="T10" s="165"/>
      <c r="U10" s="165"/>
      <c r="V10" s="165"/>
      <c r="W10" s="165"/>
      <c r="X10" s="165"/>
      <c r="Y10" s="165"/>
      <c r="Z10" s="165"/>
    </row>
    <row r="11" spans="2:31" s="258" customFormat="1" ht="22.75" customHeight="1" x14ac:dyDescent="0.35">
      <c r="B11" s="254"/>
      <c r="C11" s="255"/>
      <c r="D11" s="256"/>
      <c r="E11" s="255"/>
      <c r="F11" s="255"/>
      <c r="G11" s="255"/>
      <c r="H11" s="257"/>
      <c r="I11" s="255"/>
      <c r="J11" s="257"/>
      <c r="K11" s="257"/>
      <c r="L11" s="257"/>
      <c r="M11" s="257"/>
      <c r="N11" s="255"/>
      <c r="O11" s="255"/>
      <c r="P11" s="255"/>
      <c r="Q11" s="255"/>
      <c r="R11" s="255"/>
      <c r="S11" s="255"/>
      <c r="T11" s="255"/>
      <c r="U11" s="250" t="s">
        <v>249</v>
      </c>
      <c r="V11" s="624">
        <f>Inversión!N22</f>
        <v>1216608</v>
      </c>
      <c r="W11" s="624"/>
      <c r="X11" s="255"/>
      <c r="Y11" s="255"/>
      <c r="Z11" s="255"/>
      <c r="AB11" s="259" t="s">
        <v>95</v>
      </c>
    </row>
    <row r="12" spans="2:31" s="266" customFormat="1" ht="15.5" thickBot="1" x14ac:dyDescent="0.35">
      <c r="B12" s="260"/>
      <c r="C12" s="261"/>
      <c r="D12" s="262"/>
      <c r="E12" s="261"/>
      <c r="F12" s="263"/>
      <c r="G12" s="263"/>
      <c r="H12" s="264"/>
      <c r="I12" s="263"/>
      <c r="J12" s="264"/>
      <c r="K12" s="264"/>
      <c r="L12" s="264"/>
      <c r="M12" s="264"/>
      <c r="O12" s="263"/>
      <c r="P12" s="263"/>
      <c r="Q12" s="263"/>
      <c r="S12" s="263"/>
      <c r="T12" s="263"/>
      <c r="U12" s="265"/>
      <c r="V12" s="255"/>
      <c r="W12" s="261"/>
      <c r="X12" s="261"/>
      <c r="Y12" s="261"/>
      <c r="Z12" s="261"/>
      <c r="AB12" s="267" t="s">
        <v>441</v>
      </c>
      <c r="AC12" s="268">
        <v>7</v>
      </c>
      <c r="AD12" s="268"/>
      <c r="AE12" s="269">
        <f>'Fechas y costos'!F12</f>
        <v>45436.948652261082</v>
      </c>
    </row>
    <row r="13" spans="2:31" s="272" customFormat="1" ht="44.5" customHeight="1" thickBot="1" x14ac:dyDescent="0.35">
      <c r="B13" s="270"/>
      <c r="C13" s="271" t="s">
        <v>60</v>
      </c>
      <c r="D13" s="271" t="s">
        <v>61</v>
      </c>
      <c r="E13" s="290" t="s">
        <v>62</v>
      </c>
      <c r="F13" s="582" t="s">
        <v>63</v>
      </c>
      <c r="G13" s="582" t="s">
        <v>452</v>
      </c>
      <c r="H13" s="582" t="s">
        <v>64</v>
      </c>
      <c r="I13" s="582" t="s">
        <v>593</v>
      </c>
      <c r="J13" s="582" t="s">
        <v>594</v>
      </c>
      <c r="K13" s="582" t="s">
        <v>60</v>
      </c>
      <c r="L13" s="582" t="s">
        <v>595</v>
      </c>
      <c r="M13" s="582" t="s">
        <v>598</v>
      </c>
      <c r="N13" s="583" t="s">
        <v>394</v>
      </c>
      <c r="O13" s="582" t="s">
        <v>433</v>
      </c>
      <c r="P13" s="583" t="s">
        <v>432</v>
      </c>
      <c r="Q13" s="583" t="s">
        <v>432</v>
      </c>
      <c r="R13" s="583" t="s">
        <v>596</v>
      </c>
      <c r="S13" s="583" t="s">
        <v>65</v>
      </c>
      <c r="T13" s="389" t="s">
        <v>58</v>
      </c>
      <c r="U13" s="389" t="s">
        <v>66</v>
      </c>
      <c r="V13" s="389" t="s">
        <v>67</v>
      </c>
      <c r="W13" s="389" t="s">
        <v>10</v>
      </c>
      <c r="X13" s="293" t="s">
        <v>68</v>
      </c>
      <c r="Y13" s="271" t="s">
        <v>69</v>
      </c>
      <c r="Z13" s="271" t="s">
        <v>70</v>
      </c>
      <c r="AB13" s="273" t="s">
        <v>442</v>
      </c>
      <c r="AC13" s="274">
        <f>Inversión!I10</f>
        <v>874</v>
      </c>
      <c r="AD13" s="274"/>
      <c r="AE13" s="423"/>
    </row>
    <row r="14" spans="2:31" s="258" customFormat="1" ht="20.149999999999999" customHeight="1" thickBot="1" x14ac:dyDescent="0.35">
      <c r="B14" s="254"/>
      <c r="C14" s="275">
        <v>0</v>
      </c>
      <c r="D14" s="275"/>
      <c r="E14" s="291"/>
      <c r="F14" s="584" t="s">
        <v>71</v>
      </c>
      <c r="G14" s="566">
        <f>'Fechas y costos'!E12</f>
        <v>45323</v>
      </c>
      <c r="H14" s="567"/>
      <c r="I14" s="568"/>
      <c r="J14" s="567"/>
      <c r="K14" s="569"/>
      <c r="L14" s="569"/>
      <c r="M14" s="569"/>
      <c r="N14" s="570">
        <v>262</v>
      </c>
      <c r="O14" s="571">
        <v>1200</v>
      </c>
      <c r="P14" s="572">
        <f>N14*(O14-O14*(1-Q14))</f>
        <v>62880</v>
      </c>
      <c r="Q14" s="573">
        <v>0.2</v>
      </c>
      <c r="R14" s="574">
        <f t="shared" ref="R14:R22" si="0">N14*O14</f>
        <v>314400</v>
      </c>
      <c r="S14" s="572">
        <f t="shared" ref="S14:S22" si="1">N14*(O14-O14*Q14)</f>
        <v>251520</v>
      </c>
      <c r="T14" s="311">
        <f t="shared" ref="T14:T22" si="2">S14*0.16</f>
        <v>40243.200000000004</v>
      </c>
      <c r="U14" s="311">
        <f t="shared" ref="U14:U22" si="3">S14+T14</f>
        <v>291763.20000000001</v>
      </c>
      <c r="V14" s="311">
        <f>V11-U14</f>
        <v>924844.8</v>
      </c>
      <c r="W14" s="308" t="s">
        <v>607</v>
      </c>
      <c r="X14" s="294"/>
      <c r="Y14" s="277"/>
      <c r="Z14" s="278"/>
      <c r="AB14" s="274" t="s">
        <v>599</v>
      </c>
      <c r="AC14" s="274">
        <f>(AC13*0.3)</f>
        <v>262.2</v>
      </c>
      <c r="AD14" s="273">
        <f>N14/AC12</f>
        <v>37.428571428571431</v>
      </c>
      <c r="AE14" s="279">
        <f>V11*0.2</f>
        <v>243321.60000000001</v>
      </c>
    </row>
    <row r="15" spans="2:31" s="258" customFormat="1" ht="20.149999999999999" customHeight="1" thickBot="1" x14ac:dyDescent="0.4">
      <c r="B15" s="254"/>
      <c r="C15" s="280"/>
      <c r="D15" s="280"/>
      <c r="E15" s="292"/>
      <c r="F15" s="585">
        <v>1</v>
      </c>
      <c r="G15" s="566">
        <f>G14+14</f>
        <v>45337</v>
      </c>
      <c r="H15" s="567"/>
      <c r="I15" s="568"/>
      <c r="J15" s="567"/>
      <c r="K15" s="575">
        <f t="shared" ref="K15:K22" si="4">L15/$N$24</f>
        <v>0.12814645308924486</v>
      </c>
      <c r="L15" s="576">
        <f>M15</f>
        <v>112</v>
      </c>
      <c r="M15" s="576">
        <v>112</v>
      </c>
      <c r="N15" s="577">
        <v>75</v>
      </c>
      <c r="O15" s="571">
        <v>1200</v>
      </c>
      <c r="P15" s="572">
        <f t="shared" ref="P15:P22" si="5">N15*(O15-O15*(1-Q15))</f>
        <v>18000</v>
      </c>
      <c r="Q15" s="573">
        <v>0.2</v>
      </c>
      <c r="R15" s="574">
        <f t="shared" si="0"/>
        <v>90000</v>
      </c>
      <c r="S15" s="572">
        <f t="shared" si="1"/>
        <v>72000</v>
      </c>
      <c r="T15" s="299">
        <f t="shared" si="2"/>
        <v>11520</v>
      </c>
      <c r="U15" s="299">
        <f t="shared" si="3"/>
        <v>83520</v>
      </c>
      <c r="V15" s="299">
        <f t="shared" ref="V15:V22" si="6">V14-U15</f>
        <v>841324.8</v>
      </c>
      <c r="W15" s="296" t="s">
        <v>72</v>
      </c>
      <c r="X15" s="295"/>
      <c r="Y15" s="281"/>
      <c r="Z15" s="282"/>
      <c r="AB15" s="283" t="s">
        <v>600</v>
      </c>
      <c r="AC15" s="283">
        <f>(AC$13*0.6)/AC$12</f>
        <v>74.914285714285711</v>
      </c>
      <c r="AD15" s="283">
        <f>(AC$13*0.9)/AC$12</f>
        <v>112.37142857142858</v>
      </c>
      <c r="AE15" s="284">
        <f>V11*0.7/AC12</f>
        <v>121660.8</v>
      </c>
    </row>
    <row r="16" spans="2:31" s="258" customFormat="1" ht="20.149999999999999" customHeight="1" thickBot="1" x14ac:dyDescent="0.4">
      <c r="B16" s="254"/>
      <c r="C16" s="275"/>
      <c r="D16" s="275"/>
      <c r="E16" s="291"/>
      <c r="F16" s="585">
        <v>2</v>
      </c>
      <c r="G16" s="566">
        <f t="shared" ref="G16:G18" si="7">G15+14</f>
        <v>45351</v>
      </c>
      <c r="H16" s="567"/>
      <c r="I16" s="568"/>
      <c r="J16" s="567"/>
      <c r="K16" s="575">
        <f t="shared" si="4"/>
        <v>0.25629290617848971</v>
      </c>
      <c r="L16" s="576">
        <f>L15+M16</f>
        <v>224</v>
      </c>
      <c r="M16" s="576">
        <v>112</v>
      </c>
      <c r="N16" s="577">
        <v>75</v>
      </c>
      <c r="O16" s="571">
        <v>1200</v>
      </c>
      <c r="P16" s="572">
        <f t="shared" si="5"/>
        <v>18000</v>
      </c>
      <c r="Q16" s="573">
        <v>0.2</v>
      </c>
      <c r="R16" s="574">
        <f t="shared" si="0"/>
        <v>90000</v>
      </c>
      <c r="S16" s="572">
        <f t="shared" si="1"/>
        <v>72000</v>
      </c>
      <c r="T16" s="299">
        <f t="shared" si="2"/>
        <v>11520</v>
      </c>
      <c r="U16" s="299">
        <f t="shared" si="3"/>
        <v>83520</v>
      </c>
      <c r="V16" s="299">
        <f t="shared" si="6"/>
        <v>757804.8</v>
      </c>
      <c r="W16" s="296" t="s">
        <v>72</v>
      </c>
      <c r="X16" s="294"/>
      <c r="Y16" s="277"/>
      <c r="Z16" s="278"/>
      <c r="AB16" s="283"/>
      <c r="AC16" s="283"/>
      <c r="AD16" s="283"/>
      <c r="AE16" s="283"/>
    </row>
    <row r="17" spans="2:31" s="258" customFormat="1" ht="20.149999999999999" customHeight="1" thickBot="1" x14ac:dyDescent="0.4">
      <c r="B17" s="254"/>
      <c r="C17" s="275"/>
      <c r="D17" s="275"/>
      <c r="E17" s="291"/>
      <c r="F17" s="585">
        <v>3</v>
      </c>
      <c r="G17" s="566">
        <f>G16+14</f>
        <v>45365</v>
      </c>
      <c r="H17" s="567"/>
      <c r="I17" s="568"/>
      <c r="J17" s="567"/>
      <c r="K17" s="575">
        <f t="shared" si="4"/>
        <v>0.38443935926773454</v>
      </c>
      <c r="L17" s="576">
        <f>L16+M17</f>
        <v>336</v>
      </c>
      <c r="M17" s="576">
        <v>112</v>
      </c>
      <c r="N17" s="577">
        <v>75</v>
      </c>
      <c r="O17" s="571">
        <v>1200</v>
      </c>
      <c r="P17" s="572">
        <f>N17*(O17-O17*(1-Q17))</f>
        <v>18000</v>
      </c>
      <c r="Q17" s="573">
        <v>0.2</v>
      </c>
      <c r="R17" s="574">
        <f>N17*O17</f>
        <v>90000</v>
      </c>
      <c r="S17" s="572">
        <f t="shared" ref="S17" si="8">N17*(O17-O17*Q17)</f>
        <v>72000</v>
      </c>
      <c r="T17" s="299">
        <f>S17*0.16</f>
        <v>11520</v>
      </c>
      <c r="U17" s="299">
        <f>S17+T17</f>
        <v>83520</v>
      </c>
      <c r="V17" s="299">
        <f t="shared" si="6"/>
        <v>674284.8</v>
      </c>
      <c r="W17" s="296" t="s">
        <v>72</v>
      </c>
      <c r="X17" s="294"/>
      <c r="Y17" s="277"/>
      <c r="Z17" s="278"/>
      <c r="AB17" s="283"/>
      <c r="AC17" s="283"/>
      <c r="AD17" s="283"/>
      <c r="AE17" s="283"/>
    </row>
    <row r="18" spans="2:31" s="258" customFormat="1" ht="20.149999999999999" customHeight="1" thickBot="1" x14ac:dyDescent="0.4">
      <c r="B18" s="254"/>
      <c r="C18" s="275"/>
      <c r="D18" s="275"/>
      <c r="E18" s="291"/>
      <c r="F18" s="585">
        <v>4</v>
      </c>
      <c r="G18" s="566">
        <f t="shared" si="7"/>
        <v>45379</v>
      </c>
      <c r="H18" s="567"/>
      <c r="I18" s="568"/>
      <c r="J18" s="567"/>
      <c r="K18" s="575">
        <f t="shared" si="4"/>
        <v>0.51258581235697942</v>
      </c>
      <c r="L18" s="576">
        <f t="shared" ref="L18" si="9">L17+M18</f>
        <v>448</v>
      </c>
      <c r="M18" s="576">
        <v>112</v>
      </c>
      <c r="N18" s="577">
        <v>75</v>
      </c>
      <c r="O18" s="571">
        <v>1200</v>
      </c>
      <c r="P18" s="572">
        <f t="shared" ref="P18" si="10">N18*(O18-O18*(1-Q18))</f>
        <v>18000</v>
      </c>
      <c r="Q18" s="573">
        <v>0.2</v>
      </c>
      <c r="R18" s="574">
        <f t="shared" ref="R18" si="11">N18*O18</f>
        <v>90000</v>
      </c>
      <c r="S18" s="572">
        <f t="shared" ref="S18" si="12">N18*(O18-O18*Q18)</f>
        <v>72000</v>
      </c>
      <c r="T18" s="299">
        <f t="shared" ref="T18" si="13">S18*0.16</f>
        <v>11520</v>
      </c>
      <c r="U18" s="299">
        <f t="shared" ref="U18" si="14">S18+T18</f>
        <v>83520</v>
      </c>
      <c r="V18" s="299">
        <f t="shared" si="6"/>
        <v>590764.80000000005</v>
      </c>
      <c r="W18" s="296" t="s">
        <v>72</v>
      </c>
      <c r="X18" s="294"/>
      <c r="Y18" s="277"/>
      <c r="Z18" s="278"/>
      <c r="AB18" s="283"/>
      <c r="AC18" s="283"/>
      <c r="AD18" s="283"/>
      <c r="AE18" s="283"/>
    </row>
    <row r="19" spans="2:31" s="258" customFormat="1" ht="20.149999999999999" customHeight="1" thickBot="1" x14ac:dyDescent="0.4">
      <c r="B19" s="254"/>
      <c r="C19" s="275"/>
      <c r="D19" s="275"/>
      <c r="E19" s="291"/>
      <c r="F19" s="585">
        <v>5</v>
      </c>
      <c r="G19" s="566">
        <f>G18+14</f>
        <v>45393</v>
      </c>
      <c r="H19" s="567"/>
      <c r="I19" s="568"/>
      <c r="J19" s="567"/>
      <c r="K19" s="575">
        <f t="shared" si="4"/>
        <v>0.64187643020594964</v>
      </c>
      <c r="L19" s="576">
        <f>L18+M19</f>
        <v>561</v>
      </c>
      <c r="M19" s="576">
        <v>113</v>
      </c>
      <c r="N19" s="577">
        <v>75</v>
      </c>
      <c r="O19" s="571">
        <v>1200</v>
      </c>
      <c r="P19" s="572">
        <f>N19*(O19-O19*(1-Q19))</f>
        <v>18000</v>
      </c>
      <c r="Q19" s="573">
        <v>0.2</v>
      </c>
      <c r="R19" s="574">
        <f>N19*O19</f>
        <v>90000</v>
      </c>
      <c r="S19" s="572">
        <f t="shared" ref="S19:S20" si="15">N19*(O19-O19*Q19)</f>
        <v>72000</v>
      </c>
      <c r="T19" s="299">
        <f>S19*0.16</f>
        <v>11520</v>
      </c>
      <c r="U19" s="299">
        <f>S19+T19</f>
        <v>83520</v>
      </c>
      <c r="V19" s="299">
        <f>V18-U19</f>
        <v>507244.80000000005</v>
      </c>
      <c r="W19" s="296" t="s">
        <v>72</v>
      </c>
      <c r="X19" s="294"/>
      <c r="Y19" s="277"/>
      <c r="Z19" s="278"/>
      <c r="AB19" s="283"/>
      <c r="AC19" s="283"/>
      <c r="AD19" s="283"/>
      <c r="AE19" s="283"/>
    </row>
    <row r="20" spans="2:31" s="258" customFormat="1" ht="20.149999999999999" customHeight="1" thickBot="1" x14ac:dyDescent="0.4">
      <c r="B20" s="254"/>
      <c r="C20" s="275"/>
      <c r="D20" s="275"/>
      <c r="E20" s="291"/>
      <c r="F20" s="585">
        <v>6</v>
      </c>
      <c r="G20" s="566">
        <f t="shared" ref="G20:G21" si="16">G19+14</f>
        <v>45407</v>
      </c>
      <c r="H20" s="567"/>
      <c r="I20" s="568"/>
      <c r="J20" s="567"/>
      <c r="K20" s="575">
        <f t="shared" si="4"/>
        <v>0.77116704805491987</v>
      </c>
      <c r="L20" s="576">
        <f t="shared" ref="L20" si="17">L19+M20</f>
        <v>674</v>
      </c>
      <c r="M20" s="576">
        <v>113</v>
      </c>
      <c r="N20" s="577">
        <v>75</v>
      </c>
      <c r="O20" s="571">
        <v>1200</v>
      </c>
      <c r="P20" s="572">
        <f t="shared" ref="P20" si="18">N20*(O20-O20*(1-Q20))</f>
        <v>18000</v>
      </c>
      <c r="Q20" s="573">
        <v>0.2</v>
      </c>
      <c r="R20" s="574">
        <f t="shared" ref="R20" si="19">N20*O20</f>
        <v>90000</v>
      </c>
      <c r="S20" s="572">
        <f t="shared" si="15"/>
        <v>72000</v>
      </c>
      <c r="T20" s="299">
        <f t="shared" ref="T20" si="20">S20*0.16</f>
        <v>11520</v>
      </c>
      <c r="U20" s="299">
        <f t="shared" ref="U20" si="21">S20+T20</f>
        <v>83520</v>
      </c>
      <c r="V20" s="299">
        <f t="shared" ref="V20" si="22">V19-U20</f>
        <v>423724.80000000005</v>
      </c>
      <c r="W20" s="296" t="s">
        <v>72</v>
      </c>
      <c r="X20" s="294"/>
      <c r="Y20" s="277"/>
      <c r="Z20" s="278"/>
      <c r="AB20" s="283"/>
      <c r="AC20" s="283"/>
      <c r="AD20" s="283"/>
      <c r="AE20" s="283"/>
    </row>
    <row r="21" spans="2:31" s="258" customFormat="1" ht="20.149999999999999" customHeight="1" thickBot="1" x14ac:dyDescent="0.4">
      <c r="B21" s="254"/>
      <c r="C21" s="275"/>
      <c r="D21" s="275"/>
      <c r="E21" s="291"/>
      <c r="F21" s="585">
        <v>7</v>
      </c>
      <c r="G21" s="566">
        <f t="shared" si="16"/>
        <v>45421</v>
      </c>
      <c r="H21" s="567"/>
      <c r="I21" s="568"/>
      <c r="J21" s="567"/>
      <c r="K21" s="575">
        <f t="shared" si="4"/>
        <v>0.9004576659038902</v>
      </c>
      <c r="L21" s="576">
        <f>L20+M21</f>
        <v>787</v>
      </c>
      <c r="M21" s="576">
        <v>113</v>
      </c>
      <c r="N21" s="577">
        <v>75</v>
      </c>
      <c r="O21" s="571">
        <v>1200</v>
      </c>
      <c r="P21" s="572">
        <f>N21*(O21-O21*(1-Q21))</f>
        <v>18000</v>
      </c>
      <c r="Q21" s="573">
        <v>0.2</v>
      </c>
      <c r="R21" s="574">
        <f>N21*O21</f>
        <v>90000</v>
      </c>
      <c r="S21" s="572">
        <f t="shared" si="1"/>
        <v>72000</v>
      </c>
      <c r="T21" s="299">
        <f>S21*0.16</f>
        <v>11520</v>
      </c>
      <c r="U21" s="299">
        <f>S21+T21</f>
        <v>83520</v>
      </c>
      <c r="V21" s="299">
        <f>V20-U21</f>
        <v>340204.80000000005</v>
      </c>
      <c r="W21" s="296" t="s">
        <v>72</v>
      </c>
      <c r="X21" s="294"/>
      <c r="Y21" s="277"/>
      <c r="Z21" s="278"/>
      <c r="AB21" s="283"/>
      <c r="AC21" s="283"/>
      <c r="AD21" s="283"/>
      <c r="AE21" s="283"/>
    </row>
    <row r="22" spans="2:31" s="258" customFormat="1" ht="18.5" customHeight="1" thickBot="1" x14ac:dyDescent="0.4">
      <c r="B22" s="254"/>
      <c r="C22" s="275">
        <v>1</v>
      </c>
      <c r="D22" s="275"/>
      <c r="E22" s="291"/>
      <c r="F22" s="584" t="s">
        <v>59</v>
      </c>
      <c r="G22" s="566">
        <f>G21+17</f>
        <v>45438</v>
      </c>
      <c r="H22" s="567"/>
      <c r="I22" s="568"/>
      <c r="J22" s="567"/>
      <c r="K22" s="575">
        <f t="shared" si="4"/>
        <v>1</v>
      </c>
      <c r="L22" s="576">
        <f>L21+M22</f>
        <v>874</v>
      </c>
      <c r="M22" s="576">
        <v>87</v>
      </c>
      <c r="N22" s="577">
        <v>87</v>
      </c>
      <c r="O22" s="571">
        <v>1200</v>
      </c>
      <c r="P22" s="572">
        <f t="shared" si="5"/>
        <v>20880</v>
      </c>
      <c r="Q22" s="573">
        <v>0.2</v>
      </c>
      <c r="R22" s="574">
        <f t="shared" si="0"/>
        <v>104400</v>
      </c>
      <c r="S22" s="572">
        <f t="shared" si="1"/>
        <v>83520</v>
      </c>
      <c r="T22" s="299">
        <f t="shared" si="2"/>
        <v>13363.2</v>
      </c>
      <c r="U22" s="299">
        <f t="shared" si="3"/>
        <v>96883.199999999997</v>
      </c>
      <c r="V22" s="299">
        <f t="shared" si="6"/>
        <v>243321.60000000003</v>
      </c>
      <c r="W22" s="296" t="s">
        <v>340</v>
      </c>
      <c r="X22" s="294"/>
      <c r="Y22" s="277"/>
      <c r="Z22" s="278"/>
      <c r="AB22" s="274" t="s">
        <v>443</v>
      </c>
      <c r="AC22" s="274">
        <f>AC13*0.1</f>
        <v>87.4</v>
      </c>
      <c r="AD22" s="274">
        <f>AC13*0.1</f>
        <v>87.4</v>
      </c>
      <c r="AE22" s="279">
        <f>V11*0.1</f>
        <v>121660.8</v>
      </c>
    </row>
    <row r="23" spans="2:31" s="258" customFormat="1" ht="2.5" hidden="1" customHeight="1" thickBot="1" x14ac:dyDescent="0.4">
      <c r="B23" s="254"/>
      <c r="C23" s="296"/>
      <c r="D23" s="296"/>
      <c r="E23" s="296"/>
      <c r="F23" s="565"/>
      <c r="G23" s="566"/>
      <c r="H23" s="565"/>
      <c r="I23" s="566"/>
      <c r="J23" s="565"/>
      <c r="K23" s="565"/>
      <c r="L23" s="576"/>
      <c r="M23" s="576"/>
      <c r="N23" s="578"/>
      <c r="O23" s="571"/>
      <c r="P23" s="572"/>
      <c r="Q23" s="573">
        <v>0.1</v>
      </c>
      <c r="R23" s="574"/>
      <c r="S23" s="572"/>
      <c r="T23" s="316"/>
      <c r="U23" s="316"/>
      <c r="V23" s="316"/>
      <c r="W23" s="313"/>
      <c r="X23" s="298"/>
      <c r="Y23" s="298"/>
      <c r="Z23" s="391"/>
      <c r="AB23" s="392"/>
      <c r="AC23" s="392"/>
      <c r="AD23" s="392"/>
      <c r="AE23" s="393"/>
    </row>
    <row r="24" spans="2:31" s="272" customFormat="1" ht="25.5" customHeight="1" thickBot="1" x14ac:dyDescent="0.4">
      <c r="B24" s="270"/>
      <c r="C24" s="285"/>
      <c r="D24" s="286"/>
      <c r="E24" s="285"/>
      <c r="F24" s="579"/>
      <c r="G24" s="579"/>
      <c r="H24" s="580"/>
      <c r="I24" s="579"/>
      <c r="J24" s="580"/>
      <c r="K24" s="580"/>
      <c r="L24" s="580"/>
      <c r="M24" s="581">
        <f>SUM(M14:M22)</f>
        <v>874</v>
      </c>
      <c r="N24" s="586">
        <f>SUM(N14:N22)</f>
        <v>874</v>
      </c>
      <c r="O24" s="587"/>
      <c r="P24" s="587"/>
      <c r="Q24" s="587"/>
      <c r="R24" s="588">
        <f>SUM(R14:R22)</f>
        <v>1048800</v>
      </c>
      <c r="S24" s="588">
        <f>SUM(S14:S22)</f>
        <v>839040</v>
      </c>
      <c r="T24" s="245">
        <f>SUM(T14:T22)</f>
        <v>134246.40000000002</v>
      </c>
      <c r="U24" s="245">
        <f>SUM(U14:U22)</f>
        <v>973286.39999999991</v>
      </c>
      <c r="V24" s="305"/>
      <c r="W24" s="306"/>
      <c r="X24" s="255"/>
      <c r="Y24" s="255"/>
      <c r="Z24" s="285"/>
    </row>
    <row r="25" spans="2:31" x14ac:dyDescent="0.3">
      <c r="C25" s="287"/>
      <c r="D25" s="287"/>
      <c r="E25" s="287"/>
      <c r="F25" s="287"/>
      <c r="G25" s="159"/>
      <c r="I25" s="159"/>
      <c r="O25" s="84"/>
      <c r="P25" s="84"/>
      <c r="Q25" s="84"/>
      <c r="T25" s="165"/>
    </row>
    <row r="26" spans="2:31" s="84" customFormat="1" x14ac:dyDescent="0.3">
      <c r="B26" s="288"/>
      <c r="C26" s="158"/>
      <c r="D26" s="158"/>
      <c r="E26" s="158"/>
      <c r="F26" s="158"/>
      <c r="G26" s="159"/>
      <c r="I26" s="159"/>
      <c r="Q26" s="84">
        <f>1200*Q22</f>
        <v>240</v>
      </c>
      <c r="R26" s="221"/>
      <c r="S26" s="221"/>
      <c r="T26" s="289"/>
      <c r="AD26" s="427"/>
    </row>
    <row r="27" spans="2:31" s="56" customFormat="1" x14ac:dyDescent="0.3">
      <c r="B27" s="222"/>
      <c r="G27" s="57"/>
      <c r="H27" s="84"/>
      <c r="I27" s="57"/>
      <c r="J27" s="84"/>
      <c r="K27" s="84"/>
      <c r="L27" s="84"/>
      <c r="M27" s="84"/>
      <c r="N27" s="58"/>
      <c r="O27" s="58"/>
      <c r="P27" s="434"/>
      <c r="Q27" s="58">
        <f>1200-Q26</f>
        <v>960</v>
      </c>
      <c r="R27" s="58"/>
      <c r="S27" s="58"/>
      <c r="T27" s="58"/>
    </row>
    <row r="28" spans="2:31" s="56" customFormat="1" x14ac:dyDescent="0.3">
      <c r="B28" s="222"/>
      <c r="G28" s="57"/>
      <c r="H28" s="84"/>
      <c r="I28" s="57"/>
      <c r="J28" s="84"/>
      <c r="K28" s="84"/>
      <c r="L28" s="84"/>
      <c r="M28" s="84"/>
      <c r="N28" s="58"/>
      <c r="O28" s="58"/>
      <c r="P28" s="58"/>
      <c r="Q28" s="58"/>
      <c r="R28" s="58"/>
      <c r="S28" s="58"/>
      <c r="T28" s="434"/>
    </row>
    <row r="29" spans="2:31" s="56" customFormat="1" ht="30.25" customHeight="1" x14ac:dyDescent="0.3">
      <c r="B29" s="222"/>
      <c r="G29" s="57"/>
      <c r="H29" s="84"/>
      <c r="I29" s="57"/>
      <c r="J29" s="84"/>
      <c r="K29" s="84"/>
      <c r="L29" s="84"/>
      <c r="M29" s="84"/>
      <c r="N29" s="58"/>
      <c r="O29" s="58"/>
      <c r="P29" s="58"/>
      <c r="Q29" s="58"/>
      <c r="R29" s="58"/>
      <c r="S29" s="434"/>
      <c r="T29" s="434"/>
    </row>
    <row r="30" spans="2:31" s="56" customFormat="1" x14ac:dyDescent="0.3">
      <c r="B30" s="222"/>
      <c r="G30" s="57"/>
      <c r="H30" s="84"/>
      <c r="I30" s="57"/>
      <c r="J30" s="84"/>
      <c r="K30" s="84"/>
      <c r="L30" s="84"/>
      <c r="M30" s="84"/>
      <c r="N30" s="58"/>
      <c r="O30" s="58"/>
      <c r="P30" s="58"/>
      <c r="Q30" s="58"/>
      <c r="R30" s="165"/>
      <c r="S30" s="165"/>
      <c r="T30" s="58"/>
    </row>
    <row r="31" spans="2:31" s="56" customFormat="1" x14ac:dyDescent="0.3">
      <c r="B31" s="222"/>
      <c r="G31" s="57"/>
      <c r="H31" s="84"/>
      <c r="I31" s="57"/>
      <c r="J31" s="84"/>
      <c r="K31" s="84"/>
      <c r="L31" s="84"/>
      <c r="M31" s="84"/>
      <c r="N31" s="58"/>
      <c r="O31" s="58"/>
      <c r="P31" s="58"/>
      <c r="Q31" s="58"/>
      <c r="R31" s="58"/>
      <c r="S31" s="434"/>
      <c r="T31" s="58"/>
    </row>
    <row r="32" spans="2:31" s="56" customFormat="1" x14ac:dyDescent="0.3">
      <c r="B32" s="222"/>
      <c r="G32" s="57"/>
      <c r="H32" s="84"/>
      <c r="I32" s="57"/>
      <c r="J32" s="84"/>
      <c r="K32" s="84"/>
      <c r="L32" s="84"/>
      <c r="M32" s="84"/>
      <c r="N32" s="58"/>
      <c r="O32" s="58"/>
      <c r="P32" s="58"/>
      <c r="Q32" s="58"/>
      <c r="R32" s="58"/>
      <c r="S32" s="58"/>
      <c r="T32" s="58"/>
    </row>
    <row r="33" spans="2:20" s="56" customFormat="1" x14ac:dyDescent="0.3">
      <c r="B33" s="222"/>
      <c r="G33" s="57"/>
      <c r="H33" s="84"/>
      <c r="I33" s="57"/>
      <c r="J33" s="84"/>
      <c r="K33" s="84"/>
      <c r="L33" s="84"/>
      <c r="M33" s="84"/>
      <c r="N33" s="58"/>
      <c r="O33" s="58"/>
      <c r="P33" s="58"/>
      <c r="Q33" s="58"/>
      <c r="R33" s="58"/>
      <c r="S33" s="58"/>
      <c r="T33" s="58"/>
    </row>
    <row r="34" spans="2:20" s="56" customFormat="1" x14ac:dyDescent="0.3">
      <c r="B34" s="222"/>
      <c r="G34" s="57"/>
      <c r="H34" s="84"/>
      <c r="I34" s="57"/>
      <c r="J34" s="84"/>
      <c r="K34" s="84"/>
      <c r="L34" s="84"/>
      <c r="M34" s="84"/>
      <c r="N34" s="58"/>
      <c r="O34" s="58"/>
      <c r="P34" s="58"/>
      <c r="Q34" s="58"/>
      <c r="R34" s="58"/>
      <c r="S34" s="58"/>
      <c r="T34" s="58"/>
    </row>
  </sheetData>
  <mergeCells count="1">
    <mergeCell ref="V11:W11"/>
  </mergeCells>
  <conditionalFormatting sqref="X14">
    <cfRule type="iconSet" priority="242">
      <iconSet iconSet="3Symbols2" showValue="0">
        <cfvo type="percent" val="0"/>
        <cfvo type="num" val="-1" gte="0"/>
        <cfvo type="num" val="0" gte="0"/>
      </iconSet>
    </cfRule>
  </conditionalFormatting>
  <conditionalFormatting sqref="Y14">
    <cfRule type="iconSet" priority="241">
      <iconSet iconSet="3Symbols2" showValue="0">
        <cfvo type="percent" val="0"/>
        <cfvo type="num" val="-1" gte="0"/>
        <cfvo type="num" val="0" gte="0"/>
      </iconSet>
    </cfRule>
  </conditionalFormatting>
  <conditionalFormatting sqref="Y15">
    <cfRule type="iconSet" priority="172">
      <iconSet iconSet="3Symbols2" showValue="0">
        <cfvo type="percent" val="0"/>
        <cfvo type="num" val="-1" gte="0"/>
        <cfvo type="num" val="0" gte="0"/>
      </iconSet>
    </cfRule>
  </conditionalFormatting>
  <conditionalFormatting sqref="X15">
    <cfRule type="iconSet" priority="171">
      <iconSet iconSet="3Symbols2" showValue="0">
        <cfvo type="percent" val="0"/>
        <cfvo type="num" val="-1" gte="0"/>
        <cfvo type="num" val="0" gte="0"/>
      </iconSet>
    </cfRule>
  </conditionalFormatting>
  <conditionalFormatting sqref="X16">
    <cfRule type="iconSet" priority="170">
      <iconSet iconSet="3Symbols2" showValue="0">
        <cfvo type="percent" val="0"/>
        <cfvo type="num" val="-1" gte="0"/>
        <cfvo type="num" val="0" gte="0"/>
      </iconSet>
    </cfRule>
  </conditionalFormatting>
  <conditionalFormatting sqref="Y16">
    <cfRule type="iconSet" priority="169">
      <iconSet iconSet="3Symbols2" showValue="0">
        <cfvo type="percent" val="0"/>
        <cfvo type="num" val="-1" gte="0"/>
        <cfvo type="num" val="0" gte="0"/>
      </iconSet>
    </cfRule>
  </conditionalFormatting>
  <conditionalFormatting sqref="X22:X23">
    <cfRule type="iconSet" priority="126">
      <iconSet iconSet="3Symbols2" showValue="0">
        <cfvo type="percent" val="0"/>
        <cfvo type="num" val="-1" gte="0"/>
        <cfvo type="num" val="0" gte="0"/>
      </iconSet>
    </cfRule>
  </conditionalFormatting>
  <conditionalFormatting sqref="Y22:Y23">
    <cfRule type="iconSet" priority="125">
      <iconSet iconSet="3Symbols2" showValue="0">
        <cfvo type="percent" val="0"/>
        <cfvo type="num" val="-1" gte="0"/>
        <cfvo type="num" val="0" gte="0"/>
      </iconSet>
    </cfRule>
  </conditionalFormatting>
  <conditionalFormatting sqref="X21">
    <cfRule type="iconSet" priority="20">
      <iconSet iconSet="3Symbols2" showValue="0">
        <cfvo type="percent" val="0"/>
        <cfvo type="num" val="-1" gte="0"/>
        <cfvo type="num" val="0" gte="0"/>
      </iconSet>
    </cfRule>
  </conditionalFormatting>
  <conditionalFormatting sqref="Y21">
    <cfRule type="iconSet" priority="19">
      <iconSet iconSet="3Symbols2" showValue="0">
        <cfvo type="percent" val="0"/>
        <cfvo type="num" val="-1" gte="0"/>
        <cfvo type="num" val="0" gte="0"/>
      </iconSet>
    </cfRule>
  </conditionalFormatting>
  <conditionalFormatting sqref="X17">
    <cfRule type="iconSet" priority="12">
      <iconSet iconSet="3Symbols2" showValue="0">
        <cfvo type="percent" val="0"/>
        <cfvo type="num" val="-1" gte="0"/>
        <cfvo type="num" val="0" gte="0"/>
      </iconSet>
    </cfRule>
  </conditionalFormatting>
  <conditionalFormatting sqref="Y17">
    <cfRule type="iconSet" priority="11">
      <iconSet iconSet="3Symbols2" showValue="0">
        <cfvo type="percent" val="0"/>
        <cfvo type="num" val="-1" gte="0"/>
        <cfvo type="num" val="0" gte="0"/>
      </iconSet>
    </cfRule>
  </conditionalFormatting>
  <conditionalFormatting sqref="X18">
    <cfRule type="iconSet" priority="10">
      <iconSet iconSet="3Symbols2" showValue="0">
        <cfvo type="percent" val="0"/>
        <cfvo type="num" val="-1" gte="0"/>
        <cfvo type="num" val="0" gte="0"/>
      </iconSet>
    </cfRule>
  </conditionalFormatting>
  <conditionalFormatting sqref="Y18">
    <cfRule type="iconSet" priority="9">
      <iconSet iconSet="3Symbols2" showValue="0">
        <cfvo type="percent" val="0"/>
        <cfvo type="num" val="-1" gte="0"/>
        <cfvo type="num" val="0" gte="0"/>
      </iconSet>
    </cfRule>
  </conditionalFormatting>
  <conditionalFormatting sqref="X19">
    <cfRule type="iconSet" priority="4">
      <iconSet iconSet="3Symbols2" showValue="0">
        <cfvo type="percent" val="0"/>
        <cfvo type="num" val="-1" gte="0"/>
        <cfvo type="num" val="0" gte="0"/>
      </iconSet>
    </cfRule>
  </conditionalFormatting>
  <conditionalFormatting sqref="Y19">
    <cfRule type="iconSet" priority="3">
      <iconSet iconSet="3Symbols2" showValue="0">
        <cfvo type="percent" val="0"/>
        <cfvo type="num" val="-1" gte="0"/>
        <cfvo type="num" val="0" gte="0"/>
      </iconSet>
    </cfRule>
  </conditionalFormatting>
  <conditionalFormatting sqref="X20">
    <cfRule type="iconSet" priority="2">
      <iconSet iconSet="3Symbols2" showValue="0">
        <cfvo type="percent" val="0"/>
        <cfvo type="num" val="-1" gte="0"/>
        <cfvo type="num" val="0" gte="0"/>
      </iconSet>
    </cfRule>
  </conditionalFormatting>
  <conditionalFormatting sqref="Y20">
    <cfRule type="iconSet" priority="1">
      <iconSet iconSet="3Symbols2" showValue="0">
        <cfvo type="percent" val="0"/>
        <cfvo type="num" val="-1" gte="0"/>
        <cfvo type="num" val="0" gte="0"/>
      </iconSet>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1"/>
  <sheetViews>
    <sheetView showGridLines="0" workbookViewId="0">
      <selection activeCell="J19" sqref="J19"/>
    </sheetView>
  </sheetViews>
  <sheetFormatPr baseColWidth="10" defaultColWidth="10.81640625" defaultRowHeight="15" x14ac:dyDescent="0.3"/>
  <cols>
    <col min="1" max="1" width="3" style="54" customWidth="1"/>
    <col min="2" max="2" width="3.26953125" style="54" customWidth="1"/>
    <col min="3" max="3" width="37" style="54" bestFit="1" customWidth="1"/>
    <col min="4" max="4" width="19.7265625" style="54" customWidth="1"/>
    <col min="5" max="5" width="20" style="54" bestFit="1" customWidth="1"/>
    <col min="6" max="6" width="13.26953125" style="54" customWidth="1"/>
    <col min="7" max="7" width="23" style="54" customWidth="1"/>
    <col min="8" max="8" width="22" style="54" customWidth="1"/>
    <col min="9" max="9" width="7.26953125" style="54" bestFit="1" customWidth="1"/>
    <col min="10" max="10" width="13" style="54" bestFit="1" customWidth="1"/>
    <col min="11" max="16384" width="10.81640625" style="54"/>
  </cols>
  <sheetData>
    <row r="1" spans="1:10" x14ac:dyDescent="0.3">
      <c r="A1" s="58"/>
      <c r="B1" s="58"/>
      <c r="C1" s="58"/>
      <c r="D1" s="56"/>
      <c r="E1" s="56"/>
      <c r="F1" s="56"/>
      <c r="G1" s="56"/>
      <c r="H1" s="56"/>
      <c r="I1" s="57"/>
      <c r="J1" s="57"/>
    </row>
    <row r="2" spans="1:10" x14ac:dyDescent="0.3">
      <c r="A2" s="58"/>
      <c r="B2" s="58"/>
      <c r="C2" s="58"/>
      <c r="D2" s="56"/>
      <c r="E2" s="56"/>
      <c r="F2" s="56"/>
      <c r="G2" s="56"/>
      <c r="H2" s="29" t="s">
        <v>0</v>
      </c>
      <c r="J2" s="57"/>
    </row>
    <row r="3" spans="1:10" x14ac:dyDescent="0.3">
      <c r="A3" s="58"/>
      <c r="B3" s="58"/>
      <c r="C3" s="152"/>
      <c r="D3" s="152"/>
      <c r="E3" s="152"/>
      <c r="F3" s="152"/>
      <c r="G3" s="152"/>
      <c r="H3" s="59" t="str">
        <f>'Información proyecto'!D3</f>
        <v>Versión: 0.1</v>
      </c>
      <c r="J3" s="57"/>
    </row>
    <row r="4" spans="1:10" ht="1.5" customHeight="1" x14ac:dyDescent="0.3">
      <c r="A4" s="58"/>
      <c r="B4" s="58"/>
      <c r="C4" s="153"/>
      <c r="D4" s="153"/>
      <c r="E4" s="153"/>
      <c r="F4" s="153"/>
      <c r="G4" s="153"/>
      <c r="H4" s="153">
        <f>'Información proyecto'!D4</f>
        <v>0</v>
      </c>
      <c r="I4" s="324"/>
      <c r="J4" s="324"/>
    </row>
    <row r="5" spans="1:10" x14ac:dyDescent="0.3">
      <c r="A5" s="58"/>
      <c r="B5" s="58"/>
      <c r="C5" s="152"/>
      <c r="D5" s="152"/>
      <c r="E5" s="152"/>
      <c r="F5" s="152"/>
      <c r="G5" s="152"/>
      <c r="H5" s="59" t="str">
        <f>'Información proyecto'!D5</f>
        <v>Proyecto:  Admin Eventos</v>
      </c>
      <c r="J5" s="57"/>
    </row>
    <row r="6" spans="1:10" x14ac:dyDescent="0.3">
      <c r="A6" s="58"/>
      <c r="B6" s="58"/>
      <c r="C6" s="58"/>
      <c r="D6" s="152"/>
      <c r="E6" s="152"/>
      <c r="F6" s="152"/>
      <c r="G6" s="152"/>
      <c r="H6" s="152"/>
      <c r="I6" s="57"/>
      <c r="J6" s="57"/>
    </row>
    <row r="7" spans="1:10" x14ac:dyDescent="0.3">
      <c r="A7" s="58"/>
      <c r="B7" s="58"/>
      <c r="C7" s="611" t="s">
        <v>341</v>
      </c>
      <c r="D7" s="611"/>
      <c r="E7" s="611"/>
      <c r="F7" s="611"/>
      <c r="G7" s="611"/>
      <c r="H7" s="611"/>
      <c r="I7" s="611"/>
      <c r="J7" s="611"/>
    </row>
    <row r="8" spans="1:10" x14ac:dyDescent="0.3">
      <c r="A8" s="58"/>
      <c r="B8" s="58"/>
      <c r="C8" s="69"/>
      <c r="D8" s="154"/>
      <c r="E8" s="154"/>
      <c r="F8" s="154"/>
      <c r="G8" s="154"/>
      <c r="H8" s="154"/>
      <c r="I8" s="154"/>
      <c r="J8" s="58"/>
    </row>
    <row r="9" spans="1:10" x14ac:dyDescent="0.3">
      <c r="A9" s="58"/>
      <c r="B9" s="58"/>
      <c r="C9" s="614" t="s">
        <v>342</v>
      </c>
      <c r="D9" s="614"/>
      <c r="E9" s="614"/>
      <c r="F9" s="614"/>
      <c r="G9" s="614"/>
      <c r="H9" s="614"/>
      <c r="I9" s="58"/>
      <c r="J9" s="58"/>
    </row>
    <row r="10" spans="1:10" ht="15.5" thickBot="1" x14ac:dyDescent="0.35"/>
    <row r="11" spans="1:10" ht="15.5" thickBot="1" x14ac:dyDescent="0.35">
      <c r="C11" s="625" t="s">
        <v>343</v>
      </c>
      <c r="D11" s="625"/>
      <c r="E11" s="625"/>
      <c r="F11" s="625"/>
      <c r="G11" s="625"/>
      <c r="H11" s="625"/>
    </row>
    <row r="12" spans="1:10" x14ac:dyDescent="0.3">
      <c r="C12" s="626" t="s">
        <v>344</v>
      </c>
      <c r="D12" s="626"/>
      <c r="E12" s="626"/>
      <c r="F12" s="626"/>
      <c r="G12" s="626"/>
      <c r="H12" s="626"/>
    </row>
    <row r="13" spans="1:10" x14ac:dyDescent="0.3">
      <c r="C13" s="627" t="s">
        <v>345</v>
      </c>
      <c r="D13" s="627"/>
      <c r="E13" s="627"/>
      <c r="F13" s="627"/>
      <c r="G13" s="627"/>
      <c r="H13" s="627"/>
    </row>
    <row r="14" spans="1:10" x14ac:dyDescent="0.3">
      <c r="C14" s="627" t="s">
        <v>346</v>
      </c>
      <c r="D14" s="627"/>
      <c r="E14" s="627"/>
      <c r="F14" s="627"/>
      <c r="G14" s="627"/>
      <c r="H14" s="627"/>
    </row>
    <row r="15" spans="1:10" x14ac:dyDescent="0.3">
      <c r="C15" s="627" t="s">
        <v>347</v>
      </c>
      <c r="D15" s="627"/>
      <c r="E15" s="627"/>
      <c r="F15" s="627"/>
      <c r="G15" s="627"/>
      <c r="H15" s="627"/>
    </row>
    <row r="16" spans="1:10" x14ac:dyDescent="0.3">
      <c r="C16" s="627" t="s">
        <v>348</v>
      </c>
      <c r="D16" s="627"/>
      <c r="E16" s="627"/>
      <c r="F16" s="627"/>
      <c r="G16" s="627"/>
      <c r="H16" s="627"/>
    </row>
    <row r="17" spans="3:8" x14ac:dyDescent="0.3">
      <c r="C17" s="627" t="s">
        <v>349</v>
      </c>
      <c r="D17" s="627"/>
      <c r="E17" s="627"/>
      <c r="F17" s="627"/>
      <c r="G17" s="627"/>
      <c r="H17" s="627"/>
    </row>
    <row r="18" spans="3:8" x14ac:dyDescent="0.3">
      <c r="C18" s="627" t="s">
        <v>350</v>
      </c>
      <c r="D18" s="627"/>
      <c r="E18" s="627"/>
      <c r="F18" s="627"/>
      <c r="G18" s="627"/>
      <c r="H18" s="627"/>
    </row>
    <row r="19" spans="3:8" x14ac:dyDescent="0.3">
      <c r="C19" s="627" t="s">
        <v>351</v>
      </c>
      <c r="D19" s="627"/>
      <c r="E19" s="627"/>
      <c r="F19" s="627"/>
      <c r="G19" s="627"/>
      <c r="H19" s="627"/>
    </row>
    <row r="20" spans="3:8" ht="15.5" thickBot="1" x14ac:dyDescent="0.35">
      <c r="C20" s="634" t="s">
        <v>352</v>
      </c>
      <c r="D20" s="634"/>
      <c r="E20" s="634"/>
      <c r="F20" s="634"/>
      <c r="G20" s="634"/>
      <c r="H20" s="634"/>
    </row>
    <row r="21" spans="3:8" x14ac:dyDescent="0.3">
      <c r="C21" s="325"/>
      <c r="D21" s="325"/>
      <c r="E21" s="325"/>
      <c r="F21" s="325"/>
      <c r="G21" s="325"/>
      <c r="H21" s="325"/>
    </row>
    <row r="23" spans="3:8" x14ac:dyDescent="0.3">
      <c r="C23" s="326" t="s">
        <v>353</v>
      </c>
      <c r="D23" s="327">
        <v>20</v>
      </c>
      <c r="F23" s="223" t="s">
        <v>354</v>
      </c>
      <c r="G23" s="223" t="s">
        <v>355</v>
      </c>
      <c r="H23" s="223" t="s">
        <v>356</v>
      </c>
    </row>
    <row r="24" spans="3:8" x14ac:dyDescent="0.3">
      <c r="C24" s="326"/>
      <c r="F24" s="328">
        <v>50</v>
      </c>
      <c r="G24" s="276">
        <f>G27/1.075</f>
        <v>311.04651162790697</v>
      </c>
      <c r="H24" s="276">
        <f>G24*F24</f>
        <v>15552.325581395347</v>
      </c>
    </row>
    <row r="25" spans="3:8" x14ac:dyDescent="0.3">
      <c r="C25" s="54" t="s">
        <v>357</v>
      </c>
      <c r="D25" s="206">
        <f>SUM(H46+H48)</f>
        <v>6687.5</v>
      </c>
      <c r="F25" s="328">
        <v>40</v>
      </c>
      <c r="G25" s="276">
        <f>G27/1.05</f>
        <v>318.45238095238096</v>
      </c>
      <c r="H25" s="276">
        <f>G25*F25</f>
        <v>12738.095238095239</v>
      </c>
    </row>
    <row r="26" spans="3:8" x14ac:dyDescent="0.3">
      <c r="C26" s="54" t="s">
        <v>358</v>
      </c>
      <c r="D26" s="206">
        <f>D25*6</f>
        <v>40125</v>
      </c>
      <c r="F26" s="328">
        <v>30</v>
      </c>
      <c r="G26" s="276">
        <f>G27/1.025</f>
        <v>326.21951219512198</v>
      </c>
      <c r="H26" s="276">
        <f>G26*F26</f>
        <v>9786.5853658536598</v>
      </c>
    </row>
    <row r="27" spans="3:8" x14ac:dyDescent="0.3">
      <c r="C27" s="54" t="s">
        <v>359</v>
      </c>
      <c r="D27" s="206">
        <f>D25*12</f>
        <v>80250</v>
      </c>
      <c r="F27" s="328">
        <f>D23</f>
        <v>20</v>
      </c>
      <c r="G27" s="276">
        <f>D47</f>
        <v>334.375</v>
      </c>
      <c r="H27" s="276">
        <f>G27*F27</f>
        <v>6687.5</v>
      </c>
    </row>
    <row r="28" spans="3:8" x14ac:dyDescent="0.3">
      <c r="D28" s="329"/>
    </row>
    <row r="29" spans="3:8" x14ac:dyDescent="0.3">
      <c r="E29" s="330"/>
      <c r="F29" s="331"/>
    </row>
    <row r="30" spans="3:8" x14ac:dyDescent="0.3">
      <c r="C30" s="631" t="s">
        <v>368</v>
      </c>
      <c r="D30" s="632"/>
      <c r="E30" s="632"/>
      <c r="F30" s="632"/>
      <c r="G30" s="632"/>
      <c r="H30" s="633"/>
    </row>
    <row r="31" spans="3:8" x14ac:dyDescent="0.3">
      <c r="C31" s="628" t="s">
        <v>520</v>
      </c>
      <c r="D31" s="629"/>
      <c r="E31" s="629"/>
      <c r="F31" s="629"/>
      <c r="G31" s="629"/>
      <c r="H31" s="630"/>
    </row>
    <row r="32" spans="3:8" x14ac:dyDescent="0.3">
      <c r="C32" s="628" t="s">
        <v>521</v>
      </c>
      <c r="D32" s="629"/>
      <c r="E32" s="629"/>
      <c r="F32" s="629"/>
      <c r="G32" s="629"/>
      <c r="H32" s="630"/>
    </row>
    <row r="33" spans="3:10" x14ac:dyDescent="0.3">
      <c r="C33" s="628" t="s">
        <v>522</v>
      </c>
      <c r="D33" s="629"/>
      <c r="E33" s="629"/>
      <c r="F33" s="629"/>
      <c r="G33" s="629"/>
      <c r="H33" s="630"/>
    </row>
    <row r="34" spans="3:10" x14ac:dyDescent="0.3">
      <c r="C34" s="628" t="s">
        <v>523</v>
      </c>
      <c r="D34" s="629"/>
      <c r="E34" s="629"/>
      <c r="F34" s="629"/>
      <c r="G34" s="629"/>
      <c r="H34" s="630"/>
    </row>
    <row r="35" spans="3:10" x14ac:dyDescent="0.3">
      <c r="C35" s="628" t="s">
        <v>524</v>
      </c>
      <c r="D35" s="629"/>
      <c r="E35" s="629"/>
      <c r="F35" s="629"/>
      <c r="G35" s="629"/>
      <c r="H35" s="630"/>
    </row>
    <row r="36" spans="3:10" x14ac:dyDescent="0.3">
      <c r="C36" s="628" t="s">
        <v>525</v>
      </c>
      <c r="D36" s="629"/>
      <c r="E36" s="629"/>
      <c r="F36" s="629"/>
      <c r="G36" s="629"/>
      <c r="H36" s="630"/>
    </row>
    <row r="37" spans="3:10" x14ac:dyDescent="0.3">
      <c r="C37" s="628" t="s">
        <v>526</v>
      </c>
      <c r="D37" s="629"/>
      <c r="E37" s="629"/>
      <c r="F37" s="629"/>
      <c r="G37" s="629"/>
      <c r="H37" s="630"/>
    </row>
    <row r="38" spans="3:10" x14ac:dyDescent="0.3">
      <c r="E38" s="330"/>
    </row>
    <row r="39" spans="3:10" x14ac:dyDescent="0.3">
      <c r="E39" s="330"/>
    </row>
    <row r="40" spans="3:10" x14ac:dyDescent="0.3">
      <c r="D40" s="331"/>
      <c r="E40" s="330"/>
    </row>
    <row r="41" spans="3:10" x14ac:dyDescent="0.3">
      <c r="C41" s="223" t="s">
        <v>409</v>
      </c>
    </row>
    <row r="42" spans="3:10" ht="18" customHeight="1" x14ac:dyDescent="0.3">
      <c r="C42" s="223" t="s">
        <v>41</v>
      </c>
      <c r="D42" s="223" t="s">
        <v>360</v>
      </c>
      <c r="E42" s="223" t="s">
        <v>361</v>
      </c>
      <c r="F42" s="223" t="s">
        <v>408</v>
      </c>
      <c r="G42" s="223" t="s">
        <v>407</v>
      </c>
      <c r="H42" s="223" t="s">
        <v>406</v>
      </c>
    </row>
    <row r="43" spans="3:10" ht="12.75" customHeight="1" x14ac:dyDescent="0.3">
      <c r="C43" s="332" t="s">
        <v>362</v>
      </c>
      <c r="D43" s="333">
        <v>12000</v>
      </c>
      <c r="E43" s="333">
        <v>160</v>
      </c>
      <c r="F43" s="276">
        <f>D43/E43</f>
        <v>75</v>
      </c>
      <c r="G43" s="276">
        <f>D23*0.2</f>
        <v>4</v>
      </c>
      <c r="H43" s="276">
        <f>F43*G43</f>
        <v>300</v>
      </c>
    </row>
    <row r="44" spans="3:10" ht="12.75" customHeight="1" x14ac:dyDescent="0.3">
      <c r="C44" s="332" t="s">
        <v>87</v>
      </c>
      <c r="D44" s="333">
        <v>16000</v>
      </c>
      <c r="E44" s="333">
        <v>160</v>
      </c>
      <c r="F44" s="276">
        <f>D44/E44</f>
        <v>100</v>
      </c>
      <c r="G44" s="276">
        <f>D23</f>
        <v>20</v>
      </c>
      <c r="H44" s="276">
        <f>F44*G44</f>
        <v>2000</v>
      </c>
    </row>
    <row r="45" spans="3:10" ht="12.75" customHeight="1" thickBot="1" x14ac:dyDescent="0.35">
      <c r="C45" s="332" t="s">
        <v>363</v>
      </c>
      <c r="D45" s="333">
        <v>12000</v>
      </c>
      <c r="E45" s="333">
        <v>160</v>
      </c>
      <c r="F45" s="276">
        <f>D45/E45</f>
        <v>75</v>
      </c>
      <c r="G45" s="276">
        <f>D23*0.25</f>
        <v>5</v>
      </c>
      <c r="H45" s="334">
        <f>F45*G45</f>
        <v>375</v>
      </c>
    </row>
    <row r="46" spans="3:10" ht="12.75" customHeight="1" x14ac:dyDescent="0.3">
      <c r="H46" s="335">
        <f>SUM(H43:H45)</f>
        <v>2675</v>
      </c>
    </row>
    <row r="47" spans="3:10" ht="12.75" customHeight="1" x14ac:dyDescent="0.3">
      <c r="C47" s="54" t="s">
        <v>366</v>
      </c>
      <c r="D47" s="336">
        <f>D25/D23</f>
        <v>334.375</v>
      </c>
      <c r="H47" s="337">
        <f>H46/I47</f>
        <v>6687.5</v>
      </c>
      <c r="I47" s="338">
        <v>0.4</v>
      </c>
      <c r="J47" s="54" t="s">
        <v>364</v>
      </c>
    </row>
    <row r="48" spans="3:10" ht="12.75" customHeight="1" thickBot="1" x14ac:dyDescent="0.35">
      <c r="C48" s="54" t="s">
        <v>367</v>
      </c>
      <c r="D48" s="331">
        <f>H46/D23</f>
        <v>133.75</v>
      </c>
      <c r="G48" s="339"/>
      <c r="H48" s="340">
        <f>I48*H47</f>
        <v>4012.5</v>
      </c>
      <c r="I48" s="341">
        <v>0.6</v>
      </c>
      <c r="J48" s="54" t="s">
        <v>365</v>
      </c>
    </row>
    <row r="49" spans="8:8" ht="12.75" customHeight="1" x14ac:dyDescent="0.3">
      <c r="H49" s="331"/>
    </row>
    <row r="50" spans="8:8" ht="12.75" customHeight="1" x14ac:dyDescent="0.3">
      <c r="H50" s="331"/>
    </row>
    <row r="51" spans="8:8" ht="12.75" customHeight="1" x14ac:dyDescent="0.3"/>
  </sheetData>
  <mergeCells count="20">
    <mergeCell ref="C36:H36"/>
    <mergeCell ref="C37:H37"/>
    <mergeCell ref="C9:H9"/>
    <mergeCell ref="C30:H30"/>
    <mergeCell ref="C31:H31"/>
    <mergeCell ref="C32:H32"/>
    <mergeCell ref="C33:H33"/>
    <mergeCell ref="C34:H34"/>
    <mergeCell ref="C35:H35"/>
    <mergeCell ref="C15:H15"/>
    <mergeCell ref="C16:H16"/>
    <mergeCell ref="C17:H17"/>
    <mergeCell ref="C18:H18"/>
    <mergeCell ref="C19:H19"/>
    <mergeCell ref="C20:H20"/>
    <mergeCell ref="C7:J7"/>
    <mergeCell ref="C11:H11"/>
    <mergeCell ref="C12:H12"/>
    <mergeCell ref="C13:H13"/>
    <mergeCell ref="C14:H14"/>
  </mergeCells>
  <pageMargins left="0.7" right="0.7" top="0.75" bottom="0.75" header="0.3" footer="0.3"/>
  <pageSetup orientation="portrait" verticalDpi="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
  <sheetViews>
    <sheetView showGridLines="0" topLeftCell="A17" workbookViewId="0">
      <selection activeCell="I52" sqref="I52"/>
    </sheetView>
  </sheetViews>
  <sheetFormatPr baseColWidth="10" defaultColWidth="11.26953125" defaultRowHeight="15" x14ac:dyDescent="0.3"/>
  <cols>
    <col min="1" max="1" width="3" style="54" customWidth="1"/>
    <col min="2" max="2" width="2.7265625" style="54" customWidth="1"/>
    <col min="3" max="3" width="11.26953125" style="54"/>
    <col min="4" max="4" width="17.7265625" style="54" customWidth="1"/>
    <col min="5" max="5" width="20" style="54" customWidth="1"/>
    <col min="6" max="6" width="19.7265625" style="54" customWidth="1"/>
    <col min="7" max="7" width="15.81640625" style="54" customWidth="1"/>
    <col min="8" max="8" width="11.26953125" style="54"/>
    <col min="9" max="9" width="19.7265625" style="54" customWidth="1"/>
    <col min="10" max="10" width="18.7265625" style="54" hidden="1" customWidth="1"/>
    <col min="11" max="16384" width="11.26953125" style="54"/>
  </cols>
  <sheetData>
    <row r="1" spans="1:11" x14ac:dyDescent="0.3">
      <c r="A1" s="58"/>
      <c r="B1" s="58"/>
      <c r="C1" s="58"/>
      <c r="D1" s="56"/>
      <c r="E1" s="56"/>
      <c r="F1" s="56"/>
      <c r="G1" s="56"/>
      <c r="H1" s="56"/>
      <c r="I1" s="56"/>
      <c r="J1" s="57"/>
      <c r="K1" s="57"/>
    </row>
    <row r="2" spans="1:11" x14ac:dyDescent="0.3">
      <c r="A2" s="58"/>
      <c r="B2" s="58"/>
      <c r="C2" s="58"/>
      <c r="D2" s="56"/>
      <c r="E2" s="56"/>
      <c r="F2" s="56"/>
      <c r="G2" s="56"/>
      <c r="H2" s="56"/>
      <c r="I2" s="29" t="s">
        <v>0</v>
      </c>
      <c r="K2" s="57"/>
    </row>
    <row r="3" spans="1:11" x14ac:dyDescent="0.3">
      <c r="A3" s="58"/>
      <c r="B3" s="58"/>
      <c r="C3" s="152"/>
      <c r="D3" s="152"/>
      <c r="E3" s="152"/>
      <c r="F3" s="152"/>
      <c r="G3" s="152"/>
      <c r="H3" s="152"/>
      <c r="I3" s="59" t="str">
        <f>'Información proyecto'!D3</f>
        <v>Versión: 0.1</v>
      </c>
      <c r="K3" s="57"/>
    </row>
    <row r="4" spans="1:11" ht="3.75" customHeight="1" x14ac:dyDescent="0.3">
      <c r="A4" s="58"/>
      <c r="B4" s="58"/>
      <c r="C4" s="153"/>
      <c r="D4" s="153"/>
      <c r="E4" s="153"/>
      <c r="F4" s="153"/>
      <c r="G4" s="153"/>
      <c r="H4" s="153"/>
      <c r="I4" s="153">
        <f>'Información proyecto'!D4</f>
        <v>0</v>
      </c>
      <c r="J4" s="153"/>
    </row>
    <row r="5" spans="1:11" x14ac:dyDescent="0.3">
      <c r="A5" s="58"/>
      <c r="B5" s="58"/>
      <c r="C5" s="152"/>
      <c r="D5" s="152"/>
      <c r="E5" s="152"/>
      <c r="F5" s="152"/>
      <c r="G5" s="152"/>
      <c r="H5" s="152"/>
      <c r="I5" s="59" t="str">
        <f>'Información proyecto'!D5</f>
        <v>Proyecto:  Admin Eventos</v>
      </c>
      <c r="K5" s="57"/>
    </row>
    <row r="6" spans="1:11" x14ac:dyDescent="0.3">
      <c r="A6" s="58"/>
      <c r="B6" s="58"/>
      <c r="C6" s="58"/>
      <c r="D6" s="152"/>
      <c r="E6" s="152"/>
      <c r="F6" s="152"/>
      <c r="G6" s="152"/>
      <c r="H6" s="152"/>
      <c r="I6" s="152"/>
      <c r="J6" s="57"/>
      <c r="K6" s="57"/>
    </row>
    <row r="7" spans="1:11" x14ac:dyDescent="0.3">
      <c r="A7" s="58"/>
      <c r="B7" s="58"/>
      <c r="C7" s="611" t="s">
        <v>369</v>
      </c>
      <c r="D7" s="611"/>
      <c r="E7" s="611"/>
      <c r="F7" s="611"/>
      <c r="G7" s="611"/>
      <c r="H7" s="611"/>
      <c r="I7" s="611"/>
      <c r="J7" s="611"/>
      <c r="K7" s="611"/>
    </row>
    <row r="8" spans="1:11" x14ac:dyDescent="0.3">
      <c r="A8" s="58"/>
      <c r="B8" s="58"/>
      <c r="C8" s="69"/>
      <c r="D8" s="154"/>
      <c r="E8" s="154"/>
      <c r="F8" s="154"/>
      <c r="G8" s="154"/>
      <c r="H8" s="154"/>
      <c r="I8" s="154"/>
      <c r="J8" s="154"/>
      <c r="K8" s="58"/>
    </row>
    <row r="9" spans="1:11" x14ac:dyDescent="0.3">
      <c r="A9" s="58"/>
      <c r="B9" s="58"/>
      <c r="C9" s="614" t="s">
        <v>370</v>
      </c>
      <c r="D9" s="614"/>
      <c r="E9" s="614"/>
      <c r="F9" s="614"/>
      <c r="G9" s="614"/>
      <c r="H9" s="614"/>
      <c r="I9" s="614"/>
      <c r="J9" s="342"/>
      <c r="K9" s="58"/>
    </row>
    <row r="11" spans="1:11" x14ac:dyDescent="0.3">
      <c r="C11" s="631" t="s">
        <v>371</v>
      </c>
      <c r="D11" s="632"/>
      <c r="E11" s="632"/>
      <c r="F11" s="632"/>
      <c r="G11" s="632"/>
      <c r="H11" s="633"/>
      <c r="I11" s="231" t="s">
        <v>372</v>
      </c>
      <c r="J11" s="343" t="s">
        <v>373</v>
      </c>
    </row>
    <row r="12" spans="1:11" x14ac:dyDescent="0.3">
      <c r="C12" s="635" t="s">
        <v>374</v>
      </c>
      <c r="D12" s="636"/>
      <c r="E12" s="636"/>
      <c r="F12" s="636"/>
      <c r="G12" s="636"/>
      <c r="H12" s="637"/>
      <c r="I12" s="344" t="s">
        <v>375</v>
      </c>
      <c r="J12" s="345">
        <v>2500</v>
      </c>
    </row>
    <row r="13" spans="1:11" x14ac:dyDescent="0.3">
      <c r="C13" s="635" t="s">
        <v>376</v>
      </c>
      <c r="D13" s="636"/>
      <c r="E13" s="636"/>
      <c r="F13" s="636"/>
      <c r="G13" s="636"/>
      <c r="H13" s="637"/>
      <c r="I13" s="344" t="s">
        <v>375</v>
      </c>
      <c r="J13" s="345">
        <f>(0.5*120*20)*2</f>
        <v>2400</v>
      </c>
    </row>
    <row r="14" spans="1:11" x14ac:dyDescent="0.3">
      <c r="C14" s="635" t="s">
        <v>377</v>
      </c>
      <c r="D14" s="636"/>
      <c r="E14" s="636"/>
      <c r="F14" s="636"/>
      <c r="G14" s="636"/>
      <c r="H14" s="637"/>
      <c r="I14" s="344" t="s">
        <v>375</v>
      </c>
      <c r="J14" s="345">
        <v>0</v>
      </c>
    </row>
    <row r="15" spans="1:11" x14ac:dyDescent="0.3">
      <c r="C15" s="628" t="s">
        <v>378</v>
      </c>
      <c r="D15" s="629"/>
      <c r="E15" s="629"/>
      <c r="F15" s="629"/>
      <c r="G15" s="629"/>
      <c r="H15" s="630"/>
      <c r="I15" s="344" t="s">
        <v>375</v>
      </c>
      <c r="J15" s="345">
        <v>0</v>
      </c>
    </row>
    <row r="16" spans="1:11" x14ac:dyDescent="0.3">
      <c r="C16" s="635" t="s">
        <v>379</v>
      </c>
      <c r="D16" s="636"/>
      <c r="E16" s="636"/>
      <c r="F16" s="636"/>
      <c r="G16" s="636"/>
      <c r="H16" s="637"/>
      <c r="I16" s="344" t="s">
        <v>375</v>
      </c>
      <c r="J16" s="345">
        <v>0</v>
      </c>
    </row>
    <row r="17" spans="3:10" x14ac:dyDescent="0.3">
      <c r="C17" s="635" t="s">
        <v>380</v>
      </c>
      <c r="D17" s="636"/>
      <c r="E17" s="636"/>
      <c r="F17" s="636"/>
      <c r="G17" s="636"/>
      <c r="H17" s="637"/>
      <c r="I17" s="344" t="s">
        <v>375</v>
      </c>
      <c r="J17" s="345">
        <v>500</v>
      </c>
    </row>
    <row r="18" spans="3:10" x14ac:dyDescent="0.3">
      <c r="C18" s="635" t="s">
        <v>381</v>
      </c>
      <c r="D18" s="636"/>
      <c r="E18" s="636"/>
      <c r="F18" s="636"/>
      <c r="G18" s="636"/>
      <c r="H18" s="637"/>
      <c r="I18" s="344" t="s">
        <v>382</v>
      </c>
      <c r="J18" s="345">
        <v>0</v>
      </c>
    </row>
    <row r="19" spans="3:10" x14ac:dyDescent="0.3">
      <c r="C19" s="635"/>
      <c r="D19" s="636"/>
      <c r="E19" s="636"/>
      <c r="F19" s="636"/>
      <c r="G19" s="636"/>
      <c r="H19" s="637"/>
      <c r="I19" s="344"/>
      <c r="J19" s="345"/>
    </row>
    <row r="20" spans="3:10" x14ac:dyDescent="0.3">
      <c r="C20" s="638" t="s">
        <v>383</v>
      </c>
      <c r="D20" s="639"/>
      <c r="E20" s="639"/>
      <c r="F20" s="639"/>
      <c r="G20" s="639"/>
      <c r="H20" s="640"/>
      <c r="I20" s="206">
        <f>SUM(J12:J19)</f>
        <v>5400</v>
      </c>
    </row>
    <row r="21" spans="3:10" x14ac:dyDescent="0.3">
      <c r="C21" s="638" t="s">
        <v>384</v>
      </c>
      <c r="D21" s="639"/>
      <c r="E21" s="639"/>
      <c r="F21" s="639"/>
      <c r="G21" s="639"/>
      <c r="H21" s="640"/>
      <c r="I21" s="206">
        <f>I20*6</f>
        <v>32400</v>
      </c>
    </row>
    <row r="22" spans="3:10" x14ac:dyDescent="0.3">
      <c r="C22" s="638" t="s">
        <v>385</v>
      </c>
      <c r="D22" s="639"/>
      <c r="E22" s="639"/>
      <c r="F22" s="639"/>
      <c r="G22" s="639"/>
      <c r="H22" s="640"/>
      <c r="I22" s="206">
        <f>I20*12</f>
        <v>64800</v>
      </c>
    </row>
    <row r="24" spans="3:10" hidden="1" x14ac:dyDescent="0.3"/>
    <row r="25" spans="3:10" hidden="1" x14ac:dyDescent="0.3"/>
    <row r="26" spans="3:10" x14ac:dyDescent="0.3">
      <c r="C26" s="631" t="s">
        <v>386</v>
      </c>
      <c r="D26" s="632"/>
      <c r="E26" s="632"/>
      <c r="F26" s="632"/>
      <c r="G26" s="632"/>
      <c r="H26" s="633"/>
    </row>
    <row r="27" spans="3:10" x14ac:dyDescent="0.3">
      <c r="C27" s="635" t="s">
        <v>387</v>
      </c>
      <c r="D27" s="636"/>
      <c r="E27" s="636"/>
      <c r="F27" s="636"/>
      <c r="G27" s="636"/>
      <c r="H27" s="637"/>
    </row>
    <row r="28" spans="3:10" ht="52.5" customHeight="1" x14ac:dyDescent="0.3">
      <c r="C28" s="641" t="s">
        <v>388</v>
      </c>
      <c r="D28" s="642"/>
      <c r="E28" s="642"/>
      <c r="F28" s="642"/>
      <c r="G28" s="642"/>
      <c r="H28" s="643"/>
    </row>
    <row r="29" spans="3:10" x14ac:dyDescent="0.3">
      <c r="C29" s="635" t="s">
        <v>389</v>
      </c>
      <c r="D29" s="636"/>
      <c r="E29" s="636"/>
      <c r="F29" s="636"/>
      <c r="G29" s="636"/>
      <c r="H29" s="637"/>
    </row>
    <row r="30" spans="3:10" x14ac:dyDescent="0.3">
      <c r="C30" s="635" t="s">
        <v>405</v>
      </c>
      <c r="D30" s="636"/>
      <c r="E30" s="636"/>
      <c r="F30" s="636"/>
      <c r="G30" s="636"/>
      <c r="H30" s="637"/>
    </row>
  </sheetData>
  <mergeCells count="19">
    <mergeCell ref="C30:H30"/>
    <mergeCell ref="C9:I9"/>
    <mergeCell ref="C21:H21"/>
    <mergeCell ref="C22:H22"/>
    <mergeCell ref="C26:H26"/>
    <mergeCell ref="C27:H27"/>
    <mergeCell ref="C28:H28"/>
    <mergeCell ref="C29:H29"/>
    <mergeCell ref="C15:H15"/>
    <mergeCell ref="C16:H16"/>
    <mergeCell ref="C17:H17"/>
    <mergeCell ref="C18:H18"/>
    <mergeCell ref="C19:H19"/>
    <mergeCell ref="C20:H20"/>
    <mergeCell ref="C7:K7"/>
    <mergeCell ref="C11:H11"/>
    <mergeCell ref="C12:H12"/>
    <mergeCell ref="C13:H13"/>
    <mergeCell ref="C14: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1"/>
  <sheetViews>
    <sheetView showGridLines="0" workbookViewId="0">
      <selection activeCell="I8" sqref="I8"/>
    </sheetView>
  </sheetViews>
  <sheetFormatPr baseColWidth="10" defaultColWidth="11.26953125" defaultRowHeight="15" x14ac:dyDescent="0.3"/>
  <cols>
    <col min="1" max="1" width="3" style="54" customWidth="1"/>
    <col min="2" max="2" width="2.26953125" style="54" customWidth="1"/>
    <col min="3" max="3" width="49.26953125" style="54" customWidth="1"/>
    <col min="4" max="4" width="16.26953125" style="54" bestFit="1" customWidth="1"/>
    <col min="5" max="6" width="21.7265625" style="54" customWidth="1"/>
    <col min="7" max="8" width="11.26953125" style="54"/>
    <col min="9" max="9" width="25" style="54" bestFit="1" customWidth="1"/>
    <col min="10" max="16384" width="11.26953125" style="54"/>
  </cols>
  <sheetData>
    <row r="1" spans="1:9" x14ac:dyDescent="0.3">
      <c r="A1" s="58"/>
      <c r="B1" s="207"/>
      <c r="C1" s="58"/>
      <c r="D1" s="58"/>
      <c r="E1" s="58"/>
      <c r="F1" s="58"/>
      <c r="G1" s="56"/>
      <c r="H1" s="57"/>
      <c r="I1" s="84"/>
    </row>
    <row r="2" spans="1:9" x14ac:dyDescent="0.3">
      <c r="A2" s="58"/>
      <c r="B2" s="208"/>
      <c r="C2" s="29"/>
      <c r="D2" s="29"/>
      <c r="E2" s="29"/>
      <c r="F2" s="29"/>
      <c r="G2" s="56"/>
      <c r="H2" s="29" t="s">
        <v>0</v>
      </c>
    </row>
    <row r="3" spans="1:9" x14ac:dyDescent="0.3">
      <c r="A3" s="58"/>
      <c r="B3" s="209"/>
      <c r="C3" s="59"/>
      <c r="D3" s="59"/>
      <c r="E3" s="59"/>
      <c r="F3" s="59"/>
      <c r="G3" s="152"/>
      <c r="H3" s="59" t="str">
        <f>'Información proyecto'!D3</f>
        <v>Versión: 0.1</v>
      </c>
    </row>
    <row r="4" spans="1:9" ht="3.25" customHeight="1" x14ac:dyDescent="0.3">
      <c r="A4" s="58"/>
      <c r="B4" s="207"/>
      <c r="C4" s="61"/>
      <c r="D4" s="61"/>
      <c r="E4" s="61"/>
      <c r="F4" s="61"/>
      <c r="G4" s="153"/>
      <c r="H4" s="61">
        <f>'Información proyecto'!D4</f>
        <v>0</v>
      </c>
      <c r="I4" s="61"/>
    </row>
    <row r="5" spans="1:9" x14ac:dyDescent="0.3">
      <c r="A5" s="58"/>
      <c r="B5" s="207"/>
      <c r="C5" s="58"/>
      <c r="D5" s="58"/>
      <c r="E5" s="58"/>
      <c r="F5" s="58"/>
      <c r="G5" s="65"/>
      <c r="H5" s="62" t="str">
        <f>'Información proyecto'!D5</f>
        <v>Proyecto:  Admin Eventos</v>
      </c>
    </row>
    <row r="6" spans="1:9" x14ac:dyDescent="0.3">
      <c r="A6" s="58"/>
      <c r="B6" s="252"/>
      <c r="C6" s="253"/>
      <c r="D6" s="253"/>
      <c r="E6" s="253"/>
      <c r="F6" s="253"/>
      <c r="G6" s="253"/>
      <c r="H6" s="253"/>
      <c r="I6" s="253"/>
    </row>
    <row r="7" spans="1:9" x14ac:dyDescent="0.3">
      <c r="A7" s="58"/>
      <c r="B7" s="252"/>
      <c r="C7" s="644" t="s">
        <v>26</v>
      </c>
      <c r="D7" s="644"/>
      <c r="E7" s="644"/>
      <c r="F7" s="644"/>
      <c r="G7" s="644"/>
      <c r="H7" s="644"/>
      <c r="I7" s="644"/>
    </row>
    <row r="8" spans="1:9" x14ac:dyDescent="0.3">
      <c r="A8" s="58"/>
      <c r="B8" s="252"/>
      <c r="C8" s="253"/>
      <c r="D8" s="253"/>
      <c r="E8" s="253"/>
      <c r="F8" s="253"/>
      <c r="G8" s="253"/>
      <c r="H8" s="253"/>
      <c r="I8" s="253"/>
    </row>
    <row r="9" spans="1:9" x14ac:dyDescent="0.3">
      <c r="A9" s="58"/>
      <c r="B9" s="252"/>
      <c r="C9" s="651" t="s">
        <v>410</v>
      </c>
      <c r="D9" s="651"/>
      <c r="E9" s="651"/>
      <c r="F9" s="651"/>
      <c r="G9" s="651"/>
      <c r="H9" s="651"/>
      <c r="I9" s="651"/>
    </row>
    <row r="11" spans="1:9" x14ac:dyDescent="0.3">
      <c r="C11" s="346" t="s">
        <v>390</v>
      </c>
      <c r="D11" s="346" t="s">
        <v>391</v>
      </c>
      <c r="E11" s="346" t="s">
        <v>392</v>
      </c>
      <c r="F11" s="346" t="s">
        <v>393</v>
      </c>
      <c r="G11" s="346" t="s">
        <v>394</v>
      </c>
      <c r="H11" s="346" t="s">
        <v>395</v>
      </c>
      <c r="I11" s="346" t="s">
        <v>396</v>
      </c>
    </row>
    <row r="12" spans="1:9" x14ac:dyDescent="0.3">
      <c r="C12" s="645" t="s">
        <v>29</v>
      </c>
      <c r="D12" s="646"/>
      <c r="E12" s="646"/>
      <c r="F12" s="646"/>
      <c r="G12" s="646"/>
      <c r="H12" s="647"/>
      <c r="I12" s="347">
        <v>20</v>
      </c>
    </row>
    <row r="13" spans="1:9" ht="45" x14ac:dyDescent="0.3">
      <c r="C13" s="348" t="s">
        <v>397</v>
      </c>
      <c r="D13" s="349">
        <v>1</v>
      </c>
      <c r="E13" s="349">
        <v>1</v>
      </c>
      <c r="F13" s="350" t="s">
        <v>398</v>
      </c>
      <c r="G13" s="349">
        <v>2</v>
      </c>
      <c r="H13" s="349">
        <v>1</v>
      </c>
      <c r="I13" s="349">
        <f>G13*H13</f>
        <v>2</v>
      </c>
    </row>
    <row r="14" spans="1:9" x14ac:dyDescent="0.3">
      <c r="C14" s="351" t="s">
        <v>411</v>
      </c>
      <c r="D14" s="352">
        <v>40</v>
      </c>
      <c r="E14" s="353">
        <v>5</v>
      </c>
      <c r="F14" s="332" t="s">
        <v>399</v>
      </c>
      <c r="G14" s="353">
        <v>2</v>
      </c>
      <c r="H14" s="353">
        <v>8</v>
      </c>
      <c r="I14" s="353">
        <f>G14*H14</f>
        <v>16</v>
      </c>
    </row>
    <row r="15" spans="1:9" x14ac:dyDescent="0.3">
      <c r="C15" s="351" t="s">
        <v>412</v>
      </c>
      <c r="D15" s="353">
        <v>2</v>
      </c>
      <c r="E15" s="353">
        <v>1</v>
      </c>
      <c r="F15" s="332" t="s">
        <v>400</v>
      </c>
      <c r="G15" s="353">
        <v>1</v>
      </c>
      <c r="H15" s="353">
        <v>1</v>
      </c>
      <c r="I15" s="353">
        <f>G15*H15</f>
        <v>1</v>
      </c>
    </row>
    <row r="16" spans="1:9" x14ac:dyDescent="0.3">
      <c r="C16" s="351" t="s">
        <v>413</v>
      </c>
      <c r="D16" s="353">
        <v>1</v>
      </c>
      <c r="E16" s="353">
        <v>1</v>
      </c>
      <c r="F16" s="332" t="s">
        <v>401</v>
      </c>
      <c r="G16" s="353">
        <v>1</v>
      </c>
      <c r="H16" s="353">
        <v>1</v>
      </c>
      <c r="I16" s="353">
        <f>G16*H16</f>
        <v>1</v>
      </c>
    </row>
    <row r="17" spans="3:9" ht="15" customHeight="1" x14ac:dyDescent="0.3">
      <c r="C17" s="648" t="s">
        <v>171</v>
      </c>
      <c r="D17" s="649"/>
      <c r="E17" s="649"/>
      <c r="F17" s="649"/>
      <c r="G17" s="649"/>
      <c r="H17" s="650"/>
      <c r="I17" s="347">
        <v>8</v>
      </c>
    </row>
    <row r="18" spans="3:9" x14ac:dyDescent="0.3">
      <c r="C18" s="351" t="s">
        <v>402</v>
      </c>
      <c r="D18" s="353">
        <v>40</v>
      </c>
      <c r="E18" s="353">
        <v>10</v>
      </c>
      <c r="F18" s="332" t="s">
        <v>399</v>
      </c>
      <c r="G18" s="353">
        <v>1</v>
      </c>
      <c r="H18" s="353">
        <v>4</v>
      </c>
      <c r="I18" s="353">
        <f>G18*H18</f>
        <v>4</v>
      </c>
    </row>
    <row r="19" spans="3:9" x14ac:dyDescent="0.3">
      <c r="C19" s="332" t="s">
        <v>403</v>
      </c>
      <c r="D19" s="354"/>
      <c r="E19" s="354"/>
      <c r="F19" s="332"/>
      <c r="G19" s="353">
        <v>4</v>
      </c>
      <c r="H19" s="353">
        <v>1</v>
      </c>
      <c r="I19" s="353">
        <f>G19*H19</f>
        <v>4</v>
      </c>
    </row>
    <row r="20" spans="3:9" x14ac:dyDescent="0.3">
      <c r="G20" s="352"/>
      <c r="H20" s="352"/>
      <c r="I20" s="352"/>
    </row>
    <row r="21" spans="3:9" x14ac:dyDescent="0.3">
      <c r="G21" s="352"/>
      <c r="H21" s="355" t="s">
        <v>404</v>
      </c>
      <c r="I21" s="251">
        <f>SUM(I18:I20,I14:I16,I13)</f>
        <v>28</v>
      </c>
    </row>
  </sheetData>
  <mergeCells count="4">
    <mergeCell ref="C7:I7"/>
    <mergeCell ref="C12:H12"/>
    <mergeCell ref="C17:H17"/>
    <mergeCell ref="C9: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1"/>
  <sheetViews>
    <sheetView topLeftCell="A64" zoomScale="80" zoomScaleNormal="80" workbookViewId="0">
      <selection activeCell="G64" sqref="G64:G65"/>
    </sheetView>
  </sheetViews>
  <sheetFormatPr baseColWidth="10" defaultColWidth="11.26953125" defaultRowHeight="15" x14ac:dyDescent="0.35"/>
  <cols>
    <col min="1" max="1" width="1.7265625" style="42" customWidth="1"/>
    <col min="2" max="2" width="6.26953125" style="42" customWidth="1"/>
    <col min="3" max="3" width="8" style="42" customWidth="1"/>
    <col min="4" max="4" width="10.7265625" style="42" bestFit="1" customWidth="1"/>
    <col min="5" max="5" width="4.26953125" style="42" bestFit="1" customWidth="1"/>
    <col min="6" max="6" width="18.7265625" style="42" customWidth="1"/>
    <col min="7" max="7" width="100.1796875" style="42" bestFit="1" customWidth="1"/>
    <col min="8" max="12" width="11.26953125" style="42"/>
    <col min="13" max="13" width="11.81640625" style="42" bestFit="1" customWidth="1"/>
    <col min="14" max="16384" width="11.26953125" style="42"/>
  </cols>
  <sheetData>
    <row r="1" spans="2:12" x14ac:dyDescent="0.35">
      <c r="B1" s="42" t="s">
        <v>226</v>
      </c>
      <c r="C1" s="42" t="s">
        <v>227</v>
      </c>
      <c r="D1" s="42" t="s">
        <v>228</v>
      </c>
      <c r="E1" s="42" t="s">
        <v>10</v>
      </c>
      <c r="F1" s="42" t="s">
        <v>229</v>
      </c>
      <c r="G1" s="42" t="s">
        <v>230</v>
      </c>
      <c r="H1" s="42" t="s">
        <v>225</v>
      </c>
    </row>
    <row r="2" spans="2:12" ht="43.5" customHeight="1" x14ac:dyDescent="0.35">
      <c r="B2" s="599" t="s">
        <v>213</v>
      </c>
      <c r="C2" s="599" t="s">
        <v>174</v>
      </c>
      <c r="D2" s="41" t="s">
        <v>78</v>
      </c>
      <c r="E2" s="41" t="s">
        <v>146</v>
      </c>
      <c r="G2" s="43" t="s">
        <v>231</v>
      </c>
      <c r="H2" s="42">
        <f>I2*$K$2</f>
        <v>0.05</v>
      </c>
      <c r="I2" s="42">
        <v>0.05</v>
      </c>
      <c r="J2" s="42" t="s">
        <v>264</v>
      </c>
      <c r="K2" s="42">
        <v>1</v>
      </c>
    </row>
    <row r="3" spans="2:12" ht="38.5" x14ac:dyDescent="0.35">
      <c r="B3" s="599"/>
      <c r="C3" s="599"/>
      <c r="D3" s="41" t="s">
        <v>79</v>
      </c>
      <c r="E3" s="41" t="s">
        <v>216</v>
      </c>
      <c r="G3" s="43" t="s">
        <v>172</v>
      </c>
      <c r="H3" s="42">
        <v>0.25</v>
      </c>
    </row>
    <row r="4" spans="2:12" ht="38.5" x14ac:dyDescent="0.35">
      <c r="B4" s="599"/>
      <c r="C4" s="599"/>
      <c r="D4" s="41" t="s">
        <v>77</v>
      </c>
      <c r="E4" s="41" t="s">
        <v>216</v>
      </c>
      <c r="G4" s="43" t="s">
        <v>173</v>
      </c>
      <c r="H4" s="42">
        <v>0.25</v>
      </c>
    </row>
    <row r="5" spans="2:12" ht="46.5" x14ac:dyDescent="0.35">
      <c r="B5" s="599"/>
      <c r="C5" s="599"/>
      <c r="D5" s="41" t="s">
        <v>80</v>
      </c>
      <c r="E5" s="41" t="s">
        <v>146</v>
      </c>
      <c r="G5" s="43" t="s">
        <v>192</v>
      </c>
      <c r="H5" s="42">
        <v>0.04</v>
      </c>
    </row>
    <row r="6" spans="2:12" ht="46.5" x14ac:dyDescent="0.35">
      <c r="B6" s="599"/>
      <c r="C6" s="599" t="s">
        <v>214</v>
      </c>
      <c r="D6" s="41" t="s">
        <v>78</v>
      </c>
      <c r="E6" s="41" t="s">
        <v>146</v>
      </c>
      <c r="G6" s="43" t="s">
        <v>175</v>
      </c>
      <c r="H6" s="42">
        <f>I6*$K$2</f>
        <v>0.33333333333333331</v>
      </c>
      <c r="I6" s="42">
        <f>1/3</f>
        <v>0.33333333333333331</v>
      </c>
    </row>
    <row r="7" spans="2:12" ht="15" customHeight="1" x14ac:dyDescent="0.35">
      <c r="B7" s="599"/>
      <c r="C7" s="599"/>
      <c r="D7" s="599" t="s">
        <v>193</v>
      </c>
      <c r="E7" s="599" t="s">
        <v>105</v>
      </c>
      <c r="F7" s="42" t="s">
        <v>106</v>
      </c>
      <c r="G7" s="43" t="s">
        <v>107</v>
      </c>
      <c r="H7" s="44">
        <f>3/60*6</f>
        <v>0.30000000000000004</v>
      </c>
      <c r="I7" s="44">
        <f>1/60*6</f>
        <v>0.1</v>
      </c>
      <c r="J7" s="45"/>
    </row>
    <row r="8" spans="2:12" x14ac:dyDescent="0.35">
      <c r="B8" s="599"/>
      <c r="C8" s="599"/>
      <c r="D8" s="599"/>
      <c r="E8" s="599"/>
      <c r="F8" s="42" t="s">
        <v>108</v>
      </c>
      <c r="G8" s="43" t="s">
        <v>109</v>
      </c>
      <c r="H8" s="44">
        <f>3/60*12</f>
        <v>0.60000000000000009</v>
      </c>
      <c r="I8" s="44">
        <f>1/60*12</f>
        <v>0.2</v>
      </c>
      <c r="J8" s="46"/>
    </row>
    <row r="9" spans="2:12" x14ac:dyDescent="0.35">
      <c r="B9" s="599"/>
      <c r="C9" s="599"/>
      <c r="D9" s="599"/>
      <c r="E9" s="599"/>
      <c r="F9" s="42" t="s">
        <v>110</v>
      </c>
      <c r="G9" s="43" t="s">
        <v>111</v>
      </c>
      <c r="H9" s="44">
        <f>3/60*18</f>
        <v>0.9</v>
      </c>
      <c r="I9" s="44">
        <f>1/60*18</f>
        <v>0.3</v>
      </c>
    </row>
    <row r="10" spans="2:12" x14ac:dyDescent="0.35">
      <c r="B10" s="599"/>
      <c r="C10" s="599"/>
      <c r="D10" s="599"/>
      <c r="E10" s="599"/>
      <c r="F10" s="42" t="s">
        <v>112</v>
      </c>
      <c r="G10" s="43" t="s">
        <v>113</v>
      </c>
      <c r="H10" s="44">
        <f>3/60*24</f>
        <v>1.2000000000000002</v>
      </c>
      <c r="I10" s="44">
        <f>1/60*24</f>
        <v>0.4</v>
      </c>
    </row>
    <row r="11" spans="2:12" x14ac:dyDescent="0.35">
      <c r="B11" s="599"/>
      <c r="C11" s="599"/>
      <c r="D11" s="599"/>
      <c r="E11" s="599"/>
      <c r="F11" s="42" t="s">
        <v>114</v>
      </c>
      <c r="G11" s="43" t="s">
        <v>115</v>
      </c>
      <c r="H11" s="44">
        <f>3/60*30</f>
        <v>1.5</v>
      </c>
      <c r="I11" s="44">
        <f>1/60*30</f>
        <v>0.5</v>
      </c>
    </row>
    <row r="12" spans="2:12" x14ac:dyDescent="0.35">
      <c r="B12" s="599"/>
      <c r="C12" s="599"/>
      <c r="D12" s="599"/>
      <c r="E12" s="599"/>
      <c r="F12" s="42" t="s">
        <v>116</v>
      </c>
      <c r="G12" s="43" t="s">
        <v>117</v>
      </c>
      <c r="H12" s="44">
        <f>3/60*36</f>
        <v>1.8</v>
      </c>
      <c r="I12" s="44">
        <f>1/60*36</f>
        <v>0.6</v>
      </c>
    </row>
    <row r="13" spans="2:12" x14ac:dyDescent="0.35">
      <c r="B13" s="599"/>
      <c r="C13" s="599"/>
      <c r="D13" s="599"/>
      <c r="E13" s="599"/>
      <c r="F13" s="42" t="s">
        <v>118</v>
      </c>
      <c r="G13" s="43" t="s">
        <v>119</v>
      </c>
      <c r="H13" s="44">
        <f>3/60*42</f>
        <v>2.1</v>
      </c>
      <c r="I13" s="44">
        <f>1/60*42</f>
        <v>0.7</v>
      </c>
    </row>
    <row r="14" spans="2:12" x14ac:dyDescent="0.35">
      <c r="B14" s="599"/>
      <c r="C14" s="599"/>
      <c r="D14" s="599"/>
      <c r="E14" s="599"/>
      <c r="F14" s="42" t="s">
        <v>120</v>
      </c>
      <c r="G14" s="43" t="s">
        <v>121</v>
      </c>
      <c r="H14" s="44">
        <f>3/60*48</f>
        <v>2.4000000000000004</v>
      </c>
      <c r="I14" s="44">
        <f>1/60*48</f>
        <v>0.8</v>
      </c>
    </row>
    <row r="15" spans="2:12" x14ac:dyDescent="0.35">
      <c r="B15" s="599"/>
      <c r="C15" s="599"/>
      <c r="D15" s="599"/>
      <c r="E15" s="599"/>
      <c r="F15" s="42" t="s">
        <v>122</v>
      </c>
      <c r="G15" s="43" t="s">
        <v>123</v>
      </c>
      <c r="H15" s="44">
        <f>3/60*54</f>
        <v>2.7</v>
      </c>
      <c r="I15" s="44">
        <f>1/60*54</f>
        <v>0.9</v>
      </c>
      <c r="L15" s="47"/>
    </row>
    <row r="16" spans="2:12" x14ac:dyDescent="0.35">
      <c r="B16" s="599"/>
      <c r="C16" s="599"/>
      <c r="D16" s="599"/>
      <c r="E16" s="599"/>
      <c r="F16" s="42" t="s">
        <v>124</v>
      </c>
      <c r="G16" s="43" t="s">
        <v>125</v>
      </c>
      <c r="H16" s="44">
        <f>3/60*60</f>
        <v>3</v>
      </c>
      <c r="I16" s="44">
        <f>1/60*60</f>
        <v>1</v>
      </c>
      <c r="L16" s="47"/>
    </row>
    <row r="17" spans="2:15" x14ac:dyDescent="0.35">
      <c r="B17" s="599"/>
      <c r="C17" s="599"/>
      <c r="D17" s="599"/>
      <c r="E17" s="599"/>
      <c r="F17" s="42" t="s">
        <v>126</v>
      </c>
      <c r="G17" s="43" t="s">
        <v>127</v>
      </c>
      <c r="H17" s="44">
        <f>3/60*66</f>
        <v>3.3000000000000003</v>
      </c>
      <c r="I17" s="44">
        <f>1/60*66</f>
        <v>1.1000000000000001</v>
      </c>
      <c r="L17" s="47"/>
    </row>
    <row r="18" spans="2:15" x14ac:dyDescent="0.35">
      <c r="B18" s="599"/>
      <c r="C18" s="599"/>
      <c r="D18" s="599"/>
      <c r="E18" s="599"/>
      <c r="F18" s="42" t="s">
        <v>128</v>
      </c>
      <c r="G18" s="43" t="s">
        <v>129</v>
      </c>
      <c r="H18" s="44">
        <f>3/60*72</f>
        <v>3.6</v>
      </c>
      <c r="I18" s="44">
        <f>1/60*72</f>
        <v>1.2</v>
      </c>
      <c r="L18" s="47"/>
    </row>
    <row r="19" spans="2:15" x14ac:dyDescent="0.35">
      <c r="B19" s="599"/>
      <c r="C19" s="599"/>
      <c r="D19" s="599"/>
      <c r="E19" s="599"/>
      <c r="F19" s="42" t="s">
        <v>130</v>
      </c>
      <c r="G19" s="43" t="s">
        <v>131</v>
      </c>
      <c r="H19" s="44">
        <f>3/60*78</f>
        <v>3.9000000000000004</v>
      </c>
      <c r="I19" s="44">
        <f>1/60*78</f>
        <v>1.3</v>
      </c>
      <c r="L19" s="47"/>
    </row>
    <row r="20" spans="2:15" x14ac:dyDescent="0.35">
      <c r="B20" s="599"/>
      <c r="C20" s="599"/>
      <c r="D20" s="599"/>
      <c r="E20" s="599"/>
      <c r="F20" s="42" t="s">
        <v>132</v>
      </c>
      <c r="G20" s="43" t="s">
        <v>133</v>
      </c>
      <c r="H20" s="44">
        <f>3/60*84</f>
        <v>4.2</v>
      </c>
      <c r="I20" s="44">
        <f>1/60*84</f>
        <v>1.4</v>
      </c>
      <c r="L20" s="47"/>
    </row>
    <row r="21" spans="2:15" x14ac:dyDescent="0.35">
      <c r="B21" s="599"/>
      <c r="C21" s="599"/>
      <c r="D21" s="599"/>
      <c r="E21" s="599"/>
      <c r="F21" s="42" t="s">
        <v>134</v>
      </c>
      <c r="G21" s="43" t="s">
        <v>135</v>
      </c>
      <c r="H21" s="44">
        <f>3/60*90</f>
        <v>4.5</v>
      </c>
      <c r="I21" s="44">
        <f>1/60*90</f>
        <v>1.5</v>
      </c>
      <c r="L21" s="47"/>
    </row>
    <row r="22" spans="2:15" x14ac:dyDescent="0.35">
      <c r="B22" s="599"/>
      <c r="C22" s="599"/>
      <c r="D22" s="599"/>
      <c r="E22" s="599"/>
      <c r="F22" s="42" t="s">
        <v>136</v>
      </c>
      <c r="G22" s="43" t="s">
        <v>137</v>
      </c>
      <c r="H22" s="44">
        <f>3/60*96</f>
        <v>4.8000000000000007</v>
      </c>
      <c r="I22" s="44">
        <f>1/60*96</f>
        <v>1.6</v>
      </c>
      <c r="L22" s="47"/>
    </row>
    <row r="23" spans="2:15" x14ac:dyDescent="0.35">
      <c r="B23" s="599"/>
      <c r="C23" s="599"/>
      <c r="D23" s="599"/>
      <c r="E23" s="599" t="s">
        <v>138</v>
      </c>
      <c r="F23" s="42" t="s">
        <v>139</v>
      </c>
      <c r="G23" s="43" t="s">
        <v>140</v>
      </c>
      <c r="H23" s="42">
        <v>1</v>
      </c>
      <c r="K23" s="43"/>
      <c r="L23" s="47"/>
    </row>
    <row r="24" spans="2:15" x14ac:dyDescent="0.35">
      <c r="B24" s="599"/>
      <c r="C24" s="599"/>
      <c r="D24" s="599"/>
      <c r="E24" s="599"/>
      <c r="F24" s="42" t="s">
        <v>141</v>
      </c>
      <c r="G24" s="43" t="s">
        <v>142</v>
      </c>
      <c r="H24" s="42">
        <v>1.2</v>
      </c>
      <c r="K24" s="43"/>
      <c r="L24" s="47"/>
    </row>
    <row r="25" spans="2:15" x14ac:dyDescent="0.35">
      <c r="B25" s="599"/>
      <c r="C25" s="599"/>
      <c r="D25" s="599"/>
      <c r="E25" s="599"/>
      <c r="F25" s="42" t="s">
        <v>143</v>
      </c>
      <c r="G25" s="43" t="s">
        <v>144</v>
      </c>
      <c r="H25" s="42">
        <v>1.4</v>
      </c>
      <c r="K25" s="43"/>
      <c r="L25" s="47"/>
    </row>
    <row r="26" spans="2:15" ht="15" customHeight="1" x14ac:dyDescent="0.35">
      <c r="B26" s="599"/>
      <c r="C26" s="599"/>
      <c r="D26" s="598" t="s">
        <v>194</v>
      </c>
      <c r="E26" s="599" t="s">
        <v>138</v>
      </c>
      <c r="F26" s="42" t="s">
        <v>139</v>
      </c>
      <c r="G26" s="43" t="s">
        <v>152</v>
      </c>
      <c r="H26" s="42">
        <v>0.1</v>
      </c>
      <c r="L26" s="47"/>
    </row>
    <row r="27" spans="2:15" x14ac:dyDescent="0.35">
      <c r="B27" s="599"/>
      <c r="C27" s="599"/>
      <c r="D27" s="599"/>
      <c r="E27" s="599"/>
      <c r="F27" s="42" t="s">
        <v>141</v>
      </c>
      <c r="G27" s="43" t="s">
        <v>152</v>
      </c>
      <c r="H27" s="42">
        <v>0.2</v>
      </c>
      <c r="L27" s="47"/>
    </row>
    <row r="28" spans="2:15" x14ac:dyDescent="0.35">
      <c r="B28" s="599"/>
      <c r="C28" s="599"/>
      <c r="D28" s="599"/>
      <c r="E28" s="599"/>
      <c r="F28" s="42" t="s">
        <v>143</v>
      </c>
      <c r="G28" s="43" t="s">
        <v>152</v>
      </c>
      <c r="H28" s="42">
        <v>0.3</v>
      </c>
      <c r="O28" s="48"/>
    </row>
    <row r="29" spans="2:15" ht="15" customHeight="1" x14ac:dyDescent="0.35">
      <c r="B29" s="599"/>
      <c r="C29" s="599" t="s">
        <v>215</v>
      </c>
      <c r="D29" s="599" t="s">
        <v>145</v>
      </c>
      <c r="E29" s="41" t="s">
        <v>146</v>
      </c>
      <c r="G29" s="43" t="s">
        <v>147</v>
      </c>
      <c r="H29" s="42">
        <v>1</v>
      </c>
      <c r="O29" s="48"/>
    </row>
    <row r="30" spans="2:15" ht="15" customHeight="1" x14ac:dyDescent="0.35">
      <c r="B30" s="599"/>
      <c r="C30" s="599"/>
      <c r="D30" s="599"/>
      <c r="E30" s="599" t="s">
        <v>138</v>
      </c>
      <c r="F30" s="42" t="s">
        <v>139</v>
      </c>
      <c r="G30" s="43" t="s">
        <v>148</v>
      </c>
      <c r="H30" s="42">
        <v>0.8</v>
      </c>
      <c r="O30" s="48"/>
    </row>
    <row r="31" spans="2:15" x14ac:dyDescent="0.35">
      <c r="B31" s="599"/>
      <c r="C31" s="599"/>
      <c r="D31" s="599"/>
      <c r="E31" s="599"/>
      <c r="F31" s="42" t="s">
        <v>141</v>
      </c>
      <c r="G31" s="43" t="s">
        <v>149</v>
      </c>
      <c r="H31" s="42">
        <v>1</v>
      </c>
      <c r="O31" s="48"/>
    </row>
    <row r="32" spans="2:15" x14ac:dyDescent="0.35">
      <c r="B32" s="599"/>
      <c r="C32" s="599"/>
      <c r="D32" s="599"/>
      <c r="E32" s="599"/>
      <c r="F32" s="42" t="s">
        <v>143</v>
      </c>
      <c r="G32" s="43" t="s">
        <v>150</v>
      </c>
      <c r="H32" s="42">
        <v>1.2</v>
      </c>
      <c r="O32" s="48"/>
    </row>
    <row r="33" spans="2:15" ht="15" customHeight="1" x14ac:dyDescent="0.35">
      <c r="B33" s="599"/>
      <c r="C33" s="599"/>
      <c r="D33" s="598" t="s">
        <v>196</v>
      </c>
      <c r="E33" s="599" t="s">
        <v>138</v>
      </c>
      <c r="F33" s="42" t="s">
        <v>139</v>
      </c>
      <c r="G33" s="43" t="s">
        <v>152</v>
      </c>
      <c r="H33" s="42">
        <v>0.3</v>
      </c>
      <c r="O33" s="48"/>
    </row>
    <row r="34" spans="2:15" x14ac:dyDescent="0.35">
      <c r="B34" s="599"/>
      <c r="C34" s="599"/>
      <c r="D34" s="599"/>
      <c r="E34" s="599"/>
      <c r="F34" s="42" t="s">
        <v>141</v>
      </c>
      <c r="G34" s="43" t="s">
        <v>152</v>
      </c>
      <c r="H34" s="42">
        <v>0.4</v>
      </c>
      <c r="O34" s="48"/>
    </row>
    <row r="35" spans="2:15" x14ac:dyDescent="0.35">
      <c r="B35" s="599"/>
      <c r="C35" s="599"/>
      <c r="D35" s="599"/>
      <c r="E35" s="599"/>
      <c r="F35" s="42" t="s">
        <v>143</v>
      </c>
      <c r="G35" s="43" t="s">
        <v>152</v>
      </c>
      <c r="H35" s="42">
        <v>0.5</v>
      </c>
      <c r="O35" s="47"/>
    </row>
    <row r="36" spans="2:15" ht="15" customHeight="1" x14ac:dyDescent="0.35">
      <c r="B36" s="599"/>
      <c r="C36" s="599"/>
      <c r="D36" s="599" t="s">
        <v>151</v>
      </c>
      <c r="E36" s="41" t="s">
        <v>146</v>
      </c>
      <c r="G36" s="43" t="s">
        <v>147</v>
      </c>
      <c r="H36" s="42">
        <v>2</v>
      </c>
      <c r="O36" s="47"/>
    </row>
    <row r="37" spans="2:15" ht="15" customHeight="1" x14ac:dyDescent="0.35">
      <c r="B37" s="599"/>
      <c r="C37" s="599"/>
      <c r="D37" s="599"/>
      <c r="E37" s="599" t="s">
        <v>138</v>
      </c>
      <c r="F37" s="42" t="s">
        <v>139</v>
      </c>
      <c r="G37" s="43" t="s">
        <v>148</v>
      </c>
      <c r="H37" s="42">
        <v>0.8</v>
      </c>
      <c r="O37" s="47"/>
    </row>
    <row r="38" spans="2:15" x14ac:dyDescent="0.35">
      <c r="B38" s="599"/>
      <c r="C38" s="599"/>
      <c r="D38" s="599"/>
      <c r="E38" s="599"/>
      <c r="F38" s="42" t="s">
        <v>141</v>
      </c>
      <c r="G38" s="43" t="s">
        <v>149</v>
      </c>
      <c r="H38" s="42">
        <v>1</v>
      </c>
      <c r="O38" s="47"/>
    </row>
    <row r="39" spans="2:15" x14ac:dyDescent="0.35">
      <c r="B39" s="599"/>
      <c r="C39" s="599"/>
      <c r="D39" s="599"/>
      <c r="E39" s="599"/>
      <c r="F39" s="42" t="s">
        <v>143</v>
      </c>
      <c r="G39" s="43" t="s">
        <v>150</v>
      </c>
      <c r="H39" s="42">
        <v>1.2</v>
      </c>
      <c r="O39" s="48"/>
    </row>
    <row r="40" spans="2:15" ht="15" customHeight="1" x14ac:dyDescent="0.35">
      <c r="B40" s="599"/>
      <c r="C40" s="599"/>
      <c r="D40" s="598" t="s">
        <v>198</v>
      </c>
      <c r="E40" s="599" t="s">
        <v>138</v>
      </c>
      <c r="F40" s="42" t="s">
        <v>139</v>
      </c>
      <c r="G40" s="43" t="s">
        <v>152</v>
      </c>
      <c r="H40" s="42">
        <v>0.4</v>
      </c>
      <c r="O40" s="48"/>
    </row>
    <row r="41" spans="2:15" x14ac:dyDescent="0.35">
      <c r="B41" s="599"/>
      <c r="C41" s="599"/>
      <c r="D41" s="599"/>
      <c r="E41" s="599"/>
      <c r="F41" s="42" t="s">
        <v>141</v>
      </c>
      <c r="G41" s="43" t="s">
        <v>152</v>
      </c>
      <c r="H41" s="42">
        <v>0.45</v>
      </c>
      <c r="O41" s="48"/>
    </row>
    <row r="42" spans="2:15" x14ac:dyDescent="0.35">
      <c r="B42" s="599"/>
      <c r="C42" s="599"/>
      <c r="D42" s="599"/>
      <c r="E42" s="599"/>
      <c r="F42" s="42" t="s">
        <v>143</v>
      </c>
      <c r="G42" s="43" t="s">
        <v>152</v>
      </c>
      <c r="H42" s="42">
        <v>0.5</v>
      </c>
      <c r="O42" s="48"/>
    </row>
    <row r="43" spans="2:15" ht="46.5" x14ac:dyDescent="0.35">
      <c r="B43" s="599"/>
      <c r="C43" s="599"/>
      <c r="D43" s="41" t="s">
        <v>80</v>
      </c>
      <c r="E43" s="41" t="s">
        <v>146</v>
      </c>
      <c r="G43" s="43" t="s">
        <v>192</v>
      </c>
      <c r="H43" s="42">
        <v>0.04</v>
      </c>
      <c r="O43" s="48"/>
    </row>
    <row r="44" spans="2:15" ht="15" customHeight="1" x14ac:dyDescent="0.35">
      <c r="B44" s="599" t="s">
        <v>51</v>
      </c>
      <c r="C44" s="599" t="s">
        <v>221</v>
      </c>
      <c r="D44" s="599" t="s">
        <v>76</v>
      </c>
      <c r="E44" s="599" t="s">
        <v>89</v>
      </c>
      <c r="F44" s="55" t="s">
        <v>515</v>
      </c>
      <c r="G44" s="43" t="s">
        <v>90</v>
      </c>
      <c r="H44" s="42">
        <v>1.7</v>
      </c>
      <c r="O44" s="48"/>
    </row>
    <row r="45" spans="2:15" x14ac:dyDescent="0.35">
      <c r="B45" s="599"/>
      <c r="C45" s="599"/>
      <c r="D45" s="599"/>
      <c r="E45" s="599"/>
      <c r="F45" s="55" t="s">
        <v>91</v>
      </c>
      <c r="G45" s="43" t="s">
        <v>92</v>
      </c>
      <c r="H45" s="42">
        <v>1.5</v>
      </c>
      <c r="O45" s="48"/>
    </row>
    <row r="46" spans="2:15" x14ac:dyDescent="0.35">
      <c r="B46" s="599"/>
      <c r="C46" s="599"/>
      <c r="D46" s="599"/>
      <c r="E46" s="599"/>
      <c r="F46" s="55" t="s">
        <v>93</v>
      </c>
      <c r="G46" s="43" t="s">
        <v>94</v>
      </c>
      <c r="H46" s="42">
        <v>2.2000000000000002</v>
      </c>
      <c r="O46" s="48"/>
    </row>
    <row r="47" spans="2:15" x14ac:dyDescent="0.35">
      <c r="B47" s="599"/>
      <c r="C47" s="599"/>
      <c r="D47" s="599"/>
      <c r="E47" s="599"/>
      <c r="F47" s="55" t="s">
        <v>95</v>
      </c>
      <c r="G47" s="43" t="s">
        <v>96</v>
      </c>
      <c r="H47" s="42">
        <v>1.7</v>
      </c>
      <c r="O47" s="48"/>
    </row>
    <row r="48" spans="2:15" x14ac:dyDescent="0.35">
      <c r="B48" s="599"/>
      <c r="C48" s="599"/>
      <c r="D48" s="599"/>
      <c r="E48" s="599"/>
      <c r="F48" s="55" t="s">
        <v>97</v>
      </c>
      <c r="G48" s="43" t="s">
        <v>98</v>
      </c>
      <c r="H48" s="42">
        <v>1</v>
      </c>
      <c r="O48" s="48"/>
    </row>
    <row r="49" spans="1:15" x14ac:dyDescent="0.35">
      <c r="B49" s="599"/>
      <c r="C49" s="599"/>
      <c r="D49" s="599"/>
      <c r="E49" s="599"/>
      <c r="F49" s="55" t="s">
        <v>155</v>
      </c>
      <c r="G49" s="43" t="s">
        <v>156</v>
      </c>
      <c r="H49" s="42">
        <v>1.1000000000000001</v>
      </c>
      <c r="O49" s="48"/>
    </row>
    <row r="50" spans="1:15" x14ac:dyDescent="0.35">
      <c r="B50" s="599"/>
      <c r="C50" s="599"/>
      <c r="D50" s="599"/>
      <c r="E50" s="599"/>
      <c r="F50" s="55" t="s">
        <v>99</v>
      </c>
      <c r="G50" s="43" t="s">
        <v>100</v>
      </c>
      <c r="H50" s="42">
        <v>4</v>
      </c>
      <c r="L50" s="47"/>
      <c r="M50" s="47"/>
      <c r="N50" s="47"/>
      <c r="O50" s="48"/>
    </row>
    <row r="51" spans="1:15" x14ac:dyDescent="0.35">
      <c r="B51" s="599"/>
      <c r="C51" s="599"/>
      <c r="D51" s="599"/>
      <c r="E51" s="599"/>
      <c r="F51" s="55" t="s">
        <v>101</v>
      </c>
      <c r="G51" s="43" t="s">
        <v>102</v>
      </c>
      <c r="H51" s="42">
        <v>2.5</v>
      </c>
      <c r="L51" s="47"/>
      <c r="M51" s="47"/>
      <c r="N51" s="47"/>
      <c r="O51" s="48"/>
    </row>
    <row r="52" spans="1:15" x14ac:dyDescent="0.35">
      <c r="B52" s="599"/>
      <c r="C52" s="599"/>
      <c r="D52" s="599"/>
      <c r="E52" s="599"/>
      <c r="F52" s="55" t="s">
        <v>294</v>
      </c>
      <c r="G52" s="43" t="s">
        <v>252</v>
      </c>
      <c r="H52" s="42">
        <v>1</v>
      </c>
      <c r="L52" s="47"/>
      <c r="M52" s="47"/>
      <c r="N52" s="47"/>
      <c r="O52" s="48"/>
    </row>
    <row r="53" spans="1:15" x14ac:dyDescent="0.35">
      <c r="B53" s="599"/>
      <c r="C53" s="599"/>
      <c r="D53" s="599"/>
      <c r="E53" s="599"/>
      <c r="F53" s="55" t="s">
        <v>103</v>
      </c>
      <c r="G53" s="43" t="s">
        <v>104</v>
      </c>
      <c r="H53" s="42">
        <v>2</v>
      </c>
      <c r="L53" s="47"/>
      <c r="M53" s="47"/>
      <c r="N53" s="47"/>
      <c r="O53" s="47"/>
    </row>
    <row r="54" spans="1:15" x14ac:dyDescent="0.35">
      <c r="B54" s="599"/>
      <c r="C54" s="599"/>
      <c r="D54" s="599"/>
      <c r="E54" s="600" t="s">
        <v>138</v>
      </c>
      <c r="F54" s="49" t="s">
        <v>139</v>
      </c>
      <c r="G54" s="50" t="s">
        <v>280</v>
      </c>
      <c r="H54" s="49">
        <v>1</v>
      </c>
      <c r="L54" s="47"/>
      <c r="M54" s="47"/>
      <c r="N54" s="47"/>
      <c r="O54" s="47"/>
    </row>
    <row r="55" spans="1:15" x14ac:dyDescent="0.35">
      <c r="B55" s="599"/>
      <c r="C55" s="599"/>
      <c r="D55" s="599"/>
      <c r="E55" s="600"/>
      <c r="F55" s="49" t="s">
        <v>141</v>
      </c>
      <c r="G55" s="50" t="s">
        <v>281</v>
      </c>
      <c r="H55" s="49">
        <v>1.2</v>
      </c>
      <c r="L55" s="47"/>
      <c r="M55" s="47"/>
      <c r="N55" s="47"/>
      <c r="O55" s="48"/>
    </row>
    <row r="56" spans="1:15" x14ac:dyDescent="0.35">
      <c r="B56" s="599"/>
      <c r="C56" s="599"/>
      <c r="D56" s="599"/>
      <c r="E56" s="600"/>
      <c r="F56" s="49" t="s">
        <v>143</v>
      </c>
      <c r="G56" s="50" t="s">
        <v>282</v>
      </c>
      <c r="H56" s="49">
        <v>1.4</v>
      </c>
      <c r="L56" s="47"/>
      <c r="M56" s="47"/>
      <c r="N56" s="47"/>
      <c r="O56" s="47"/>
    </row>
    <row r="57" spans="1:15" ht="38.5" x14ac:dyDescent="0.35">
      <c r="B57" s="599"/>
      <c r="C57" s="599"/>
      <c r="D57" s="599" t="s">
        <v>81</v>
      </c>
      <c r="E57" s="41" t="s">
        <v>216</v>
      </c>
      <c r="G57" s="43" t="s">
        <v>176</v>
      </c>
      <c r="H57" s="42">
        <f>9/20</f>
        <v>0.45</v>
      </c>
      <c r="L57" s="47"/>
      <c r="M57" s="47"/>
      <c r="N57" s="47"/>
      <c r="O57" s="47"/>
    </row>
    <row r="58" spans="1:15" x14ac:dyDescent="0.35">
      <c r="B58" s="599"/>
      <c r="C58" s="599"/>
      <c r="D58" s="599"/>
      <c r="E58" s="600" t="s">
        <v>138</v>
      </c>
      <c r="F58" s="49" t="s">
        <v>139</v>
      </c>
      <c r="G58" s="50" t="s">
        <v>243</v>
      </c>
      <c r="H58" s="49">
        <v>0.9</v>
      </c>
      <c r="L58" s="47"/>
      <c r="M58" s="47"/>
      <c r="O58" s="48"/>
    </row>
    <row r="59" spans="1:15" x14ac:dyDescent="0.35">
      <c r="B59" s="599"/>
      <c r="C59" s="599"/>
      <c r="D59" s="599"/>
      <c r="E59" s="600"/>
      <c r="F59" s="49" t="s">
        <v>141</v>
      </c>
      <c r="G59" s="50" t="s">
        <v>244</v>
      </c>
      <c r="H59" s="49">
        <v>1</v>
      </c>
      <c r="L59" s="47"/>
      <c r="M59" s="47"/>
      <c r="O59" s="48"/>
    </row>
    <row r="60" spans="1:15" x14ac:dyDescent="0.35">
      <c r="B60" s="599"/>
      <c r="C60" s="599"/>
      <c r="D60" s="599"/>
      <c r="E60" s="600"/>
      <c r="F60" s="49" t="s">
        <v>143</v>
      </c>
      <c r="G60" s="50" t="s">
        <v>242</v>
      </c>
      <c r="H60" s="49">
        <v>1.1000000000000001</v>
      </c>
      <c r="L60" s="47"/>
      <c r="M60" s="47"/>
      <c r="O60" s="48"/>
    </row>
    <row r="61" spans="1:15" ht="46.5" x14ac:dyDescent="0.35">
      <c r="B61" s="599"/>
      <c r="C61" s="599"/>
      <c r="D61" s="41" t="s">
        <v>80</v>
      </c>
      <c r="E61" s="41" t="s">
        <v>146</v>
      </c>
      <c r="G61" s="43" t="s">
        <v>192</v>
      </c>
      <c r="H61" s="42">
        <v>0.04</v>
      </c>
      <c r="L61" s="47"/>
      <c r="M61" s="47"/>
      <c r="O61" s="48"/>
    </row>
    <row r="62" spans="1:15" ht="32.25" customHeight="1" x14ac:dyDescent="0.35">
      <c r="A62" s="51">
        <v>2</v>
      </c>
      <c r="B62" s="599"/>
      <c r="C62" s="599" t="s">
        <v>199</v>
      </c>
      <c r="D62" s="41" t="s">
        <v>183</v>
      </c>
      <c r="E62" s="41" t="s">
        <v>216</v>
      </c>
      <c r="G62" s="43" t="s">
        <v>184</v>
      </c>
      <c r="H62" s="42">
        <f>(2/5)*(2/5)*(2/5)</f>
        <v>6.4000000000000015E-2</v>
      </c>
      <c r="L62" s="47"/>
      <c r="M62" s="47"/>
      <c r="O62" s="48"/>
    </row>
    <row r="63" spans="1:15" ht="38.5" x14ac:dyDescent="0.35">
      <c r="B63" s="599"/>
      <c r="C63" s="599"/>
      <c r="D63" s="41" t="s">
        <v>211</v>
      </c>
      <c r="E63" s="41" t="s">
        <v>216</v>
      </c>
      <c r="G63" s="43" t="s">
        <v>212</v>
      </c>
      <c r="H63" s="42">
        <f>1/3</f>
        <v>0.33333333333333331</v>
      </c>
      <c r="L63" s="47"/>
      <c r="M63" s="47"/>
    </row>
    <row r="64" spans="1:15" ht="38.5" x14ac:dyDescent="0.35">
      <c r="B64" s="599" t="s">
        <v>52</v>
      </c>
      <c r="C64" s="599" t="s">
        <v>178</v>
      </c>
      <c r="D64" s="41" t="s">
        <v>179</v>
      </c>
      <c r="E64" s="41" t="s">
        <v>216</v>
      </c>
      <c r="G64" s="43" t="s">
        <v>181</v>
      </c>
      <c r="H64" s="42">
        <f>1/5</f>
        <v>0.2</v>
      </c>
      <c r="L64" s="47"/>
      <c r="O64" s="48"/>
    </row>
    <row r="65" spans="2:15" ht="38.5" x14ac:dyDescent="0.35">
      <c r="B65" s="599"/>
      <c r="C65" s="599"/>
      <c r="D65" s="41" t="s">
        <v>180</v>
      </c>
      <c r="E65" s="41" t="s">
        <v>216</v>
      </c>
      <c r="G65" s="43" t="s">
        <v>182</v>
      </c>
      <c r="H65" s="42">
        <f>1/2</f>
        <v>0.5</v>
      </c>
      <c r="L65" s="47"/>
      <c r="O65" s="48"/>
    </row>
    <row r="66" spans="2:15" ht="46.5" x14ac:dyDescent="0.35">
      <c r="B66" s="599"/>
      <c r="C66" s="599"/>
      <c r="D66" s="41" t="s">
        <v>80</v>
      </c>
      <c r="E66" s="41" t="s">
        <v>146</v>
      </c>
      <c r="G66" s="43" t="s">
        <v>192</v>
      </c>
      <c r="H66" s="42">
        <v>0.04</v>
      </c>
      <c r="L66" s="47"/>
      <c r="M66" s="47"/>
      <c r="O66" s="48"/>
    </row>
    <row r="67" spans="2:15" ht="38.5" x14ac:dyDescent="0.35">
      <c r="B67" s="599"/>
      <c r="C67" s="41" t="s">
        <v>205</v>
      </c>
      <c r="D67" s="41" t="s">
        <v>217</v>
      </c>
      <c r="E67" s="41" t="s">
        <v>216</v>
      </c>
      <c r="G67" s="43" t="s">
        <v>208</v>
      </c>
      <c r="H67" s="42">
        <f>1/2</f>
        <v>0.5</v>
      </c>
      <c r="L67" s="47"/>
      <c r="M67" s="47"/>
      <c r="O67" s="48"/>
    </row>
    <row r="68" spans="2:15" ht="38.5" x14ac:dyDescent="0.35">
      <c r="B68" s="599"/>
      <c r="C68" s="41" t="s">
        <v>206</v>
      </c>
      <c r="D68" s="41" t="s">
        <v>218</v>
      </c>
      <c r="E68" s="41" t="s">
        <v>216</v>
      </c>
      <c r="G68" s="43" t="s">
        <v>207</v>
      </c>
      <c r="H68" s="42">
        <f>1/2</f>
        <v>0.5</v>
      </c>
      <c r="L68" s="47"/>
      <c r="M68" s="47"/>
      <c r="O68" s="48"/>
    </row>
    <row r="69" spans="2:15" ht="38.5" x14ac:dyDescent="0.35">
      <c r="B69" s="599"/>
      <c r="C69" s="599" t="s">
        <v>82</v>
      </c>
      <c r="D69" s="41" t="s">
        <v>219</v>
      </c>
      <c r="E69" s="41" t="s">
        <v>216</v>
      </c>
      <c r="G69" s="43" t="s">
        <v>177</v>
      </c>
      <c r="H69" s="42">
        <f>(3/5)*(1/5)*(18/10)</f>
        <v>0.216</v>
      </c>
      <c r="L69" s="47"/>
      <c r="M69" s="47"/>
      <c r="O69" s="48"/>
    </row>
    <row r="70" spans="2:15" ht="38.5" x14ac:dyDescent="0.35">
      <c r="B70" s="599"/>
      <c r="C70" s="599"/>
      <c r="D70" s="41" t="s">
        <v>200</v>
      </c>
      <c r="E70" s="41" t="s">
        <v>216</v>
      </c>
      <c r="G70" s="43" t="s">
        <v>201</v>
      </c>
      <c r="H70" s="42">
        <f>1/5</f>
        <v>0.2</v>
      </c>
      <c r="L70" s="47"/>
    </row>
    <row r="71" spans="2:15" ht="38.5" x14ac:dyDescent="0.35">
      <c r="B71" s="599" t="s">
        <v>53</v>
      </c>
      <c r="C71" s="599" t="s">
        <v>83</v>
      </c>
      <c r="D71" s="41" t="s">
        <v>220</v>
      </c>
      <c r="E71" s="41" t="s">
        <v>216</v>
      </c>
      <c r="G71" s="43" t="s">
        <v>224</v>
      </c>
      <c r="H71" s="42">
        <f>10/5</f>
        <v>2</v>
      </c>
    </row>
    <row r="72" spans="2:15" ht="38.5" x14ac:dyDescent="0.35">
      <c r="B72" s="599"/>
      <c r="C72" s="599"/>
      <c r="D72" s="41" t="s">
        <v>202</v>
      </c>
      <c r="E72" s="41" t="s">
        <v>216</v>
      </c>
      <c r="G72" s="43" t="s">
        <v>203</v>
      </c>
      <c r="H72" s="42">
        <f>1/5</f>
        <v>0.2</v>
      </c>
    </row>
    <row r="73" spans="2:15" ht="38.5" x14ac:dyDescent="0.35">
      <c r="B73" s="599"/>
      <c r="C73" s="41" t="s">
        <v>222</v>
      </c>
      <c r="D73" s="41" t="s">
        <v>223</v>
      </c>
      <c r="E73" s="41" t="s">
        <v>216</v>
      </c>
      <c r="G73" s="43" t="s">
        <v>204</v>
      </c>
      <c r="H73" s="42">
        <v>2.5000000000000001E-2</v>
      </c>
    </row>
    <row r="74" spans="2:15" x14ac:dyDescent="0.35">
      <c r="G74" s="43"/>
    </row>
    <row r="75" spans="2:15" x14ac:dyDescent="0.35">
      <c r="G75" s="43" t="s">
        <v>209</v>
      </c>
      <c r="H75" s="52">
        <v>0</v>
      </c>
      <c r="I75" s="53">
        <f>1-H75</f>
        <v>1</v>
      </c>
    </row>
    <row r="81" spans="2:8" x14ac:dyDescent="0.3">
      <c r="B81" s="54" t="s">
        <v>153</v>
      </c>
      <c r="C81" s="54"/>
      <c r="D81" s="54" t="s">
        <v>154</v>
      </c>
      <c r="E81" s="54" t="s">
        <v>251</v>
      </c>
      <c r="F81" s="54"/>
      <c r="G81" s="54"/>
      <c r="H81" s="54" t="s">
        <v>506</v>
      </c>
    </row>
    <row r="82" spans="2:8" x14ac:dyDescent="0.3">
      <c r="B82" s="42" t="s">
        <v>515</v>
      </c>
      <c r="C82" s="54"/>
      <c r="D82" s="54" t="s">
        <v>507</v>
      </c>
      <c r="E82" s="54">
        <v>1</v>
      </c>
      <c r="G82" s="54" t="str">
        <f t="shared" ref="G82:G145" si="0">CONCATENATE(B82,D82,E82)</f>
        <v>ConsultaChica1</v>
      </c>
      <c r="H82" s="54">
        <v>1</v>
      </c>
    </row>
    <row r="83" spans="2:8" x14ac:dyDescent="0.3">
      <c r="B83" s="42" t="s">
        <v>515</v>
      </c>
      <c r="C83" s="54"/>
      <c r="D83" s="54" t="s">
        <v>507</v>
      </c>
      <c r="E83" s="54">
        <v>2</v>
      </c>
      <c r="G83" s="54" t="str">
        <f t="shared" si="0"/>
        <v>ConsultaChica2</v>
      </c>
      <c r="H83" s="54">
        <v>2</v>
      </c>
    </row>
    <row r="84" spans="2:8" x14ac:dyDescent="0.3">
      <c r="B84" s="42" t="s">
        <v>515</v>
      </c>
      <c r="C84" s="54"/>
      <c r="D84" s="54" t="s">
        <v>507</v>
      </c>
      <c r="E84" s="54">
        <v>3</v>
      </c>
      <c r="G84" s="54" t="str">
        <f t="shared" si="0"/>
        <v>ConsultaChica3</v>
      </c>
      <c r="H84" s="54">
        <v>3</v>
      </c>
    </row>
    <row r="85" spans="2:8" x14ac:dyDescent="0.3">
      <c r="B85" s="42" t="s">
        <v>515</v>
      </c>
      <c r="C85" s="54"/>
      <c r="D85" s="54" t="s">
        <v>507</v>
      </c>
      <c r="E85" s="54">
        <v>4</v>
      </c>
      <c r="G85" s="54" t="str">
        <f t="shared" si="0"/>
        <v>ConsultaChica4</v>
      </c>
      <c r="H85" s="54">
        <v>4</v>
      </c>
    </row>
    <row r="86" spans="2:8" x14ac:dyDescent="0.3">
      <c r="B86" s="42" t="s">
        <v>515</v>
      </c>
      <c r="C86" s="54"/>
      <c r="D86" s="54" t="s">
        <v>507</v>
      </c>
      <c r="E86" s="54">
        <v>5</v>
      </c>
      <c r="G86" s="54" t="str">
        <f t="shared" si="0"/>
        <v>ConsultaChica5</v>
      </c>
      <c r="H86" s="54">
        <v>5</v>
      </c>
    </row>
    <row r="87" spans="2:8" x14ac:dyDescent="0.3">
      <c r="B87" s="42" t="s">
        <v>515</v>
      </c>
      <c r="C87" s="54"/>
      <c r="D87" s="54" t="s">
        <v>141</v>
      </c>
      <c r="E87" s="54">
        <v>1</v>
      </c>
      <c r="G87" s="54" t="str">
        <f t="shared" si="0"/>
        <v>ConsultaMedia1</v>
      </c>
      <c r="H87" s="54">
        <v>6</v>
      </c>
    </row>
    <row r="88" spans="2:8" x14ac:dyDescent="0.3">
      <c r="B88" s="42" t="s">
        <v>515</v>
      </c>
      <c r="C88" s="54"/>
      <c r="D88" s="54" t="s">
        <v>141</v>
      </c>
      <c r="E88" s="54">
        <v>2</v>
      </c>
      <c r="G88" s="54" t="str">
        <f t="shared" si="0"/>
        <v>ConsultaMedia2</v>
      </c>
      <c r="H88" s="54">
        <v>7</v>
      </c>
    </row>
    <row r="89" spans="2:8" x14ac:dyDescent="0.3">
      <c r="B89" s="42" t="s">
        <v>515</v>
      </c>
      <c r="C89" s="54"/>
      <c r="D89" s="54" t="s">
        <v>141</v>
      </c>
      <c r="E89" s="54">
        <v>3</v>
      </c>
      <c r="G89" s="54" t="str">
        <f t="shared" si="0"/>
        <v>ConsultaMedia3</v>
      </c>
      <c r="H89" s="54">
        <v>8</v>
      </c>
    </row>
    <row r="90" spans="2:8" x14ac:dyDescent="0.3">
      <c r="B90" s="42" t="s">
        <v>515</v>
      </c>
      <c r="C90" s="54"/>
      <c r="D90" s="54" t="s">
        <v>141</v>
      </c>
      <c r="E90" s="54">
        <v>4</v>
      </c>
      <c r="G90" s="54" t="str">
        <f t="shared" si="0"/>
        <v>ConsultaMedia4</v>
      </c>
      <c r="H90" s="54">
        <v>9</v>
      </c>
    </row>
    <row r="91" spans="2:8" x14ac:dyDescent="0.3">
      <c r="B91" s="42" t="s">
        <v>515</v>
      </c>
      <c r="C91" s="54"/>
      <c r="D91" s="54" t="s">
        <v>141</v>
      </c>
      <c r="E91" s="54">
        <v>5</v>
      </c>
      <c r="G91" s="54" t="str">
        <f t="shared" si="0"/>
        <v>ConsultaMedia5</v>
      </c>
      <c r="H91" s="54">
        <v>10</v>
      </c>
    </row>
    <row r="92" spans="2:8" x14ac:dyDescent="0.3">
      <c r="B92" s="42" t="s">
        <v>515</v>
      </c>
      <c r="C92" s="54"/>
      <c r="D92" s="54" t="s">
        <v>508</v>
      </c>
      <c r="E92" s="54">
        <v>1</v>
      </c>
      <c r="G92" s="54" t="str">
        <f t="shared" si="0"/>
        <v>ConsultaGrand1</v>
      </c>
      <c r="H92" s="54">
        <v>11</v>
      </c>
    </row>
    <row r="93" spans="2:8" x14ac:dyDescent="0.3">
      <c r="B93" s="42" t="s">
        <v>515</v>
      </c>
      <c r="C93" s="54"/>
      <c r="D93" s="54" t="s">
        <v>508</v>
      </c>
      <c r="E93" s="54">
        <v>2</v>
      </c>
      <c r="G93" s="54" t="str">
        <f t="shared" si="0"/>
        <v>ConsultaGrand2</v>
      </c>
      <c r="H93" s="54">
        <v>12</v>
      </c>
    </row>
    <row r="94" spans="2:8" x14ac:dyDescent="0.3">
      <c r="B94" s="42" t="s">
        <v>515</v>
      </c>
      <c r="C94" s="54"/>
      <c r="D94" s="54" t="s">
        <v>508</v>
      </c>
      <c r="E94" s="54">
        <v>3</v>
      </c>
      <c r="G94" s="54" t="str">
        <f t="shared" si="0"/>
        <v>ConsultaGrand3</v>
      </c>
      <c r="H94" s="54">
        <v>13</v>
      </c>
    </row>
    <row r="95" spans="2:8" x14ac:dyDescent="0.3">
      <c r="B95" s="42" t="s">
        <v>515</v>
      </c>
      <c r="C95" s="54"/>
      <c r="D95" s="54" t="s">
        <v>508</v>
      </c>
      <c r="E95" s="54">
        <v>4</v>
      </c>
      <c r="G95" s="54" t="str">
        <f t="shared" si="0"/>
        <v>ConsultaGrand4</v>
      </c>
      <c r="H95" s="54">
        <v>14</v>
      </c>
    </row>
    <row r="96" spans="2:8" x14ac:dyDescent="0.3">
      <c r="B96" s="42" t="s">
        <v>515</v>
      </c>
      <c r="C96" s="54"/>
      <c r="D96" s="54" t="s">
        <v>508</v>
      </c>
      <c r="E96" s="54">
        <v>5</v>
      </c>
      <c r="G96" s="54" t="str">
        <f t="shared" si="0"/>
        <v>ConsultaGrand5</v>
      </c>
      <c r="H96" s="54">
        <v>15</v>
      </c>
    </row>
    <row r="97" spans="2:8" x14ac:dyDescent="0.3">
      <c r="B97" s="42" t="s">
        <v>515</v>
      </c>
      <c r="C97" s="54"/>
      <c r="D97" s="54" t="s">
        <v>509</v>
      </c>
      <c r="E97" s="54">
        <v>1</v>
      </c>
      <c r="G97" s="54" t="str">
        <f t="shared" si="0"/>
        <v>ConsultaM. gr1</v>
      </c>
      <c r="H97" s="54">
        <v>16</v>
      </c>
    </row>
    <row r="98" spans="2:8" x14ac:dyDescent="0.3">
      <c r="B98" s="42" t="s">
        <v>515</v>
      </c>
      <c r="C98" s="54"/>
      <c r="D98" s="54" t="s">
        <v>509</v>
      </c>
      <c r="E98" s="54">
        <v>2</v>
      </c>
      <c r="G98" s="54" t="str">
        <f t="shared" si="0"/>
        <v>ConsultaM. gr2</v>
      </c>
      <c r="H98" s="54">
        <v>17</v>
      </c>
    </row>
    <row r="99" spans="2:8" x14ac:dyDescent="0.3">
      <c r="B99" s="42" t="s">
        <v>515</v>
      </c>
      <c r="C99" s="54"/>
      <c r="D99" s="54" t="s">
        <v>509</v>
      </c>
      <c r="E99" s="54">
        <v>3</v>
      </c>
      <c r="G99" s="54" t="str">
        <f t="shared" si="0"/>
        <v>ConsultaM. gr3</v>
      </c>
      <c r="H99" s="54">
        <v>18</v>
      </c>
    </row>
    <row r="100" spans="2:8" x14ac:dyDescent="0.3">
      <c r="B100" s="42" t="s">
        <v>515</v>
      </c>
      <c r="C100" s="54"/>
      <c r="D100" s="54" t="s">
        <v>509</v>
      </c>
      <c r="E100" s="54">
        <v>4</v>
      </c>
      <c r="G100" s="54" t="str">
        <f t="shared" si="0"/>
        <v>ConsultaM. gr4</v>
      </c>
      <c r="H100" s="54">
        <v>19</v>
      </c>
    </row>
    <row r="101" spans="2:8" x14ac:dyDescent="0.3">
      <c r="B101" s="42" t="s">
        <v>515</v>
      </c>
      <c r="C101" s="54"/>
      <c r="D101" s="54" t="s">
        <v>509</v>
      </c>
      <c r="E101" s="54">
        <v>5</v>
      </c>
      <c r="G101" s="54" t="str">
        <f t="shared" si="0"/>
        <v>ConsultaM. gr5</v>
      </c>
      <c r="H101" s="54">
        <v>20</v>
      </c>
    </row>
    <row r="102" spans="2:8" x14ac:dyDescent="0.3">
      <c r="B102" s="42" t="s">
        <v>91</v>
      </c>
      <c r="C102" s="54"/>
      <c r="D102" s="54" t="s">
        <v>507</v>
      </c>
      <c r="E102" s="54">
        <v>1</v>
      </c>
      <c r="G102" s="54" t="str">
        <f t="shared" si="0"/>
        <v>CatálogoChica1</v>
      </c>
      <c r="H102" s="54">
        <v>21</v>
      </c>
    </row>
    <row r="103" spans="2:8" x14ac:dyDescent="0.3">
      <c r="B103" s="42" t="s">
        <v>91</v>
      </c>
      <c r="C103" s="54"/>
      <c r="D103" s="54" t="s">
        <v>507</v>
      </c>
      <c r="E103" s="54">
        <v>2</v>
      </c>
      <c r="G103" s="54" t="str">
        <f t="shared" si="0"/>
        <v>CatálogoChica2</v>
      </c>
      <c r="H103" s="54">
        <v>22</v>
      </c>
    </row>
    <row r="104" spans="2:8" x14ac:dyDescent="0.3">
      <c r="B104" s="42" t="s">
        <v>91</v>
      </c>
      <c r="C104" s="54"/>
      <c r="D104" s="54" t="s">
        <v>507</v>
      </c>
      <c r="E104" s="54">
        <v>3</v>
      </c>
      <c r="G104" s="54" t="str">
        <f t="shared" si="0"/>
        <v>CatálogoChica3</v>
      </c>
      <c r="H104" s="54">
        <v>23</v>
      </c>
    </row>
    <row r="105" spans="2:8" x14ac:dyDescent="0.3">
      <c r="B105" s="42" t="s">
        <v>91</v>
      </c>
      <c r="C105" s="54"/>
      <c r="D105" s="54" t="s">
        <v>507</v>
      </c>
      <c r="E105" s="54">
        <v>4</v>
      </c>
      <c r="G105" s="54" t="str">
        <f t="shared" si="0"/>
        <v>CatálogoChica4</v>
      </c>
      <c r="H105" s="54">
        <v>24</v>
      </c>
    </row>
    <row r="106" spans="2:8" x14ac:dyDescent="0.3">
      <c r="B106" s="42" t="s">
        <v>91</v>
      </c>
      <c r="C106" s="54"/>
      <c r="D106" s="54" t="s">
        <v>507</v>
      </c>
      <c r="E106" s="54">
        <v>5</v>
      </c>
      <c r="G106" s="54" t="str">
        <f t="shared" si="0"/>
        <v>CatálogoChica5</v>
      </c>
      <c r="H106" s="54">
        <v>25</v>
      </c>
    </row>
    <row r="107" spans="2:8" x14ac:dyDescent="0.3">
      <c r="B107" s="42" t="s">
        <v>91</v>
      </c>
      <c r="C107" s="54"/>
      <c r="D107" s="54" t="s">
        <v>141</v>
      </c>
      <c r="E107" s="54">
        <v>1</v>
      </c>
      <c r="G107" s="54" t="str">
        <f t="shared" si="0"/>
        <v>CatálogoMedia1</v>
      </c>
      <c r="H107" s="54">
        <v>26</v>
      </c>
    </row>
    <row r="108" spans="2:8" x14ac:dyDescent="0.3">
      <c r="B108" s="42" t="s">
        <v>91</v>
      </c>
      <c r="C108" s="54"/>
      <c r="D108" s="54" t="s">
        <v>141</v>
      </c>
      <c r="E108" s="54">
        <v>2</v>
      </c>
      <c r="G108" s="54" t="str">
        <f t="shared" si="0"/>
        <v>CatálogoMedia2</v>
      </c>
      <c r="H108" s="54">
        <v>27</v>
      </c>
    </row>
    <row r="109" spans="2:8" x14ac:dyDescent="0.3">
      <c r="B109" s="42" t="s">
        <v>91</v>
      </c>
      <c r="C109" s="54"/>
      <c r="D109" s="54" t="s">
        <v>141</v>
      </c>
      <c r="E109" s="54">
        <v>3</v>
      </c>
      <c r="G109" s="54" t="str">
        <f t="shared" si="0"/>
        <v>CatálogoMedia3</v>
      </c>
      <c r="H109" s="54">
        <v>28</v>
      </c>
    </row>
    <row r="110" spans="2:8" x14ac:dyDescent="0.3">
      <c r="B110" s="42" t="s">
        <v>91</v>
      </c>
      <c r="C110" s="54"/>
      <c r="D110" s="54" t="s">
        <v>141</v>
      </c>
      <c r="E110" s="54">
        <v>4</v>
      </c>
      <c r="G110" s="54" t="str">
        <f t="shared" si="0"/>
        <v>CatálogoMedia4</v>
      </c>
      <c r="H110" s="54">
        <v>29</v>
      </c>
    </row>
    <row r="111" spans="2:8" x14ac:dyDescent="0.3">
      <c r="B111" s="42" t="s">
        <v>91</v>
      </c>
      <c r="C111" s="54"/>
      <c r="D111" s="54" t="s">
        <v>141</v>
      </c>
      <c r="E111" s="54">
        <v>5</v>
      </c>
      <c r="G111" s="54" t="str">
        <f t="shared" si="0"/>
        <v>CatálogoMedia5</v>
      </c>
      <c r="H111" s="54">
        <v>30</v>
      </c>
    </row>
    <row r="112" spans="2:8" x14ac:dyDescent="0.3">
      <c r="B112" s="42" t="s">
        <v>91</v>
      </c>
      <c r="C112" s="54"/>
      <c r="D112" s="54" t="s">
        <v>508</v>
      </c>
      <c r="E112" s="54">
        <v>1</v>
      </c>
      <c r="G112" s="54" t="str">
        <f t="shared" si="0"/>
        <v>CatálogoGrand1</v>
      </c>
      <c r="H112" s="54">
        <v>31</v>
      </c>
    </row>
    <row r="113" spans="2:8" x14ac:dyDescent="0.3">
      <c r="B113" s="42" t="s">
        <v>91</v>
      </c>
      <c r="C113" s="54"/>
      <c r="D113" s="54" t="s">
        <v>508</v>
      </c>
      <c r="E113" s="54">
        <v>2</v>
      </c>
      <c r="G113" s="54" t="str">
        <f t="shared" si="0"/>
        <v>CatálogoGrand2</v>
      </c>
      <c r="H113" s="54">
        <v>32</v>
      </c>
    </row>
    <row r="114" spans="2:8" x14ac:dyDescent="0.3">
      <c r="B114" s="42" t="s">
        <v>91</v>
      </c>
      <c r="C114" s="54"/>
      <c r="D114" s="54" t="s">
        <v>508</v>
      </c>
      <c r="E114" s="54">
        <v>3</v>
      </c>
      <c r="G114" s="54" t="str">
        <f t="shared" si="0"/>
        <v>CatálogoGrand3</v>
      </c>
      <c r="H114" s="54">
        <v>33</v>
      </c>
    </row>
    <row r="115" spans="2:8" x14ac:dyDescent="0.3">
      <c r="B115" s="42" t="s">
        <v>91</v>
      </c>
      <c r="C115" s="54"/>
      <c r="D115" s="54" t="s">
        <v>508</v>
      </c>
      <c r="E115" s="54">
        <v>4</v>
      </c>
      <c r="G115" s="54" t="str">
        <f t="shared" si="0"/>
        <v>CatálogoGrand4</v>
      </c>
      <c r="H115" s="54">
        <v>34</v>
      </c>
    </row>
    <row r="116" spans="2:8" x14ac:dyDescent="0.3">
      <c r="B116" s="42" t="s">
        <v>91</v>
      </c>
      <c r="C116" s="54"/>
      <c r="D116" s="54" t="s">
        <v>508</v>
      </c>
      <c r="E116" s="54">
        <v>5</v>
      </c>
      <c r="G116" s="54" t="str">
        <f t="shared" si="0"/>
        <v>CatálogoGrand5</v>
      </c>
      <c r="H116" s="54">
        <v>35</v>
      </c>
    </row>
    <row r="117" spans="2:8" x14ac:dyDescent="0.3">
      <c r="B117" s="42" t="s">
        <v>91</v>
      </c>
      <c r="C117" s="54"/>
      <c r="D117" s="54" t="s">
        <v>509</v>
      </c>
      <c r="E117" s="54">
        <v>1</v>
      </c>
      <c r="G117" s="54" t="str">
        <f t="shared" si="0"/>
        <v>CatálogoM. gr1</v>
      </c>
      <c r="H117" s="54">
        <v>36</v>
      </c>
    </row>
    <row r="118" spans="2:8" x14ac:dyDescent="0.3">
      <c r="B118" s="42" t="s">
        <v>91</v>
      </c>
      <c r="C118" s="54"/>
      <c r="D118" s="54" t="s">
        <v>509</v>
      </c>
      <c r="E118" s="54">
        <v>2</v>
      </c>
      <c r="G118" s="54" t="str">
        <f t="shared" si="0"/>
        <v>CatálogoM. gr2</v>
      </c>
      <c r="H118" s="54">
        <v>37</v>
      </c>
    </row>
    <row r="119" spans="2:8" x14ac:dyDescent="0.3">
      <c r="B119" s="42" t="s">
        <v>91</v>
      </c>
      <c r="C119" s="54"/>
      <c r="D119" s="54" t="s">
        <v>509</v>
      </c>
      <c r="E119" s="54">
        <v>3</v>
      </c>
      <c r="G119" s="54" t="str">
        <f t="shared" si="0"/>
        <v>CatálogoM. gr3</v>
      </c>
      <c r="H119" s="54">
        <v>38</v>
      </c>
    </row>
    <row r="120" spans="2:8" x14ac:dyDescent="0.3">
      <c r="B120" s="42" t="s">
        <v>91</v>
      </c>
      <c r="C120" s="54"/>
      <c r="D120" s="54" t="s">
        <v>509</v>
      </c>
      <c r="E120" s="54">
        <v>4</v>
      </c>
      <c r="G120" s="54" t="str">
        <f t="shared" si="0"/>
        <v>CatálogoM. gr4</v>
      </c>
      <c r="H120" s="54">
        <v>39</v>
      </c>
    </row>
    <row r="121" spans="2:8" x14ac:dyDescent="0.3">
      <c r="B121" s="42" t="s">
        <v>91</v>
      </c>
      <c r="C121" s="54"/>
      <c r="D121" s="54" t="s">
        <v>509</v>
      </c>
      <c r="E121" s="54">
        <v>5</v>
      </c>
      <c r="G121" s="54" t="str">
        <f t="shared" si="0"/>
        <v>CatálogoM. gr5</v>
      </c>
      <c r="H121" s="54">
        <v>40</v>
      </c>
    </row>
    <row r="122" spans="2:8" x14ac:dyDescent="0.3">
      <c r="B122" s="42" t="s">
        <v>93</v>
      </c>
      <c r="D122" s="54" t="s">
        <v>507</v>
      </c>
      <c r="E122" s="54">
        <v>1</v>
      </c>
      <c r="G122" s="54" t="str">
        <f t="shared" si="0"/>
        <v>CapturaChica1</v>
      </c>
      <c r="H122" s="54">
        <v>41</v>
      </c>
    </row>
    <row r="123" spans="2:8" x14ac:dyDescent="0.3">
      <c r="B123" s="42" t="s">
        <v>93</v>
      </c>
      <c r="D123" s="54" t="s">
        <v>507</v>
      </c>
      <c r="E123" s="54">
        <v>2</v>
      </c>
      <c r="G123" s="54" t="str">
        <f t="shared" si="0"/>
        <v>CapturaChica2</v>
      </c>
      <c r="H123" s="54">
        <v>42</v>
      </c>
    </row>
    <row r="124" spans="2:8" x14ac:dyDescent="0.3">
      <c r="B124" s="42" t="s">
        <v>93</v>
      </c>
      <c r="D124" s="54" t="s">
        <v>507</v>
      </c>
      <c r="E124" s="54">
        <v>3</v>
      </c>
      <c r="G124" s="54" t="str">
        <f t="shared" si="0"/>
        <v>CapturaChica3</v>
      </c>
      <c r="H124" s="54">
        <v>43</v>
      </c>
    </row>
    <row r="125" spans="2:8" x14ac:dyDescent="0.3">
      <c r="B125" s="42" t="s">
        <v>93</v>
      </c>
      <c r="D125" s="54" t="s">
        <v>507</v>
      </c>
      <c r="E125" s="54">
        <v>4</v>
      </c>
      <c r="G125" s="54" t="str">
        <f t="shared" si="0"/>
        <v>CapturaChica4</v>
      </c>
      <c r="H125" s="54">
        <v>44</v>
      </c>
    </row>
    <row r="126" spans="2:8" x14ac:dyDescent="0.3">
      <c r="B126" s="42" t="s">
        <v>93</v>
      </c>
      <c r="D126" s="54" t="s">
        <v>507</v>
      </c>
      <c r="E126" s="54">
        <v>5</v>
      </c>
      <c r="G126" s="54" t="str">
        <f t="shared" si="0"/>
        <v>CapturaChica5</v>
      </c>
      <c r="H126" s="54">
        <v>45</v>
      </c>
    </row>
    <row r="127" spans="2:8" x14ac:dyDescent="0.3">
      <c r="B127" s="42" t="s">
        <v>93</v>
      </c>
      <c r="D127" s="54" t="s">
        <v>141</v>
      </c>
      <c r="E127" s="54">
        <v>1</v>
      </c>
      <c r="G127" s="54" t="str">
        <f t="shared" si="0"/>
        <v>CapturaMedia1</v>
      </c>
      <c r="H127" s="54">
        <v>46</v>
      </c>
    </row>
    <row r="128" spans="2:8" x14ac:dyDescent="0.3">
      <c r="B128" s="42" t="s">
        <v>93</v>
      </c>
      <c r="D128" s="54" t="s">
        <v>141</v>
      </c>
      <c r="E128" s="54">
        <v>2</v>
      </c>
      <c r="G128" s="54" t="str">
        <f t="shared" si="0"/>
        <v>CapturaMedia2</v>
      </c>
      <c r="H128" s="54">
        <v>47</v>
      </c>
    </row>
    <row r="129" spans="2:8" x14ac:dyDescent="0.3">
      <c r="B129" s="42" t="s">
        <v>93</v>
      </c>
      <c r="D129" s="54" t="s">
        <v>141</v>
      </c>
      <c r="E129" s="54">
        <v>3</v>
      </c>
      <c r="G129" s="54" t="str">
        <f t="shared" si="0"/>
        <v>CapturaMedia3</v>
      </c>
      <c r="H129" s="54">
        <v>48</v>
      </c>
    </row>
    <row r="130" spans="2:8" x14ac:dyDescent="0.3">
      <c r="B130" s="42" t="s">
        <v>93</v>
      </c>
      <c r="D130" s="54" t="s">
        <v>141</v>
      </c>
      <c r="E130" s="54">
        <v>4</v>
      </c>
      <c r="G130" s="54" t="str">
        <f t="shared" si="0"/>
        <v>CapturaMedia4</v>
      </c>
      <c r="H130" s="54">
        <v>49</v>
      </c>
    </row>
    <row r="131" spans="2:8" x14ac:dyDescent="0.3">
      <c r="B131" s="42" t="s">
        <v>93</v>
      </c>
      <c r="D131" s="54" t="s">
        <v>141</v>
      </c>
      <c r="E131" s="54">
        <v>5</v>
      </c>
      <c r="G131" s="54" t="str">
        <f t="shared" si="0"/>
        <v>CapturaMedia5</v>
      </c>
      <c r="H131" s="54">
        <v>50</v>
      </c>
    </row>
    <row r="132" spans="2:8" x14ac:dyDescent="0.3">
      <c r="B132" s="42" t="s">
        <v>93</v>
      </c>
      <c r="D132" s="54" t="s">
        <v>508</v>
      </c>
      <c r="E132" s="54">
        <v>1</v>
      </c>
      <c r="G132" s="54" t="str">
        <f t="shared" si="0"/>
        <v>CapturaGrand1</v>
      </c>
      <c r="H132" s="54">
        <v>51</v>
      </c>
    </row>
    <row r="133" spans="2:8" x14ac:dyDescent="0.3">
      <c r="B133" s="42" t="s">
        <v>93</v>
      </c>
      <c r="D133" s="54" t="s">
        <v>508</v>
      </c>
      <c r="E133" s="54">
        <v>2</v>
      </c>
      <c r="G133" s="54" t="str">
        <f t="shared" si="0"/>
        <v>CapturaGrand2</v>
      </c>
      <c r="H133" s="54">
        <v>52</v>
      </c>
    </row>
    <row r="134" spans="2:8" x14ac:dyDescent="0.3">
      <c r="B134" s="42" t="s">
        <v>93</v>
      </c>
      <c r="D134" s="54" t="s">
        <v>508</v>
      </c>
      <c r="E134" s="54">
        <v>3</v>
      </c>
      <c r="G134" s="54" t="str">
        <f t="shared" si="0"/>
        <v>CapturaGrand3</v>
      </c>
      <c r="H134" s="54">
        <v>53</v>
      </c>
    </row>
    <row r="135" spans="2:8" x14ac:dyDescent="0.3">
      <c r="B135" s="42" t="s">
        <v>93</v>
      </c>
      <c r="D135" s="54" t="s">
        <v>508</v>
      </c>
      <c r="E135" s="54">
        <v>4</v>
      </c>
      <c r="G135" s="54" t="str">
        <f t="shared" si="0"/>
        <v>CapturaGrand4</v>
      </c>
      <c r="H135" s="54">
        <v>54</v>
      </c>
    </row>
    <row r="136" spans="2:8" x14ac:dyDescent="0.3">
      <c r="B136" s="42" t="s">
        <v>93</v>
      </c>
      <c r="D136" s="54" t="s">
        <v>508</v>
      </c>
      <c r="E136" s="54">
        <v>5</v>
      </c>
      <c r="G136" s="54" t="str">
        <f t="shared" si="0"/>
        <v>CapturaGrand5</v>
      </c>
      <c r="H136" s="54">
        <v>55</v>
      </c>
    </row>
    <row r="137" spans="2:8" x14ac:dyDescent="0.3">
      <c r="B137" s="42" t="s">
        <v>93</v>
      </c>
      <c r="D137" s="54" t="s">
        <v>509</v>
      </c>
      <c r="E137" s="54">
        <v>1</v>
      </c>
      <c r="G137" s="54" t="str">
        <f t="shared" si="0"/>
        <v>CapturaM. gr1</v>
      </c>
      <c r="H137" s="54">
        <v>56</v>
      </c>
    </row>
    <row r="138" spans="2:8" x14ac:dyDescent="0.3">
      <c r="B138" s="42" t="s">
        <v>93</v>
      </c>
      <c r="D138" s="54" t="s">
        <v>509</v>
      </c>
      <c r="E138" s="54">
        <v>2</v>
      </c>
      <c r="G138" s="54" t="str">
        <f t="shared" si="0"/>
        <v>CapturaM. gr2</v>
      </c>
      <c r="H138" s="54">
        <v>57</v>
      </c>
    </row>
    <row r="139" spans="2:8" x14ac:dyDescent="0.3">
      <c r="B139" s="42" t="s">
        <v>93</v>
      </c>
      <c r="D139" s="54" t="s">
        <v>509</v>
      </c>
      <c r="E139" s="54">
        <v>3</v>
      </c>
      <c r="G139" s="54" t="str">
        <f t="shared" si="0"/>
        <v>CapturaM. gr3</v>
      </c>
      <c r="H139" s="54">
        <v>58</v>
      </c>
    </row>
    <row r="140" spans="2:8" x14ac:dyDescent="0.3">
      <c r="B140" s="42" t="s">
        <v>93</v>
      </c>
      <c r="D140" s="54" t="s">
        <v>509</v>
      </c>
      <c r="E140" s="54">
        <v>4</v>
      </c>
      <c r="G140" s="54" t="str">
        <f t="shared" si="0"/>
        <v>CapturaM. gr4</v>
      </c>
      <c r="H140" s="54">
        <v>59</v>
      </c>
    </row>
    <row r="141" spans="2:8" x14ac:dyDescent="0.3">
      <c r="B141" s="42" t="s">
        <v>93</v>
      </c>
      <c r="D141" s="54" t="s">
        <v>509</v>
      </c>
      <c r="E141" s="54">
        <v>5</v>
      </c>
      <c r="G141" s="54" t="str">
        <f t="shared" si="0"/>
        <v>CapturaM. gr5</v>
      </c>
      <c r="H141" s="54">
        <v>60</v>
      </c>
    </row>
    <row r="142" spans="2:8" x14ac:dyDescent="0.3">
      <c r="B142" s="42" t="s">
        <v>95</v>
      </c>
      <c r="D142" s="54" t="s">
        <v>507</v>
      </c>
      <c r="E142" s="54">
        <v>1</v>
      </c>
      <c r="G142" s="54" t="str">
        <f t="shared" si="0"/>
        <v>ConfiguraciónChica1</v>
      </c>
      <c r="H142" s="54">
        <v>61</v>
      </c>
    </row>
    <row r="143" spans="2:8" x14ac:dyDescent="0.3">
      <c r="B143" s="42" t="s">
        <v>95</v>
      </c>
      <c r="D143" s="54" t="s">
        <v>507</v>
      </c>
      <c r="E143" s="54">
        <v>2</v>
      </c>
      <c r="G143" s="54" t="str">
        <f t="shared" si="0"/>
        <v>ConfiguraciónChica2</v>
      </c>
      <c r="H143" s="54">
        <v>62</v>
      </c>
    </row>
    <row r="144" spans="2:8" x14ac:dyDescent="0.3">
      <c r="B144" s="42" t="s">
        <v>95</v>
      </c>
      <c r="D144" s="54" t="s">
        <v>507</v>
      </c>
      <c r="E144" s="54">
        <v>3</v>
      </c>
      <c r="G144" s="54" t="str">
        <f t="shared" si="0"/>
        <v>ConfiguraciónChica3</v>
      </c>
      <c r="H144" s="54">
        <v>63</v>
      </c>
    </row>
    <row r="145" spans="2:8" x14ac:dyDescent="0.3">
      <c r="B145" s="42" t="s">
        <v>95</v>
      </c>
      <c r="D145" s="54" t="s">
        <v>507</v>
      </c>
      <c r="E145" s="54">
        <v>4</v>
      </c>
      <c r="G145" s="54" t="str">
        <f t="shared" si="0"/>
        <v>ConfiguraciónChica4</v>
      </c>
      <c r="H145" s="54">
        <v>64</v>
      </c>
    </row>
    <row r="146" spans="2:8" x14ac:dyDescent="0.3">
      <c r="B146" s="42" t="s">
        <v>95</v>
      </c>
      <c r="D146" s="54" t="s">
        <v>507</v>
      </c>
      <c r="E146" s="54">
        <v>5</v>
      </c>
      <c r="G146" s="54" t="str">
        <f t="shared" ref="G146:G209" si="1">CONCATENATE(B146,D146,E146)</f>
        <v>ConfiguraciónChica5</v>
      </c>
      <c r="H146" s="54">
        <v>65</v>
      </c>
    </row>
    <row r="147" spans="2:8" x14ac:dyDescent="0.3">
      <c r="B147" s="42" t="s">
        <v>95</v>
      </c>
      <c r="D147" s="54" t="s">
        <v>141</v>
      </c>
      <c r="E147" s="54">
        <v>1</v>
      </c>
      <c r="G147" s="54" t="str">
        <f t="shared" si="1"/>
        <v>ConfiguraciónMedia1</v>
      </c>
      <c r="H147" s="54">
        <v>66</v>
      </c>
    </row>
    <row r="148" spans="2:8" x14ac:dyDescent="0.3">
      <c r="B148" s="42" t="s">
        <v>95</v>
      </c>
      <c r="D148" s="54" t="s">
        <v>141</v>
      </c>
      <c r="E148" s="54">
        <v>2</v>
      </c>
      <c r="G148" s="54" t="str">
        <f t="shared" si="1"/>
        <v>ConfiguraciónMedia2</v>
      </c>
      <c r="H148" s="54">
        <v>67</v>
      </c>
    </row>
    <row r="149" spans="2:8" x14ac:dyDescent="0.3">
      <c r="B149" s="42" t="s">
        <v>95</v>
      </c>
      <c r="D149" s="54" t="s">
        <v>141</v>
      </c>
      <c r="E149" s="54">
        <v>3</v>
      </c>
      <c r="G149" s="54" t="str">
        <f t="shared" si="1"/>
        <v>ConfiguraciónMedia3</v>
      </c>
      <c r="H149" s="54">
        <v>68</v>
      </c>
    </row>
    <row r="150" spans="2:8" x14ac:dyDescent="0.3">
      <c r="B150" s="42" t="s">
        <v>95</v>
      </c>
      <c r="D150" s="54" t="s">
        <v>141</v>
      </c>
      <c r="E150" s="54">
        <v>4</v>
      </c>
      <c r="G150" s="54" t="str">
        <f t="shared" si="1"/>
        <v>ConfiguraciónMedia4</v>
      </c>
      <c r="H150" s="54">
        <v>69</v>
      </c>
    </row>
    <row r="151" spans="2:8" x14ac:dyDescent="0.3">
      <c r="B151" s="42" t="s">
        <v>95</v>
      </c>
      <c r="D151" s="54" t="s">
        <v>141</v>
      </c>
      <c r="E151" s="54">
        <v>5</v>
      </c>
      <c r="G151" s="54" t="str">
        <f t="shared" si="1"/>
        <v>ConfiguraciónMedia5</v>
      </c>
      <c r="H151" s="54">
        <v>70</v>
      </c>
    </row>
    <row r="152" spans="2:8" x14ac:dyDescent="0.3">
      <c r="B152" s="42" t="s">
        <v>95</v>
      </c>
      <c r="D152" s="54" t="s">
        <v>508</v>
      </c>
      <c r="E152" s="54">
        <v>1</v>
      </c>
      <c r="G152" s="54" t="str">
        <f t="shared" si="1"/>
        <v>ConfiguraciónGrand1</v>
      </c>
      <c r="H152" s="54">
        <v>71</v>
      </c>
    </row>
    <row r="153" spans="2:8" x14ac:dyDescent="0.3">
      <c r="B153" s="42" t="s">
        <v>95</v>
      </c>
      <c r="D153" s="54" t="s">
        <v>508</v>
      </c>
      <c r="E153" s="54">
        <v>2</v>
      </c>
      <c r="G153" s="54" t="str">
        <f t="shared" si="1"/>
        <v>ConfiguraciónGrand2</v>
      </c>
      <c r="H153" s="54">
        <v>72</v>
      </c>
    </row>
    <row r="154" spans="2:8" x14ac:dyDescent="0.3">
      <c r="B154" s="42" t="s">
        <v>95</v>
      </c>
      <c r="D154" s="54" t="s">
        <v>508</v>
      </c>
      <c r="E154" s="54">
        <v>3</v>
      </c>
      <c r="G154" s="54" t="str">
        <f t="shared" si="1"/>
        <v>ConfiguraciónGrand3</v>
      </c>
      <c r="H154" s="54">
        <v>73</v>
      </c>
    </row>
    <row r="155" spans="2:8" x14ac:dyDescent="0.3">
      <c r="B155" s="42" t="s">
        <v>95</v>
      </c>
      <c r="D155" s="54" t="s">
        <v>508</v>
      </c>
      <c r="E155" s="54">
        <v>4</v>
      </c>
      <c r="G155" s="54" t="str">
        <f t="shared" si="1"/>
        <v>ConfiguraciónGrand4</v>
      </c>
      <c r="H155" s="54">
        <v>74</v>
      </c>
    </row>
    <row r="156" spans="2:8" x14ac:dyDescent="0.3">
      <c r="B156" s="42" t="s">
        <v>95</v>
      </c>
      <c r="D156" s="54" t="s">
        <v>508</v>
      </c>
      <c r="E156" s="54">
        <v>5</v>
      </c>
      <c r="G156" s="54" t="str">
        <f t="shared" si="1"/>
        <v>ConfiguraciónGrand5</v>
      </c>
      <c r="H156" s="54">
        <v>75</v>
      </c>
    </row>
    <row r="157" spans="2:8" x14ac:dyDescent="0.3">
      <c r="B157" s="42" t="s">
        <v>95</v>
      </c>
      <c r="D157" s="54" t="s">
        <v>509</v>
      </c>
      <c r="E157" s="54">
        <v>1</v>
      </c>
      <c r="G157" s="54" t="str">
        <f t="shared" si="1"/>
        <v>ConfiguraciónM. gr1</v>
      </c>
      <c r="H157" s="54">
        <v>76</v>
      </c>
    </row>
    <row r="158" spans="2:8" x14ac:dyDescent="0.3">
      <c r="B158" s="42" t="s">
        <v>95</v>
      </c>
      <c r="D158" s="54" t="s">
        <v>509</v>
      </c>
      <c r="E158" s="54">
        <v>2</v>
      </c>
      <c r="G158" s="54" t="str">
        <f t="shared" si="1"/>
        <v>ConfiguraciónM. gr2</v>
      </c>
      <c r="H158" s="54">
        <v>77</v>
      </c>
    </row>
    <row r="159" spans="2:8" x14ac:dyDescent="0.3">
      <c r="B159" s="42" t="s">
        <v>95</v>
      </c>
      <c r="D159" s="54" t="s">
        <v>509</v>
      </c>
      <c r="E159" s="54">
        <v>3</v>
      </c>
      <c r="G159" s="54" t="str">
        <f t="shared" si="1"/>
        <v>ConfiguraciónM. gr3</v>
      </c>
      <c r="H159" s="54">
        <v>78</v>
      </c>
    </row>
    <row r="160" spans="2:8" x14ac:dyDescent="0.3">
      <c r="B160" s="42" t="s">
        <v>95</v>
      </c>
      <c r="D160" s="54" t="s">
        <v>509</v>
      </c>
      <c r="E160" s="54">
        <v>4</v>
      </c>
      <c r="G160" s="54" t="str">
        <f t="shared" si="1"/>
        <v>ConfiguraciónM. gr4</v>
      </c>
      <c r="H160" s="54">
        <v>79</v>
      </c>
    </row>
    <row r="161" spans="2:8" x14ac:dyDescent="0.3">
      <c r="B161" s="42" t="s">
        <v>95</v>
      </c>
      <c r="D161" s="54" t="s">
        <v>509</v>
      </c>
      <c r="E161" s="54">
        <v>5</v>
      </c>
      <c r="G161" s="54" t="str">
        <f t="shared" si="1"/>
        <v>ConfiguraciónM. gr5</v>
      </c>
      <c r="H161" s="54">
        <v>80</v>
      </c>
    </row>
    <row r="162" spans="2:8" x14ac:dyDescent="0.3">
      <c r="B162" s="42" t="s">
        <v>97</v>
      </c>
      <c r="D162" s="54" t="s">
        <v>507</v>
      </c>
      <c r="E162" s="54">
        <v>1</v>
      </c>
      <c r="G162" s="54" t="str">
        <f t="shared" si="1"/>
        <v>FiltroChica1</v>
      </c>
      <c r="H162" s="54">
        <v>81</v>
      </c>
    </row>
    <row r="163" spans="2:8" x14ac:dyDescent="0.3">
      <c r="B163" s="42" t="s">
        <v>97</v>
      </c>
      <c r="D163" s="54" t="s">
        <v>507</v>
      </c>
      <c r="E163" s="54">
        <v>2</v>
      </c>
      <c r="G163" s="54" t="str">
        <f t="shared" si="1"/>
        <v>FiltroChica2</v>
      </c>
      <c r="H163" s="54">
        <v>82</v>
      </c>
    </row>
    <row r="164" spans="2:8" x14ac:dyDescent="0.3">
      <c r="B164" s="42" t="s">
        <v>97</v>
      </c>
      <c r="D164" s="54" t="s">
        <v>507</v>
      </c>
      <c r="E164" s="54">
        <v>3</v>
      </c>
      <c r="G164" s="54" t="str">
        <f t="shared" si="1"/>
        <v>FiltroChica3</v>
      </c>
      <c r="H164" s="54">
        <v>83</v>
      </c>
    </row>
    <row r="165" spans="2:8" x14ac:dyDescent="0.3">
      <c r="B165" s="42" t="s">
        <v>97</v>
      </c>
      <c r="D165" s="54" t="s">
        <v>507</v>
      </c>
      <c r="E165" s="54">
        <v>4</v>
      </c>
      <c r="G165" s="54" t="str">
        <f t="shared" si="1"/>
        <v>FiltroChica4</v>
      </c>
      <c r="H165" s="54">
        <v>84</v>
      </c>
    </row>
    <row r="166" spans="2:8" x14ac:dyDescent="0.3">
      <c r="B166" s="42" t="s">
        <v>97</v>
      </c>
      <c r="D166" s="54" t="s">
        <v>507</v>
      </c>
      <c r="E166" s="54">
        <v>5</v>
      </c>
      <c r="G166" s="54" t="str">
        <f t="shared" si="1"/>
        <v>FiltroChica5</v>
      </c>
      <c r="H166" s="54">
        <v>85</v>
      </c>
    </row>
    <row r="167" spans="2:8" x14ac:dyDescent="0.3">
      <c r="B167" s="42" t="s">
        <v>97</v>
      </c>
      <c r="D167" s="54" t="s">
        <v>141</v>
      </c>
      <c r="E167" s="54">
        <v>1</v>
      </c>
      <c r="G167" s="54" t="str">
        <f t="shared" si="1"/>
        <v>FiltroMedia1</v>
      </c>
      <c r="H167" s="54">
        <v>86</v>
      </c>
    </row>
    <row r="168" spans="2:8" x14ac:dyDescent="0.3">
      <c r="B168" s="42" t="s">
        <v>97</v>
      </c>
      <c r="D168" s="54" t="s">
        <v>141</v>
      </c>
      <c r="E168" s="54">
        <v>2</v>
      </c>
      <c r="G168" s="54" t="str">
        <f t="shared" si="1"/>
        <v>FiltroMedia2</v>
      </c>
      <c r="H168" s="54">
        <v>87</v>
      </c>
    </row>
    <row r="169" spans="2:8" x14ac:dyDescent="0.3">
      <c r="B169" s="42" t="s">
        <v>97</v>
      </c>
      <c r="D169" s="54" t="s">
        <v>141</v>
      </c>
      <c r="E169" s="54">
        <v>3</v>
      </c>
      <c r="G169" s="54" t="str">
        <f t="shared" si="1"/>
        <v>FiltroMedia3</v>
      </c>
      <c r="H169" s="54">
        <v>88</v>
      </c>
    </row>
    <row r="170" spans="2:8" x14ac:dyDescent="0.3">
      <c r="B170" s="42" t="s">
        <v>97</v>
      </c>
      <c r="D170" s="54" t="s">
        <v>141</v>
      </c>
      <c r="E170" s="54">
        <v>4</v>
      </c>
      <c r="G170" s="54" t="str">
        <f t="shared" si="1"/>
        <v>FiltroMedia4</v>
      </c>
      <c r="H170" s="54">
        <v>89</v>
      </c>
    </row>
    <row r="171" spans="2:8" x14ac:dyDescent="0.3">
      <c r="B171" s="42" t="s">
        <v>97</v>
      </c>
      <c r="D171" s="54" t="s">
        <v>141</v>
      </c>
      <c r="E171" s="54">
        <v>5</v>
      </c>
      <c r="G171" s="54" t="str">
        <f t="shared" si="1"/>
        <v>FiltroMedia5</v>
      </c>
      <c r="H171" s="54">
        <v>90</v>
      </c>
    </row>
    <row r="172" spans="2:8" x14ac:dyDescent="0.3">
      <c r="B172" s="42" t="s">
        <v>97</v>
      </c>
      <c r="D172" s="54" t="s">
        <v>508</v>
      </c>
      <c r="E172" s="54">
        <v>1</v>
      </c>
      <c r="G172" s="54" t="str">
        <f t="shared" si="1"/>
        <v>FiltroGrand1</v>
      </c>
      <c r="H172" s="54">
        <v>91</v>
      </c>
    </row>
    <row r="173" spans="2:8" x14ac:dyDescent="0.3">
      <c r="B173" s="42" t="s">
        <v>97</v>
      </c>
      <c r="D173" s="54" t="s">
        <v>508</v>
      </c>
      <c r="E173" s="54">
        <v>2</v>
      </c>
      <c r="G173" s="54" t="str">
        <f t="shared" si="1"/>
        <v>FiltroGrand2</v>
      </c>
      <c r="H173" s="54">
        <v>92</v>
      </c>
    </row>
    <row r="174" spans="2:8" x14ac:dyDescent="0.3">
      <c r="B174" s="42" t="s">
        <v>97</v>
      </c>
      <c r="D174" s="54" t="s">
        <v>508</v>
      </c>
      <c r="E174" s="54">
        <v>3</v>
      </c>
      <c r="G174" s="54" t="str">
        <f t="shared" si="1"/>
        <v>FiltroGrand3</v>
      </c>
      <c r="H174" s="54">
        <v>93</v>
      </c>
    </row>
    <row r="175" spans="2:8" x14ac:dyDescent="0.3">
      <c r="B175" s="42" t="s">
        <v>97</v>
      </c>
      <c r="D175" s="54" t="s">
        <v>508</v>
      </c>
      <c r="E175" s="54">
        <v>4</v>
      </c>
      <c r="G175" s="54" t="str">
        <f t="shared" si="1"/>
        <v>FiltroGrand4</v>
      </c>
      <c r="H175" s="54">
        <v>94</v>
      </c>
    </row>
    <row r="176" spans="2:8" x14ac:dyDescent="0.3">
      <c r="B176" s="42" t="s">
        <v>97</v>
      </c>
      <c r="D176" s="54" t="s">
        <v>508</v>
      </c>
      <c r="E176" s="54">
        <v>5</v>
      </c>
      <c r="G176" s="54" t="str">
        <f t="shared" si="1"/>
        <v>FiltroGrand5</v>
      </c>
      <c r="H176" s="54">
        <v>95</v>
      </c>
    </row>
    <row r="177" spans="2:8" x14ac:dyDescent="0.3">
      <c r="B177" s="42" t="s">
        <v>97</v>
      </c>
      <c r="D177" s="54" t="s">
        <v>509</v>
      </c>
      <c r="E177" s="54">
        <v>1</v>
      </c>
      <c r="G177" s="54" t="str">
        <f t="shared" si="1"/>
        <v>FiltroM. gr1</v>
      </c>
      <c r="H177" s="54">
        <v>96</v>
      </c>
    </row>
    <row r="178" spans="2:8" x14ac:dyDescent="0.3">
      <c r="B178" s="42" t="s">
        <v>97</v>
      </c>
      <c r="D178" s="54" t="s">
        <v>509</v>
      </c>
      <c r="E178" s="54">
        <v>2</v>
      </c>
      <c r="G178" s="54" t="str">
        <f t="shared" si="1"/>
        <v>FiltroM. gr2</v>
      </c>
      <c r="H178" s="54">
        <v>97</v>
      </c>
    </row>
    <row r="179" spans="2:8" x14ac:dyDescent="0.3">
      <c r="B179" s="42" t="s">
        <v>97</v>
      </c>
      <c r="D179" s="54" t="s">
        <v>509</v>
      </c>
      <c r="E179" s="54">
        <v>3</v>
      </c>
      <c r="G179" s="54" t="str">
        <f t="shared" si="1"/>
        <v>FiltroM. gr3</v>
      </c>
      <c r="H179" s="54">
        <v>98</v>
      </c>
    </row>
    <row r="180" spans="2:8" x14ac:dyDescent="0.3">
      <c r="B180" s="42" t="s">
        <v>97</v>
      </c>
      <c r="D180" s="54" t="s">
        <v>509</v>
      </c>
      <c r="E180" s="54">
        <v>4</v>
      </c>
      <c r="G180" s="54" t="str">
        <f t="shared" si="1"/>
        <v>FiltroM. gr4</v>
      </c>
      <c r="H180" s="54">
        <v>99</v>
      </c>
    </row>
    <row r="181" spans="2:8" x14ac:dyDescent="0.3">
      <c r="B181" s="42" t="s">
        <v>97</v>
      </c>
      <c r="D181" s="54" t="s">
        <v>509</v>
      </c>
      <c r="E181" s="54">
        <v>5</v>
      </c>
      <c r="G181" s="54" t="str">
        <f t="shared" si="1"/>
        <v>FiltroM. gr5</v>
      </c>
      <c r="H181" s="54">
        <v>100</v>
      </c>
    </row>
    <row r="182" spans="2:8" x14ac:dyDescent="0.3">
      <c r="B182" s="42" t="s">
        <v>155</v>
      </c>
      <c r="D182" s="54" t="s">
        <v>507</v>
      </c>
      <c r="E182" s="54">
        <v>1</v>
      </c>
      <c r="G182" s="54" t="str">
        <f t="shared" si="1"/>
        <v>InformativaChica1</v>
      </c>
      <c r="H182" s="54">
        <v>101</v>
      </c>
    </row>
    <row r="183" spans="2:8" x14ac:dyDescent="0.3">
      <c r="B183" s="42" t="s">
        <v>155</v>
      </c>
      <c r="D183" s="54" t="s">
        <v>507</v>
      </c>
      <c r="E183" s="54">
        <v>2</v>
      </c>
      <c r="G183" s="54" t="str">
        <f t="shared" si="1"/>
        <v>InformativaChica2</v>
      </c>
      <c r="H183" s="54">
        <v>102</v>
      </c>
    </row>
    <row r="184" spans="2:8" x14ac:dyDescent="0.3">
      <c r="B184" s="42" t="s">
        <v>155</v>
      </c>
      <c r="D184" s="54" t="s">
        <v>507</v>
      </c>
      <c r="E184" s="54">
        <v>3</v>
      </c>
      <c r="G184" s="54" t="str">
        <f t="shared" si="1"/>
        <v>InformativaChica3</v>
      </c>
      <c r="H184" s="54">
        <v>103</v>
      </c>
    </row>
    <row r="185" spans="2:8" x14ac:dyDescent="0.3">
      <c r="B185" s="42" t="s">
        <v>155</v>
      </c>
      <c r="D185" s="54" t="s">
        <v>507</v>
      </c>
      <c r="E185" s="54">
        <v>4</v>
      </c>
      <c r="G185" s="54" t="str">
        <f t="shared" si="1"/>
        <v>InformativaChica4</v>
      </c>
      <c r="H185" s="54">
        <v>104</v>
      </c>
    </row>
    <row r="186" spans="2:8" x14ac:dyDescent="0.3">
      <c r="B186" s="42" t="s">
        <v>155</v>
      </c>
      <c r="D186" s="54" t="s">
        <v>507</v>
      </c>
      <c r="E186" s="54">
        <v>5</v>
      </c>
      <c r="G186" s="54" t="str">
        <f t="shared" si="1"/>
        <v>InformativaChica5</v>
      </c>
      <c r="H186" s="54">
        <v>105</v>
      </c>
    </row>
    <row r="187" spans="2:8" x14ac:dyDescent="0.3">
      <c r="B187" s="42" t="s">
        <v>155</v>
      </c>
      <c r="D187" s="54" t="s">
        <v>141</v>
      </c>
      <c r="E187" s="54">
        <v>1</v>
      </c>
      <c r="G187" s="54" t="str">
        <f t="shared" si="1"/>
        <v>InformativaMedia1</v>
      </c>
      <c r="H187" s="54">
        <v>106</v>
      </c>
    </row>
    <row r="188" spans="2:8" x14ac:dyDescent="0.3">
      <c r="B188" s="42" t="s">
        <v>155</v>
      </c>
      <c r="D188" s="54" t="s">
        <v>141</v>
      </c>
      <c r="E188" s="54">
        <v>2</v>
      </c>
      <c r="G188" s="54" t="str">
        <f t="shared" si="1"/>
        <v>InformativaMedia2</v>
      </c>
      <c r="H188" s="54">
        <v>107</v>
      </c>
    </row>
    <row r="189" spans="2:8" x14ac:dyDescent="0.3">
      <c r="B189" s="42" t="s">
        <v>155</v>
      </c>
      <c r="D189" s="54" t="s">
        <v>141</v>
      </c>
      <c r="E189" s="54">
        <v>3</v>
      </c>
      <c r="G189" s="54" t="str">
        <f t="shared" si="1"/>
        <v>InformativaMedia3</v>
      </c>
      <c r="H189" s="54">
        <v>108</v>
      </c>
    </row>
    <row r="190" spans="2:8" x14ac:dyDescent="0.3">
      <c r="B190" s="42" t="s">
        <v>155</v>
      </c>
      <c r="D190" s="54" t="s">
        <v>141</v>
      </c>
      <c r="E190" s="54">
        <v>4</v>
      </c>
      <c r="G190" s="54" t="str">
        <f t="shared" si="1"/>
        <v>InformativaMedia4</v>
      </c>
      <c r="H190" s="54">
        <v>109</v>
      </c>
    </row>
    <row r="191" spans="2:8" x14ac:dyDescent="0.3">
      <c r="B191" s="42" t="s">
        <v>155</v>
      </c>
      <c r="D191" s="54" t="s">
        <v>141</v>
      </c>
      <c r="E191" s="54">
        <v>5</v>
      </c>
      <c r="G191" s="54" t="str">
        <f t="shared" si="1"/>
        <v>InformativaMedia5</v>
      </c>
      <c r="H191" s="54">
        <v>110</v>
      </c>
    </row>
    <row r="192" spans="2:8" x14ac:dyDescent="0.3">
      <c r="B192" s="42" t="s">
        <v>155</v>
      </c>
      <c r="D192" s="54" t="s">
        <v>508</v>
      </c>
      <c r="E192" s="54">
        <v>1</v>
      </c>
      <c r="G192" s="54" t="str">
        <f t="shared" si="1"/>
        <v>InformativaGrand1</v>
      </c>
      <c r="H192" s="54">
        <v>111</v>
      </c>
    </row>
    <row r="193" spans="2:8" x14ac:dyDescent="0.3">
      <c r="B193" s="42" t="s">
        <v>155</v>
      </c>
      <c r="D193" s="54" t="s">
        <v>508</v>
      </c>
      <c r="E193" s="54">
        <v>2</v>
      </c>
      <c r="G193" s="54" t="str">
        <f t="shared" si="1"/>
        <v>InformativaGrand2</v>
      </c>
      <c r="H193" s="54">
        <v>112</v>
      </c>
    </row>
    <row r="194" spans="2:8" x14ac:dyDescent="0.3">
      <c r="B194" s="42" t="s">
        <v>155</v>
      </c>
      <c r="D194" s="54" t="s">
        <v>508</v>
      </c>
      <c r="E194" s="54">
        <v>3</v>
      </c>
      <c r="G194" s="54" t="str">
        <f t="shared" si="1"/>
        <v>InformativaGrand3</v>
      </c>
      <c r="H194" s="54">
        <v>113</v>
      </c>
    </row>
    <row r="195" spans="2:8" x14ac:dyDescent="0.3">
      <c r="B195" s="42" t="s">
        <v>155</v>
      </c>
      <c r="D195" s="54" t="s">
        <v>508</v>
      </c>
      <c r="E195" s="54">
        <v>4</v>
      </c>
      <c r="G195" s="54" t="str">
        <f t="shared" si="1"/>
        <v>InformativaGrand4</v>
      </c>
      <c r="H195" s="54">
        <v>114</v>
      </c>
    </row>
    <row r="196" spans="2:8" x14ac:dyDescent="0.3">
      <c r="B196" s="42" t="s">
        <v>155</v>
      </c>
      <c r="D196" s="54" t="s">
        <v>508</v>
      </c>
      <c r="E196" s="54">
        <v>5</v>
      </c>
      <c r="G196" s="54" t="str">
        <f t="shared" si="1"/>
        <v>InformativaGrand5</v>
      </c>
      <c r="H196" s="54">
        <v>115</v>
      </c>
    </row>
    <row r="197" spans="2:8" x14ac:dyDescent="0.3">
      <c r="B197" s="42" t="s">
        <v>155</v>
      </c>
      <c r="D197" s="54" t="s">
        <v>509</v>
      </c>
      <c r="E197" s="54">
        <v>1</v>
      </c>
      <c r="G197" s="54" t="str">
        <f t="shared" si="1"/>
        <v>InformativaM. gr1</v>
      </c>
      <c r="H197" s="54">
        <v>116</v>
      </c>
    </row>
    <row r="198" spans="2:8" x14ac:dyDescent="0.3">
      <c r="B198" s="42" t="s">
        <v>155</v>
      </c>
      <c r="D198" s="54" t="s">
        <v>509</v>
      </c>
      <c r="E198" s="54">
        <v>2</v>
      </c>
      <c r="G198" s="54" t="str">
        <f t="shared" si="1"/>
        <v>InformativaM. gr2</v>
      </c>
      <c r="H198" s="54">
        <v>117</v>
      </c>
    </row>
    <row r="199" spans="2:8" x14ac:dyDescent="0.3">
      <c r="B199" s="42" t="s">
        <v>155</v>
      </c>
      <c r="D199" s="54" t="s">
        <v>509</v>
      </c>
      <c r="E199" s="54">
        <v>3</v>
      </c>
      <c r="G199" s="54" t="str">
        <f t="shared" si="1"/>
        <v>InformativaM. gr3</v>
      </c>
      <c r="H199" s="54">
        <v>118</v>
      </c>
    </row>
    <row r="200" spans="2:8" x14ac:dyDescent="0.3">
      <c r="B200" s="42" t="s">
        <v>155</v>
      </c>
      <c r="D200" s="54" t="s">
        <v>509</v>
      </c>
      <c r="E200" s="54">
        <v>4</v>
      </c>
      <c r="G200" s="54" t="str">
        <f t="shared" si="1"/>
        <v>InformativaM. gr4</v>
      </c>
      <c r="H200" s="54">
        <v>119</v>
      </c>
    </row>
    <row r="201" spans="2:8" x14ac:dyDescent="0.3">
      <c r="B201" s="42" t="s">
        <v>155</v>
      </c>
      <c r="D201" s="54" t="s">
        <v>509</v>
      </c>
      <c r="E201" s="54">
        <v>5</v>
      </c>
      <c r="G201" s="54" t="str">
        <f t="shared" si="1"/>
        <v>InformativaM. gr5</v>
      </c>
      <c r="H201" s="54">
        <v>120</v>
      </c>
    </row>
    <row r="202" spans="2:8" x14ac:dyDescent="0.3">
      <c r="B202" s="42" t="s">
        <v>99</v>
      </c>
      <c r="D202" s="54" t="s">
        <v>507</v>
      </c>
      <c r="E202" s="54">
        <v>1</v>
      </c>
      <c r="G202" s="54" t="str">
        <f t="shared" si="1"/>
        <v>OperaciónChica1</v>
      </c>
      <c r="H202" s="54">
        <v>121</v>
      </c>
    </row>
    <row r="203" spans="2:8" x14ac:dyDescent="0.3">
      <c r="B203" s="42" t="s">
        <v>99</v>
      </c>
      <c r="D203" s="54" t="s">
        <v>507</v>
      </c>
      <c r="E203" s="54">
        <v>2</v>
      </c>
      <c r="G203" s="54" t="str">
        <f t="shared" si="1"/>
        <v>OperaciónChica2</v>
      </c>
      <c r="H203" s="54">
        <v>122</v>
      </c>
    </row>
    <row r="204" spans="2:8" x14ac:dyDescent="0.3">
      <c r="B204" s="42" t="s">
        <v>99</v>
      </c>
      <c r="D204" s="54" t="s">
        <v>507</v>
      </c>
      <c r="E204" s="54">
        <v>3</v>
      </c>
      <c r="G204" s="54" t="str">
        <f t="shared" si="1"/>
        <v>OperaciónChica3</v>
      </c>
      <c r="H204" s="54">
        <v>123</v>
      </c>
    </row>
    <row r="205" spans="2:8" x14ac:dyDescent="0.3">
      <c r="B205" s="42" t="s">
        <v>99</v>
      </c>
      <c r="D205" s="54" t="s">
        <v>507</v>
      </c>
      <c r="E205" s="54">
        <v>4</v>
      </c>
      <c r="G205" s="54" t="str">
        <f t="shared" si="1"/>
        <v>OperaciónChica4</v>
      </c>
      <c r="H205" s="54">
        <v>124</v>
      </c>
    </row>
    <row r="206" spans="2:8" x14ac:dyDescent="0.3">
      <c r="B206" s="42" t="s">
        <v>99</v>
      </c>
      <c r="D206" s="54" t="s">
        <v>507</v>
      </c>
      <c r="E206" s="54">
        <v>5</v>
      </c>
      <c r="G206" s="54" t="str">
        <f t="shared" si="1"/>
        <v>OperaciónChica5</v>
      </c>
      <c r="H206" s="54">
        <v>125</v>
      </c>
    </row>
    <row r="207" spans="2:8" x14ac:dyDescent="0.3">
      <c r="B207" s="42" t="s">
        <v>99</v>
      </c>
      <c r="D207" s="54" t="s">
        <v>141</v>
      </c>
      <c r="E207" s="54">
        <v>1</v>
      </c>
      <c r="G207" s="54" t="str">
        <f t="shared" si="1"/>
        <v>OperaciónMedia1</v>
      </c>
      <c r="H207" s="54">
        <v>126</v>
      </c>
    </row>
    <row r="208" spans="2:8" x14ac:dyDescent="0.3">
      <c r="B208" s="42" t="s">
        <v>99</v>
      </c>
      <c r="D208" s="54" t="s">
        <v>141</v>
      </c>
      <c r="E208" s="54">
        <v>2</v>
      </c>
      <c r="G208" s="54" t="str">
        <f t="shared" si="1"/>
        <v>OperaciónMedia2</v>
      </c>
      <c r="H208" s="54">
        <v>127</v>
      </c>
    </row>
    <row r="209" spans="2:8" x14ac:dyDescent="0.3">
      <c r="B209" s="42" t="s">
        <v>99</v>
      </c>
      <c r="D209" s="54" t="s">
        <v>141</v>
      </c>
      <c r="E209" s="54">
        <v>3</v>
      </c>
      <c r="G209" s="54" t="str">
        <f t="shared" si="1"/>
        <v>OperaciónMedia3</v>
      </c>
      <c r="H209" s="54">
        <v>128</v>
      </c>
    </row>
    <row r="210" spans="2:8" x14ac:dyDescent="0.3">
      <c r="B210" s="42" t="s">
        <v>99</v>
      </c>
      <c r="D210" s="54" t="s">
        <v>141</v>
      </c>
      <c r="E210" s="54">
        <v>4</v>
      </c>
      <c r="G210" s="54" t="str">
        <f t="shared" ref="G210:G273" si="2">CONCATENATE(B210,D210,E210)</f>
        <v>OperaciónMedia4</v>
      </c>
      <c r="H210" s="54">
        <v>129</v>
      </c>
    </row>
    <row r="211" spans="2:8" x14ac:dyDescent="0.3">
      <c r="B211" s="42" t="s">
        <v>99</v>
      </c>
      <c r="D211" s="54" t="s">
        <v>141</v>
      </c>
      <c r="E211" s="54">
        <v>5</v>
      </c>
      <c r="G211" s="54" t="str">
        <f t="shared" si="2"/>
        <v>OperaciónMedia5</v>
      </c>
      <c r="H211" s="54">
        <v>130</v>
      </c>
    </row>
    <row r="212" spans="2:8" x14ac:dyDescent="0.3">
      <c r="B212" s="42" t="s">
        <v>99</v>
      </c>
      <c r="D212" s="54" t="s">
        <v>508</v>
      </c>
      <c r="E212" s="54">
        <v>1</v>
      </c>
      <c r="G212" s="54" t="str">
        <f t="shared" si="2"/>
        <v>OperaciónGrand1</v>
      </c>
      <c r="H212" s="54">
        <v>131</v>
      </c>
    </row>
    <row r="213" spans="2:8" x14ac:dyDescent="0.3">
      <c r="B213" s="42" t="s">
        <v>99</v>
      </c>
      <c r="D213" s="54" t="s">
        <v>508</v>
      </c>
      <c r="E213" s="54">
        <v>2</v>
      </c>
      <c r="G213" s="54" t="str">
        <f t="shared" si="2"/>
        <v>OperaciónGrand2</v>
      </c>
      <c r="H213" s="54">
        <v>132</v>
      </c>
    </row>
    <row r="214" spans="2:8" x14ac:dyDescent="0.3">
      <c r="B214" s="42" t="s">
        <v>99</v>
      </c>
      <c r="D214" s="54" t="s">
        <v>508</v>
      </c>
      <c r="E214" s="54">
        <v>3</v>
      </c>
      <c r="G214" s="54" t="str">
        <f t="shared" si="2"/>
        <v>OperaciónGrand3</v>
      </c>
      <c r="H214" s="54">
        <v>133</v>
      </c>
    </row>
    <row r="215" spans="2:8" x14ac:dyDescent="0.3">
      <c r="B215" s="42" t="s">
        <v>99</v>
      </c>
      <c r="D215" s="54" t="s">
        <v>508</v>
      </c>
      <c r="E215" s="54">
        <v>4</v>
      </c>
      <c r="G215" s="54" t="str">
        <f t="shared" si="2"/>
        <v>OperaciónGrand4</v>
      </c>
      <c r="H215" s="54">
        <v>134</v>
      </c>
    </row>
    <row r="216" spans="2:8" x14ac:dyDescent="0.3">
      <c r="B216" s="42" t="s">
        <v>99</v>
      </c>
      <c r="D216" s="54" t="s">
        <v>508</v>
      </c>
      <c r="E216" s="54">
        <v>5</v>
      </c>
      <c r="G216" s="54" t="str">
        <f t="shared" si="2"/>
        <v>OperaciónGrand5</v>
      </c>
      <c r="H216" s="54">
        <v>135</v>
      </c>
    </row>
    <row r="217" spans="2:8" x14ac:dyDescent="0.3">
      <c r="B217" s="42" t="s">
        <v>99</v>
      </c>
      <c r="D217" s="54" t="s">
        <v>509</v>
      </c>
      <c r="E217" s="54">
        <v>1</v>
      </c>
      <c r="G217" s="54" t="str">
        <f t="shared" si="2"/>
        <v>OperaciónM. gr1</v>
      </c>
      <c r="H217" s="54">
        <v>136</v>
      </c>
    </row>
    <row r="218" spans="2:8" x14ac:dyDescent="0.3">
      <c r="B218" s="42" t="s">
        <v>99</v>
      </c>
      <c r="D218" s="54" t="s">
        <v>509</v>
      </c>
      <c r="E218" s="54">
        <v>2</v>
      </c>
      <c r="G218" s="54" t="str">
        <f t="shared" si="2"/>
        <v>OperaciónM. gr2</v>
      </c>
      <c r="H218" s="54">
        <v>137</v>
      </c>
    </row>
    <row r="219" spans="2:8" x14ac:dyDescent="0.3">
      <c r="B219" s="42" t="s">
        <v>99</v>
      </c>
      <c r="D219" s="54" t="s">
        <v>509</v>
      </c>
      <c r="E219" s="54">
        <v>3</v>
      </c>
      <c r="G219" s="54" t="str">
        <f t="shared" si="2"/>
        <v>OperaciónM. gr3</v>
      </c>
      <c r="H219" s="54">
        <v>138</v>
      </c>
    </row>
    <row r="220" spans="2:8" x14ac:dyDescent="0.3">
      <c r="B220" s="42" t="s">
        <v>99</v>
      </c>
      <c r="D220" s="54" t="s">
        <v>509</v>
      </c>
      <c r="E220" s="54">
        <v>4</v>
      </c>
      <c r="G220" s="54" t="str">
        <f t="shared" si="2"/>
        <v>OperaciónM. gr4</v>
      </c>
      <c r="H220" s="54">
        <v>139</v>
      </c>
    </row>
    <row r="221" spans="2:8" x14ac:dyDescent="0.3">
      <c r="B221" s="42" t="s">
        <v>99</v>
      </c>
      <c r="D221" s="54" t="s">
        <v>509</v>
      </c>
      <c r="E221" s="54">
        <v>5</v>
      </c>
      <c r="G221" s="54" t="str">
        <f t="shared" si="2"/>
        <v>OperaciónM. gr5</v>
      </c>
      <c r="H221" s="54">
        <v>140</v>
      </c>
    </row>
    <row r="222" spans="2:8" x14ac:dyDescent="0.3">
      <c r="B222" s="42" t="s">
        <v>101</v>
      </c>
      <c r="D222" s="54" t="s">
        <v>507</v>
      </c>
      <c r="E222" s="54">
        <v>1</v>
      </c>
      <c r="G222" s="54" t="str">
        <f t="shared" si="2"/>
        <v>ProcedimientoChica1</v>
      </c>
      <c r="H222" s="54">
        <v>141</v>
      </c>
    </row>
    <row r="223" spans="2:8" x14ac:dyDescent="0.3">
      <c r="B223" s="42" t="s">
        <v>101</v>
      </c>
      <c r="D223" s="54" t="s">
        <v>507</v>
      </c>
      <c r="E223" s="54">
        <v>2</v>
      </c>
      <c r="G223" s="54" t="str">
        <f t="shared" si="2"/>
        <v>ProcedimientoChica2</v>
      </c>
      <c r="H223" s="54">
        <v>142</v>
      </c>
    </row>
    <row r="224" spans="2:8" x14ac:dyDescent="0.3">
      <c r="B224" s="42" t="s">
        <v>101</v>
      </c>
      <c r="D224" s="54" t="s">
        <v>507</v>
      </c>
      <c r="E224" s="54">
        <v>3</v>
      </c>
      <c r="G224" s="54" t="str">
        <f t="shared" si="2"/>
        <v>ProcedimientoChica3</v>
      </c>
      <c r="H224" s="54">
        <v>143</v>
      </c>
    </row>
    <row r="225" spans="2:8" x14ac:dyDescent="0.3">
      <c r="B225" s="42" t="s">
        <v>101</v>
      </c>
      <c r="D225" s="54" t="s">
        <v>507</v>
      </c>
      <c r="E225" s="54">
        <v>4</v>
      </c>
      <c r="G225" s="54" t="str">
        <f t="shared" si="2"/>
        <v>ProcedimientoChica4</v>
      </c>
      <c r="H225" s="54">
        <v>144</v>
      </c>
    </row>
    <row r="226" spans="2:8" x14ac:dyDescent="0.3">
      <c r="B226" s="42" t="s">
        <v>101</v>
      </c>
      <c r="D226" s="54" t="s">
        <v>507</v>
      </c>
      <c r="E226" s="54">
        <v>5</v>
      </c>
      <c r="G226" s="54" t="str">
        <f t="shared" si="2"/>
        <v>ProcedimientoChica5</v>
      </c>
      <c r="H226" s="54">
        <v>145</v>
      </c>
    </row>
    <row r="227" spans="2:8" x14ac:dyDescent="0.3">
      <c r="B227" s="42" t="s">
        <v>101</v>
      </c>
      <c r="D227" s="54" t="s">
        <v>141</v>
      </c>
      <c r="E227" s="54">
        <v>1</v>
      </c>
      <c r="G227" s="54" t="str">
        <f t="shared" si="2"/>
        <v>ProcedimientoMedia1</v>
      </c>
      <c r="H227" s="54">
        <v>146</v>
      </c>
    </row>
    <row r="228" spans="2:8" x14ac:dyDescent="0.3">
      <c r="B228" s="42" t="s">
        <v>101</v>
      </c>
      <c r="D228" s="54" t="s">
        <v>141</v>
      </c>
      <c r="E228" s="54">
        <v>2</v>
      </c>
      <c r="G228" s="54" t="str">
        <f t="shared" si="2"/>
        <v>ProcedimientoMedia2</v>
      </c>
      <c r="H228" s="54">
        <v>147</v>
      </c>
    </row>
    <row r="229" spans="2:8" x14ac:dyDescent="0.3">
      <c r="B229" s="42" t="s">
        <v>101</v>
      </c>
      <c r="D229" s="54" t="s">
        <v>141</v>
      </c>
      <c r="E229" s="54">
        <v>3</v>
      </c>
      <c r="G229" s="54" t="str">
        <f t="shared" si="2"/>
        <v>ProcedimientoMedia3</v>
      </c>
      <c r="H229" s="54">
        <v>148</v>
      </c>
    </row>
    <row r="230" spans="2:8" x14ac:dyDescent="0.3">
      <c r="B230" s="42" t="s">
        <v>101</v>
      </c>
      <c r="D230" s="54" t="s">
        <v>141</v>
      </c>
      <c r="E230" s="54">
        <v>4</v>
      </c>
      <c r="G230" s="54" t="str">
        <f t="shared" si="2"/>
        <v>ProcedimientoMedia4</v>
      </c>
      <c r="H230" s="54">
        <v>149</v>
      </c>
    </row>
    <row r="231" spans="2:8" x14ac:dyDescent="0.3">
      <c r="B231" s="42" t="s">
        <v>101</v>
      </c>
      <c r="D231" s="54" t="s">
        <v>141</v>
      </c>
      <c r="E231" s="54">
        <v>5</v>
      </c>
      <c r="G231" s="54" t="str">
        <f t="shared" si="2"/>
        <v>ProcedimientoMedia5</v>
      </c>
      <c r="H231" s="54">
        <v>150</v>
      </c>
    </row>
    <row r="232" spans="2:8" x14ac:dyDescent="0.3">
      <c r="B232" s="42" t="s">
        <v>101</v>
      </c>
      <c r="D232" s="54" t="s">
        <v>508</v>
      </c>
      <c r="E232" s="54">
        <v>1</v>
      </c>
      <c r="G232" s="54" t="str">
        <f t="shared" si="2"/>
        <v>ProcedimientoGrand1</v>
      </c>
      <c r="H232" s="54">
        <v>151</v>
      </c>
    </row>
    <row r="233" spans="2:8" x14ac:dyDescent="0.3">
      <c r="B233" s="42" t="s">
        <v>101</v>
      </c>
      <c r="D233" s="54" t="s">
        <v>508</v>
      </c>
      <c r="E233" s="54">
        <v>2</v>
      </c>
      <c r="G233" s="54" t="str">
        <f t="shared" si="2"/>
        <v>ProcedimientoGrand2</v>
      </c>
      <c r="H233" s="54">
        <v>152</v>
      </c>
    </row>
    <row r="234" spans="2:8" x14ac:dyDescent="0.3">
      <c r="B234" s="42" t="s">
        <v>101</v>
      </c>
      <c r="D234" s="54" t="s">
        <v>508</v>
      </c>
      <c r="E234" s="54">
        <v>3</v>
      </c>
      <c r="G234" s="54" t="str">
        <f t="shared" si="2"/>
        <v>ProcedimientoGrand3</v>
      </c>
      <c r="H234" s="54">
        <v>153</v>
      </c>
    </row>
    <row r="235" spans="2:8" x14ac:dyDescent="0.3">
      <c r="B235" s="42" t="s">
        <v>101</v>
      </c>
      <c r="D235" s="54" t="s">
        <v>508</v>
      </c>
      <c r="E235" s="54">
        <v>4</v>
      </c>
      <c r="G235" s="54" t="str">
        <f t="shared" si="2"/>
        <v>ProcedimientoGrand4</v>
      </c>
      <c r="H235" s="54">
        <v>154</v>
      </c>
    </row>
    <row r="236" spans="2:8" x14ac:dyDescent="0.3">
      <c r="B236" s="42" t="s">
        <v>101</v>
      </c>
      <c r="D236" s="54" t="s">
        <v>508</v>
      </c>
      <c r="E236" s="54">
        <v>5</v>
      </c>
      <c r="G236" s="54" t="str">
        <f t="shared" si="2"/>
        <v>ProcedimientoGrand5</v>
      </c>
      <c r="H236" s="54">
        <v>155</v>
      </c>
    </row>
    <row r="237" spans="2:8" x14ac:dyDescent="0.3">
      <c r="B237" s="42" t="s">
        <v>101</v>
      </c>
      <c r="D237" s="54" t="s">
        <v>509</v>
      </c>
      <c r="E237" s="54">
        <v>1</v>
      </c>
      <c r="G237" s="54" t="str">
        <f t="shared" si="2"/>
        <v>ProcedimientoM. gr1</v>
      </c>
      <c r="H237" s="54">
        <v>156</v>
      </c>
    </row>
    <row r="238" spans="2:8" x14ac:dyDescent="0.3">
      <c r="B238" s="42" t="s">
        <v>101</v>
      </c>
      <c r="D238" s="54" t="s">
        <v>509</v>
      </c>
      <c r="E238" s="54">
        <v>2</v>
      </c>
      <c r="G238" s="54" t="str">
        <f t="shared" si="2"/>
        <v>ProcedimientoM. gr2</v>
      </c>
      <c r="H238" s="54">
        <v>157</v>
      </c>
    </row>
    <row r="239" spans="2:8" x14ac:dyDescent="0.3">
      <c r="B239" s="42" t="s">
        <v>101</v>
      </c>
      <c r="D239" s="54" t="s">
        <v>509</v>
      </c>
      <c r="E239" s="54">
        <v>3</v>
      </c>
      <c r="G239" s="54" t="str">
        <f t="shared" si="2"/>
        <v>ProcedimientoM. gr3</v>
      </c>
      <c r="H239" s="54">
        <v>158</v>
      </c>
    </row>
    <row r="240" spans="2:8" x14ac:dyDescent="0.3">
      <c r="B240" s="42" t="s">
        <v>101</v>
      </c>
      <c r="D240" s="54" t="s">
        <v>509</v>
      </c>
      <c r="E240" s="54">
        <v>4</v>
      </c>
      <c r="G240" s="54" t="str">
        <f t="shared" si="2"/>
        <v>ProcedimientoM. gr4</v>
      </c>
      <c r="H240" s="54">
        <v>159</v>
      </c>
    </row>
    <row r="241" spans="2:8" x14ac:dyDescent="0.3">
      <c r="B241" s="42" t="s">
        <v>101</v>
      </c>
      <c r="D241" s="54" t="s">
        <v>509</v>
      </c>
      <c r="E241" s="54">
        <v>5</v>
      </c>
      <c r="G241" s="54" t="str">
        <f t="shared" si="2"/>
        <v>ProcedimientoM. gr5</v>
      </c>
      <c r="H241" s="54">
        <v>160</v>
      </c>
    </row>
    <row r="242" spans="2:8" x14ac:dyDescent="0.3">
      <c r="B242" s="42" t="s">
        <v>294</v>
      </c>
      <c r="D242" s="54" t="s">
        <v>507</v>
      </c>
      <c r="E242" s="54">
        <v>1</v>
      </c>
      <c r="G242" s="54" t="str">
        <f t="shared" si="2"/>
        <v>FormatoChica1</v>
      </c>
      <c r="H242" s="54">
        <v>161</v>
      </c>
    </row>
    <row r="243" spans="2:8" x14ac:dyDescent="0.3">
      <c r="B243" s="42" t="s">
        <v>294</v>
      </c>
      <c r="D243" s="54" t="s">
        <v>507</v>
      </c>
      <c r="E243" s="54">
        <v>2</v>
      </c>
      <c r="G243" s="54" t="str">
        <f t="shared" si="2"/>
        <v>FormatoChica2</v>
      </c>
      <c r="H243" s="54">
        <v>162</v>
      </c>
    </row>
    <row r="244" spans="2:8" x14ac:dyDescent="0.3">
      <c r="B244" s="42" t="s">
        <v>294</v>
      </c>
      <c r="D244" s="54" t="s">
        <v>507</v>
      </c>
      <c r="E244" s="54">
        <v>3</v>
      </c>
      <c r="G244" s="54" t="str">
        <f t="shared" si="2"/>
        <v>FormatoChica3</v>
      </c>
      <c r="H244" s="54">
        <v>163</v>
      </c>
    </row>
    <row r="245" spans="2:8" x14ac:dyDescent="0.3">
      <c r="B245" s="42" t="s">
        <v>294</v>
      </c>
      <c r="D245" s="54" t="s">
        <v>507</v>
      </c>
      <c r="E245" s="54">
        <v>4</v>
      </c>
      <c r="G245" s="54" t="str">
        <f t="shared" si="2"/>
        <v>FormatoChica4</v>
      </c>
      <c r="H245" s="54">
        <v>164</v>
      </c>
    </row>
    <row r="246" spans="2:8" x14ac:dyDescent="0.3">
      <c r="B246" s="42" t="s">
        <v>294</v>
      </c>
      <c r="D246" s="54" t="s">
        <v>507</v>
      </c>
      <c r="E246" s="54">
        <v>5</v>
      </c>
      <c r="G246" s="54" t="str">
        <f t="shared" si="2"/>
        <v>FormatoChica5</v>
      </c>
      <c r="H246" s="54">
        <v>165</v>
      </c>
    </row>
    <row r="247" spans="2:8" x14ac:dyDescent="0.3">
      <c r="B247" s="42" t="s">
        <v>294</v>
      </c>
      <c r="D247" s="54" t="s">
        <v>141</v>
      </c>
      <c r="E247" s="54">
        <v>1</v>
      </c>
      <c r="G247" s="54" t="str">
        <f t="shared" si="2"/>
        <v>FormatoMedia1</v>
      </c>
      <c r="H247" s="54">
        <v>166</v>
      </c>
    </row>
    <row r="248" spans="2:8" x14ac:dyDescent="0.3">
      <c r="B248" s="42" t="s">
        <v>294</v>
      </c>
      <c r="D248" s="54" t="s">
        <v>141</v>
      </c>
      <c r="E248" s="54">
        <v>2</v>
      </c>
      <c r="G248" s="54" t="str">
        <f t="shared" si="2"/>
        <v>FormatoMedia2</v>
      </c>
      <c r="H248" s="54">
        <v>167</v>
      </c>
    </row>
    <row r="249" spans="2:8" x14ac:dyDescent="0.3">
      <c r="B249" s="42" t="s">
        <v>294</v>
      </c>
      <c r="D249" s="54" t="s">
        <v>141</v>
      </c>
      <c r="E249" s="54">
        <v>3</v>
      </c>
      <c r="G249" s="54" t="str">
        <f t="shared" si="2"/>
        <v>FormatoMedia3</v>
      </c>
      <c r="H249" s="54">
        <v>168</v>
      </c>
    </row>
    <row r="250" spans="2:8" x14ac:dyDescent="0.3">
      <c r="B250" s="42" t="s">
        <v>294</v>
      </c>
      <c r="D250" s="54" t="s">
        <v>141</v>
      </c>
      <c r="E250" s="54">
        <v>4</v>
      </c>
      <c r="G250" s="54" t="str">
        <f t="shared" si="2"/>
        <v>FormatoMedia4</v>
      </c>
      <c r="H250" s="54">
        <v>169</v>
      </c>
    </row>
    <row r="251" spans="2:8" x14ac:dyDescent="0.3">
      <c r="B251" s="42" t="s">
        <v>294</v>
      </c>
      <c r="D251" s="54" t="s">
        <v>141</v>
      </c>
      <c r="E251" s="54">
        <v>5</v>
      </c>
      <c r="G251" s="54" t="str">
        <f t="shared" si="2"/>
        <v>FormatoMedia5</v>
      </c>
      <c r="H251" s="54">
        <v>170</v>
      </c>
    </row>
    <row r="252" spans="2:8" x14ac:dyDescent="0.3">
      <c r="B252" s="42" t="s">
        <v>294</v>
      </c>
      <c r="D252" s="54" t="s">
        <v>508</v>
      </c>
      <c r="E252" s="54">
        <v>1</v>
      </c>
      <c r="G252" s="54" t="str">
        <f t="shared" si="2"/>
        <v>FormatoGrand1</v>
      </c>
      <c r="H252" s="54">
        <v>171</v>
      </c>
    </row>
    <row r="253" spans="2:8" x14ac:dyDescent="0.3">
      <c r="B253" s="42" t="s">
        <v>294</v>
      </c>
      <c r="D253" s="54" t="s">
        <v>508</v>
      </c>
      <c r="E253" s="54">
        <v>2</v>
      </c>
      <c r="G253" s="54" t="str">
        <f t="shared" si="2"/>
        <v>FormatoGrand2</v>
      </c>
      <c r="H253" s="54">
        <v>172</v>
      </c>
    </row>
    <row r="254" spans="2:8" x14ac:dyDescent="0.3">
      <c r="B254" s="42" t="s">
        <v>294</v>
      </c>
      <c r="D254" s="54" t="s">
        <v>508</v>
      </c>
      <c r="E254" s="54">
        <v>3</v>
      </c>
      <c r="G254" s="54" t="str">
        <f t="shared" si="2"/>
        <v>FormatoGrand3</v>
      </c>
      <c r="H254" s="54">
        <v>173</v>
      </c>
    </row>
    <row r="255" spans="2:8" x14ac:dyDescent="0.3">
      <c r="B255" s="42" t="s">
        <v>294</v>
      </c>
      <c r="D255" s="54" t="s">
        <v>508</v>
      </c>
      <c r="E255" s="54">
        <v>4</v>
      </c>
      <c r="G255" s="54" t="str">
        <f t="shared" si="2"/>
        <v>FormatoGrand4</v>
      </c>
      <c r="H255" s="54">
        <v>174</v>
      </c>
    </row>
    <row r="256" spans="2:8" x14ac:dyDescent="0.3">
      <c r="B256" s="42" t="s">
        <v>294</v>
      </c>
      <c r="D256" s="54" t="s">
        <v>508</v>
      </c>
      <c r="E256" s="54">
        <v>5</v>
      </c>
      <c r="G256" s="54" t="str">
        <f t="shared" si="2"/>
        <v>FormatoGrand5</v>
      </c>
      <c r="H256" s="54">
        <v>175</v>
      </c>
    </row>
    <row r="257" spans="2:8" x14ac:dyDescent="0.3">
      <c r="B257" s="42" t="s">
        <v>294</v>
      </c>
      <c r="D257" s="54" t="s">
        <v>509</v>
      </c>
      <c r="E257" s="54">
        <v>1</v>
      </c>
      <c r="G257" s="54" t="str">
        <f t="shared" si="2"/>
        <v>FormatoM. gr1</v>
      </c>
      <c r="H257" s="54">
        <v>176</v>
      </c>
    </row>
    <row r="258" spans="2:8" x14ac:dyDescent="0.3">
      <c r="B258" s="42" t="s">
        <v>294</v>
      </c>
      <c r="D258" s="54" t="s">
        <v>509</v>
      </c>
      <c r="E258" s="54">
        <v>2</v>
      </c>
      <c r="G258" s="54" t="str">
        <f t="shared" si="2"/>
        <v>FormatoM. gr2</v>
      </c>
      <c r="H258" s="54">
        <v>177</v>
      </c>
    </row>
    <row r="259" spans="2:8" x14ac:dyDescent="0.3">
      <c r="B259" s="42" t="s">
        <v>294</v>
      </c>
      <c r="D259" s="54" t="s">
        <v>509</v>
      </c>
      <c r="E259" s="54">
        <v>3</v>
      </c>
      <c r="G259" s="54" t="str">
        <f t="shared" si="2"/>
        <v>FormatoM. gr3</v>
      </c>
      <c r="H259" s="54">
        <v>178</v>
      </c>
    </row>
    <row r="260" spans="2:8" x14ac:dyDescent="0.3">
      <c r="B260" s="42" t="s">
        <v>294</v>
      </c>
      <c r="D260" s="54" t="s">
        <v>509</v>
      </c>
      <c r="E260" s="54">
        <v>4</v>
      </c>
      <c r="G260" s="54" t="str">
        <f t="shared" si="2"/>
        <v>FormatoM. gr4</v>
      </c>
      <c r="H260" s="54">
        <v>179</v>
      </c>
    </row>
    <row r="261" spans="2:8" x14ac:dyDescent="0.3">
      <c r="B261" s="42" t="s">
        <v>294</v>
      </c>
      <c r="D261" s="54" t="s">
        <v>509</v>
      </c>
      <c r="E261" s="54">
        <v>5</v>
      </c>
      <c r="G261" s="54" t="str">
        <f t="shared" si="2"/>
        <v>FormatoM. gr5</v>
      </c>
      <c r="H261" s="54">
        <v>180</v>
      </c>
    </row>
    <row r="262" spans="2:8" x14ac:dyDescent="0.3">
      <c r="B262" s="42" t="s">
        <v>103</v>
      </c>
      <c r="D262" s="54" t="s">
        <v>507</v>
      </c>
      <c r="E262" s="54">
        <v>1</v>
      </c>
      <c r="G262" s="54" t="str">
        <f t="shared" si="2"/>
        <v>ReporteChica1</v>
      </c>
      <c r="H262" s="54">
        <v>181</v>
      </c>
    </row>
    <row r="263" spans="2:8" x14ac:dyDescent="0.3">
      <c r="B263" s="42" t="s">
        <v>103</v>
      </c>
      <c r="D263" s="54" t="s">
        <v>507</v>
      </c>
      <c r="E263" s="54">
        <v>2</v>
      </c>
      <c r="G263" s="54" t="str">
        <f t="shared" si="2"/>
        <v>ReporteChica2</v>
      </c>
      <c r="H263" s="54">
        <v>182</v>
      </c>
    </row>
    <row r="264" spans="2:8" x14ac:dyDescent="0.3">
      <c r="B264" s="42" t="s">
        <v>103</v>
      </c>
      <c r="D264" s="54" t="s">
        <v>507</v>
      </c>
      <c r="E264" s="54">
        <v>3</v>
      </c>
      <c r="G264" s="54" t="str">
        <f t="shared" si="2"/>
        <v>ReporteChica3</v>
      </c>
      <c r="H264" s="54">
        <v>183</v>
      </c>
    </row>
    <row r="265" spans="2:8" x14ac:dyDescent="0.3">
      <c r="B265" s="42" t="s">
        <v>103</v>
      </c>
      <c r="D265" s="54" t="s">
        <v>507</v>
      </c>
      <c r="E265" s="54">
        <v>4</v>
      </c>
      <c r="G265" s="54" t="str">
        <f t="shared" si="2"/>
        <v>ReporteChica4</v>
      </c>
      <c r="H265" s="54">
        <v>184</v>
      </c>
    </row>
    <row r="266" spans="2:8" x14ac:dyDescent="0.3">
      <c r="B266" s="42" t="s">
        <v>103</v>
      </c>
      <c r="D266" s="54" t="s">
        <v>507</v>
      </c>
      <c r="E266" s="54">
        <v>5</v>
      </c>
      <c r="G266" s="54" t="str">
        <f t="shared" si="2"/>
        <v>ReporteChica5</v>
      </c>
      <c r="H266" s="54">
        <v>185</v>
      </c>
    </row>
    <row r="267" spans="2:8" x14ac:dyDescent="0.3">
      <c r="B267" s="42" t="s">
        <v>103</v>
      </c>
      <c r="D267" s="54" t="s">
        <v>141</v>
      </c>
      <c r="E267" s="54">
        <v>1</v>
      </c>
      <c r="G267" s="54" t="str">
        <f t="shared" si="2"/>
        <v>ReporteMedia1</v>
      </c>
      <c r="H267" s="54">
        <v>186</v>
      </c>
    </row>
    <row r="268" spans="2:8" x14ac:dyDescent="0.3">
      <c r="B268" s="42" t="s">
        <v>103</v>
      </c>
      <c r="D268" s="54" t="s">
        <v>141</v>
      </c>
      <c r="E268" s="54">
        <v>2</v>
      </c>
      <c r="G268" s="54" t="str">
        <f t="shared" si="2"/>
        <v>ReporteMedia2</v>
      </c>
      <c r="H268" s="54">
        <v>187</v>
      </c>
    </row>
    <row r="269" spans="2:8" x14ac:dyDescent="0.3">
      <c r="B269" s="42" t="s">
        <v>103</v>
      </c>
      <c r="D269" s="54" t="s">
        <v>141</v>
      </c>
      <c r="E269" s="54">
        <v>3</v>
      </c>
      <c r="G269" s="54" t="str">
        <f t="shared" si="2"/>
        <v>ReporteMedia3</v>
      </c>
      <c r="H269" s="54">
        <v>188</v>
      </c>
    </row>
    <row r="270" spans="2:8" x14ac:dyDescent="0.3">
      <c r="B270" s="42" t="s">
        <v>103</v>
      </c>
      <c r="D270" s="54" t="s">
        <v>141</v>
      </c>
      <c r="E270" s="54">
        <v>4</v>
      </c>
      <c r="G270" s="54" t="str">
        <f t="shared" si="2"/>
        <v>ReporteMedia4</v>
      </c>
      <c r="H270" s="54">
        <v>189</v>
      </c>
    </row>
    <row r="271" spans="2:8" x14ac:dyDescent="0.3">
      <c r="B271" s="42" t="s">
        <v>103</v>
      </c>
      <c r="D271" s="54" t="s">
        <v>141</v>
      </c>
      <c r="E271" s="54">
        <v>5</v>
      </c>
      <c r="G271" s="54" t="str">
        <f t="shared" si="2"/>
        <v>ReporteMedia5</v>
      </c>
      <c r="H271" s="54">
        <v>190</v>
      </c>
    </row>
    <row r="272" spans="2:8" x14ac:dyDescent="0.3">
      <c r="B272" s="42" t="s">
        <v>103</v>
      </c>
      <c r="D272" s="54" t="s">
        <v>508</v>
      </c>
      <c r="E272" s="54">
        <v>1</v>
      </c>
      <c r="G272" s="54" t="str">
        <f t="shared" si="2"/>
        <v>ReporteGrand1</v>
      </c>
      <c r="H272" s="54">
        <v>191</v>
      </c>
    </row>
    <row r="273" spans="2:8" x14ac:dyDescent="0.3">
      <c r="B273" s="42" t="s">
        <v>103</v>
      </c>
      <c r="D273" s="54" t="s">
        <v>508</v>
      </c>
      <c r="E273" s="54">
        <v>2</v>
      </c>
      <c r="G273" s="54" t="str">
        <f t="shared" si="2"/>
        <v>ReporteGrand2</v>
      </c>
      <c r="H273" s="54">
        <v>192</v>
      </c>
    </row>
    <row r="274" spans="2:8" x14ac:dyDescent="0.3">
      <c r="B274" s="42" t="s">
        <v>103</v>
      </c>
      <c r="D274" s="54" t="s">
        <v>508</v>
      </c>
      <c r="E274" s="54">
        <v>3</v>
      </c>
      <c r="G274" s="54" t="str">
        <f t="shared" ref="G274:G281" si="3">CONCATENATE(B274,D274,E274)</f>
        <v>ReporteGrand3</v>
      </c>
      <c r="H274" s="54">
        <v>193</v>
      </c>
    </row>
    <row r="275" spans="2:8" x14ac:dyDescent="0.3">
      <c r="B275" s="42" t="s">
        <v>103</v>
      </c>
      <c r="D275" s="54" t="s">
        <v>508</v>
      </c>
      <c r="E275" s="54">
        <v>4</v>
      </c>
      <c r="G275" s="54" t="str">
        <f t="shared" si="3"/>
        <v>ReporteGrand4</v>
      </c>
      <c r="H275" s="54">
        <v>194</v>
      </c>
    </row>
    <row r="276" spans="2:8" x14ac:dyDescent="0.3">
      <c r="B276" s="42" t="s">
        <v>103</v>
      </c>
      <c r="D276" s="54" t="s">
        <v>508</v>
      </c>
      <c r="E276" s="54">
        <v>5</v>
      </c>
      <c r="G276" s="54" t="str">
        <f t="shared" si="3"/>
        <v>ReporteGrand5</v>
      </c>
      <c r="H276" s="54">
        <v>195</v>
      </c>
    </row>
    <row r="277" spans="2:8" x14ac:dyDescent="0.3">
      <c r="B277" s="42" t="s">
        <v>103</v>
      </c>
      <c r="D277" s="54" t="s">
        <v>509</v>
      </c>
      <c r="E277" s="54">
        <v>1</v>
      </c>
      <c r="G277" s="54" t="str">
        <f t="shared" si="3"/>
        <v>ReporteM. gr1</v>
      </c>
      <c r="H277" s="54">
        <v>196</v>
      </c>
    </row>
    <row r="278" spans="2:8" x14ac:dyDescent="0.3">
      <c r="B278" s="42" t="s">
        <v>103</v>
      </c>
      <c r="D278" s="54" t="s">
        <v>509</v>
      </c>
      <c r="E278" s="54">
        <v>2</v>
      </c>
      <c r="G278" s="54" t="str">
        <f t="shared" si="3"/>
        <v>ReporteM. gr2</v>
      </c>
      <c r="H278" s="54">
        <v>197</v>
      </c>
    </row>
    <row r="279" spans="2:8" x14ac:dyDescent="0.3">
      <c r="B279" s="42" t="s">
        <v>103</v>
      </c>
      <c r="D279" s="54" t="s">
        <v>509</v>
      </c>
      <c r="E279" s="54">
        <v>3</v>
      </c>
      <c r="G279" s="54" t="str">
        <f t="shared" si="3"/>
        <v>ReporteM. gr3</v>
      </c>
      <c r="H279" s="54">
        <v>198</v>
      </c>
    </row>
    <row r="280" spans="2:8" x14ac:dyDescent="0.3">
      <c r="B280" s="42" t="s">
        <v>103</v>
      </c>
      <c r="D280" s="54" t="s">
        <v>509</v>
      </c>
      <c r="E280" s="54">
        <v>4</v>
      </c>
      <c r="G280" s="54" t="str">
        <f t="shared" si="3"/>
        <v>ReporteM. gr4</v>
      </c>
      <c r="H280" s="54">
        <v>199</v>
      </c>
    </row>
    <row r="281" spans="2:8" x14ac:dyDescent="0.3">
      <c r="B281" s="42" t="s">
        <v>103</v>
      </c>
      <c r="D281" s="54" t="s">
        <v>509</v>
      </c>
      <c r="E281" s="54">
        <v>5</v>
      </c>
      <c r="G281" s="54" t="str">
        <f t="shared" si="3"/>
        <v>ReporteM. gr5</v>
      </c>
      <c r="H281" s="54">
        <v>200</v>
      </c>
    </row>
  </sheetData>
  <mergeCells count="30">
    <mergeCell ref="C69:C70"/>
    <mergeCell ref="C71:C72"/>
    <mergeCell ref="B2:B43"/>
    <mergeCell ref="B44:B63"/>
    <mergeCell ref="B64:B70"/>
    <mergeCell ref="B71:B73"/>
    <mergeCell ref="C6:C28"/>
    <mergeCell ref="C29:C43"/>
    <mergeCell ref="C64:C66"/>
    <mergeCell ref="D44:D56"/>
    <mergeCell ref="C44:C61"/>
    <mergeCell ref="C62:C63"/>
    <mergeCell ref="E37:E39"/>
    <mergeCell ref="C2:C5"/>
    <mergeCell ref="D57:D60"/>
    <mergeCell ref="E58:E60"/>
    <mergeCell ref="E54:E56"/>
    <mergeCell ref="E44:E53"/>
    <mergeCell ref="E7:E22"/>
    <mergeCell ref="E23:E25"/>
    <mergeCell ref="D29:D32"/>
    <mergeCell ref="E30:E32"/>
    <mergeCell ref="D26:D28"/>
    <mergeCell ref="E26:E28"/>
    <mergeCell ref="D7:D25"/>
    <mergeCell ref="D33:D35"/>
    <mergeCell ref="E33:E35"/>
    <mergeCell ref="D40:D42"/>
    <mergeCell ref="E40:E42"/>
    <mergeCell ref="D36:D39"/>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7"/>
  <sheetViews>
    <sheetView workbookViewId="0"/>
  </sheetViews>
  <sheetFormatPr baseColWidth="10" defaultRowHeight="14.5" x14ac:dyDescent="0.35"/>
  <cols>
    <col min="1" max="2" width="36.7265625" customWidth="1"/>
  </cols>
  <sheetData>
    <row r="1" spans="1:16" x14ac:dyDescent="0.35">
      <c r="A1" s="18" t="s">
        <v>485</v>
      </c>
    </row>
    <row r="2" spans="1:16" x14ac:dyDescent="0.35">
      <c r="P2" t="e">
        <f ca="1">_xll.CB.RecalcCounterFN()</f>
        <v>#NAME?</v>
      </c>
    </row>
    <row r="3" spans="1:16" x14ac:dyDescent="0.35">
      <c r="A3" t="s">
        <v>486</v>
      </c>
      <c r="B3" t="s">
        <v>487</v>
      </c>
      <c r="C3">
        <v>0</v>
      </c>
    </row>
    <row r="4" spans="1:16" x14ac:dyDescent="0.35">
      <c r="A4" t="s">
        <v>488</v>
      </c>
    </row>
    <row r="5" spans="1:16" x14ac:dyDescent="0.35">
      <c r="A5" t="s">
        <v>489</v>
      </c>
    </row>
    <row r="7" spans="1:16" x14ac:dyDescent="0.35">
      <c r="A7" s="18" t="s">
        <v>490</v>
      </c>
      <c r="B7" t="s">
        <v>491</v>
      </c>
    </row>
    <row r="8" spans="1:16" x14ac:dyDescent="0.35">
      <c r="B8">
        <v>2</v>
      </c>
    </row>
    <row r="10" spans="1:16" x14ac:dyDescent="0.35">
      <c r="A10" t="s">
        <v>492</v>
      </c>
    </row>
    <row r="11" spans="1:16" x14ac:dyDescent="0.35">
      <c r="A11" t="e">
        <f>CB_DATA_!#REF!</f>
        <v>#REF!</v>
      </c>
      <c r="B11" t="e">
        <f>'Alcance y tiempo'!#REF!</f>
        <v>#REF!</v>
      </c>
    </row>
    <row r="13" spans="1:16" x14ac:dyDescent="0.35">
      <c r="A13" t="s">
        <v>493</v>
      </c>
    </row>
    <row r="14" spans="1:16" x14ac:dyDescent="0.35">
      <c r="A14" t="s">
        <v>497</v>
      </c>
      <c r="B14" t="s">
        <v>501</v>
      </c>
    </row>
    <row r="16" spans="1:16" x14ac:dyDescent="0.35">
      <c r="A16" t="s">
        <v>494</v>
      </c>
    </row>
    <row r="19" spans="1:2" x14ac:dyDescent="0.35">
      <c r="A19" t="s">
        <v>495</v>
      </c>
    </row>
    <row r="20" spans="1:2" x14ac:dyDescent="0.35">
      <c r="A20">
        <v>28</v>
      </c>
      <c r="B20">
        <v>37</v>
      </c>
    </row>
    <row r="25" spans="1:2" x14ac:dyDescent="0.35">
      <c r="A25" s="18" t="s">
        <v>496</v>
      </c>
    </row>
    <row r="26" spans="1:2" x14ac:dyDescent="0.35">
      <c r="A26" s="19" t="s">
        <v>498</v>
      </c>
      <c r="B26" s="19" t="s">
        <v>505</v>
      </c>
    </row>
    <row r="27" spans="1:2" x14ac:dyDescent="0.35">
      <c r="A27" t="s">
        <v>499</v>
      </c>
      <c r="B27" t="s">
        <v>511</v>
      </c>
    </row>
    <row r="28" spans="1:2" x14ac:dyDescent="0.35">
      <c r="A28" s="19" t="s">
        <v>500</v>
      </c>
      <c r="B28" s="19" t="s">
        <v>500</v>
      </c>
    </row>
    <row r="29" spans="1:2" x14ac:dyDescent="0.35">
      <c r="B29" s="19" t="s">
        <v>498</v>
      </c>
    </row>
    <row r="30" spans="1:2" x14ac:dyDescent="0.35">
      <c r="B30" t="s">
        <v>503</v>
      </c>
    </row>
    <row r="31" spans="1:2" x14ac:dyDescent="0.35">
      <c r="B31" s="19" t="s">
        <v>500</v>
      </c>
    </row>
    <row r="32" spans="1:2" x14ac:dyDescent="0.35">
      <c r="B32" s="19" t="s">
        <v>504</v>
      </c>
    </row>
    <row r="33" spans="2:2" x14ac:dyDescent="0.35">
      <c r="B33" t="s">
        <v>512</v>
      </c>
    </row>
    <row r="34" spans="2:2" x14ac:dyDescent="0.35">
      <c r="B34" s="19" t="s">
        <v>500</v>
      </c>
    </row>
    <row r="35" spans="2:2" x14ac:dyDescent="0.35">
      <c r="B35" s="19" t="s">
        <v>502</v>
      </c>
    </row>
    <row r="36" spans="2:2" x14ac:dyDescent="0.35">
      <c r="B36" t="s">
        <v>510</v>
      </c>
    </row>
    <row r="37" spans="2:2" x14ac:dyDescent="0.35">
      <c r="B37" s="19" t="s">
        <v>500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DC232"/>
  <sheetViews>
    <sheetView showGridLines="0" topLeftCell="D129" zoomScale="85" zoomScaleNormal="85" workbookViewId="0">
      <selection activeCell="L130" sqref="L130:O146"/>
    </sheetView>
  </sheetViews>
  <sheetFormatPr baseColWidth="10" defaultColWidth="11.26953125" defaultRowHeight="13" outlineLevelRow="2" x14ac:dyDescent="0.3"/>
  <cols>
    <col min="1" max="2" width="1.7265625" style="3" customWidth="1"/>
    <col min="3" max="3" width="21.453125" style="3" customWidth="1"/>
    <col min="4" max="4" width="5.26953125" style="3" customWidth="1"/>
    <col min="5" max="5" width="3.7265625" style="3" customWidth="1"/>
    <col min="6" max="7" width="2.7265625" style="3" customWidth="1"/>
    <col min="8" max="8" width="3.7265625" style="10" customWidth="1"/>
    <col min="9" max="9" width="3.1796875" style="10" customWidth="1"/>
    <col min="10" max="11" width="0.54296875" style="10" customWidth="1"/>
    <col min="12" max="12" width="113.453125" style="1" customWidth="1"/>
    <col min="13" max="13" width="17.453125" style="2" hidden="1" customWidth="1"/>
    <col min="14" max="14" width="12.7265625" style="2" hidden="1" customWidth="1"/>
    <col min="15" max="15" width="16.26953125" style="2" customWidth="1"/>
    <col min="16" max="16" width="17.7265625" style="26" customWidth="1"/>
    <col min="17" max="19" width="9.81640625" style="27" customWidth="1"/>
    <col min="20" max="20" width="7.7265625" style="27" bestFit="1" customWidth="1"/>
    <col min="21" max="23" width="11.7265625" style="27" customWidth="1"/>
    <col min="24" max="27" width="11.26953125" style="93" hidden="1" customWidth="1"/>
    <col min="28" max="48" width="11.7265625" style="27" hidden="1" customWidth="1"/>
    <col min="49" max="49" width="1.7265625" style="27" customWidth="1"/>
    <col min="50" max="56" width="4.7265625" style="27" customWidth="1"/>
    <col min="57" max="57" width="8.7265625" style="27" customWidth="1"/>
    <col min="58" max="58" width="15" style="27" customWidth="1"/>
    <col min="59" max="79" width="4.7265625" style="27" customWidth="1"/>
    <col min="80" max="80" width="11.26953125" style="27" customWidth="1"/>
    <col min="81" max="84" width="11.26953125" style="27" hidden="1" customWidth="1"/>
    <col min="85" max="89" width="0" style="27" hidden="1" customWidth="1"/>
    <col min="90" max="107" width="11.26953125" style="27"/>
    <col min="108" max="16384" width="11.26953125" style="3"/>
  </cols>
  <sheetData>
    <row r="1" spans="3:107" x14ac:dyDescent="0.3">
      <c r="L1" s="24"/>
      <c r="M1" s="25"/>
      <c r="N1" s="25"/>
      <c r="O1" s="25"/>
      <c r="AG1" s="109"/>
    </row>
    <row r="2" spans="3:107" ht="15" x14ac:dyDescent="0.3">
      <c r="L2" s="28"/>
      <c r="M2" s="25"/>
      <c r="N2" s="25"/>
      <c r="O2" s="25"/>
      <c r="P2" s="29" t="s">
        <v>0</v>
      </c>
      <c r="Q2" s="29"/>
      <c r="R2" s="29"/>
      <c r="S2" s="29"/>
    </row>
    <row r="3" spans="3:107" x14ac:dyDescent="0.3">
      <c r="L3" s="30"/>
      <c r="M3" s="25"/>
      <c r="N3" s="25"/>
      <c r="O3" s="25"/>
      <c r="P3" s="31" t="str">
        <f>'Información proyecto'!D3</f>
        <v>Versión: 0.1</v>
      </c>
      <c r="Q3" s="31"/>
      <c r="R3" s="31"/>
      <c r="S3" s="31"/>
    </row>
    <row r="4" spans="3:107" ht="1.1499999999999999" customHeight="1" x14ac:dyDescent="0.3">
      <c r="L4" s="32"/>
      <c r="M4" s="32"/>
      <c r="N4" s="32"/>
      <c r="O4" s="513"/>
      <c r="P4" s="33"/>
      <c r="Q4" s="34"/>
      <c r="R4" s="34"/>
      <c r="S4" s="34"/>
    </row>
    <row r="5" spans="3:107" x14ac:dyDescent="0.3">
      <c r="L5" s="30"/>
      <c r="M5" s="25"/>
      <c r="N5" s="25"/>
      <c r="O5" s="25"/>
      <c r="P5" s="35" t="str">
        <f>'Información proyecto'!D5</f>
        <v>Proyecto:  Admin Eventos</v>
      </c>
      <c r="Q5" s="35"/>
      <c r="R5" s="35"/>
      <c r="S5" s="35"/>
    </row>
    <row r="6" spans="3:107" x14ac:dyDescent="0.3">
      <c r="L6" s="603"/>
      <c r="M6" s="603"/>
      <c r="N6" s="603"/>
      <c r="O6" s="603"/>
    </row>
    <row r="7" spans="3:107" x14ac:dyDescent="0.3">
      <c r="L7" s="603" t="s">
        <v>9</v>
      </c>
      <c r="M7" s="603"/>
      <c r="N7" s="603"/>
      <c r="O7" s="603"/>
      <c r="P7" s="603"/>
      <c r="Q7" s="36"/>
      <c r="R7" s="36"/>
      <c r="S7" s="36"/>
    </row>
    <row r="8" spans="3:107" ht="13.5" thickBot="1" x14ac:dyDescent="0.35">
      <c r="L8" s="37"/>
      <c r="M8" s="38"/>
      <c r="N8" s="38"/>
      <c r="O8" s="514"/>
      <c r="Q8" s="39"/>
      <c r="R8" s="39"/>
      <c r="S8" s="39"/>
    </row>
    <row r="9" spans="3:107" ht="30.5" thickBot="1" x14ac:dyDescent="0.35">
      <c r="L9" s="362" t="s">
        <v>10</v>
      </c>
      <c r="M9" s="362" t="s">
        <v>327</v>
      </c>
      <c r="N9" s="362" t="s">
        <v>328</v>
      </c>
      <c r="O9" s="515" t="s">
        <v>329</v>
      </c>
      <c r="P9" s="363" t="s">
        <v>330</v>
      </c>
      <c r="Q9" s="119"/>
      <c r="R9" s="119"/>
      <c r="S9" s="119"/>
      <c r="CC9" s="120" t="s">
        <v>457</v>
      </c>
      <c r="CD9" s="121" t="s">
        <v>484</v>
      </c>
      <c r="CE9" s="121" t="s">
        <v>458</v>
      </c>
      <c r="CF9" s="121" t="s">
        <v>299</v>
      </c>
    </row>
    <row r="10" spans="3:107" ht="1.5" customHeight="1" thickBot="1" x14ac:dyDescent="0.35">
      <c r="L10" s="21"/>
      <c r="M10" s="22"/>
      <c r="N10" s="22"/>
      <c r="O10" s="22"/>
      <c r="P10" s="23"/>
      <c r="Q10" s="39"/>
      <c r="R10" s="39"/>
      <c r="S10" s="39"/>
      <c r="T10" s="80"/>
    </row>
    <row r="11" spans="3:107" s="4" customFormat="1" ht="25.5" customHeight="1" thickBot="1" x14ac:dyDescent="0.4">
      <c r="C11" s="8"/>
      <c r="H11" s="11"/>
      <c r="I11" s="11"/>
      <c r="J11" s="11"/>
      <c r="K11" s="377" t="s">
        <v>461</v>
      </c>
      <c r="L11" s="521" t="s">
        <v>11</v>
      </c>
      <c r="M11" s="522">
        <f>SUM(M16:M40)/$P$148</f>
        <v>0.29599542334096129</v>
      </c>
      <c r="N11" s="522">
        <f>SUM(N16:N40)/$P$148</f>
        <v>5.2173913043478265E-2</v>
      </c>
      <c r="O11" s="523"/>
      <c r="P11" s="372">
        <f xml:space="preserve"> ROUND(SUM(O13:O40),1)</f>
        <v>218.9</v>
      </c>
      <c r="R11" s="122"/>
      <c r="S11" s="122"/>
      <c r="T11" s="122">
        <f>SUM(O16:O40)/$P$148</f>
        <v>0.24928489702517165</v>
      </c>
      <c r="U11" s="27"/>
      <c r="V11" s="27"/>
      <c r="W11" s="27"/>
      <c r="X11" s="93"/>
      <c r="Y11" s="93"/>
      <c r="Z11" s="93"/>
      <c r="AA11" s="93"/>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row>
    <row r="12" spans="3:107" s="11" customFormat="1" ht="25.5" customHeight="1" thickBot="1" x14ac:dyDescent="0.35">
      <c r="C12" s="8"/>
      <c r="K12" s="556"/>
      <c r="L12" s="558" t="s">
        <v>10</v>
      </c>
      <c r="M12" s="559" t="s">
        <v>394</v>
      </c>
      <c r="N12" s="522"/>
      <c r="O12" s="558" t="s">
        <v>394</v>
      </c>
      <c r="P12" s="557"/>
      <c r="R12" s="122"/>
      <c r="S12" s="122"/>
      <c r="T12" s="122"/>
      <c r="U12" s="27"/>
      <c r="V12" s="27"/>
      <c r="W12" s="27"/>
      <c r="X12" s="93"/>
      <c r="Y12" s="93"/>
      <c r="Z12" s="93"/>
      <c r="AA12" s="93"/>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row>
    <row r="13" spans="3:107" s="12" customFormat="1" ht="16.5" customHeight="1" outlineLevel="1" x14ac:dyDescent="0.35">
      <c r="L13" s="524" t="s">
        <v>445</v>
      </c>
      <c r="M13" s="525"/>
      <c r="N13" s="526"/>
      <c r="O13" s="527"/>
      <c r="P13" s="123"/>
      <c r="Q13" s="124"/>
      <c r="R13" s="124"/>
      <c r="S13" s="124"/>
      <c r="T13" s="80"/>
      <c r="U13" s="27"/>
      <c r="V13" s="27"/>
      <c r="W13" s="27"/>
      <c r="X13" s="93"/>
      <c r="Y13" s="93"/>
      <c r="Z13" s="93"/>
      <c r="AA13" s="93"/>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row>
    <row r="14" spans="3:107" s="17" customFormat="1" ht="14.5" outlineLevel="2" x14ac:dyDescent="0.35">
      <c r="K14" s="364" t="s">
        <v>462</v>
      </c>
      <c r="L14" s="528" t="s">
        <v>420</v>
      </c>
      <c r="M14" s="529">
        <v>1</v>
      </c>
      <c r="N14" s="526" t="s">
        <v>12</v>
      </c>
      <c r="O14" s="530">
        <f t="shared" ref="O14:O19" si="0">IF(K14="x",SUM(M14,N14),0)</f>
        <v>1</v>
      </c>
      <c r="P14" s="23"/>
      <c r="Q14" s="125"/>
      <c r="R14" s="92">
        <f>P11/128</f>
        <v>1.71015625</v>
      </c>
      <c r="S14" s="125"/>
      <c r="T14" s="27"/>
      <c r="U14" s="27"/>
      <c r="V14" s="27"/>
      <c r="W14" s="27"/>
      <c r="X14" s="93"/>
      <c r="Y14" s="93"/>
      <c r="Z14" s="93"/>
      <c r="AA14" s="93"/>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f>CD14*0.85</f>
        <v>0.85</v>
      </c>
      <c r="CD14" s="109">
        <f>O14</f>
        <v>1</v>
      </c>
      <c r="CE14" s="27">
        <f t="shared" ref="CE14:CE19" si="1">IF(CD14=0,1,CD14*1.4)</f>
        <v>1.4</v>
      </c>
      <c r="CF14" s="27"/>
      <c r="CG14" s="126">
        <v>0</v>
      </c>
      <c r="CH14" s="27"/>
      <c r="CI14" s="27">
        <f t="shared" ref="CI14:CI19" si="2">IF(CF14&lt;&gt;"",CF14,CG14)</f>
        <v>0</v>
      </c>
      <c r="CJ14" s="27"/>
      <c r="CK14" s="27"/>
      <c r="CL14" s="27"/>
      <c r="CM14" s="27"/>
      <c r="CN14" s="27"/>
      <c r="CO14" s="27"/>
      <c r="CP14" s="27"/>
      <c r="CQ14" s="27"/>
      <c r="CR14" s="27"/>
      <c r="CS14" s="27"/>
      <c r="CT14" s="27"/>
      <c r="CU14" s="27"/>
      <c r="CV14" s="27"/>
      <c r="CW14" s="27"/>
      <c r="CX14" s="27"/>
      <c r="CY14" s="27"/>
      <c r="CZ14" s="27"/>
      <c r="DA14" s="27"/>
      <c r="DB14" s="27"/>
      <c r="DC14" s="27"/>
    </row>
    <row r="15" spans="3:107" s="17" customFormat="1" ht="14.5" outlineLevel="2" x14ac:dyDescent="0.35">
      <c r="K15" s="364"/>
      <c r="L15" s="528" t="s">
        <v>421</v>
      </c>
      <c r="M15" s="529">
        <v>2</v>
      </c>
      <c r="N15" s="526">
        <f>ROUNDUP(M15/3,1)</f>
        <v>0.7</v>
      </c>
      <c r="O15" s="530">
        <f t="shared" si="0"/>
        <v>0</v>
      </c>
      <c r="P15" s="23"/>
      <c r="Q15" s="39"/>
      <c r="R15" s="39"/>
      <c r="S15" s="39"/>
      <c r="T15" s="27"/>
      <c r="U15" s="27"/>
      <c r="V15" s="27"/>
      <c r="W15" s="27"/>
      <c r="X15" s="93"/>
      <c r="Y15" s="93"/>
      <c r="Z15" s="93"/>
      <c r="AA15" s="93"/>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f>CD15*0.85</f>
        <v>0</v>
      </c>
      <c r="CD15" s="109">
        <f t="shared" ref="CD15:CD40" si="3">O15</f>
        <v>0</v>
      </c>
      <c r="CE15" s="27">
        <f t="shared" si="1"/>
        <v>1</v>
      </c>
      <c r="CF15" s="27"/>
      <c r="CG15" s="126">
        <v>0</v>
      </c>
      <c r="CH15" s="27"/>
      <c r="CI15" s="27">
        <f t="shared" si="2"/>
        <v>0</v>
      </c>
      <c r="CJ15" s="27"/>
      <c r="CK15" s="27"/>
      <c r="CL15" s="27"/>
      <c r="CM15" s="27"/>
      <c r="CN15" s="27"/>
      <c r="CO15" s="27"/>
      <c r="CP15" s="27"/>
      <c r="CQ15" s="27"/>
      <c r="CR15" s="27"/>
      <c r="CS15" s="27"/>
      <c r="CT15" s="27"/>
      <c r="CU15" s="27"/>
      <c r="CV15" s="27"/>
      <c r="CW15" s="27"/>
      <c r="CX15" s="27"/>
      <c r="CY15" s="27"/>
      <c r="CZ15" s="27"/>
      <c r="DA15" s="27"/>
      <c r="DB15" s="27"/>
      <c r="DC15" s="27"/>
    </row>
    <row r="16" spans="3:107" s="6" customFormat="1" ht="14.5" outlineLevel="2" x14ac:dyDescent="0.35">
      <c r="H16" s="13"/>
      <c r="I16" s="14"/>
      <c r="J16" s="14"/>
      <c r="K16" s="365" t="s">
        <v>462</v>
      </c>
      <c r="L16" s="528" t="s">
        <v>165</v>
      </c>
      <c r="M16" s="525">
        <f>ROUNDUP(SUM(AX46:AX107),1)</f>
        <v>3.1</v>
      </c>
      <c r="N16" s="526" t="s">
        <v>12</v>
      </c>
      <c r="O16" s="530">
        <v>2</v>
      </c>
      <c r="P16" s="127"/>
      <c r="Q16" s="125"/>
      <c r="R16" s="125"/>
      <c r="S16" s="125"/>
      <c r="T16" s="27"/>
      <c r="U16" s="27"/>
      <c r="V16" s="27"/>
      <c r="W16" s="27"/>
      <c r="X16" s="93"/>
      <c r="Y16" s="93"/>
      <c r="Z16" s="93"/>
      <c r="AA16" s="93"/>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f t="shared" ref="CC16:CC40" si="4">CD16*0.85</f>
        <v>1.7</v>
      </c>
      <c r="CD16" s="109">
        <f t="shared" si="3"/>
        <v>2</v>
      </c>
      <c r="CE16" s="27">
        <f t="shared" si="1"/>
        <v>2.8</v>
      </c>
      <c r="CF16" s="27"/>
      <c r="CG16" s="126">
        <v>0</v>
      </c>
      <c r="CH16" s="27"/>
      <c r="CI16" s="27">
        <f t="shared" si="2"/>
        <v>0</v>
      </c>
      <c r="CJ16" s="27"/>
      <c r="CK16" s="27"/>
      <c r="CL16" s="27"/>
      <c r="CM16" s="27"/>
      <c r="CN16" s="27"/>
      <c r="CO16" s="27"/>
      <c r="CP16" s="27"/>
      <c r="CQ16" s="27"/>
      <c r="CR16" s="27"/>
      <c r="CS16" s="27"/>
      <c r="CT16" s="27"/>
      <c r="CU16" s="27"/>
      <c r="CV16" s="27"/>
      <c r="CW16" s="27"/>
      <c r="CX16" s="27"/>
      <c r="CY16" s="27"/>
      <c r="CZ16" s="27"/>
      <c r="DA16" s="27"/>
      <c r="DB16" s="27"/>
      <c r="DC16" s="27"/>
    </row>
    <row r="17" spans="8:107" s="6" customFormat="1" ht="14.5" outlineLevel="2" x14ac:dyDescent="0.35">
      <c r="H17" s="13"/>
      <c r="I17" s="14"/>
      <c r="J17" s="14"/>
      <c r="K17" s="365" t="s">
        <v>462</v>
      </c>
      <c r="L17" s="528" t="s">
        <v>159</v>
      </c>
      <c r="M17" s="525">
        <f>ROUNDUP(SUM(AY43:AY107),1)</f>
        <v>1.3</v>
      </c>
      <c r="N17" s="526">
        <f>ROUNDUP(SUM(AZ46:AZ107),1)</f>
        <v>0.30000000000000004</v>
      </c>
      <c r="O17" s="530">
        <f t="shared" si="0"/>
        <v>1.6</v>
      </c>
      <c r="P17" s="127"/>
      <c r="Q17" s="82"/>
      <c r="R17" s="82"/>
      <c r="S17" s="82"/>
      <c r="T17" s="27"/>
      <c r="U17" s="27"/>
      <c r="V17" s="27"/>
      <c r="W17" s="27"/>
      <c r="X17" s="93"/>
      <c r="Y17" s="93"/>
      <c r="Z17" s="93"/>
      <c r="AA17" s="93"/>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f t="shared" si="4"/>
        <v>1.36</v>
      </c>
      <c r="CD17" s="109">
        <f t="shared" si="3"/>
        <v>1.6</v>
      </c>
      <c r="CE17" s="27">
        <f t="shared" si="1"/>
        <v>2.2399999999999998</v>
      </c>
      <c r="CF17" s="27"/>
      <c r="CG17" s="126">
        <v>0</v>
      </c>
      <c r="CH17" s="27"/>
      <c r="CI17" s="27">
        <f t="shared" si="2"/>
        <v>0</v>
      </c>
      <c r="CJ17" s="27"/>
      <c r="CK17" s="27"/>
      <c r="CL17" s="27"/>
      <c r="CM17" s="27"/>
      <c r="CN17" s="27"/>
      <c r="CO17" s="27"/>
      <c r="CP17" s="27"/>
      <c r="CQ17" s="27"/>
      <c r="CR17" s="27"/>
      <c r="CS17" s="27"/>
      <c r="CT17" s="27"/>
      <c r="CU17" s="27"/>
      <c r="CV17" s="27"/>
      <c r="CW17" s="27"/>
      <c r="CX17" s="27"/>
      <c r="CY17" s="27"/>
      <c r="CZ17" s="27"/>
      <c r="DA17" s="27"/>
      <c r="DB17" s="27"/>
      <c r="DC17" s="27"/>
    </row>
    <row r="18" spans="8:107" s="17" customFormat="1" ht="14.5" outlineLevel="2" x14ac:dyDescent="0.35">
      <c r="K18" s="364"/>
      <c r="L18" s="528" t="s">
        <v>422</v>
      </c>
      <c r="M18" s="529">
        <v>2</v>
      </c>
      <c r="N18" s="526">
        <f>ROUNDUP(M18/3,1)</f>
        <v>0.7</v>
      </c>
      <c r="O18" s="530">
        <f t="shared" si="0"/>
        <v>0</v>
      </c>
      <c r="P18" s="127"/>
      <c r="Q18" s="92"/>
      <c r="R18" s="92"/>
      <c r="S18" s="92"/>
      <c r="T18" s="27"/>
      <c r="U18" s="27"/>
      <c r="V18" s="27"/>
      <c r="W18" s="27"/>
      <c r="X18" s="93"/>
      <c r="Y18" s="93"/>
      <c r="Z18" s="93"/>
      <c r="AA18" s="93"/>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f t="shared" si="4"/>
        <v>0</v>
      </c>
      <c r="CD18" s="109">
        <f t="shared" si="3"/>
        <v>0</v>
      </c>
      <c r="CE18" s="27">
        <f t="shared" si="1"/>
        <v>1</v>
      </c>
      <c r="CF18" s="27"/>
      <c r="CG18" s="126">
        <v>0</v>
      </c>
      <c r="CH18" s="27"/>
      <c r="CI18" s="27">
        <f t="shared" si="2"/>
        <v>0</v>
      </c>
      <c r="CJ18" s="27"/>
      <c r="CK18" s="27"/>
      <c r="CL18" s="27"/>
      <c r="CM18" s="27"/>
      <c r="CN18" s="27"/>
      <c r="CO18" s="27"/>
      <c r="CP18" s="27"/>
      <c r="CQ18" s="27"/>
      <c r="CR18" s="27"/>
      <c r="CS18" s="27"/>
      <c r="CT18" s="27"/>
      <c r="CU18" s="27"/>
      <c r="CV18" s="27"/>
      <c r="CW18" s="27"/>
      <c r="CX18" s="27"/>
      <c r="CY18" s="27"/>
      <c r="CZ18" s="27"/>
      <c r="DA18" s="27"/>
      <c r="DB18" s="27"/>
      <c r="DC18" s="27"/>
    </row>
    <row r="19" spans="8:107" s="17" customFormat="1" ht="14.5" outlineLevel="2" x14ac:dyDescent="0.35">
      <c r="K19" s="365"/>
      <c r="L19" s="528" t="s">
        <v>424</v>
      </c>
      <c r="M19" s="529">
        <v>3</v>
      </c>
      <c r="N19" s="526" t="s">
        <v>12</v>
      </c>
      <c r="O19" s="530">
        <f t="shared" si="0"/>
        <v>0</v>
      </c>
      <c r="P19" s="127"/>
      <c r="Q19" s="92"/>
      <c r="R19" s="92"/>
      <c r="S19" s="92"/>
      <c r="T19" s="27"/>
      <c r="U19" s="27"/>
      <c r="V19" s="27"/>
      <c r="W19" s="27"/>
      <c r="X19" s="93"/>
      <c r="Y19" s="93"/>
      <c r="Z19" s="93"/>
      <c r="AA19" s="93"/>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f t="shared" si="4"/>
        <v>0</v>
      </c>
      <c r="CD19" s="109">
        <f t="shared" si="3"/>
        <v>0</v>
      </c>
      <c r="CE19" s="27">
        <f t="shared" si="1"/>
        <v>1</v>
      </c>
      <c r="CF19" s="27"/>
      <c r="CG19" s="126">
        <v>0</v>
      </c>
      <c r="CH19" s="27"/>
      <c r="CI19" s="27">
        <f t="shared" si="2"/>
        <v>0</v>
      </c>
      <c r="CJ19" s="27"/>
      <c r="CK19" s="27"/>
      <c r="CL19" s="27"/>
      <c r="CM19" s="27"/>
      <c r="CN19" s="27"/>
      <c r="CO19" s="27"/>
      <c r="CP19" s="27"/>
      <c r="CQ19" s="27"/>
      <c r="CR19" s="27"/>
      <c r="CS19" s="27"/>
      <c r="CT19" s="27"/>
      <c r="CU19" s="27"/>
      <c r="CV19" s="27"/>
      <c r="CW19" s="27"/>
      <c r="CX19" s="27"/>
      <c r="CY19" s="27"/>
      <c r="CZ19" s="27"/>
      <c r="DA19" s="27"/>
      <c r="DB19" s="27"/>
      <c r="DC19" s="27"/>
    </row>
    <row r="20" spans="8:107" s="5" customFormat="1" ht="14.5" outlineLevel="1" x14ac:dyDescent="0.35">
      <c r="H20" s="12"/>
      <c r="I20" s="12"/>
      <c r="J20" s="12"/>
      <c r="K20" s="366"/>
      <c r="L20" s="524" t="s">
        <v>161</v>
      </c>
      <c r="M20" s="525"/>
      <c r="N20" s="526"/>
      <c r="O20" s="531"/>
      <c r="P20" s="123"/>
      <c r="Q20" s="124"/>
      <c r="R20" s="124"/>
      <c r="S20" s="124"/>
      <c r="T20" s="27"/>
      <c r="U20" s="27"/>
      <c r="V20" s="27"/>
      <c r="W20" s="27"/>
      <c r="X20" s="93"/>
      <c r="Y20" s="93"/>
      <c r="Z20" s="93"/>
      <c r="AA20" s="93"/>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81"/>
      <c r="CD20" s="81"/>
      <c r="CE20" s="81"/>
      <c r="CF20" s="118"/>
      <c r="CG20" s="128"/>
      <c r="CH20" s="118"/>
      <c r="CI20" s="81"/>
      <c r="CJ20" s="118"/>
      <c r="CK20" s="118"/>
      <c r="CL20" s="118"/>
      <c r="CM20" s="118"/>
      <c r="CN20" s="118"/>
      <c r="CO20" s="118"/>
      <c r="CP20" s="118"/>
      <c r="CQ20" s="118"/>
      <c r="CR20" s="118"/>
      <c r="CS20" s="118"/>
      <c r="CT20" s="118"/>
      <c r="CU20" s="118"/>
      <c r="CV20" s="118"/>
      <c r="CW20" s="118"/>
      <c r="CX20" s="118"/>
      <c r="CY20" s="118"/>
      <c r="CZ20" s="118"/>
      <c r="DA20" s="118"/>
      <c r="DB20" s="118"/>
      <c r="DC20" s="118"/>
    </row>
    <row r="21" spans="8:107" s="6" customFormat="1" ht="14.5" outlineLevel="2" x14ac:dyDescent="0.35">
      <c r="H21" s="13"/>
      <c r="I21" s="14"/>
      <c r="J21" s="14"/>
      <c r="K21" s="365" t="s">
        <v>462</v>
      </c>
      <c r="L21" s="528" t="s">
        <v>165</v>
      </c>
      <c r="M21" s="529">
        <v>0.5</v>
      </c>
      <c r="N21" s="526" t="s">
        <v>12</v>
      </c>
      <c r="O21" s="530">
        <f>IF(K21="x",SUM(M21,N21),0)</f>
        <v>0.5</v>
      </c>
      <c r="P21" s="23"/>
      <c r="Q21" s="39"/>
      <c r="R21" s="39"/>
      <c r="S21" s="39"/>
      <c r="T21" s="27"/>
      <c r="U21" s="27"/>
      <c r="V21" s="27"/>
      <c r="W21" s="27"/>
      <c r="X21" s="93"/>
      <c r="Y21" s="93"/>
      <c r="Z21" s="93"/>
      <c r="AA21" s="93"/>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f t="shared" si="4"/>
        <v>0.42499999999999999</v>
      </c>
      <c r="CD21" s="109">
        <f t="shared" si="3"/>
        <v>0.5</v>
      </c>
      <c r="CE21" s="27">
        <f>IF(CD21=0,1,CD21*1.4)</f>
        <v>0.7</v>
      </c>
      <c r="CF21" s="27"/>
      <c r="CG21" s="126">
        <v>0</v>
      </c>
      <c r="CH21" s="27"/>
      <c r="CI21" s="27">
        <f>IF(CF21&lt;&gt;"",CF21,CG21)</f>
        <v>0</v>
      </c>
      <c r="CJ21" s="27"/>
      <c r="CK21" s="27"/>
      <c r="CL21" s="27"/>
      <c r="CM21" s="27"/>
      <c r="CN21" s="27"/>
      <c r="CO21" s="27"/>
      <c r="CP21" s="27"/>
      <c r="CQ21" s="27"/>
      <c r="CR21" s="27"/>
      <c r="CS21" s="27"/>
      <c r="CT21" s="27"/>
      <c r="CU21" s="27"/>
      <c r="CV21" s="27"/>
      <c r="CW21" s="27"/>
      <c r="CX21" s="27"/>
      <c r="CY21" s="27"/>
      <c r="CZ21" s="27"/>
      <c r="DA21" s="27"/>
      <c r="DB21" s="27"/>
      <c r="DC21" s="27"/>
    </row>
    <row r="22" spans="8:107" s="6" customFormat="1" ht="14.5" outlineLevel="2" x14ac:dyDescent="0.35">
      <c r="H22" s="13"/>
      <c r="I22" s="14"/>
      <c r="J22" s="14"/>
      <c r="K22" s="365" t="s">
        <v>462</v>
      </c>
      <c r="L22" s="528" t="s">
        <v>13</v>
      </c>
      <c r="M22" s="529">
        <v>0.5</v>
      </c>
      <c r="N22" s="526">
        <f>ROUNDUP(M22/3,1)</f>
        <v>0.2</v>
      </c>
      <c r="O22" s="530">
        <f>IF(K22="x",SUM(M22,N22),0)</f>
        <v>0.7</v>
      </c>
      <c r="P22" s="23"/>
      <c r="Q22" s="39"/>
      <c r="R22" s="39"/>
      <c r="S22" s="39"/>
      <c r="T22" s="27"/>
      <c r="U22" s="27"/>
      <c r="V22" s="27"/>
      <c r="W22" s="27"/>
      <c r="X22" s="93"/>
      <c r="Y22" s="93"/>
      <c r="Z22" s="93"/>
      <c r="AA22" s="93"/>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f t="shared" si="4"/>
        <v>0.59499999999999997</v>
      </c>
      <c r="CD22" s="109">
        <f>O22</f>
        <v>0.7</v>
      </c>
      <c r="CE22" s="27">
        <f>IF(CD22=0,1,CD22*1.4)</f>
        <v>0.97999999999999987</v>
      </c>
      <c r="CF22" s="27"/>
      <c r="CG22" s="126">
        <v>0</v>
      </c>
      <c r="CH22" s="27"/>
      <c r="CI22" s="27">
        <f>IF(CF22&lt;&gt;"",CF22,CG22)</f>
        <v>0</v>
      </c>
      <c r="CJ22" s="27"/>
      <c r="CK22" s="27"/>
      <c r="CL22" s="27"/>
      <c r="CM22" s="27"/>
      <c r="CN22" s="27"/>
      <c r="CO22" s="27"/>
      <c r="CP22" s="27"/>
      <c r="CQ22" s="27"/>
      <c r="CR22" s="27"/>
      <c r="CS22" s="27"/>
      <c r="CT22" s="27"/>
      <c r="CU22" s="27"/>
      <c r="CV22" s="27"/>
      <c r="CW22" s="27"/>
      <c r="CX22" s="27"/>
      <c r="CY22" s="27"/>
      <c r="CZ22" s="27"/>
      <c r="DA22" s="27"/>
      <c r="DB22" s="27"/>
      <c r="DC22" s="27"/>
    </row>
    <row r="23" spans="8:107" s="6" customFormat="1" ht="14.5" outlineLevel="2" x14ac:dyDescent="0.35">
      <c r="H23" s="13"/>
      <c r="I23" s="14"/>
      <c r="J23" s="14"/>
      <c r="K23" s="364" t="s">
        <v>462</v>
      </c>
      <c r="L23" s="528" t="s">
        <v>160</v>
      </c>
      <c r="M23" s="529">
        <v>0.5</v>
      </c>
      <c r="N23" s="526">
        <f>ROUNDUP(M23/3,1)</f>
        <v>0.2</v>
      </c>
      <c r="O23" s="530">
        <f>IF(K23="x",SUM(M23,N23),0)</f>
        <v>0.7</v>
      </c>
      <c r="P23" s="127"/>
      <c r="Q23" s="92"/>
      <c r="R23" s="92"/>
      <c r="S23" s="92"/>
      <c r="T23" s="27"/>
      <c r="U23" s="97"/>
      <c r="V23" s="27"/>
      <c r="W23" s="27"/>
      <c r="X23" s="93"/>
      <c r="Y23" s="93"/>
      <c r="Z23" s="93"/>
      <c r="AA23" s="93"/>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109"/>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f t="shared" si="4"/>
        <v>0.59499999999999997</v>
      </c>
      <c r="CD23" s="109">
        <f t="shared" si="3"/>
        <v>0.7</v>
      </c>
      <c r="CE23" s="27">
        <f>IF(CD23=0,1,CD23*1.4)</f>
        <v>0.97999999999999987</v>
      </c>
      <c r="CF23" s="27"/>
      <c r="CG23" s="126">
        <v>0</v>
      </c>
      <c r="CH23" s="27"/>
      <c r="CI23" s="27">
        <f>IF(CF23&lt;&gt;"",CF23,CG23)</f>
        <v>0</v>
      </c>
      <c r="CJ23" s="27"/>
      <c r="CK23" s="27"/>
      <c r="CL23" s="27"/>
      <c r="CM23" s="27"/>
      <c r="CN23" s="27"/>
      <c r="CO23" s="27"/>
      <c r="CP23" s="27"/>
      <c r="CQ23" s="27"/>
      <c r="CR23" s="27"/>
      <c r="CS23" s="27"/>
      <c r="CT23" s="27"/>
      <c r="CU23" s="27"/>
      <c r="CV23" s="27"/>
      <c r="CW23" s="27"/>
      <c r="CX23" s="27"/>
      <c r="CY23" s="27"/>
      <c r="CZ23" s="27"/>
      <c r="DA23" s="27"/>
      <c r="DB23" s="27"/>
      <c r="DC23" s="27"/>
    </row>
    <row r="24" spans="8:107" s="6" customFormat="1" ht="14.5" outlineLevel="2" x14ac:dyDescent="0.35">
      <c r="H24" s="13"/>
      <c r="I24" s="14"/>
      <c r="J24" s="14"/>
      <c r="K24" s="364" t="s">
        <v>462</v>
      </c>
      <c r="L24" s="528" t="s">
        <v>84</v>
      </c>
      <c r="M24" s="529">
        <v>0.5</v>
      </c>
      <c r="N24" s="526">
        <f>ROUNDUP(M24/3,1)</f>
        <v>0.2</v>
      </c>
      <c r="O24" s="530">
        <f>IF(K24="x",SUM(M24,N24),0)</f>
        <v>0.7</v>
      </c>
      <c r="P24" s="23"/>
      <c r="Q24" s="39"/>
      <c r="R24" s="39"/>
      <c r="S24" s="39"/>
      <c r="T24" s="27"/>
      <c r="U24" s="97"/>
      <c r="V24" s="27"/>
      <c r="W24" s="27"/>
      <c r="X24" s="93"/>
      <c r="Y24" s="93"/>
      <c r="Z24" s="93"/>
      <c r="AA24" s="93"/>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f t="shared" si="4"/>
        <v>0.59499999999999997</v>
      </c>
      <c r="CD24" s="109">
        <f t="shared" si="3"/>
        <v>0.7</v>
      </c>
      <c r="CE24" s="27">
        <f>IF(CD24=0,1,CD24*1.4)</f>
        <v>0.97999999999999987</v>
      </c>
      <c r="CF24" s="27"/>
      <c r="CG24" s="126">
        <v>0</v>
      </c>
      <c r="CH24" s="27"/>
      <c r="CI24" s="27">
        <f>IF(CF24&lt;&gt;"",CF24,CG24)</f>
        <v>0</v>
      </c>
      <c r="CJ24" s="27"/>
      <c r="CK24" s="27"/>
      <c r="CL24" s="27"/>
      <c r="CM24" s="27"/>
      <c r="CN24" s="27"/>
      <c r="CO24" s="27"/>
      <c r="CP24" s="27"/>
      <c r="CQ24" s="27"/>
      <c r="CR24" s="27"/>
      <c r="CS24" s="27"/>
      <c r="CT24" s="27"/>
      <c r="CU24" s="27"/>
      <c r="CV24" s="27"/>
      <c r="CW24" s="27"/>
      <c r="CX24" s="27"/>
      <c r="CY24" s="27"/>
      <c r="CZ24" s="27"/>
      <c r="DA24" s="27"/>
      <c r="DB24" s="27"/>
      <c r="DC24" s="27"/>
    </row>
    <row r="25" spans="8:107" s="5" customFormat="1" ht="14.5" outlineLevel="1" x14ac:dyDescent="0.35">
      <c r="H25" s="12"/>
      <c r="I25" s="12"/>
      <c r="J25" s="12"/>
      <c r="K25" s="366"/>
      <c r="L25" s="524" t="s">
        <v>162</v>
      </c>
      <c r="M25" s="525"/>
      <c r="N25" s="526"/>
      <c r="O25" s="531"/>
      <c r="P25" s="123"/>
      <c r="Q25" s="124"/>
      <c r="R25" s="124"/>
      <c r="S25" s="124"/>
      <c r="T25" s="118"/>
      <c r="U25" s="27"/>
      <c r="V25" s="27"/>
      <c r="W25" s="27"/>
      <c r="X25" s="93"/>
      <c r="Y25" s="93"/>
      <c r="Z25" s="93"/>
      <c r="AA25" s="93"/>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81"/>
      <c r="CD25" s="81"/>
      <c r="CE25" s="81"/>
      <c r="CF25" s="118"/>
      <c r="CG25" s="128"/>
      <c r="CH25" s="118"/>
      <c r="CI25" s="81"/>
      <c r="CJ25" s="118"/>
      <c r="CK25" s="118"/>
      <c r="CL25" s="118"/>
      <c r="CM25" s="118"/>
      <c r="CN25" s="118"/>
      <c r="CO25" s="118"/>
      <c r="CP25" s="118"/>
      <c r="CQ25" s="118"/>
      <c r="CR25" s="118"/>
      <c r="CS25" s="118"/>
      <c r="CT25" s="118"/>
      <c r="CU25" s="118"/>
      <c r="CV25" s="118"/>
      <c r="CW25" s="118"/>
      <c r="CX25" s="118"/>
      <c r="CY25" s="118"/>
      <c r="CZ25" s="118"/>
      <c r="DA25" s="118"/>
      <c r="DB25" s="118"/>
      <c r="DC25" s="118"/>
    </row>
    <row r="26" spans="8:107" s="6" customFormat="1" ht="14.5" outlineLevel="2" x14ac:dyDescent="0.35">
      <c r="H26" s="13"/>
      <c r="I26" s="14"/>
      <c r="J26" s="14"/>
      <c r="K26" s="365" t="s">
        <v>462</v>
      </c>
      <c r="L26" s="528" t="s">
        <v>165</v>
      </c>
      <c r="M26" s="525">
        <f>SUM(BB43:BB107)/2</f>
        <v>25.750000000000004</v>
      </c>
      <c r="N26" s="526" t="s">
        <v>12</v>
      </c>
      <c r="O26" s="530">
        <f t="shared" ref="O26:O31" si="5">IF(K26="x",SUM(M26,N26),0)</f>
        <v>25.750000000000004</v>
      </c>
      <c r="P26" s="127"/>
      <c r="Q26" s="39"/>
      <c r="R26" s="39"/>
      <c r="S26" s="39"/>
      <c r="T26" s="27"/>
      <c r="U26" s="27"/>
      <c r="V26" s="27"/>
      <c r="W26" s="27"/>
      <c r="X26" s="93"/>
      <c r="Y26" s="93"/>
      <c r="Z26" s="93"/>
      <c r="AA26" s="93"/>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f t="shared" si="4"/>
        <v>21.887500000000003</v>
      </c>
      <c r="CD26" s="109">
        <f t="shared" si="3"/>
        <v>25.750000000000004</v>
      </c>
      <c r="CE26" s="27">
        <f t="shared" ref="CE26:CE40" si="6">IF(CD26=0,1,CD26*1.4)</f>
        <v>36.050000000000004</v>
      </c>
      <c r="CF26" s="27"/>
      <c r="CG26" s="126">
        <v>0</v>
      </c>
      <c r="CH26" s="27"/>
      <c r="CI26" s="27">
        <f t="shared" ref="CI26:CI33" si="7">IF(CF26&lt;&gt;"",CF26,CG26)</f>
        <v>0</v>
      </c>
      <c r="CJ26" s="27"/>
      <c r="CK26" s="27"/>
      <c r="CL26" s="27"/>
      <c r="CM26" s="27"/>
      <c r="CN26" s="27"/>
      <c r="CO26" s="27"/>
      <c r="CP26" s="27"/>
      <c r="CQ26" s="27"/>
      <c r="CR26" s="27"/>
      <c r="CS26" s="27"/>
      <c r="CT26" s="27"/>
      <c r="CU26" s="27"/>
      <c r="CV26" s="27"/>
      <c r="CW26" s="27"/>
      <c r="CX26" s="27"/>
      <c r="CY26" s="27"/>
      <c r="CZ26" s="27"/>
      <c r="DA26" s="27"/>
      <c r="DB26" s="27"/>
      <c r="DC26" s="27"/>
    </row>
    <row r="27" spans="8:107" s="14" customFormat="1" ht="14.5" outlineLevel="2" x14ac:dyDescent="0.35">
      <c r="K27" s="364" t="s">
        <v>462</v>
      </c>
      <c r="L27" s="528" t="s">
        <v>255</v>
      </c>
      <c r="M27" s="529">
        <v>0</v>
      </c>
      <c r="N27" s="526" t="s">
        <v>12</v>
      </c>
      <c r="O27" s="530">
        <f t="shared" si="5"/>
        <v>0</v>
      </c>
      <c r="P27" s="129"/>
      <c r="Q27" s="39"/>
      <c r="R27" s="39"/>
      <c r="S27" s="39"/>
      <c r="T27" s="27"/>
      <c r="U27" s="27"/>
      <c r="V27" s="27"/>
      <c r="W27" s="27"/>
      <c r="X27" s="93"/>
      <c r="Y27" s="93"/>
      <c r="Z27" s="93"/>
      <c r="AA27" s="93"/>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f>CD27*0.85</f>
        <v>0</v>
      </c>
      <c r="CD27" s="109">
        <f t="shared" si="3"/>
        <v>0</v>
      </c>
      <c r="CE27" s="27">
        <f t="shared" si="6"/>
        <v>1</v>
      </c>
      <c r="CF27" s="27"/>
      <c r="CG27" s="126">
        <v>0</v>
      </c>
      <c r="CH27" s="27"/>
      <c r="CI27" s="27">
        <f t="shared" si="7"/>
        <v>0</v>
      </c>
      <c r="CJ27" s="27"/>
      <c r="CK27" s="27"/>
      <c r="CL27" s="27"/>
      <c r="CM27" s="27"/>
      <c r="CN27" s="27"/>
      <c r="CO27" s="27"/>
      <c r="CP27" s="27"/>
      <c r="CQ27" s="27"/>
      <c r="CR27" s="27"/>
      <c r="CS27" s="27"/>
      <c r="CT27" s="27"/>
      <c r="CU27" s="27"/>
      <c r="CV27" s="27"/>
      <c r="CW27" s="27"/>
      <c r="CX27" s="27"/>
      <c r="CY27" s="27"/>
      <c r="CZ27" s="27"/>
      <c r="DA27" s="27"/>
      <c r="DB27" s="27"/>
      <c r="DC27" s="27"/>
    </row>
    <row r="28" spans="8:107" s="17" customFormat="1" ht="14.5" outlineLevel="2" x14ac:dyDescent="0.35">
      <c r="K28" s="364"/>
      <c r="L28" s="528" t="s">
        <v>459</v>
      </c>
      <c r="M28" s="525">
        <f>SUM(BC43:BC107)</f>
        <v>64.400000000000006</v>
      </c>
      <c r="N28" s="526">
        <f>SUM(BD42:BD73)</f>
        <v>3.6000000000000019</v>
      </c>
      <c r="O28" s="530">
        <f t="shared" si="5"/>
        <v>0</v>
      </c>
      <c r="P28" s="129" t="s">
        <v>610</v>
      </c>
      <c r="Q28" s="82"/>
      <c r="R28" s="82"/>
      <c r="S28" s="82"/>
      <c r="T28" s="27"/>
      <c r="U28" s="27"/>
      <c r="V28" s="27"/>
      <c r="W28" s="27"/>
      <c r="X28" s="93"/>
      <c r="Y28" s="93"/>
      <c r="Z28" s="93"/>
      <c r="AA28" s="93"/>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v>0</v>
      </c>
      <c r="CD28" s="109">
        <f>O28</f>
        <v>0</v>
      </c>
      <c r="CE28" s="27">
        <f t="shared" si="6"/>
        <v>1</v>
      </c>
      <c r="CF28" s="27"/>
      <c r="CG28" s="126">
        <v>0</v>
      </c>
      <c r="CH28" s="27"/>
      <c r="CI28" s="27">
        <f t="shared" si="7"/>
        <v>0</v>
      </c>
      <c r="CJ28" s="27"/>
      <c r="CK28" s="27"/>
      <c r="CL28" s="27"/>
      <c r="CM28" s="27"/>
      <c r="CN28" s="27"/>
      <c r="CO28" s="27"/>
      <c r="CP28" s="27"/>
      <c r="CQ28" s="27"/>
      <c r="CR28" s="27"/>
      <c r="CS28" s="27"/>
      <c r="CT28" s="27"/>
      <c r="CU28" s="27"/>
      <c r="CV28" s="27"/>
      <c r="CW28" s="27"/>
      <c r="CX28" s="27"/>
      <c r="CY28" s="27"/>
      <c r="CZ28" s="27"/>
      <c r="DA28" s="27"/>
      <c r="DB28" s="27"/>
      <c r="DC28" s="27"/>
    </row>
    <row r="29" spans="8:107" s="6" customFormat="1" ht="14.5" outlineLevel="2" x14ac:dyDescent="0.35">
      <c r="H29" s="13"/>
      <c r="I29" s="14"/>
      <c r="J29" s="14"/>
      <c r="K29" s="365" t="s">
        <v>462</v>
      </c>
      <c r="L29" s="528" t="s">
        <v>726</v>
      </c>
      <c r="M29" s="525">
        <f>SUM(BC43:BC107)</f>
        <v>64.400000000000006</v>
      </c>
      <c r="N29" s="526">
        <f>SUM(BD46:BD73)</f>
        <v>3.3000000000000016</v>
      </c>
      <c r="O29" s="530">
        <f t="shared" si="5"/>
        <v>67.7</v>
      </c>
      <c r="P29" s="127"/>
      <c r="Q29" s="82"/>
      <c r="R29" s="82"/>
      <c r="S29" s="82"/>
      <c r="T29" s="27"/>
      <c r="U29" s="27"/>
      <c r="V29" s="27"/>
      <c r="W29" s="27"/>
      <c r="X29" s="93"/>
      <c r="Y29" s="93"/>
      <c r="Z29" s="93"/>
      <c r="AA29" s="93"/>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f t="shared" si="4"/>
        <v>57.545000000000002</v>
      </c>
      <c r="CD29" s="109">
        <f t="shared" si="3"/>
        <v>67.7</v>
      </c>
      <c r="CE29" s="27">
        <f t="shared" si="6"/>
        <v>94.78</v>
      </c>
      <c r="CF29" s="27"/>
      <c r="CG29" s="126">
        <v>0</v>
      </c>
      <c r="CH29" s="27"/>
      <c r="CI29" s="27">
        <f t="shared" si="7"/>
        <v>0</v>
      </c>
      <c r="CJ29" s="27"/>
      <c r="CK29" s="27"/>
      <c r="CL29" s="27"/>
      <c r="CM29" s="27"/>
      <c r="CN29" s="27"/>
      <c r="CO29" s="27"/>
      <c r="CP29" s="27"/>
      <c r="CQ29" s="27"/>
      <c r="CR29" s="27"/>
      <c r="CS29" s="27"/>
      <c r="CT29" s="27"/>
      <c r="CU29" s="27"/>
      <c r="CV29" s="27"/>
      <c r="CW29" s="27"/>
      <c r="CX29" s="27"/>
      <c r="CY29" s="27"/>
      <c r="CZ29" s="27"/>
      <c r="DA29" s="27"/>
      <c r="DB29" s="27"/>
      <c r="DC29" s="27"/>
    </row>
    <row r="30" spans="8:107" s="14" customFormat="1" ht="14.5" outlineLevel="2" x14ac:dyDescent="0.35">
      <c r="K30" s="365" t="s">
        <v>462</v>
      </c>
      <c r="L30" s="528" t="s">
        <v>453</v>
      </c>
      <c r="M30" s="525">
        <f>SUM(BE43:BE107,BI43:BI107)</f>
        <v>53.900000000000055</v>
      </c>
      <c r="N30" s="526">
        <f>SUM(BF46:BF107,BJ46:BJ107)</f>
        <v>18.299999999999994</v>
      </c>
      <c r="O30" s="530">
        <f t="shared" si="5"/>
        <v>72.200000000000045</v>
      </c>
      <c r="P30" s="127"/>
      <c r="Q30" s="82"/>
      <c r="R30" s="82"/>
      <c r="S30" s="82"/>
      <c r="T30" s="27"/>
      <c r="U30" s="27"/>
      <c r="V30" s="27"/>
      <c r="W30" s="27"/>
      <c r="X30" s="93"/>
      <c r="Y30" s="93"/>
      <c r="Z30" s="93"/>
      <c r="AA30" s="93"/>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97"/>
      <c r="BS30" s="27"/>
      <c r="BT30" s="27"/>
      <c r="BU30" s="27"/>
      <c r="BV30" s="27"/>
      <c r="BW30" s="27"/>
      <c r="BX30" s="27"/>
      <c r="BY30" s="27"/>
      <c r="BZ30" s="27"/>
      <c r="CA30" s="27"/>
      <c r="CB30" s="27"/>
      <c r="CC30" s="27">
        <f t="shared" si="4"/>
        <v>61.37000000000004</v>
      </c>
      <c r="CD30" s="109">
        <f t="shared" si="3"/>
        <v>72.200000000000045</v>
      </c>
      <c r="CE30" s="27">
        <f t="shared" si="6"/>
        <v>101.08000000000006</v>
      </c>
      <c r="CF30" s="27"/>
      <c r="CG30" s="126">
        <v>0</v>
      </c>
      <c r="CH30" s="27"/>
      <c r="CI30" s="27">
        <f t="shared" si="7"/>
        <v>0</v>
      </c>
      <c r="CJ30" s="27"/>
      <c r="CK30" s="27"/>
      <c r="CL30" s="27"/>
      <c r="CM30" s="27"/>
      <c r="CN30" s="27"/>
      <c r="CO30" s="27"/>
      <c r="CP30" s="27"/>
      <c r="CQ30" s="27"/>
      <c r="CR30" s="27"/>
      <c r="CS30" s="27"/>
      <c r="CT30" s="27"/>
      <c r="CU30" s="27"/>
      <c r="CV30" s="27"/>
      <c r="CW30" s="27"/>
      <c r="CX30" s="27"/>
      <c r="CY30" s="27"/>
      <c r="CZ30" s="27"/>
      <c r="DA30" s="27"/>
      <c r="DB30" s="27"/>
      <c r="DC30" s="27"/>
    </row>
    <row r="31" spans="8:107" s="17" customFormat="1" ht="14.5" outlineLevel="2" x14ac:dyDescent="0.35">
      <c r="K31" s="364"/>
      <c r="L31" s="528" t="s">
        <v>460</v>
      </c>
      <c r="M31" s="525">
        <v>0</v>
      </c>
      <c r="N31" s="526">
        <v>0</v>
      </c>
      <c r="O31" s="530">
        <f t="shared" si="5"/>
        <v>0</v>
      </c>
      <c r="P31" s="127"/>
      <c r="Q31" s="82"/>
      <c r="R31" s="82"/>
      <c r="S31" s="82"/>
      <c r="T31" s="27"/>
      <c r="U31" s="27"/>
      <c r="V31" s="27"/>
      <c r="W31" s="27"/>
      <c r="X31" s="93"/>
      <c r="Y31" s="93"/>
      <c r="Z31" s="93"/>
      <c r="AA31" s="93"/>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f t="shared" si="4"/>
        <v>0</v>
      </c>
      <c r="CD31" s="109">
        <f>O31</f>
        <v>0</v>
      </c>
      <c r="CE31" s="27">
        <f t="shared" si="6"/>
        <v>1</v>
      </c>
      <c r="CF31" s="27"/>
      <c r="CG31" s="126">
        <v>0</v>
      </c>
      <c r="CH31" s="27"/>
      <c r="CI31" s="27">
        <f t="shared" si="7"/>
        <v>0</v>
      </c>
      <c r="CJ31" s="27"/>
      <c r="CK31" s="27"/>
      <c r="CL31" s="27"/>
      <c r="CM31" s="27"/>
      <c r="CN31" s="27"/>
      <c r="CO31" s="27"/>
      <c r="CP31" s="27"/>
      <c r="CQ31" s="27"/>
      <c r="CR31" s="27"/>
      <c r="CS31" s="27"/>
      <c r="CT31" s="27"/>
      <c r="CU31" s="27"/>
      <c r="CV31" s="27"/>
      <c r="CW31" s="27"/>
      <c r="CX31" s="27"/>
      <c r="CY31" s="27"/>
      <c r="CZ31" s="27"/>
      <c r="DA31" s="27"/>
      <c r="DB31" s="27"/>
      <c r="DC31" s="27"/>
    </row>
    <row r="32" spans="8:107" s="15" customFormat="1" ht="14.5" outlineLevel="2" x14ac:dyDescent="0.35">
      <c r="K32" s="364" t="s">
        <v>462</v>
      </c>
      <c r="L32" s="528" t="s">
        <v>258</v>
      </c>
      <c r="M32" s="525">
        <f>SUM(BG43:BG126)/2</f>
        <v>26.150000000000027</v>
      </c>
      <c r="N32" s="532">
        <f>SUM(BF43:BF107,BJ43:BJ107)</f>
        <v>18.299999999999994</v>
      </c>
      <c r="O32" s="530">
        <f>IF(K32="x",SUM(M32,N32),0)*0.5</f>
        <v>22.225000000000009</v>
      </c>
      <c r="P32" s="127"/>
      <c r="Q32" s="82"/>
      <c r="R32" s="82"/>
      <c r="S32" s="82"/>
      <c r="T32" s="27"/>
      <c r="U32" s="27"/>
      <c r="V32" s="27"/>
      <c r="W32" s="27"/>
      <c r="X32" s="93"/>
      <c r="Y32" s="93"/>
      <c r="Z32" s="93"/>
      <c r="AA32" s="93"/>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f>CD32*0.85</f>
        <v>18.891250000000007</v>
      </c>
      <c r="CD32" s="109">
        <f>O32</f>
        <v>22.225000000000009</v>
      </c>
      <c r="CE32" s="27">
        <f t="shared" si="6"/>
        <v>31.115000000000009</v>
      </c>
      <c r="CF32" s="27"/>
      <c r="CG32" s="126">
        <v>0</v>
      </c>
      <c r="CH32" s="27"/>
      <c r="CI32" s="27">
        <f t="shared" si="7"/>
        <v>0</v>
      </c>
      <c r="CJ32" s="27"/>
      <c r="CK32" s="27"/>
      <c r="CL32" s="27"/>
      <c r="CM32" s="27"/>
      <c r="CN32" s="27"/>
      <c r="CO32" s="27"/>
      <c r="CP32" s="27"/>
      <c r="CQ32" s="27"/>
      <c r="CR32" s="27"/>
      <c r="CS32" s="27"/>
      <c r="CT32" s="27"/>
      <c r="CU32" s="27"/>
      <c r="CV32" s="27"/>
      <c r="CW32" s="27"/>
      <c r="CX32" s="27"/>
      <c r="CY32" s="27"/>
      <c r="CZ32" s="27"/>
      <c r="DA32" s="27"/>
      <c r="DB32" s="27"/>
      <c r="DC32" s="27"/>
    </row>
    <row r="33" spans="3:107" s="6" customFormat="1" ht="14.5" outlineLevel="2" x14ac:dyDescent="0.35">
      <c r="H33" s="13"/>
      <c r="I33" s="14"/>
      <c r="J33" s="14"/>
      <c r="K33" s="365" t="s">
        <v>462</v>
      </c>
      <c r="L33" s="528" t="s">
        <v>268</v>
      </c>
      <c r="M33" s="525">
        <f>N153*0.5</f>
        <v>11</v>
      </c>
      <c r="N33" s="526" t="s">
        <v>12</v>
      </c>
      <c r="O33" s="530">
        <f>IF(K33="x",SUM(M33,N33),0)*2</f>
        <v>22</v>
      </c>
      <c r="P33" s="127"/>
      <c r="Q33" s="39"/>
      <c r="R33" s="39"/>
      <c r="S33" s="39"/>
      <c r="T33" s="27"/>
      <c r="U33" s="27"/>
      <c r="V33" s="27"/>
      <c r="W33" s="27"/>
      <c r="X33" s="93"/>
      <c r="Y33" s="93"/>
      <c r="Z33" s="93"/>
      <c r="AA33" s="93"/>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f t="shared" si="4"/>
        <v>18.7</v>
      </c>
      <c r="CD33" s="109">
        <f t="shared" si="3"/>
        <v>22</v>
      </c>
      <c r="CE33" s="27">
        <f t="shared" si="6"/>
        <v>30.799999999999997</v>
      </c>
      <c r="CF33" s="27"/>
      <c r="CG33" s="126">
        <v>0</v>
      </c>
      <c r="CH33" s="27"/>
      <c r="CI33" s="27">
        <f t="shared" si="7"/>
        <v>0</v>
      </c>
      <c r="CJ33" s="27"/>
      <c r="CK33" s="27"/>
      <c r="CL33" s="27"/>
      <c r="CM33" s="27"/>
      <c r="CN33" s="27"/>
      <c r="CO33" s="27"/>
      <c r="CP33" s="27"/>
      <c r="CQ33" s="27"/>
      <c r="CR33" s="27"/>
      <c r="CS33" s="27"/>
      <c r="CT33" s="27"/>
      <c r="CU33" s="27"/>
      <c r="CV33" s="27"/>
      <c r="CW33" s="27"/>
      <c r="CX33" s="27"/>
      <c r="CY33" s="27"/>
      <c r="CZ33" s="27"/>
      <c r="DA33" s="27"/>
      <c r="DB33" s="27"/>
      <c r="DC33" s="27"/>
    </row>
    <row r="34" spans="3:107" s="5" customFormat="1" ht="14.5" outlineLevel="1" x14ac:dyDescent="0.35">
      <c r="H34" s="12"/>
      <c r="I34" s="12"/>
      <c r="J34" s="12"/>
      <c r="K34" s="366"/>
      <c r="L34" s="524" t="s">
        <v>163</v>
      </c>
      <c r="M34" s="525"/>
      <c r="N34" s="526"/>
      <c r="O34" s="531"/>
      <c r="P34" s="123"/>
      <c r="Q34" s="124"/>
      <c r="R34" s="124"/>
      <c r="S34" s="124"/>
      <c r="T34" s="118"/>
      <c r="U34" s="27"/>
      <c r="V34" s="27"/>
      <c r="W34" s="27"/>
      <c r="X34" s="93"/>
      <c r="Y34" s="93"/>
      <c r="Z34" s="93"/>
      <c r="AA34" s="93"/>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f t="shared" si="4"/>
        <v>0</v>
      </c>
      <c r="CD34" s="109">
        <f t="shared" si="3"/>
        <v>0</v>
      </c>
      <c r="CE34" s="27">
        <f t="shared" si="6"/>
        <v>1</v>
      </c>
      <c r="CF34" s="118"/>
      <c r="CG34" s="128"/>
      <c r="CH34" s="118"/>
      <c r="CI34" s="81"/>
      <c r="CJ34" s="118"/>
      <c r="CK34" s="118"/>
      <c r="CL34" s="118"/>
      <c r="CM34" s="118"/>
      <c r="CN34" s="118"/>
      <c r="CO34" s="118"/>
      <c r="CP34" s="118"/>
      <c r="CQ34" s="118"/>
      <c r="CR34" s="118"/>
      <c r="CS34" s="118"/>
      <c r="CT34" s="118"/>
      <c r="CU34" s="118"/>
      <c r="CV34" s="118"/>
      <c r="CW34" s="118"/>
      <c r="CX34" s="118"/>
      <c r="CY34" s="118"/>
      <c r="CZ34" s="118"/>
      <c r="DA34" s="118"/>
      <c r="DB34" s="118"/>
      <c r="DC34" s="118"/>
    </row>
    <row r="35" spans="3:107" s="6" customFormat="1" ht="14.5" outlineLevel="2" x14ac:dyDescent="0.35">
      <c r="H35" s="13"/>
      <c r="I35" s="14"/>
      <c r="J35" s="14"/>
      <c r="K35" s="365" t="s">
        <v>462</v>
      </c>
      <c r="L35" s="528" t="s">
        <v>165</v>
      </c>
      <c r="M35" s="529">
        <v>0.5</v>
      </c>
      <c r="N35" s="526" t="s">
        <v>12</v>
      </c>
      <c r="O35" s="530">
        <f t="shared" ref="O35:O40" si="8">IF(K35="x",SUM(M35,N35),0)</f>
        <v>0.5</v>
      </c>
      <c r="P35" s="23"/>
      <c r="Q35" s="39"/>
      <c r="R35" s="39"/>
      <c r="S35" s="39"/>
      <c r="T35" s="27"/>
      <c r="U35" s="27"/>
      <c r="V35" s="27"/>
      <c r="W35" s="27"/>
      <c r="X35" s="93"/>
      <c r="Y35" s="93"/>
      <c r="Z35" s="93"/>
      <c r="AA35" s="93"/>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f t="shared" si="4"/>
        <v>0.42499999999999999</v>
      </c>
      <c r="CD35" s="109">
        <f t="shared" si="3"/>
        <v>0.5</v>
      </c>
      <c r="CE35" s="27">
        <f t="shared" si="6"/>
        <v>0.7</v>
      </c>
      <c r="CF35" s="27"/>
      <c r="CG35" s="126">
        <v>0</v>
      </c>
      <c r="CH35" s="27"/>
      <c r="CI35" s="27">
        <f t="shared" ref="CI35:CI40" si="9">IF(CF35&lt;&gt;"",CF35,CG35)</f>
        <v>0</v>
      </c>
      <c r="CJ35" s="27"/>
      <c r="CK35" s="27"/>
      <c r="CL35" s="27"/>
      <c r="CM35" s="27"/>
      <c r="CN35" s="27"/>
      <c r="CO35" s="27"/>
      <c r="CP35" s="27"/>
      <c r="CQ35" s="27"/>
      <c r="CR35" s="27"/>
      <c r="CS35" s="27"/>
      <c r="CT35" s="27"/>
      <c r="CU35" s="27"/>
      <c r="CV35" s="27"/>
      <c r="CW35" s="27"/>
      <c r="CX35" s="27"/>
      <c r="CY35" s="27"/>
      <c r="CZ35" s="27"/>
      <c r="DA35" s="27"/>
      <c r="DB35" s="27"/>
      <c r="DC35" s="27"/>
    </row>
    <row r="36" spans="3:107" s="6" customFormat="1" ht="14.5" outlineLevel="2" x14ac:dyDescent="0.35">
      <c r="H36" s="14"/>
      <c r="I36" s="14"/>
      <c r="J36" s="14"/>
      <c r="K36" s="364" t="s">
        <v>462</v>
      </c>
      <c r="L36" s="528" t="s">
        <v>13</v>
      </c>
      <c r="M36" s="529">
        <v>0.5</v>
      </c>
      <c r="N36" s="526">
        <f>ROUNDUP(M36/3,1)</f>
        <v>0.2</v>
      </c>
      <c r="O36" s="530">
        <f t="shared" si="8"/>
        <v>0.7</v>
      </c>
      <c r="P36" s="23"/>
      <c r="Q36" s="39"/>
      <c r="R36" s="39"/>
      <c r="S36" s="39"/>
      <c r="T36" s="27"/>
      <c r="U36" s="27"/>
      <c r="V36" s="27"/>
      <c r="W36" s="27"/>
      <c r="X36" s="93"/>
      <c r="Y36" s="93"/>
      <c r="Z36" s="93"/>
      <c r="AA36" s="93"/>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f t="shared" si="4"/>
        <v>0.59499999999999997</v>
      </c>
      <c r="CD36" s="109">
        <f t="shared" si="3"/>
        <v>0.7</v>
      </c>
      <c r="CE36" s="27">
        <f t="shared" si="6"/>
        <v>0.97999999999999987</v>
      </c>
      <c r="CF36" s="27"/>
      <c r="CG36" s="126">
        <v>0</v>
      </c>
      <c r="CH36" s="27"/>
      <c r="CI36" s="27">
        <f t="shared" si="9"/>
        <v>0</v>
      </c>
      <c r="CJ36" s="27"/>
      <c r="CK36" s="27"/>
      <c r="CL36" s="27"/>
      <c r="CM36" s="27"/>
      <c r="CN36" s="27"/>
      <c r="CO36" s="27"/>
      <c r="CP36" s="27"/>
      <c r="CQ36" s="27"/>
      <c r="CR36" s="27"/>
      <c r="CS36" s="27"/>
      <c r="CT36" s="27"/>
      <c r="CU36" s="27"/>
      <c r="CV36" s="27"/>
      <c r="CW36" s="27"/>
      <c r="CX36" s="27"/>
      <c r="CY36" s="27"/>
      <c r="CZ36" s="27"/>
      <c r="DA36" s="27"/>
      <c r="DB36" s="27"/>
      <c r="DC36" s="27"/>
    </row>
    <row r="37" spans="3:107" s="6" customFormat="1" ht="14.5" outlineLevel="2" x14ac:dyDescent="0.35">
      <c r="H37" s="14"/>
      <c r="I37" s="14"/>
      <c r="J37" s="14"/>
      <c r="K37" s="364" t="s">
        <v>462</v>
      </c>
      <c r="L37" s="528" t="s">
        <v>164</v>
      </c>
      <c r="M37" s="525">
        <f>ROUNDUP(((N167*5/60) + (N168*5/60)),1)</f>
        <v>0.30000000000000004</v>
      </c>
      <c r="N37" s="532">
        <f>ROUNDUP(M37*20/80,1)</f>
        <v>0.1</v>
      </c>
      <c r="O37" s="530">
        <f t="shared" si="8"/>
        <v>0.4</v>
      </c>
      <c r="P37" s="127"/>
      <c r="Q37" s="82"/>
      <c r="R37" s="82"/>
      <c r="S37" s="82"/>
      <c r="T37" s="27"/>
      <c r="U37" s="27"/>
      <c r="V37" s="27"/>
      <c r="W37" s="27"/>
      <c r="X37" s="93"/>
      <c r="Y37" s="93"/>
      <c r="Z37" s="93"/>
      <c r="AA37" s="93"/>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f t="shared" si="4"/>
        <v>0.34</v>
      </c>
      <c r="CD37" s="109">
        <f t="shared" si="3"/>
        <v>0.4</v>
      </c>
      <c r="CE37" s="27">
        <f t="shared" si="6"/>
        <v>0.55999999999999994</v>
      </c>
      <c r="CF37" s="27"/>
      <c r="CG37" s="126">
        <v>0</v>
      </c>
      <c r="CH37" s="27"/>
      <c r="CI37" s="27">
        <f t="shared" si="9"/>
        <v>0</v>
      </c>
      <c r="CJ37" s="27"/>
      <c r="CK37" s="27"/>
      <c r="CL37" s="27"/>
      <c r="CM37" s="27"/>
      <c r="CN37" s="27"/>
      <c r="CO37" s="27"/>
      <c r="CP37" s="27"/>
      <c r="CQ37" s="27"/>
      <c r="CR37" s="27"/>
      <c r="CS37" s="27"/>
      <c r="CT37" s="27"/>
      <c r="CU37" s="27"/>
      <c r="CV37" s="27"/>
      <c r="CW37" s="27"/>
      <c r="CX37" s="27"/>
      <c r="CY37" s="27"/>
      <c r="CZ37" s="27"/>
      <c r="DA37" s="27"/>
      <c r="DB37" s="27"/>
      <c r="DC37" s="27"/>
    </row>
    <row r="38" spans="3:107" s="17" customFormat="1" ht="14.5" outlineLevel="2" x14ac:dyDescent="0.35">
      <c r="K38" s="364"/>
      <c r="L38" s="528" t="s">
        <v>456</v>
      </c>
      <c r="M38" s="525">
        <f>ROUNDUP(M37*0.8,1)</f>
        <v>0.30000000000000004</v>
      </c>
      <c r="N38" s="532">
        <f>ROUNDUP(M38*20/80,1)</f>
        <v>0.1</v>
      </c>
      <c r="O38" s="530">
        <f t="shared" si="8"/>
        <v>0</v>
      </c>
      <c r="P38" s="127"/>
      <c r="Q38" s="82"/>
      <c r="R38" s="82"/>
      <c r="S38" s="82"/>
      <c r="T38" s="27"/>
      <c r="U38" s="27"/>
      <c r="V38" s="27"/>
      <c r="W38" s="27"/>
      <c r="X38" s="93"/>
      <c r="Y38" s="93"/>
      <c r="Z38" s="93"/>
      <c r="AA38" s="93"/>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f t="shared" si="4"/>
        <v>0</v>
      </c>
      <c r="CD38" s="109">
        <f t="shared" si="3"/>
        <v>0</v>
      </c>
      <c r="CE38" s="27">
        <f t="shared" si="6"/>
        <v>1</v>
      </c>
      <c r="CF38" s="27"/>
      <c r="CG38" s="126">
        <v>0</v>
      </c>
      <c r="CH38" s="27"/>
      <c r="CI38" s="27">
        <f t="shared" si="9"/>
        <v>0</v>
      </c>
      <c r="CJ38" s="27"/>
      <c r="CK38" s="27"/>
      <c r="CL38" s="27"/>
      <c r="CM38" s="27"/>
      <c r="CN38" s="27"/>
      <c r="CO38" s="27"/>
      <c r="CP38" s="27"/>
      <c r="CQ38" s="27"/>
      <c r="CR38" s="27"/>
      <c r="CS38" s="27"/>
      <c r="CT38" s="27"/>
      <c r="CU38" s="27"/>
      <c r="CV38" s="27"/>
      <c r="CW38" s="27"/>
      <c r="CX38" s="27"/>
      <c r="CY38" s="27"/>
      <c r="CZ38" s="27"/>
      <c r="DA38" s="27"/>
      <c r="DB38" s="27"/>
      <c r="DC38" s="27"/>
    </row>
    <row r="39" spans="3:107" s="9" customFormat="1" ht="15" outlineLevel="2" thickBot="1" x14ac:dyDescent="0.4">
      <c r="K39" s="365" t="s">
        <v>462</v>
      </c>
      <c r="L39" s="528" t="s">
        <v>14</v>
      </c>
      <c r="M39" s="525">
        <f>ROUNDUP(N150*5/60,1)</f>
        <v>0.1</v>
      </c>
      <c r="N39" s="532">
        <f>ROUNDUP(M39*1/3,1)</f>
        <v>0.1</v>
      </c>
      <c r="O39" s="530">
        <f t="shared" si="8"/>
        <v>0.2</v>
      </c>
      <c r="P39" s="127"/>
      <c r="Q39" s="82"/>
      <c r="R39" s="82"/>
      <c r="S39" s="82"/>
      <c r="T39" s="79"/>
      <c r="U39" s="27"/>
      <c r="V39" s="27"/>
      <c r="W39" s="27"/>
      <c r="X39" s="93"/>
      <c r="Y39" s="93"/>
      <c r="Z39" s="93"/>
      <c r="AA39" s="93"/>
      <c r="AB39" s="27"/>
      <c r="AC39" s="27"/>
      <c r="AD39" s="27"/>
      <c r="AE39" s="27"/>
      <c r="AF39" s="27"/>
      <c r="AG39" s="27"/>
      <c r="AH39" s="27"/>
      <c r="AI39" s="27"/>
      <c r="AJ39" s="27"/>
      <c r="AK39" s="27"/>
      <c r="AL39" s="27"/>
      <c r="AM39" s="27"/>
      <c r="AN39" s="27"/>
      <c r="AO39" s="27"/>
      <c r="AP39" s="27"/>
      <c r="AQ39" s="27"/>
      <c r="AR39" s="27"/>
      <c r="AS39" s="27"/>
      <c r="AT39" s="27"/>
      <c r="AU39" s="27"/>
      <c r="AV39" s="79"/>
      <c r="AW39" s="79"/>
      <c r="AX39" s="25"/>
      <c r="AY39" s="25" t="s">
        <v>18</v>
      </c>
      <c r="AZ39" s="25" t="s">
        <v>18</v>
      </c>
      <c r="BA39" s="25"/>
      <c r="BB39" s="25"/>
      <c r="BC39" s="25" t="s">
        <v>18</v>
      </c>
      <c r="BD39" s="25" t="s">
        <v>18</v>
      </c>
      <c r="BE39" s="25" t="s">
        <v>18</v>
      </c>
      <c r="BF39" s="25" t="s">
        <v>18</v>
      </c>
      <c r="BG39" s="25"/>
      <c r="BH39" s="25"/>
      <c r="BI39" s="25" t="s">
        <v>18</v>
      </c>
      <c r="BJ39" s="25" t="s">
        <v>18</v>
      </c>
      <c r="BK39" s="25"/>
      <c r="BL39" s="25" t="s">
        <v>18</v>
      </c>
      <c r="BM39" s="25"/>
      <c r="BN39" s="25"/>
      <c r="BO39" s="25"/>
      <c r="BP39" s="25"/>
      <c r="BQ39" s="25"/>
      <c r="BR39" s="25"/>
      <c r="BS39" s="25"/>
      <c r="BT39" s="25" t="s">
        <v>18</v>
      </c>
      <c r="BU39" s="25" t="s">
        <v>18</v>
      </c>
      <c r="BV39" s="25" t="s">
        <v>18</v>
      </c>
      <c r="BW39" s="25" t="s">
        <v>18</v>
      </c>
      <c r="BX39" s="25"/>
      <c r="BY39" s="25"/>
      <c r="BZ39" s="25"/>
      <c r="CA39" s="79"/>
      <c r="CB39" s="79"/>
      <c r="CC39" s="27">
        <f t="shared" si="4"/>
        <v>0.17</v>
      </c>
      <c r="CD39" s="109">
        <f t="shared" si="3"/>
        <v>0.2</v>
      </c>
      <c r="CE39" s="27">
        <f t="shared" si="6"/>
        <v>0.27999999999999997</v>
      </c>
      <c r="CF39" s="79"/>
      <c r="CG39" s="130">
        <v>0</v>
      </c>
      <c r="CH39" s="79"/>
      <c r="CI39" s="27">
        <f t="shared" si="9"/>
        <v>0</v>
      </c>
      <c r="CJ39" s="79"/>
      <c r="CK39" s="79"/>
      <c r="CL39" s="79"/>
      <c r="CM39" s="79"/>
      <c r="CN39" s="79"/>
      <c r="CO39" s="79"/>
      <c r="CP39" s="79"/>
      <c r="CQ39" s="79"/>
      <c r="CR39" s="79"/>
      <c r="CS39" s="79"/>
      <c r="CT39" s="79"/>
      <c r="CU39" s="79"/>
      <c r="CV39" s="79"/>
      <c r="CW39" s="79"/>
      <c r="CX39" s="79"/>
      <c r="CY39" s="79"/>
      <c r="CZ39" s="79"/>
      <c r="DA39" s="79"/>
      <c r="DB39" s="79"/>
      <c r="DC39" s="79"/>
    </row>
    <row r="40" spans="3:107" s="6" customFormat="1" ht="19.899999999999999" customHeight="1" outlineLevel="1" thickBot="1" x14ac:dyDescent="0.4">
      <c r="C40" s="9"/>
      <c r="D40" s="9"/>
      <c r="E40" s="9"/>
      <c r="F40" s="9"/>
      <c r="G40" s="9"/>
      <c r="H40" s="9"/>
      <c r="I40" s="9"/>
      <c r="J40" s="9"/>
      <c r="K40" s="367" t="s">
        <v>462</v>
      </c>
      <c r="L40" s="524" t="s">
        <v>167</v>
      </c>
      <c r="M40" s="525">
        <v>0</v>
      </c>
      <c r="N40" s="526" t="s">
        <v>12</v>
      </c>
      <c r="O40" s="530">
        <f t="shared" si="8"/>
        <v>0</v>
      </c>
      <c r="P40" s="127"/>
      <c r="Q40" s="39"/>
      <c r="R40" s="39"/>
      <c r="S40" s="39"/>
      <c r="T40" s="80"/>
      <c r="U40" s="27"/>
      <c r="V40" s="27"/>
      <c r="W40" s="27"/>
      <c r="X40" s="93"/>
      <c r="Y40" s="93"/>
      <c r="Z40" s="93"/>
      <c r="AA40" s="93"/>
      <c r="AB40" s="27"/>
      <c r="AC40" s="27"/>
      <c r="AD40" s="27"/>
      <c r="AE40" s="27"/>
      <c r="AF40" s="27"/>
      <c r="AG40" s="27"/>
      <c r="AH40" s="27"/>
      <c r="AI40" s="27"/>
      <c r="AJ40" s="27"/>
      <c r="AK40" s="27"/>
      <c r="AL40" s="27"/>
      <c r="AM40" s="27"/>
      <c r="AN40" s="27"/>
      <c r="AO40" s="27"/>
      <c r="AP40" s="27"/>
      <c r="AQ40" s="27"/>
      <c r="AR40" s="27"/>
      <c r="AS40" s="27"/>
      <c r="AT40" s="27"/>
      <c r="AU40" s="27"/>
      <c r="AV40" s="79"/>
      <c r="AW40" s="27"/>
      <c r="AX40" s="604" t="s">
        <v>174</v>
      </c>
      <c r="AY40" s="605"/>
      <c r="AZ40" s="605"/>
      <c r="BA40" s="606"/>
      <c r="BB40" s="607" t="s">
        <v>187</v>
      </c>
      <c r="BC40" s="608"/>
      <c r="BD40" s="608"/>
      <c r="BE40" s="608"/>
      <c r="BF40" s="608"/>
      <c r="BG40" s="608"/>
      <c r="BH40" s="608"/>
      <c r="BI40" s="608"/>
      <c r="BJ40" s="608"/>
      <c r="BK40" s="609"/>
      <c r="BL40" s="607" t="s">
        <v>188</v>
      </c>
      <c r="BM40" s="608"/>
      <c r="BN40" s="608"/>
      <c r="BO40" s="608"/>
      <c r="BP40" s="608"/>
      <c r="BQ40" s="608"/>
      <c r="BR40" s="608"/>
      <c r="BS40" s="609"/>
      <c r="BT40" s="607" t="s">
        <v>199</v>
      </c>
      <c r="BU40" s="609"/>
      <c r="BV40" s="607" t="s">
        <v>178</v>
      </c>
      <c r="BW40" s="608"/>
      <c r="BX40" s="609"/>
      <c r="BY40" s="131" t="s">
        <v>189</v>
      </c>
      <c r="BZ40" s="131" t="s">
        <v>191</v>
      </c>
      <c r="CA40" s="27"/>
      <c r="CB40" s="27"/>
      <c r="CC40" s="27">
        <f t="shared" si="4"/>
        <v>0</v>
      </c>
      <c r="CD40" s="109">
        <f t="shared" si="3"/>
        <v>0</v>
      </c>
      <c r="CE40" s="27">
        <f t="shared" si="6"/>
        <v>1</v>
      </c>
      <c r="CF40" s="27"/>
      <c r="CG40" s="126">
        <v>0</v>
      </c>
      <c r="CH40" s="27"/>
      <c r="CI40" s="27">
        <f t="shared" si="9"/>
        <v>0</v>
      </c>
      <c r="CJ40" s="27"/>
      <c r="CK40" s="27"/>
      <c r="CL40" s="27"/>
      <c r="CM40" s="27"/>
      <c r="CN40" s="27"/>
      <c r="CO40" s="27"/>
      <c r="CP40" s="27"/>
      <c r="CQ40" s="27"/>
      <c r="CR40" s="27"/>
      <c r="CS40" s="27"/>
      <c r="CT40" s="27"/>
      <c r="CU40" s="27"/>
      <c r="CV40" s="27"/>
      <c r="CW40" s="27"/>
      <c r="CX40" s="27"/>
      <c r="CY40" s="27"/>
      <c r="CZ40" s="27"/>
      <c r="DA40" s="27"/>
      <c r="DB40" s="27"/>
      <c r="DC40" s="27"/>
    </row>
    <row r="41" spans="3:107" s="4" customFormat="1" ht="24.75" customHeight="1" thickBot="1" x14ac:dyDescent="0.35">
      <c r="C41" s="84"/>
      <c r="D41" s="368"/>
      <c r="E41" s="369" t="s">
        <v>250</v>
      </c>
      <c r="F41" s="370"/>
      <c r="G41" s="370"/>
      <c r="H41" s="362"/>
      <c r="I41" s="371"/>
      <c r="J41" s="371"/>
      <c r="K41" s="371"/>
      <c r="L41" s="521" t="s">
        <v>15</v>
      </c>
      <c r="M41" s="522">
        <f>SUM(M42:M112)/$P$148</f>
        <v>0.36510297482837534</v>
      </c>
      <c r="N41" s="522">
        <f>SUM(N42:N112)/$P$148</f>
        <v>0.16086956521739132</v>
      </c>
      <c r="O41" s="533"/>
      <c r="P41" s="372">
        <f>SUM(O42:O112)</f>
        <v>460.25000000000011</v>
      </c>
      <c r="R41" s="122"/>
      <c r="S41" s="122"/>
      <c r="T41" s="122">
        <f>SUM(O42:O112)/$P$148</f>
        <v>0.52660183066361566</v>
      </c>
      <c r="U41" s="132" t="s">
        <v>85</v>
      </c>
      <c r="V41" s="132" t="s">
        <v>251</v>
      </c>
      <c r="W41" s="132" t="s">
        <v>210</v>
      </c>
      <c r="X41" s="133"/>
      <c r="Y41" s="133"/>
      <c r="Z41" s="132" t="s">
        <v>506</v>
      </c>
      <c r="AA41" s="133"/>
      <c r="AB41" s="132" t="s">
        <v>154</v>
      </c>
      <c r="AC41" s="132" t="s">
        <v>331</v>
      </c>
      <c r="AD41" s="132" t="s">
        <v>332</v>
      </c>
      <c r="AE41" s="132" t="s">
        <v>331</v>
      </c>
      <c r="AF41" s="132" t="s">
        <v>332</v>
      </c>
      <c r="AG41" s="132" t="s">
        <v>331</v>
      </c>
      <c r="AH41" s="132" t="s">
        <v>332</v>
      </c>
      <c r="AI41" s="132" t="s">
        <v>331</v>
      </c>
      <c r="AJ41" s="132" t="s">
        <v>332</v>
      </c>
      <c r="AK41" s="40"/>
      <c r="AL41" s="132" t="s">
        <v>185</v>
      </c>
      <c r="AM41" s="132" t="s">
        <v>186</v>
      </c>
      <c r="AN41" s="132" t="s">
        <v>331</v>
      </c>
      <c r="AO41" s="132" t="s">
        <v>332</v>
      </c>
      <c r="AP41" s="132" t="s">
        <v>331</v>
      </c>
      <c r="AQ41" s="132" t="s">
        <v>332</v>
      </c>
      <c r="AR41" s="132" t="s">
        <v>331</v>
      </c>
      <c r="AS41" s="132" t="s">
        <v>332</v>
      </c>
      <c r="AT41" s="132" t="s">
        <v>153</v>
      </c>
      <c r="AU41" s="132" t="s">
        <v>331</v>
      </c>
      <c r="AV41" s="132" t="s">
        <v>332</v>
      </c>
      <c r="AW41" s="40"/>
      <c r="AX41" s="132" t="s">
        <v>78</v>
      </c>
      <c r="AY41" s="132" t="s">
        <v>79</v>
      </c>
      <c r="AZ41" s="132" t="s">
        <v>77</v>
      </c>
      <c r="BA41" s="132" t="s">
        <v>80</v>
      </c>
      <c r="BB41" s="132" t="s">
        <v>78</v>
      </c>
      <c r="BC41" s="132" t="s">
        <v>193</v>
      </c>
      <c r="BD41" s="132" t="s">
        <v>194</v>
      </c>
      <c r="BE41" s="132" t="s">
        <v>195</v>
      </c>
      <c r="BF41" s="132" t="s">
        <v>196</v>
      </c>
      <c r="BG41" s="132" t="s">
        <v>256</v>
      </c>
      <c r="BH41" s="132" t="s">
        <v>257</v>
      </c>
      <c r="BI41" s="132" t="s">
        <v>197</v>
      </c>
      <c r="BJ41" s="132" t="s">
        <v>198</v>
      </c>
      <c r="BK41" s="132" t="s">
        <v>80</v>
      </c>
      <c r="BL41" s="132" t="s">
        <v>76</v>
      </c>
      <c r="BM41" s="132" t="s">
        <v>470</v>
      </c>
      <c r="BN41" s="132" t="s">
        <v>468</v>
      </c>
      <c r="BO41" s="132" t="s">
        <v>469</v>
      </c>
      <c r="BP41" s="132" t="s">
        <v>467</v>
      </c>
      <c r="BQ41" s="132" t="s">
        <v>81</v>
      </c>
      <c r="BR41" s="132" t="s">
        <v>472</v>
      </c>
      <c r="BS41" s="132" t="s">
        <v>80</v>
      </c>
      <c r="BT41" s="132" t="s">
        <v>79</v>
      </c>
      <c r="BU41" s="132" t="s">
        <v>77</v>
      </c>
      <c r="BV41" s="132" t="s">
        <v>79</v>
      </c>
      <c r="BW41" s="132" t="s">
        <v>77</v>
      </c>
      <c r="BX41" s="132" t="s">
        <v>80</v>
      </c>
      <c r="BY41" s="132" t="s">
        <v>82</v>
      </c>
      <c r="BZ41" s="132" t="s">
        <v>83</v>
      </c>
      <c r="CA41" s="81"/>
      <c r="CB41" s="81"/>
      <c r="CC41" s="81"/>
      <c r="CD41" s="81"/>
      <c r="CE41" s="27"/>
      <c r="CF41" s="81"/>
      <c r="CG41" s="81"/>
      <c r="CH41" s="81"/>
      <c r="CI41" s="27"/>
      <c r="CJ41" s="81"/>
      <c r="CK41" s="81"/>
      <c r="CL41" s="81"/>
      <c r="CM41" s="81"/>
      <c r="CN41" s="81"/>
      <c r="CO41" s="81"/>
      <c r="CP41" s="81"/>
      <c r="CQ41" s="81"/>
      <c r="CR41" s="81"/>
      <c r="CS41" s="81"/>
      <c r="CT41" s="81"/>
      <c r="CU41" s="81"/>
      <c r="CV41" s="81"/>
      <c r="CW41" s="81"/>
      <c r="CX41" s="81"/>
      <c r="CY41" s="81"/>
      <c r="CZ41" s="81"/>
      <c r="DA41" s="81"/>
      <c r="DB41" s="81"/>
      <c r="DC41" s="81"/>
    </row>
    <row r="42" spans="3:107" s="6" customFormat="1" ht="1.9" hidden="1" customHeight="1" thickBot="1" x14ac:dyDescent="0.4">
      <c r="C42" s="373" t="s">
        <v>295</v>
      </c>
      <c r="D42" s="374" t="s">
        <v>17</v>
      </c>
      <c r="E42" s="375" t="s">
        <v>88</v>
      </c>
      <c r="F42" s="375" t="s">
        <v>145</v>
      </c>
      <c r="G42" s="375" t="s">
        <v>240</v>
      </c>
      <c r="H42" s="375" t="s">
        <v>51</v>
      </c>
      <c r="I42" s="375" t="s">
        <v>241</v>
      </c>
      <c r="J42" s="376" t="s">
        <v>251</v>
      </c>
      <c r="K42" s="376" t="s">
        <v>154</v>
      </c>
      <c r="L42" s="534"/>
      <c r="M42" s="535"/>
      <c r="N42" s="535"/>
      <c r="O42" s="536"/>
      <c r="P42" s="58"/>
      <c r="Q42" s="134" t="s">
        <v>465</v>
      </c>
      <c r="R42" s="134" t="s">
        <v>466</v>
      </c>
      <c r="S42" s="134" t="s">
        <v>464</v>
      </c>
      <c r="T42" s="27"/>
      <c r="U42" s="135"/>
      <c r="V42" s="135"/>
      <c r="W42" s="135"/>
      <c r="X42" s="136"/>
      <c r="Y42" s="136" t="str">
        <f t="shared" ref="Y42:Y107" si="10">CONCATENATE(C42,LEFT(K42,5),J42)</f>
        <v>Tipo
De ComponenteTamañAcciones</v>
      </c>
      <c r="Z42" s="135" t="e">
        <f>VLOOKUP(Y42,Modelo!$G$82:$H$281,2,FALSE)</f>
        <v>#N/A</v>
      </c>
      <c r="AA42" s="136"/>
      <c r="AB42" s="137" t="str">
        <f t="shared" ref="AB42:AB107" si="11">IF(AND(U42&gt;=0,U42&lt;=6),"Chica 1",IF(AND(U42&gt;=7,U42&lt;=12),"Chica 2",IF(AND(U42&gt;=13,U42&lt;=18),"Chica 3",IF(AND(U42&gt;=19,U42&lt;=24),"Chica 4",IF(AND(U42&gt;=25,U42&lt;=30),"Mediana 1",IF(AND(U42&gt;=31,U42&lt;=36),"Mediana 2",IF(AND(U42&gt;=37,U42&lt;=42),"Mediana 3",IF(AND(U42&gt;=43,U42&lt;=48),"Mediana 4",IF(AND(U42&gt;=49,U42&lt;=54),"Grande 1",IF(AND(U42&gt;=55,U42&lt;=60),"Grande 2",IF(AND(U42&gt;=61,U42&lt;=66),"Grande 3",IF(AND(U42&gt;=67,U42&lt;=72),"Grande 4",IF(AND(U42&gt;=73,U42&lt;=78),"M. grande 1",IF(AND(U42&gt;=79,U42&lt;=84),"M. grande 2",IF(AND(U42&gt;=85,U42&lt;=90),"M. grande 3",IF(AND(U42&gt;=91,U42&lt;=96),"M. grande 4","NO DEF"))))))))))))))))</f>
        <v>Chica 1</v>
      </c>
      <c r="AC42" s="137" t="str">
        <f t="shared" ref="AC42:AC107" si="12">IF(E42="A","Alta",IF(E42="M","Media","Baja"))</f>
        <v>Baja</v>
      </c>
      <c r="AD42" s="137" t="str">
        <f t="shared" ref="AD42:AE45" si="13">IF(E42="A","Alta",IF(E42="M","Media","Baja"))</f>
        <v>Baja</v>
      </c>
      <c r="AE42" s="137" t="str">
        <f t="shared" si="13"/>
        <v>Baja</v>
      </c>
      <c r="AF42" s="137" t="str">
        <f t="shared" ref="AF42:AG45" si="14">IF(F42="A","Alta",IF(F42="M","Media","Baja"))</f>
        <v>Baja</v>
      </c>
      <c r="AG42" s="137" t="str">
        <f t="shared" si="14"/>
        <v>Baja</v>
      </c>
      <c r="AH42" s="137" t="str">
        <f t="shared" ref="AH42:AJ45" si="15">IF(G42="A","Alta",IF(G42="M","Media","Baja"))</f>
        <v>Baja</v>
      </c>
      <c r="AI42" s="137" t="str">
        <f t="shared" si="15"/>
        <v>Baja</v>
      </c>
      <c r="AJ42" s="137" t="str">
        <f t="shared" si="15"/>
        <v>Baja</v>
      </c>
      <c r="AK42" s="40"/>
      <c r="AL42" s="138">
        <f>IF(AB42=Modelo!$F$7,Modelo!$H$7,IF(AB42=Modelo!$F$8,Modelo!$H$8,IF(AB42=Modelo!$F$9,Modelo!$H$9,IF(AB42=Modelo!$F$10,Modelo!$H$10,IF(AB42=Modelo!$F$11,Modelo!$H$11,IF(AB42=Modelo!$F$12,Modelo!$H$12,IF(AB42=Modelo!$F$13,Modelo!$H$13,IF(AB42=Modelo!$F$14,Modelo!$H$14,IF(AB42=Modelo!$F$15,Modelo!$H$15,IF(AB42=Modelo!$F$16,Modelo!$H$16,IF(AB42=Modelo!$F$17,Modelo!$H$17,IF(AB42=Modelo!$F$18,Modelo!$H$18,IF(AB42=Modelo!$F$19,Modelo!$H$19,IF(AB42=Modelo!$F$20,Modelo!$H$20,IF(AB42=Modelo!$F$21,Modelo!$H$21,IF(AB42=Modelo!$F$22,Modelo!$H$22,0))))))))))))))))</f>
        <v>0.30000000000000004</v>
      </c>
      <c r="AM42" s="138">
        <f>IF(AB42=Modelo!$F$7,Modelo!$I$7,IF(AB42=Modelo!$F$8,Modelo!$I$8,IF(AB42=Modelo!$F$9,Modelo!$I$9,IF(AB42=Modelo!$F$10,Modelo!$I$10,IF(AB42=Modelo!$F$11,Modelo!$I$11,IF(AB42=Modelo!$F$12,Modelo!$I$12,IF(AB42=Modelo!$F$13,Modelo!$I$13,IF(AB42=Modelo!$F$14,Modelo!$I$14,IF(AB42=Modelo!$F$15,Modelo!$I$15,IF(AB42=Modelo!$F$16,Modelo!$I$16,IF(AB42=Modelo!$F$17,Modelo!$I$17,IF(AB42=Modelo!$F$18,Modelo!$I$18,IF(AB42=Modelo!$F$19,Modelo!$I$19,IF(AB42=Modelo!$F$20,Modelo!$I$20,IF(AB42=Modelo!$F$21,Modelo!$I$21,IF(AB42=Modelo!$F$22,Modelo!$I$22,0))))))))))))))))</f>
        <v>0.1</v>
      </c>
      <c r="AN42" s="138">
        <f>IF(AC42=Modelo!$F$23,Modelo!$H$23,IF(AC42=Modelo!$F$24,Modelo!$H$24,IF(AC42=Modelo!$F$25,Modelo!$H$25,0)))</f>
        <v>1</v>
      </c>
      <c r="AO42" s="138">
        <f>IF(AD42=Modelo!$F$26,Modelo!$H$26,IF(AD42=Modelo!$F$27,Modelo!$H$27,IF(AD42=Modelo!$F$28,Modelo!$H$28,0)))</f>
        <v>0.1</v>
      </c>
      <c r="AP42" s="138">
        <f>IF(AE42=Modelo!$F$30,Modelo!$H$30,IF(AE42=Modelo!$F$31,Modelo!$H$31,IF(AE42=Modelo!$F$32,Modelo!$H$32,0)))</f>
        <v>0.8</v>
      </c>
      <c r="AQ42" s="138">
        <f>IF(AF42=Modelo!$F$33,Modelo!$H$33,IF(AF42=Modelo!$F$34,Modelo!$H$34,IF(AF42=Modelo!$F$35,Modelo!$H$35,0)))</f>
        <v>0.3</v>
      </c>
      <c r="AR42" s="138">
        <f>IF(AG42=Modelo!$F$37,Modelo!$H$37,IF(AG42=Modelo!$F$38,Modelo!$H$38,IF(AG42=Modelo!$F$39,Modelo!$H$39,0)))</f>
        <v>0.8</v>
      </c>
      <c r="AS42" s="138">
        <f>IF(AH42=Modelo!$F$40,Modelo!$H$40,IF(AH42=Modelo!$F$41,Modelo!$H$41,IF(AH42=Modelo!$F$42,Modelo!$H$42,0)))</f>
        <v>0.4</v>
      </c>
      <c r="AT42" s="137">
        <f>IF(C42=Modelo!$F$44,Modelo!$H$44,IF(C42=Modelo!$F$45,Modelo!$H$45,IF(C42=Modelo!$F$46,Modelo!$H$46,IF(C42=Modelo!$F$47,Modelo!$H$47,IF(C42=Modelo!$F$48,Modelo!$H$48,IF(C42=Modelo!$F$49,Modelo!$H$49,IF(C42=Modelo!$F$50,Modelo!$H$50,IF(C42=Modelo!$F$51,Modelo!$H$51,IF(C42=Modelo!$F$52,Modelo!$H$52,IF(C42=Modelo!$F$53,Modelo!$H$53,0))))))))))</f>
        <v>0</v>
      </c>
      <c r="AU42" s="138">
        <f>IF(AI42=Modelo!$F$54,Modelo!$H$54,IF(AI42=Modelo!$F$55,Modelo!$H$55,IF(AI42=Modelo!$F$56,Modelo!$H$56,0)))</f>
        <v>1</v>
      </c>
      <c r="AV42" s="138">
        <f>IF(AJ42=Modelo!$F$58,Modelo!$H$58,IF(AJ42=Modelo!$F$59,Modelo!$H$59,IF(AJ42=Modelo!$F$60,Modelo!$H$60,0)))</f>
        <v>0.9</v>
      </c>
      <c r="AW42" s="40"/>
      <c r="AX42" s="139">
        <f>Modelo!$H$2</f>
        <v>0.05</v>
      </c>
      <c r="AY42" s="140">
        <f>ROUNDUP(Modelo!$I$2*Modelo!$H$3*Modelo!$I$75,2)</f>
        <v>0.02</v>
      </c>
      <c r="AZ42" s="141">
        <f>ROUNDUP(Modelo!$I$2*Modelo!$H$3*Modelo!$H$4*Modelo!$I$75,3)</f>
        <v>4.0000000000000001E-3</v>
      </c>
      <c r="BA42" s="139">
        <f>Modelo!$H$5</f>
        <v>0.04</v>
      </c>
      <c r="BB42" s="139">
        <f>ROUNDUP(SUM(BC42,BE42,BG42,BI42)*Modelo!$H$6,1)</f>
        <v>0.2</v>
      </c>
      <c r="BC42" s="139">
        <f>ROUNDUP((AL42*AN42+0.1)*Modelo!$I$75,1)</f>
        <v>0.4</v>
      </c>
      <c r="BD42" s="139">
        <f>ROUNDUP(AM42*AN42*AO42*Modelo!$I$75,1)</f>
        <v>0.1</v>
      </c>
      <c r="BE42" s="139">
        <f>ROUNDUP(V42*Modelo!$H$29*AP42*Modelo!$I$75*2/3,1)</f>
        <v>0</v>
      </c>
      <c r="BF42" s="139">
        <f>ROUNDUP(V42*Modelo!$H$29*AP42*AQ42*Modelo!$I$75*2/3,1)</f>
        <v>0</v>
      </c>
      <c r="BG42" s="139">
        <f>ROUNDUP(V42*Modelo!$H$29*AP42*Modelo!$I$75/3,1)</f>
        <v>0</v>
      </c>
      <c r="BH42" s="139">
        <f>ROUNDUP(V42*Modelo!$H$29*AP42*AQ42*Modelo!$I$75/3,1)</f>
        <v>0</v>
      </c>
      <c r="BI42" s="139">
        <f>ROUNDUP(W42*Modelo!$H$36*AR42*Modelo!$I$75,1)</f>
        <v>0</v>
      </c>
      <c r="BJ42" s="139">
        <f>ROUNDUP(W42*Modelo!$H$36*AR42*AS42*Modelo!$I$75,1)</f>
        <v>0</v>
      </c>
      <c r="BK42" s="139">
        <f>Modelo!$H$43</f>
        <v>0.04</v>
      </c>
      <c r="BL42" s="139">
        <f>ROUNDUP(SUM(ROUNDUP(AL42*AN42+0.1,1),ROUNDUP(V42*Modelo!$H$29*AP42,1),ROUNDUP(W42*Modelo!$H$36*AR42,1))*AU42*AT42*Modelo!$I$75,1)</f>
        <v>0</v>
      </c>
      <c r="BM42" s="139">
        <f t="shared" ref="BM42:BM107" si="16">IF(K$32="x",0, BL42*0.1*1.25)</f>
        <v>0</v>
      </c>
      <c r="BN42" s="139">
        <f t="shared" ref="BN42:BN107" si="17">IF(Q42="x",(BL42)*0.1,0)</f>
        <v>0</v>
      </c>
      <c r="BO42" s="139">
        <f t="shared" ref="BO42:BO107" si="18">IF(R42="x",(BL42)*0.12,0)</f>
        <v>0</v>
      </c>
      <c r="BP42" s="139">
        <f t="shared" ref="BP42:BP107" si="19">IF(S42="x",(BL42)*0.12,0)*4</f>
        <v>0</v>
      </c>
      <c r="BQ42" s="139">
        <f>ROUNDUP(SUM(ROUNDUP(AL42*AN42+0.1,1),ROUNDUP(V42*Modelo!$H$29*AP42,1),ROUNDUP(W42*Modelo!$H$36*AR42,1))*AT42*AV42*Modelo!$H$57,1)</f>
        <v>0</v>
      </c>
      <c r="BR42" s="409">
        <f>BL42*0.1
+IF(K$16="x",0,BL42*0.05)
+IF(K$28="x",0,BL42*0.2)
+IF(K$29="x",0,BL42*0.5)
+IF(OR(K$30="x",K$31="x"),0,BL42*0.05)
+IF(K$32="x",0,BL42*0.3)
+IF(Q42="x",0,BL42*0.5)
+IF(OR(R42="x",S42="x"),0,BL42*0.15)</f>
        <v>0</v>
      </c>
      <c r="BS42" s="139">
        <f>Modelo!$H$61</f>
        <v>0.04</v>
      </c>
      <c r="BT42" s="139">
        <f>ROUNDUP(SUM(ROUNDUP(AL42*AN42+0.1,1),ROUNDUP(V42*Modelo!$H$29*AP42,1),ROUNDUP(W42*Modelo!$H$36*AR42,1))*Modelo!$H$62*Modelo!$I$75,1)</f>
        <v>0.1</v>
      </c>
      <c r="BU42" s="139">
        <f>ROUNDUP(ROUNDUP(SUM(ROUNDUP(AL42*AN42+0.1,1),ROUNDUP(V42*Modelo!$H$29*AP42,1),ROUNDUP(W42*Modelo!$H$36*AR42,1))*Modelo!$H$62,1)*Modelo!$H$63*Modelo!$I$75,1)</f>
        <v>0.1</v>
      </c>
      <c r="BV42" s="139">
        <f>SUM(ROUNDUP(AL42*AN42+0.1,1),ROUNDUP(V42*Modelo!$H$29*AP42,1),ROUNDUP(W42*Modelo!$H$36*AR42,1))*Modelo!$H$64*Modelo!$I$75</f>
        <v>8.0000000000000016E-2</v>
      </c>
      <c r="BW42" s="139">
        <f>ROUNDUP(SUM(ROUNDUP(AL42*AN42+0.1,1),ROUNDUP(V42*Modelo!$H$29*AP42,1),ROUNDUP(W42*Modelo!$H$36*AR42,1))*Modelo!$H$64*Modelo!$H$65*Modelo!$I$75,1)</f>
        <v>0.1</v>
      </c>
      <c r="BX42" s="139">
        <f>Modelo!$H$66</f>
        <v>0.04</v>
      </c>
      <c r="BY42" s="139">
        <f>ROUNDUP(SUM(ROUNDUP(AL42*AN42+0.1,1),ROUNDUP(V42*Modelo!$H$29*AP42,1),ROUNDUP(W42*Modelo!$H$36*AR42,1))*Modelo!$H$69,1)</f>
        <v>0.1</v>
      </c>
      <c r="BZ42" s="139">
        <f>ROUNDUP(ROUNDUP(SUM(ROUNDUP(AL42*AN42+0.1,1),ROUNDUP(V42*Modelo!$H$29*AP42,1),ROUNDUP(W42*Modelo!$H$36*AR42,1))*Modelo!$H$62,1)*Modelo!$H$71,1)</f>
        <v>0.2</v>
      </c>
      <c r="CA42" s="142">
        <f t="shared" ref="CA42:CA107" si="20">SUM(AX42:BZ42)</f>
        <v>1.6140000000000003</v>
      </c>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row>
    <row r="43" spans="3:107" s="20" customFormat="1" ht="10.5" customHeight="1" thickBot="1" x14ac:dyDescent="0.35">
      <c r="C43" s="388"/>
      <c r="D43" s="461"/>
      <c r="E43" s="461"/>
      <c r="F43" s="461"/>
      <c r="G43" s="461"/>
      <c r="H43" s="461"/>
      <c r="I43" s="461"/>
      <c r="J43" s="425"/>
      <c r="K43" s="503"/>
      <c r="L43" s="537"/>
      <c r="M43" s="532"/>
      <c r="N43" s="532"/>
      <c r="O43" s="538"/>
      <c r="P43" s="58"/>
      <c r="Q43" s="462"/>
      <c r="R43" s="462"/>
      <c r="S43" s="462"/>
      <c r="T43" s="109"/>
      <c r="U43" s="144"/>
      <c r="V43" s="144"/>
      <c r="W43" s="144"/>
      <c r="X43" s="463"/>
      <c r="Y43" s="463" t="str">
        <f t="shared" si="10"/>
        <v/>
      </c>
      <c r="Z43" s="135" t="e">
        <f>VLOOKUP(Y43,[1]Modelo!$G$82:$H$281,2,FALSE)</f>
        <v>#N/A</v>
      </c>
      <c r="AA43" s="463"/>
      <c r="AB43" s="137" t="str">
        <f t="shared" si="11"/>
        <v>Chica 1</v>
      </c>
      <c r="AC43" s="137" t="str">
        <f t="shared" si="12"/>
        <v>Baja</v>
      </c>
      <c r="AD43" s="137" t="str">
        <f t="shared" si="13"/>
        <v>Baja</v>
      </c>
      <c r="AE43" s="137" t="str">
        <f t="shared" si="13"/>
        <v>Baja</v>
      </c>
      <c r="AF43" s="137" t="str">
        <f t="shared" si="14"/>
        <v>Baja</v>
      </c>
      <c r="AG43" s="137" t="str">
        <f t="shared" si="14"/>
        <v>Baja</v>
      </c>
      <c r="AH43" s="137" t="str">
        <f t="shared" si="15"/>
        <v>Baja</v>
      </c>
      <c r="AI43" s="137" t="str">
        <f t="shared" si="15"/>
        <v>Baja</v>
      </c>
      <c r="AJ43" s="137" t="str">
        <f t="shared" si="15"/>
        <v>Baja</v>
      </c>
      <c r="AK43" s="40"/>
      <c r="AL43" s="138">
        <f>IF(AB43=[1]Modelo!$F$7,[1]Modelo!$H$7,IF(AB43=[1]Modelo!$F$8,[1]Modelo!$H$8,IF(AB43=[1]Modelo!$F$9,[1]Modelo!$H$9,IF(AB43=[1]Modelo!$F$10,[1]Modelo!$H$10,IF(AB43=[1]Modelo!$F$11,[1]Modelo!$H$11,IF(AB43=[1]Modelo!$F$12,[1]Modelo!$H$12,IF(AB43=[1]Modelo!$F$13,[1]Modelo!$H$13,IF(AB43=[1]Modelo!$F$14,[1]Modelo!$H$14,IF(AB43=[1]Modelo!$F$15,[1]Modelo!$H$15,IF(AB43=[1]Modelo!$F$16,[1]Modelo!$H$16,IF(AB43=[1]Modelo!$F$17,[1]Modelo!$H$17,IF(AB43=[1]Modelo!$F$18,[1]Modelo!$H$18,IF(AB43=[1]Modelo!$F$19,[1]Modelo!$H$19,IF(AB43=[1]Modelo!$F$20,[1]Modelo!$H$20,IF(AB43=[1]Modelo!$F$21,[1]Modelo!$H$21,IF(AB43=[1]Modelo!$F$22,[1]Modelo!$H$22,0))))))))))))))))</f>
        <v>0.30000000000000004</v>
      </c>
      <c r="AM43" s="138">
        <f>IF(AB43=[1]Modelo!$F$7,[1]Modelo!$I$7,IF(AB43=[1]Modelo!$F$8,[1]Modelo!$I$8,IF(AB43=[1]Modelo!$F$9,[1]Modelo!$I$9,IF(AB43=[1]Modelo!$F$10,[1]Modelo!$I$10,IF(AB43=[1]Modelo!$F$11,[1]Modelo!$I$11,IF(AB43=[1]Modelo!$F$12,[1]Modelo!$I$12,IF(AB43=[1]Modelo!$F$13,[1]Modelo!$I$13,IF(AB43=[1]Modelo!$F$14,[1]Modelo!$I$14,IF(AB43=[1]Modelo!$F$15,[1]Modelo!$I$15,IF(AB43=[1]Modelo!$F$16,[1]Modelo!$I$16,IF(AB43=[1]Modelo!$F$17,[1]Modelo!$I$17,IF(AB43=[1]Modelo!$F$18,[1]Modelo!$I$18,IF(AB43=[1]Modelo!$F$19,[1]Modelo!$I$19,IF(AB43=[1]Modelo!$F$20,[1]Modelo!$I$20,IF(AB43=[1]Modelo!$F$21,[1]Modelo!$I$21,IF(AB43=[1]Modelo!$F$22,[1]Modelo!$I$22,0))))))))))))))))</f>
        <v>0.1</v>
      </c>
      <c r="AN43" s="138">
        <f>IF(AC43=[1]Modelo!$F$23,[1]Modelo!$H$23,IF(AC43=[1]Modelo!$F$24,[1]Modelo!$H$24,IF(AC43=[1]Modelo!$F$25,[1]Modelo!$H$25,0)))</f>
        <v>1</v>
      </c>
      <c r="AO43" s="138">
        <f>IF(AD43=[1]Modelo!$F$26,[1]Modelo!$H$26,IF(AD43=[1]Modelo!$F$27,[1]Modelo!$H$27,IF(AD43=[1]Modelo!$F$28,[1]Modelo!$H$28,0)))</f>
        <v>0.1</v>
      </c>
      <c r="AP43" s="138">
        <f>IF(AE43=[1]Modelo!$F$30,[1]Modelo!$H$30,IF(AE43=[1]Modelo!$F$31,[1]Modelo!$H$31,IF(AE43=[1]Modelo!$F$32,[1]Modelo!$H$32,0)))</f>
        <v>0.8</v>
      </c>
      <c r="AQ43" s="138">
        <f>IF(AF43=[1]Modelo!$F$33,[1]Modelo!$H$33,IF(AF43=[1]Modelo!$F$34,[1]Modelo!$H$34,IF(AF43=[1]Modelo!$F$35,[1]Modelo!$H$35,0)))</f>
        <v>0.3</v>
      </c>
      <c r="AR43" s="138">
        <f>IF(AG43=[1]Modelo!$F$37,[1]Modelo!$H$37,IF(AG43=[1]Modelo!$F$38,[1]Modelo!$H$38,IF(AG43=[1]Modelo!$F$39,[1]Modelo!$H$39,0)))</f>
        <v>0.8</v>
      </c>
      <c r="AS43" s="138">
        <f>IF(AH43=[1]Modelo!$F$40,[1]Modelo!$H$40,IF(AH43=[1]Modelo!$F$41,[1]Modelo!$H$41,IF(AH43=[1]Modelo!$F$42,[1]Modelo!$H$42,0)))</f>
        <v>0.4</v>
      </c>
      <c r="AT43" s="137">
        <f>IF(C43=[1]Modelo!$F$44,[1]Modelo!$H$44,IF(C43=[1]Modelo!$F$45,[1]Modelo!$H$45,IF(C43=[1]Modelo!$F$46,[1]Modelo!$H$46,IF(C43=[1]Modelo!$F$47,[1]Modelo!$H$47,IF(C43=[1]Modelo!$F$48,[1]Modelo!$H$48,IF(C43=[1]Modelo!$F$49,[1]Modelo!$H$49,IF(C43=[1]Modelo!$F$50,[1]Modelo!$H$50,IF(C43=[1]Modelo!$F$51,[1]Modelo!$H$51,IF(C43=[1]Modelo!$F$52,[1]Modelo!$H$52,IF(C43=[1]Modelo!$F$53,[1]Modelo!$H$53,0))))))))))</f>
        <v>0</v>
      </c>
      <c r="AU43" s="138">
        <f>IF(AI43=[1]Modelo!$F$54,[1]Modelo!$H$54,IF(AI43=[1]Modelo!$F$55,[1]Modelo!$H$55,IF(AI43=[1]Modelo!$F$56,[1]Modelo!$H$56,0)))</f>
        <v>1</v>
      </c>
      <c r="AV43" s="138">
        <f>IF(AJ43=[1]Modelo!$F$58,[1]Modelo!$H$58,IF(AJ43=[1]Modelo!$F$59,[1]Modelo!$H$59,IF(AJ43=[1]Modelo!$F$60,[1]Modelo!$H$60,0)))</f>
        <v>0.9</v>
      </c>
      <c r="AW43" s="40"/>
      <c r="AX43" s="139">
        <f>[1]Modelo!$H$2</f>
        <v>0.05</v>
      </c>
      <c r="AY43" s="140">
        <f>ROUNDUP([1]Modelo!$I$2*[1]Modelo!$H$3*[1]Modelo!$I$75,2)</f>
        <v>0.02</v>
      </c>
      <c r="AZ43" s="141">
        <f>ROUNDUP([1]Modelo!$I$2*[1]Modelo!$H$3*[1]Modelo!$H$4*[1]Modelo!$I$75,3)</f>
        <v>3.0000000000000001E-3</v>
      </c>
      <c r="BA43" s="139">
        <f>[1]Modelo!$H$5</f>
        <v>0.04</v>
      </c>
      <c r="BB43" s="139">
        <f>ROUNDUP(SUM(BC43,BE43,BG43,BI43)*[1]Modelo!$H$6,1)</f>
        <v>0.2</v>
      </c>
      <c r="BC43" s="139">
        <f>ROUNDUP((AL43*AN43+0.1)*[1]Modelo!$I$75,1)</f>
        <v>0.4</v>
      </c>
      <c r="BD43" s="139">
        <f>ROUNDUP(AM43*AN43*AO43*[1]Modelo!$I$75,1)</f>
        <v>0.1</v>
      </c>
      <c r="BE43" s="139">
        <f>ROUNDUP(V43*[1]Modelo!$H$29*AP43*[1]Modelo!$I$75*2/3,1)</f>
        <v>0</v>
      </c>
      <c r="BF43" s="139">
        <f>ROUNDUP(V43*[1]Modelo!$H$29*AP43*AQ43*[1]Modelo!$I$75*2/3,1)</f>
        <v>0</v>
      </c>
      <c r="BG43" s="139">
        <f>ROUNDUP(V43*[1]Modelo!$H$29*AP43*[1]Modelo!$I$75/3,1)</f>
        <v>0</v>
      </c>
      <c r="BH43" s="139">
        <f>ROUNDUP(V43*[1]Modelo!$H$29*AP43*AQ43*[1]Modelo!$I$75/3,1)</f>
        <v>0</v>
      </c>
      <c r="BI43" s="139">
        <f>ROUNDUP(W43*[1]Modelo!$H$36*AR43*[1]Modelo!$I$75,1)</f>
        <v>0</v>
      </c>
      <c r="BJ43" s="139">
        <f>ROUNDUP(W43*[1]Modelo!$H$36*AR43*AS43*[1]Modelo!$I$75,1)</f>
        <v>0</v>
      </c>
      <c r="BK43" s="139">
        <f>[1]Modelo!$H$43</f>
        <v>0.04</v>
      </c>
      <c r="BL43" s="139">
        <f>ROUNDUP(SUM(ROUNDUP(AL43*AN43+0.1,1),ROUNDUP(V43*[1]Modelo!$H$29*AP43,1),ROUNDUP(W43*[1]Modelo!$H$36*AR43,1))*AU43*AT43*[1]Modelo!$I$75,1)</f>
        <v>0</v>
      </c>
      <c r="BM43" s="139">
        <f t="shared" si="16"/>
        <v>0</v>
      </c>
      <c r="BN43" s="139">
        <f t="shared" si="17"/>
        <v>0</v>
      </c>
      <c r="BO43" s="139">
        <f t="shared" si="18"/>
        <v>0</v>
      </c>
      <c r="BP43" s="139">
        <f t="shared" si="19"/>
        <v>0</v>
      </c>
      <c r="BQ43" s="139">
        <f>ROUNDUP(SUM(ROUNDUP(AL43*AN43+0.1,1),ROUNDUP(V43*[1]Modelo!$H$29*AP43,1),ROUNDUP(W43*[1]Modelo!$H$36*AR43,1))*AT43*AV43*[1]Modelo!$H$57,1)</f>
        <v>0</v>
      </c>
      <c r="BR43" s="409">
        <v>0</v>
      </c>
      <c r="BS43" s="139">
        <f>[1]Modelo!$H$61</f>
        <v>0.04</v>
      </c>
      <c r="BT43" s="139">
        <f>ROUNDUP(SUM(ROUNDUP(AL43*AN43+0.1,1),ROUNDUP(V43*[1]Modelo!$H$29*AP43,1),ROUNDUP(W43*[1]Modelo!$H$36*AR43,1))*[1]Modelo!$H$62*[1]Modelo!$I$75,1)</f>
        <v>0.1</v>
      </c>
      <c r="BU43" s="139">
        <f>ROUNDUP(ROUNDUP(SUM(ROUNDUP(AL43*AN43+0.1,1),ROUNDUP(V43*[1]Modelo!$H$29*AP43,1),ROUNDUP(W43*[1]Modelo!$H$36*AR43,1))*[1]Modelo!$H$62,1)*[1]Modelo!$H$63*[1]Modelo!$I$75,1)</f>
        <v>0.1</v>
      </c>
      <c r="BV43" s="139">
        <f>SUM(ROUNDUP(AL43*AN43+0.1,1),ROUNDUP(V43*[1]Modelo!$H$29*AP43,1),ROUNDUP(W43*[1]Modelo!$H$36*AR43,1))*[1]Modelo!$H$64*[1]Modelo!$I$75</f>
        <v>8.0000000000000016E-2</v>
      </c>
      <c r="BW43" s="139">
        <f>ROUNDUP(SUM(ROUNDUP(AL43*AN43+0.1,1),ROUNDUP(V43*[1]Modelo!$H$29*AP43,1),ROUNDUP(W43*[1]Modelo!$H$36*AR43,1))*[1]Modelo!$H$64*[1]Modelo!$H$65*[1]Modelo!$I$75,1)</f>
        <v>0.1</v>
      </c>
      <c r="BX43" s="139">
        <f>[1]Modelo!$H$66</f>
        <v>0.04</v>
      </c>
      <c r="BY43" s="139">
        <f>ROUNDUP(SUM(ROUNDUP(AL43*AN43+0.1,1),ROUNDUP(V43*[1]Modelo!$H$29*AP43,1),ROUNDUP(W43*[1]Modelo!$H$36*AR43,1))*[1]Modelo!$H$69,1)</f>
        <v>0.1</v>
      </c>
      <c r="BZ43" s="139">
        <f>ROUNDUP(ROUNDUP(SUM(ROUNDUP(AL43*AN43+0.1,1),ROUNDUP(V43*[1]Modelo!$H$29*AP43,1),ROUNDUP(W43*[1]Modelo!$H$36*AR43,1))*[1]Modelo!$H$62,1)*[1]Modelo!$H$71,1)</f>
        <v>0.2</v>
      </c>
      <c r="CA43" s="142">
        <f t="shared" si="20"/>
        <v>1.6130000000000004</v>
      </c>
      <c r="CB43" s="27"/>
      <c r="CC43" s="27">
        <f t="shared" ref="CC43:CC105" si="21">CD43*0.85</f>
        <v>0</v>
      </c>
      <c r="CD43" s="109">
        <f t="shared" ref="CD43:CD112" si="22">O43</f>
        <v>0</v>
      </c>
      <c r="CE43" s="27">
        <f t="shared" ref="CE43:CE105" si="23">IF(CD43=0,1,CD43*1.4)</f>
        <v>1</v>
      </c>
      <c r="CF43" s="27"/>
      <c r="CG43" s="126">
        <v>0</v>
      </c>
      <c r="CH43" s="27"/>
      <c r="CI43" s="27">
        <f t="shared" ref="CI43:CI105" si="24">IF(CF43&lt;&gt;"",CF43,CG43)</f>
        <v>0</v>
      </c>
      <c r="CJ43" s="27"/>
      <c r="CK43" s="27"/>
      <c r="CL43" s="27"/>
      <c r="CM43" s="27"/>
      <c r="CN43" s="27"/>
      <c r="CO43" s="27"/>
      <c r="CP43" s="27"/>
      <c r="CQ43" s="27"/>
      <c r="CR43" s="27"/>
      <c r="CS43" s="27"/>
      <c r="CT43" s="27"/>
      <c r="CU43" s="27"/>
      <c r="CV43" s="27"/>
      <c r="CW43" s="27"/>
      <c r="CX43" s="27"/>
      <c r="CY43" s="27"/>
      <c r="CZ43" s="27"/>
      <c r="DA43" s="27"/>
      <c r="DB43" s="27"/>
      <c r="DC43" s="27"/>
    </row>
    <row r="44" spans="3:107" s="20" customFormat="1" ht="10.5" customHeight="1" thickBot="1" x14ac:dyDescent="0.35">
      <c r="C44" s="388"/>
      <c r="D44" s="461"/>
      <c r="E44" s="461"/>
      <c r="F44" s="461"/>
      <c r="G44" s="461"/>
      <c r="H44" s="461"/>
      <c r="I44" s="461"/>
      <c r="J44" s="425"/>
      <c r="K44" s="503"/>
      <c r="L44" s="558" t="s">
        <v>10</v>
      </c>
      <c r="M44" s="559" t="s">
        <v>394</v>
      </c>
      <c r="N44" s="522"/>
      <c r="O44" s="558" t="s">
        <v>394</v>
      </c>
      <c r="P44" s="58"/>
      <c r="Q44" s="462"/>
      <c r="R44" s="462"/>
      <c r="S44" s="462"/>
      <c r="T44" s="109"/>
      <c r="U44" s="144"/>
      <c r="V44" s="144"/>
      <c r="W44" s="144"/>
      <c r="X44" s="463"/>
      <c r="Y44" s="463"/>
      <c r="Z44" s="135"/>
      <c r="AA44" s="463"/>
      <c r="AB44" s="137"/>
      <c r="AC44" s="137"/>
      <c r="AD44" s="137"/>
      <c r="AE44" s="137"/>
      <c r="AF44" s="137"/>
      <c r="AG44" s="137"/>
      <c r="AH44" s="137"/>
      <c r="AI44" s="137"/>
      <c r="AJ44" s="137"/>
      <c r="AK44" s="40"/>
      <c r="AL44" s="138"/>
      <c r="AM44" s="138"/>
      <c r="AN44" s="138"/>
      <c r="AO44" s="138"/>
      <c r="AP44" s="138"/>
      <c r="AQ44" s="138"/>
      <c r="AR44" s="138"/>
      <c r="AS44" s="138"/>
      <c r="AT44" s="137"/>
      <c r="AU44" s="138"/>
      <c r="AV44" s="138"/>
      <c r="AW44" s="40"/>
      <c r="AX44" s="139"/>
      <c r="AY44" s="140"/>
      <c r="AZ44" s="141"/>
      <c r="BA44" s="139"/>
      <c r="BB44" s="139"/>
      <c r="BC44" s="139"/>
      <c r="BD44" s="139"/>
      <c r="BE44" s="139"/>
      <c r="BF44" s="139"/>
      <c r="BG44" s="139"/>
      <c r="BH44" s="139"/>
      <c r="BI44" s="139"/>
      <c r="BJ44" s="139"/>
      <c r="BK44" s="139"/>
      <c r="BL44" s="139"/>
      <c r="BM44" s="139"/>
      <c r="BN44" s="139"/>
      <c r="BO44" s="139"/>
      <c r="BP44" s="139"/>
      <c r="BQ44" s="139"/>
      <c r="BR44" s="409"/>
      <c r="BS44" s="139"/>
      <c r="BT44" s="139"/>
      <c r="BU44" s="139"/>
      <c r="BV44" s="139"/>
      <c r="BW44" s="139"/>
      <c r="BX44" s="139"/>
      <c r="BY44" s="139"/>
      <c r="BZ44" s="139"/>
      <c r="CA44" s="142"/>
      <c r="CB44" s="27"/>
      <c r="CC44" s="27"/>
      <c r="CD44" s="109"/>
      <c r="CE44" s="27"/>
      <c r="CF44" s="27"/>
      <c r="CG44" s="126"/>
      <c r="CH44" s="27"/>
      <c r="CI44" s="27"/>
      <c r="CJ44" s="27"/>
      <c r="CK44" s="27"/>
      <c r="CL44" s="27"/>
      <c r="CM44" s="27"/>
      <c r="CN44" s="27"/>
      <c r="CO44" s="27"/>
      <c r="CP44" s="27"/>
      <c r="CQ44" s="27"/>
      <c r="CR44" s="27"/>
      <c r="CS44" s="27"/>
      <c r="CT44" s="27"/>
      <c r="CU44" s="27"/>
      <c r="CV44" s="27"/>
      <c r="CW44" s="27"/>
      <c r="CX44" s="27"/>
      <c r="CY44" s="27"/>
      <c r="CZ44" s="27"/>
      <c r="DA44" s="27"/>
      <c r="DB44" s="27"/>
      <c r="DC44" s="27"/>
    </row>
    <row r="45" spans="3:107" s="20" customFormat="1" ht="37.5" customHeight="1" thickBot="1" x14ac:dyDescent="0.4">
      <c r="C45" s="460"/>
      <c r="D45" s="461"/>
      <c r="E45" s="461"/>
      <c r="F45" s="461"/>
      <c r="G45" s="461"/>
      <c r="H45" s="461"/>
      <c r="I45" s="461"/>
      <c r="J45" s="425">
        <f t="shared" ref="J45:J107" si="25">V45+W45</f>
        <v>0</v>
      </c>
      <c r="K45" s="503" t="str">
        <f t="shared" ref="K45" si="26">AB45</f>
        <v>Chica 1</v>
      </c>
      <c r="L45" s="539" t="s">
        <v>735</v>
      </c>
      <c r="M45" s="532"/>
      <c r="N45" s="532"/>
      <c r="O45" s="538"/>
      <c r="P45" s="58"/>
      <c r="Q45" s="462"/>
      <c r="R45" s="462"/>
      <c r="S45" s="462"/>
      <c r="T45" s="109"/>
      <c r="U45" s="144"/>
      <c r="V45" s="144"/>
      <c r="W45" s="144"/>
      <c r="X45" s="463"/>
      <c r="Y45" s="463" t="str">
        <f t="shared" si="10"/>
        <v>Chica0</v>
      </c>
      <c r="Z45" s="135" t="e">
        <f>VLOOKUP(Y45,[1]Modelo!$G$82:$H$281,2,FALSE)</f>
        <v>#N/A</v>
      </c>
      <c r="AA45" s="463"/>
      <c r="AB45" s="137" t="str">
        <f t="shared" si="11"/>
        <v>Chica 1</v>
      </c>
      <c r="AC45" s="137" t="str">
        <f t="shared" si="12"/>
        <v>Baja</v>
      </c>
      <c r="AD45" s="137" t="str">
        <f t="shared" si="13"/>
        <v>Baja</v>
      </c>
      <c r="AE45" s="137" t="str">
        <f t="shared" si="13"/>
        <v>Baja</v>
      </c>
      <c r="AF45" s="137" t="str">
        <f t="shared" si="14"/>
        <v>Baja</v>
      </c>
      <c r="AG45" s="137" t="str">
        <f t="shared" si="14"/>
        <v>Baja</v>
      </c>
      <c r="AH45" s="137" t="str">
        <f t="shared" si="15"/>
        <v>Baja</v>
      </c>
      <c r="AI45" s="137" t="str">
        <f t="shared" si="15"/>
        <v>Baja</v>
      </c>
      <c r="AJ45" s="137" t="str">
        <f t="shared" si="15"/>
        <v>Baja</v>
      </c>
      <c r="AK45" s="40"/>
      <c r="AL45" s="138">
        <f>IF(AB45=[1]Modelo!$F$7,[1]Modelo!$H$7,IF(AB45=[1]Modelo!$F$8,[1]Modelo!$H$8,IF(AB45=[1]Modelo!$F$9,[1]Modelo!$H$9,IF(AB45=[1]Modelo!$F$10,[1]Modelo!$H$10,IF(AB45=[1]Modelo!$F$11,[1]Modelo!$H$11,IF(AB45=[1]Modelo!$F$12,[1]Modelo!$H$12,IF(AB45=[1]Modelo!$F$13,[1]Modelo!$H$13,IF(AB45=[1]Modelo!$F$14,[1]Modelo!$H$14,IF(AB45=[1]Modelo!$F$15,[1]Modelo!$H$15,IF(AB45=[1]Modelo!$F$16,[1]Modelo!$H$16,IF(AB45=[1]Modelo!$F$17,[1]Modelo!$H$17,IF(AB45=[1]Modelo!$F$18,[1]Modelo!$H$18,IF(AB45=[1]Modelo!$F$19,[1]Modelo!$H$19,IF(AB45=[1]Modelo!$F$20,[1]Modelo!$H$20,IF(AB45=[1]Modelo!$F$21,[1]Modelo!$H$21,IF(AB45=[1]Modelo!$F$22,[1]Modelo!$H$22,0))))))))))))))))</f>
        <v>0.30000000000000004</v>
      </c>
      <c r="AM45" s="138">
        <f>IF(AB45=[1]Modelo!$F$7,[1]Modelo!$I$7,IF(AB45=[1]Modelo!$F$8,[1]Modelo!$I$8,IF(AB45=[1]Modelo!$F$9,[1]Modelo!$I$9,IF(AB45=[1]Modelo!$F$10,[1]Modelo!$I$10,IF(AB45=[1]Modelo!$F$11,[1]Modelo!$I$11,IF(AB45=[1]Modelo!$F$12,[1]Modelo!$I$12,IF(AB45=[1]Modelo!$F$13,[1]Modelo!$I$13,IF(AB45=[1]Modelo!$F$14,[1]Modelo!$I$14,IF(AB45=[1]Modelo!$F$15,[1]Modelo!$I$15,IF(AB45=[1]Modelo!$F$16,[1]Modelo!$I$16,IF(AB45=[1]Modelo!$F$17,[1]Modelo!$I$17,IF(AB45=[1]Modelo!$F$18,[1]Modelo!$I$18,IF(AB45=[1]Modelo!$F$19,[1]Modelo!$I$19,IF(AB45=[1]Modelo!$F$20,[1]Modelo!$I$20,IF(AB45=[1]Modelo!$F$21,[1]Modelo!$I$21,IF(AB45=[1]Modelo!$F$22,[1]Modelo!$I$22,0))))))))))))))))</f>
        <v>0.1</v>
      </c>
      <c r="AN45" s="138">
        <f>IF(AC45=[1]Modelo!$F$23,[1]Modelo!$H$23,IF(AC45=[1]Modelo!$F$24,[1]Modelo!$H$24,IF(AC45=[1]Modelo!$F$25,[1]Modelo!$H$25,0)))</f>
        <v>1</v>
      </c>
      <c r="AO45" s="138">
        <f>IF(AD45=[1]Modelo!$F$26,[1]Modelo!$H$26,IF(AD45=[1]Modelo!$F$27,[1]Modelo!$H$27,IF(AD45=[1]Modelo!$F$28,[1]Modelo!$H$28,0)))</f>
        <v>0.1</v>
      </c>
      <c r="AP45" s="138">
        <f>IF(AE45=[1]Modelo!$F$30,[1]Modelo!$H$30,IF(AE45=[1]Modelo!$F$31,[1]Modelo!$H$31,IF(AE45=[1]Modelo!$F$32,[1]Modelo!$H$32,0)))</f>
        <v>0.8</v>
      </c>
      <c r="AQ45" s="138">
        <f>IF(AF45=[1]Modelo!$F$33,[1]Modelo!$H$33,IF(AF45=[1]Modelo!$F$34,[1]Modelo!$H$34,IF(AF45=[1]Modelo!$F$35,[1]Modelo!$H$35,0)))</f>
        <v>0.3</v>
      </c>
      <c r="AR45" s="138">
        <f>IF(AG45=[1]Modelo!$F$37,[1]Modelo!$H$37,IF(AG45=[1]Modelo!$F$38,[1]Modelo!$H$38,IF(AG45=[1]Modelo!$F$39,[1]Modelo!$H$39,0)))</f>
        <v>0.8</v>
      </c>
      <c r="AS45" s="138">
        <f>IF(AH45=[1]Modelo!$F$40,[1]Modelo!$H$40,IF(AH45=[1]Modelo!$F$41,[1]Modelo!$H$41,IF(AH45=[1]Modelo!$F$42,[1]Modelo!$H$42,0)))</f>
        <v>0.4</v>
      </c>
      <c r="AT45" s="137">
        <f>IF(C45=[1]Modelo!$F$44,[1]Modelo!$H$44,IF(C45=[1]Modelo!$F$45,[1]Modelo!$H$45,IF(C45=[1]Modelo!$F$46,[1]Modelo!$H$46,IF(C45=[1]Modelo!$F$47,[1]Modelo!$H$47,IF(C45=[1]Modelo!$F$48,[1]Modelo!$H$48,IF(C45=[1]Modelo!$F$49,[1]Modelo!$H$49,IF(C45=[1]Modelo!$F$50,[1]Modelo!$H$50,IF(C45=[1]Modelo!$F$51,[1]Modelo!$H$51,IF(C45=[1]Modelo!$F$52,[1]Modelo!$H$52,IF(C45=[1]Modelo!$F$53,[1]Modelo!$H$53,0))))))))))</f>
        <v>0</v>
      </c>
      <c r="AU45" s="138">
        <f>IF(AI45=[1]Modelo!$F$54,[1]Modelo!$H$54,IF(AI45=[1]Modelo!$F$55,[1]Modelo!$H$55,IF(AI45=[1]Modelo!$F$56,[1]Modelo!$H$56,0)))</f>
        <v>1</v>
      </c>
      <c r="AV45" s="138">
        <f>IF(AJ45=[1]Modelo!$F$58,[1]Modelo!$H$58,IF(AJ45=[1]Modelo!$F$59,[1]Modelo!$H$59,IF(AJ45=[1]Modelo!$F$60,[1]Modelo!$H$60,0)))</f>
        <v>0.9</v>
      </c>
      <c r="AW45" s="40"/>
      <c r="AX45" s="139">
        <f>[1]Modelo!$H$2</f>
        <v>0.05</v>
      </c>
      <c r="AY45" s="140">
        <f>ROUNDUP([1]Modelo!$I$2*[1]Modelo!$H$3*[1]Modelo!$I$75,2)</f>
        <v>0.02</v>
      </c>
      <c r="AZ45" s="141">
        <f>ROUNDUP([1]Modelo!$I$2*[1]Modelo!$H$3*[1]Modelo!$H$4*[1]Modelo!$I$75,3)</f>
        <v>3.0000000000000001E-3</v>
      </c>
      <c r="BA45" s="139">
        <f>[1]Modelo!$H$5</f>
        <v>0.04</v>
      </c>
      <c r="BB45" s="139">
        <f>ROUNDUP(SUM(BC45,BE45,BG45,BI45)*[1]Modelo!$H$6,1)</f>
        <v>0.2</v>
      </c>
      <c r="BC45" s="139">
        <f>ROUNDUP((AL45*AN45+0.1)*[1]Modelo!$I$75,1)</f>
        <v>0.4</v>
      </c>
      <c r="BD45" s="139">
        <f>ROUNDUP(AM45*AN45*AO45*[1]Modelo!$I$75,1)</f>
        <v>0.1</v>
      </c>
      <c r="BE45" s="139">
        <f>ROUNDUP(V45*[1]Modelo!$H$29*AP45*[1]Modelo!$I$75*2/3,1)</f>
        <v>0</v>
      </c>
      <c r="BF45" s="139">
        <f>ROUNDUP(V45*[1]Modelo!$H$29*AP45*AQ45*[1]Modelo!$I$75*2/3,1)</f>
        <v>0</v>
      </c>
      <c r="BG45" s="139">
        <f>ROUNDUP(V45*[1]Modelo!$H$29*AP45*[1]Modelo!$I$75/3,1)</f>
        <v>0</v>
      </c>
      <c r="BH45" s="139">
        <f>ROUNDUP(V45*[1]Modelo!$H$29*AP45*AQ45*[1]Modelo!$I$75/3,1)</f>
        <v>0</v>
      </c>
      <c r="BI45" s="139">
        <f>ROUNDUP(W45*[1]Modelo!$H$36*AR45*[1]Modelo!$I$75,1)</f>
        <v>0</v>
      </c>
      <c r="BJ45" s="139">
        <f>ROUNDUP(W45*[1]Modelo!$H$36*AR45*AS45*[1]Modelo!$I$75,1)</f>
        <v>0</v>
      </c>
      <c r="BK45" s="139">
        <f>[1]Modelo!$H$43</f>
        <v>0.04</v>
      </c>
      <c r="BL45" s="139">
        <f>ROUNDUP(SUM(ROUNDUP(AL45*AN45+0.1,1),ROUNDUP(V45*[1]Modelo!$H$29*AP45,1),ROUNDUP(W45*[1]Modelo!$H$36*AR45,1))*AU45*AT45*[1]Modelo!$I$75,1)</f>
        <v>0</v>
      </c>
      <c r="BM45" s="139">
        <f t="shared" si="16"/>
        <v>0</v>
      </c>
      <c r="BN45" s="139">
        <f t="shared" si="17"/>
        <v>0</v>
      </c>
      <c r="BO45" s="139">
        <f t="shared" si="18"/>
        <v>0</v>
      </c>
      <c r="BP45" s="139">
        <f t="shared" si="19"/>
        <v>0</v>
      </c>
      <c r="BQ45" s="139">
        <f>ROUNDUP(SUM(ROUNDUP(AL45*AN45+0.1,1),ROUNDUP(V45*[1]Modelo!$H$29*AP45,1),ROUNDUP(W45*[1]Modelo!$H$36*AR45,1))*AT45*AV45*[1]Modelo!$H$57,1)</f>
        <v>0</v>
      </c>
      <c r="BR45" s="409">
        <v>0</v>
      </c>
      <c r="BS45" s="139">
        <f>[1]Modelo!$H$61</f>
        <v>0.04</v>
      </c>
      <c r="BT45" s="139">
        <f>ROUNDUP(SUM(ROUNDUP(AL45*AN45+0.1,1),ROUNDUP(V45*[1]Modelo!$H$29*AP45,1),ROUNDUP(W45*[1]Modelo!$H$36*AR45,1))*[1]Modelo!$H$62*[1]Modelo!$I$75,1)</f>
        <v>0.1</v>
      </c>
      <c r="BU45" s="139">
        <f>ROUNDUP(ROUNDUP(SUM(ROUNDUP(AL45*AN45+0.1,1),ROUNDUP(V45*[1]Modelo!$H$29*AP45,1),ROUNDUP(W45*[1]Modelo!$H$36*AR45,1))*[1]Modelo!$H$62,1)*[1]Modelo!$H$63*[1]Modelo!$I$75,1)</f>
        <v>0.1</v>
      </c>
      <c r="BV45" s="139">
        <f>SUM(ROUNDUP(AL45*AN45+0.1,1),ROUNDUP(V45*[1]Modelo!$H$29*AP45,1),ROUNDUP(W45*[1]Modelo!$H$36*AR45,1))*[1]Modelo!$H$64*[1]Modelo!$I$75</f>
        <v>8.0000000000000016E-2</v>
      </c>
      <c r="BW45" s="139">
        <f>ROUNDUP(SUM(ROUNDUP(AL45*AN45+0.1,1),ROUNDUP(V45*[1]Modelo!$H$29*AP45,1),ROUNDUP(W45*[1]Modelo!$H$36*AR45,1))*[1]Modelo!$H$64*[1]Modelo!$H$65*[1]Modelo!$I$75,1)</f>
        <v>0.1</v>
      </c>
      <c r="BX45" s="139">
        <f>[1]Modelo!$H$66</f>
        <v>0.04</v>
      </c>
      <c r="BY45" s="139">
        <f>ROUNDUP(SUM(ROUNDUP(AL45*AN45+0.1,1),ROUNDUP(V45*[1]Modelo!$H$29*AP45,1),ROUNDUP(W45*[1]Modelo!$H$36*AR45,1))*[1]Modelo!$H$69,1)</f>
        <v>0.1</v>
      </c>
      <c r="BZ45" s="139">
        <f>ROUNDUP(ROUNDUP(SUM(ROUNDUP(AL45*AN45+0.1,1),ROUNDUP(V45*[1]Modelo!$H$29*AP45,1),ROUNDUP(W45*[1]Modelo!$H$36*AR45,1))*[1]Modelo!$H$62,1)*[1]Modelo!$H$71,1)</f>
        <v>0.2</v>
      </c>
      <c r="CA45" s="142">
        <f t="shared" si="20"/>
        <v>1.6130000000000004</v>
      </c>
      <c r="CB45" s="27"/>
      <c r="CC45" s="27">
        <f t="shared" si="21"/>
        <v>0</v>
      </c>
      <c r="CD45" s="109">
        <f t="shared" si="22"/>
        <v>0</v>
      </c>
      <c r="CE45" s="27">
        <f t="shared" si="23"/>
        <v>1</v>
      </c>
      <c r="CF45" s="27"/>
      <c r="CG45" s="126">
        <v>0</v>
      </c>
      <c r="CH45" s="27"/>
      <c r="CI45" s="27">
        <f t="shared" si="24"/>
        <v>0</v>
      </c>
      <c r="CJ45" s="27"/>
      <c r="CK45" s="27"/>
      <c r="CL45" s="27"/>
      <c r="CM45" s="27"/>
      <c r="CN45" s="27"/>
      <c r="CO45" s="27"/>
      <c r="CP45" s="27"/>
      <c r="CQ45" s="27"/>
      <c r="CR45" s="27"/>
      <c r="CS45" s="27"/>
      <c r="CT45" s="27"/>
      <c r="CU45" s="27"/>
      <c r="CV45" s="27"/>
      <c r="CW45" s="27"/>
      <c r="CX45" s="27"/>
      <c r="CY45" s="27"/>
      <c r="CZ45" s="27"/>
      <c r="DA45" s="27"/>
      <c r="DB45" s="27"/>
      <c r="DC45" s="27"/>
    </row>
    <row r="46" spans="3:107" s="20" customFormat="1" ht="27.5" customHeight="1" outlineLevel="1" thickBot="1" x14ac:dyDescent="0.35">
      <c r="C46" s="388" t="s">
        <v>99</v>
      </c>
      <c r="D46" s="378" t="s">
        <v>76</v>
      </c>
      <c r="E46" s="378" t="str">
        <f>IF(U46&gt;50,"A",IF(U46&gt;15,"M","B"))</f>
        <v>B</v>
      </c>
      <c r="F46" s="378" t="s">
        <v>423</v>
      </c>
      <c r="G46" s="378" t="s">
        <v>423</v>
      </c>
      <c r="H46" s="378" t="str">
        <f>IF(V46+W46&gt;20,"A",IF(V46+W46&gt;5,"M","B"))</f>
        <v>B</v>
      </c>
      <c r="I46" s="378" t="str">
        <f>IF(V46+W46&gt;15,"A",IF(V46+W46&gt;4,"M","B"))</f>
        <v>B</v>
      </c>
      <c r="J46" s="425">
        <f t="shared" si="25"/>
        <v>2</v>
      </c>
      <c r="K46" s="503" t="str">
        <f t="shared" ref="K46:K107" si="27">AB46</f>
        <v>Chica 2</v>
      </c>
      <c r="L46" s="537" t="s">
        <v>757</v>
      </c>
      <c r="M46" s="532">
        <f>BL46+BM46+BN46+BO46+BP46</f>
        <v>9.1999999999999993</v>
      </c>
      <c r="N46" s="532">
        <f>BQ46</f>
        <v>3.8000000000000003</v>
      </c>
      <c r="O46" s="538">
        <f>SUM(M46,N46)</f>
        <v>13</v>
      </c>
      <c r="P46" s="58"/>
      <c r="Q46" s="462"/>
      <c r="R46" s="462"/>
      <c r="S46" s="462"/>
      <c r="T46" s="109"/>
      <c r="U46" s="144">
        <v>10</v>
      </c>
      <c r="V46" s="144">
        <v>2</v>
      </c>
      <c r="W46" s="144">
        <v>0</v>
      </c>
      <c r="X46" s="463"/>
      <c r="Y46" s="463" t="str">
        <f t="shared" si="10"/>
        <v>OperaciónChica2</v>
      </c>
      <c r="Z46" s="135">
        <f>VLOOKUP(Y46,[1]Modelo!$G$82:$H$281,2,FALSE)</f>
        <v>122</v>
      </c>
      <c r="AA46" s="463"/>
      <c r="AB46" s="137" t="str">
        <f t="shared" si="11"/>
        <v>Chica 2</v>
      </c>
      <c r="AC46" s="137" t="str">
        <f t="shared" si="12"/>
        <v>Baja</v>
      </c>
      <c r="AD46" s="137" t="str">
        <f t="shared" ref="AD46:AD107" si="28">IF(E46="A","Alta",IF(E46="M","Media","Baja"))</f>
        <v>Baja</v>
      </c>
      <c r="AE46" s="137" t="str">
        <f t="shared" ref="AE46:AE107" si="29">IF(F46="A","Alta",IF(F46="M","Media","Baja"))</f>
        <v>Baja</v>
      </c>
      <c r="AF46" s="137" t="str">
        <f t="shared" ref="AF46:AF107" si="30">IF(F46="A","Alta",IF(F46="M","Media","Baja"))</f>
        <v>Baja</v>
      </c>
      <c r="AG46" s="137" t="str">
        <f t="shared" ref="AG46:AG107" si="31">IF(G46="A","Alta",IF(G46="M","Media","Baja"))</f>
        <v>Baja</v>
      </c>
      <c r="AH46" s="137" t="str">
        <f t="shared" ref="AH46:AH107" si="32">IF(G46="A","Alta",IF(G46="M","Media","Baja"))</f>
        <v>Baja</v>
      </c>
      <c r="AI46" s="137" t="str">
        <f t="shared" ref="AI46:AI107" si="33">IF(H46="A","Alta",IF(H46="M","Media","Baja"))</f>
        <v>Baja</v>
      </c>
      <c r="AJ46" s="137" t="str">
        <f t="shared" ref="AJ46:AJ107" si="34">IF(I46="A","Alta",IF(I46="M","Media","Baja"))</f>
        <v>Baja</v>
      </c>
      <c r="AK46" s="40"/>
      <c r="AL46" s="138">
        <f>IF(AB46=[1]Modelo!$F$7,[1]Modelo!$H$7,IF(AB46=[1]Modelo!$F$8,[1]Modelo!$H$8,IF(AB46=[1]Modelo!$F$9,[1]Modelo!$H$9,IF(AB46=[1]Modelo!$F$10,[1]Modelo!$H$10,IF(AB46=[1]Modelo!$F$11,[1]Modelo!$H$11,IF(AB46=[1]Modelo!$F$12,[1]Modelo!$H$12,IF(AB46=[1]Modelo!$F$13,[1]Modelo!$H$13,IF(AB46=[1]Modelo!$F$14,[1]Modelo!$H$14,IF(AB46=[1]Modelo!$F$15,[1]Modelo!$H$15,IF(AB46=[1]Modelo!$F$16,[1]Modelo!$H$16,IF(AB46=[1]Modelo!$F$17,[1]Modelo!$H$17,IF(AB46=[1]Modelo!$F$18,[1]Modelo!$H$18,IF(AB46=[1]Modelo!$F$19,[1]Modelo!$H$19,IF(AB46=[1]Modelo!$F$20,[1]Modelo!$H$20,IF(AB46=[1]Modelo!$F$21,[1]Modelo!$H$21,IF(AB46=[1]Modelo!$F$22,[1]Modelo!$H$22,0))))))))))))))))</f>
        <v>0.60000000000000009</v>
      </c>
      <c r="AM46" s="138">
        <f>IF(AB46=[1]Modelo!$F$7,[1]Modelo!$I$7,IF(AB46=[1]Modelo!$F$8,[1]Modelo!$I$8,IF(AB46=[1]Modelo!$F$9,[1]Modelo!$I$9,IF(AB46=[1]Modelo!$F$10,[1]Modelo!$I$10,IF(AB46=[1]Modelo!$F$11,[1]Modelo!$I$11,IF(AB46=[1]Modelo!$F$12,[1]Modelo!$I$12,IF(AB46=[1]Modelo!$F$13,[1]Modelo!$I$13,IF(AB46=[1]Modelo!$F$14,[1]Modelo!$I$14,IF(AB46=[1]Modelo!$F$15,[1]Modelo!$I$15,IF(AB46=[1]Modelo!$F$16,[1]Modelo!$I$16,IF(AB46=[1]Modelo!$F$17,[1]Modelo!$I$17,IF(AB46=[1]Modelo!$F$18,[1]Modelo!$I$18,IF(AB46=[1]Modelo!$F$19,[1]Modelo!$I$19,IF(AB46=[1]Modelo!$F$20,[1]Modelo!$I$20,IF(AB46=[1]Modelo!$F$21,[1]Modelo!$I$21,IF(AB46=[1]Modelo!$F$22,[1]Modelo!$I$22,0))))))))))))))))</f>
        <v>0.2</v>
      </c>
      <c r="AN46" s="138">
        <f>IF(AC46=[1]Modelo!$F$23,[1]Modelo!$H$23,IF(AC46=[1]Modelo!$F$24,[1]Modelo!$H$24,IF(AC46=[1]Modelo!$F$25,[1]Modelo!$H$25,0)))</f>
        <v>1</v>
      </c>
      <c r="AO46" s="138">
        <f>IF(AD46=[1]Modelo!$F$26,[1]Modelo!$H$26,IF(AD46=[1]Modelo!$F$27,[1]Modelo!$H$27,IF(AD46=[1]Modelo!$F$28,[1]Modelo!$H$28,0)))</f>
        <v>0.1</v>
      </c>
      <c r="AP46" s="138">
        <f>IF(AE46=[1]Modelo!$F$30,[1]Modelo!$H$30,IF(AE46=[1]Modelo!$F$31,[1]Modelo!$H$31,IF(AE46=[1]Modelo!$F$32,[1]Modelo!$H$32,0)))</f>
        <v>0.8</v>
      </c>
      <c r="AQ46" s="138">
        <f>IF(AF46=[1]Modelo!$F$33,[1]Modelo!$H$33,IF(AF46=[1]Modelo!$F$34,[1]Modelo!$H$34,IF(AF46=[1]Modelo!$F$35,[1]Modelo!$H$35,0)))</f>
        <v>0.3</v>
      </c>
      <c r="AR46" s="138">
        <f>IF(AG46=[1]Modelo!$F$37,[1]Modelo!$H$37,IF(AG46=[1]Modelo!$F$38,[1]Modelo!$H$38,IF(AG46=[1]Modelo!$F$39,[1]Modelo!$H$39,0)))</f>
        <v>0.8</v>
      </c>
      <c r="AS46" s="138">
        <f>IF(AH46=[1]Modelo!$F$40,[1]Modelo!$H$40,IF(AH46=[1]Modelo!$F$41,[1]Modelo!$H$41,IF(AH46=[1]Modelo!$F$42,[1]Modelo!$H$42,0)))</f>
        <v>0.4</v>
      </c>
      <c r="AT46" s="137">
        <f>IF(C46=[1]Modelo!$F$44,[1]Modelo!$H$44,IF(C46=[1]Modelo!$F$45,[1]Modelo!$H$45,IF(C46=[1]Modelo!$F$46,[1]Modelo!$H$46,IF(C46=[1]Modelo!$F$47,[1]Modelo!$H$47,IF(C46=[1]Modelo!$F$48,[1]Modelo!$H$48,IF(C46=[1]Modelo!$F$49,[1]Modelo!$H$49,IF(C46=[1]Modelo!$F$50,[1]Modelo!$H$50,IF(C46=[1]Modelo!$F$51,[1]Modelo!$H$51,IF(C46=[1]Modelo!$F$52,[1]Modelo!$H$52,IF(C46=[1]Modelo!$F$53,[1]Modelo!$H$53,0))))))))))</f>
        <v>4</v>
      </c>
      <c r="AU46" s="138">
        <f>IF(AI46=[1]Modelo!$F$54,[1]Modelo!$H$54,IF(AI46=[1]Modelo!$F$55,[1]Modelo!$H$55,IF(AI46=[1]Modelo!$F$56,[1]Modelo!$H$56,0)))</f>
        <v>1</v>
      </c>
      <c r="AV46" s="138">
        <f>IF(AJ46=[1]Modelo!$F$58,[1]Modelo!$H$58,IF(AJ46=[1]Modelo!$F$59,[1]Modelo!$H$59,IF(AJ46=[1]Modelo!$F$60,[1]Modelo!$H$60,0)))</f>
        <v>0.9</v>
      </c>
      <c r="AW46" s="40"/>
      <c r="AX46" s="139">
        <f>[1]Modelo!$H$2</f>
        <v>0.05</v>
      </c>
      <c r="AY46" s="140">
        <f>ROUNDUP([1]Modelo!$I$2*[1]Modelo!$H$3*[1]Modelo!$I$75,2)</f>
        <v>0.02</v>
      </c>
      <c r="AZ46" s="141">
        <f>ROUNDUP([1]Modelo!$I$2*[1]Modelo!$H$3*[1]Modelo!$H$4*[1]Modelo!$I$75,3)</f>
        <v>3.0000000000000001E-3</v>
      </c>
      <c r="BA46" s="139">
        <f>[1]Modelo!$H$5</f>
        <v>0.04</v>
      </c>
      <c r="BB46" s="139">
        <f>ROUNDUP(SUM(BC46,BE46,BG46,BI46)*[1]Modelo!$H$6,1)</f>
        <v>0.8</v>
      </c>
      <c r="BC46" s="139">
        <f>ROUNDUP((AL46*AN46+0.1)*[1]Modelo!$I$75,1)</f>
        <v>0.7</v>
      </c>
      <c r="BD46" s="139">
        <f>ROUNDUP(AM46*AN46*AO46*[1]Modelo!$I$75,1)</f>
        <v>0.1</v>
      </c>
      <c r="BE46" s="139">
        <f>ROUNDUP(V46*[1]Modelo!$H$29*AP46*[1]Modelo!$I$75*2/3,1)</f>
        <v>1.1000000000000001</v>
      </c>
      <c r="BF46" s="139">
        <f>ROUNDUP(V46*[1]Modelo!$H$29*AP46*AQ46*[1]Modelo!$I$75*2/3,1)</f>
        <v>0.4</v>
      </c>
      <c r="BG46" s="139">
        <f>ROUNDUP(V46*[1]Modelo!$H$29*AP46*[1]Modelo!$I$75/3,1)</f>
        <v>0.6</v>
      </c>
      <c r="BH46" s="139">
        <f>ROUNDUP(V46*[1]Modelo!$H$29*AP46*AQ46*[1]Modelo!$I$75/3,1)</f>
        <v>0.2</v>
      </c>
      <c r="BI46" s="139">
        <f>ROUNDUP(W46*[1]Modelo!$H$36*AR46*[1]Modelo!$I$75,1)</f>
        <v>0</v>
      </c>
      <c r="BJ46" s="139">
        <f>ROUNDUP(W46*[1]Modelo!$H$36*AR46*AS46*[1]Modelo!$I$75,1)</f>
        <v>0</v>
      </c>
      <c r="BK46" s="139">
        <f>[1]Modelo!$H$43</f>
        <v>0.04</v>
      </c>
      <c r="BL46" s="139">
        <f>ROUNDUP(SUM(ROUNDUP(AL46*AN46+0.1,1),ROUNDUP(V46*[1]Modelo!$H$29*AP46,1),ROUNDUP(W46*[1]Modelo!$H$36*AR46,1))*AU46*AT46*[1]Modelo!$I$75,1)</f>
        <v>9.1999999999999993</v>
      </c>
      <c r="BM46" s="139">
        <f t="shared" si="16"/>
        <v>0</v>
      </c>
      <c r="BN46" s="139">
        <f t="shared" si="17"/>
        <v>0</v>
      </c>
      <c r="BO46" s="139">
        <f t="shared" si="18"/>
        <v>0</v>
      </c>
      <c r="BP46" s="139">
        <f t="shared" si="19"/>
        <v>0</v>
      </c>
      <c r="BQ46" s="139">
        <f>ROUNDUP(SUM(ROUNDUP(AL46*AN46+0.1,1),ROUNDUP(V46*[1]Modelo!$H$29*AP46,1),ROUNDUP(W46*[1]Modelo!$H$36*AR46,1))*AT46*AV46*[1]Modelo!$H$57,1)</f>
        <v>3.8000000000000003</v>
      </c>
      <c r="BR46" s="409">
        <v>0</v>
      </c>
      <c r="BS46" s="139">
        <f>[1]Modelo!$H$61</f>
        <v>0.04</v>
      </c>
      <c r="BT46" s="139">
        <f>ROUNDUP(SUM(ROUNDUP(AL46*AN46+0.1,1),ROUNDUP(V46*[1]Modelo!$H$29*AP46,1),ROUNDUP(W46*[1]Modelo!$H$36*AR46,1))*[1]Modelo!$H$62*[1]Modelo!$I$75,1)</f>
        <v>0.2</v>
      </c>
      <c r="BU46" s="139">
        <f>ROUNDUP(ROUNDUP(SUM(ROUNDUP(AL46*AN46+0.1,1),ROUNDUP(V46*[1]Modelo!$H$29*AP46,1),ROUNDUP(W46*[1]Modelo!$H$36*AR46,1))*[1]Modelo!$H$62,1)*[1]Modelo!$H$63*[1]Modelo!$I$75,1)</f>
        <v>0.1</v>
      </c>
      <c r="BV46" s="139">
        <f>SUM(ROUNDUP(AL46*AN46+0.1,1),ROUNDUP(V46*[1]Modelo!$H$29*AP46,1),ROUNDUP(W46*[1]Modelo!$H$36*AR46,1))*[1]Modelo!$H$64*[1]Modelo!$I$75</f>
        <v>0.45999999999999996</v>
      </c>
      <c r="BW46" s="139">
        <f>ROUNDUP(SUM(ROUNDUP(AL46*AN46+0.1,1),ROUNDUP(V46*[1]Modelo!$H$29*AP46,1),ROUNDUP(W46*[1]Modelo!$H$36*AR46,1))*[1]Modelo!$H$64*[1]Modelo!$H$65*[1]Modelo!$I$75,1)</f>
        <v>0.30000000000000004</v>
      </c>
      <c r="BX46" s="139">
        <f>[1]Modelo!$H$66</f>
        <v>0.04</v>
      </c>
      <c r="BY46" s="139">
        <f>ROUNDUP(SUM(ROUNDUP(AL46*AN46+0.1,1),ROUNDUP(V46*[1]Modelo!$H$29*AP46,1),ROUNDUP(W46*[1]Modelo!$H$36*AR46,1))*[1]Modelo!$H$69,1)</f>
        <v>0.5</v>
      </c>
      <c r="BZ46" s="139">
        <f>ROUNDUP(ROUNDUP(SUM(ROUNDUP(AL46*AN46+0.1,1),ROUNDUP(V46*[1]Modelo!$H$29*AP46,1),ROUNDUP(W46*[1]Modelo!$H$36*AR46,1))*[1]Modelo!$H$62,1)*[1]Modelo!$H$71,1)</f>
        <v>0.4</v>
      </c>
      <c r="CA46" s="142">
        <f t="shared" si="20"/>
        <v>19.093</v>
      </c>
      <c r="CB46" s="27"/>
      <c r="CC46" s="27">
        <f t="shared" si="21"/>
        <v>11.049999999999999</v>
      </c>
      <c r="CD46" s="109">
        <f t="shared" si="22"/>
        <v>13</v>
      </c>
      <c r="CE46" s="27">
        <f t="shared" si="23"/>
        <v>18.2</v>
      </c>
      <c r="CF46" s="27"/>
      <c r="CG46" s="126">
        <v>0</v>
      </c>
      <c r="CH46" s="27"/>
      <c r="CI46" s="27">
        <f t="shared" si="24"/>
        <v>0</v>
      </c>
      <c r="CJ46" s="27"/>
      <c r="CK46" s="27"/>
      <c r="CL46" s="27"/>
      <c r="CM46" s="27"/>
      <c r="CN46" s="27"/>
      <c r="CO46" s="27"/>
      <c r="CP46" s="27"/>
      <c r="CQ46" s="27"/>
      <c r="CR46" s="27"/>
      <c r="CS46" s="27"/>
      <c r="CT46" s="27"/>
      <c r="CU46" s="27"/>
      <c r="CV46" s="27"/>
      <c r="CW46" s="27"/>
      <c r="CX46" s="27"/>
      <c r="CY46" s="27"/>
      <c r="CZ46" s="27"/>
      <c r="DA46" s="27"/>
      <c r="DB46" s="27"/>
      <c r="DC46" s="27"/>
    </row>
    <row r="47" spans="3:107" s="20" customFormat="1" ht="34" customHeight="1" outlineLevel="1" thickBot="1" x14ac:dyDescent="0.35">
      <c r="C47" s="388"/>
      <c r="D47" s="461"/>
      <c r="E47" s="461"/>
      <c r="F47" s="461"/>
      <c r="G47" s="461"/>
      <c r="H47" s="461"/>
      <c r="I47" s="461"/>
      <c r="J47" s="425">
        <f t="shared" si="25"/>
        <v>0</v>
      </c>
      <c r="K47" s="506"/>
      <c r="L47" s="540" t="s">
        <v>758</v>
      </c>
      <c r="M47" s="526"/>
      <c r="N47" s="526"/>
      <c r="O47" s="530"/>
      <c r="P47" s="58"/>
      <c r="Q47" s="143"/>
      <c r="R47" s="143"/>
      <c r="S47" s="143"/>
      <c r="T47" s="109"/>
      <c r="U47" s="144"/>
      <c r="V47" s="144"/>
      <c r="W47" s="144"/>
      <c r="X47" s="136"/>
      <c r="Y47" s="136" t="str">
        <f t="shared" si="10"/>
        <v>0</v>
      </c>
      <c r="Z47" s="135" t="e">
        <f>VLOOKUP(Y47,Modelo!$G$82:$H$281,2,FALSE)</f>
        <v>#N/A</v>
      </c>
      <c r="AA47" s="136"/>
      <c r="AB47" s="137" t="str">
        <f t="shared" si="11"/>
        <v>Chica 1</v>
      </c>
      <c r="AC47" s="137" t="str">
        <f t="shared" si="12"/>
        <v>Baja</v>
      </c>
      <c r="AD47" s="137" t="str">
        <f t="shared" si="28"/>
        <v>Baja</v>
      </c>
      <c r="AE47" s="137" t="str">
        <f t="shared" si="29"/>
        <v>Baja</v>
      </c>
      <c r="AF47" s="137" t="str">
        <f t="shared" si="30"/>
        <v>Baja</v>
      </c>
      <c r="AG47" s="137" t="str">
        <f t="shared" si="31"/>
        <v>Baja</v>
      </c>
      <c r="AH47" s="137" t="str">
        <f t="shared" si="32"/>
        <v>Baja</v>
      </c>
      <c r="AI47" s="137" t="str">
        <f t="shared" si="33"/>
        <v>Baja</v>
      </c>
      <c r="AJ47" s="137" t="str">
        <f t="shared" si="34"/>
        <v>Baja</v>
      </c>
      <c r="AK47" s="40"/>
      <c r="AL47" s="138">
        <f>IF(AB47=Modelo!$F$7,Modelo!$H$7,IF(AB47=Modelo!$F$8,Modelo!$H$8,IF(AB47=Modelo!$F$9,Modelo!$H$9,IF(AB47=Modelo!$F$10,Modelo!$H$10,IF(AB47=Modelo!$F$11,Modelo!$H$11,IF(AB47=Modelo!$F$12,Modelo!$H$12,IF(AB47=Modelo!$F$13,Modelo!$H$13,IF(AB47=Modelo!$F$14,Modelo!$H$14,IF(AB47=Modelo!$F$15,Modelo!$H$15,IF(AB47=Modelo!$F$16,Modelo!$H$16,IF(AB47=Modelo!$F$17,Modelo!$H$17,IF(AB47=Modelo!$F$18,Modelo!$H$18,IF(AB47=Modelo!$F$19,Modelo!$H$19,IF(AB47=Modelo!$F$20,Modelo!$H$20,IF(AB47=Modelo!$F$21,Modelo!$H$21,IF(AB47=Modelo!$F$22,Modelo!$H$22,0))))))))))))))))</f>
        <v>0.30000000000000004</v>
      </c>
      <c r="AM47" s="138">
        <f>IF(AB47=Modelo!$F$7,Modelo!$I$7,IF(AB47=Modelo!$F$8,Modelo!$I$8,IF(AB47=Modelo!$F$9,Modelo!$I$9,IF(AB47=Modelo!$F$10,Modelo!$I$10,IF(AB47=Modelo!$F$11,Modelo!$I$11,IF(AB47=Modelo!$F$12,Modelo!$I$12,IF(AB47=Modelo!$F$13,Modelo!$I$13,IF(AB47=Modelo!$F$14,Modelo!$I$14,IF(AB47=Modelo!$F$15,Modelo!$I$15,IF(AB47=Modelo!$F$16,Modelo!$I$16,IF(AB47=Modelo!$F$17,Modelo!$I$17,IF(AB47=Modelo!$F$18,Modelo!$I$18,IF(AB47=Modelo!$F$19,Modelo!$I$19,IF(AB47=Modelo!$F$20,Modelo!$I$20,IF(AB47=Modelo!$F$21,Modelo!$I$21,IF(AB47=Modelo!$F$22,Modelo!$I$22,0))))))))))))))))</f>
        <v>0.1</v>
      </c>
      <c r="AN47" s="138">
        <f>IF(AC47=Modelo!$F$23,Modelo!$H$23,IF(AC47=Modelo!$F$24,Modelo!$H$24,IF(AC47=Modelo!$F$25,Modelo!$H$25,0)))</f>
        <v>1</v>
      </c>
      <c r="AO47" s="138">
        <f>IF(AD47=Modelo!$F$26,Modelo!$H$26,IF(AD47=Modelo!$F$27,Modelo!$H$27,IF(AD47=Modelo!$F$28,Modelo!$H$28,0)))</f>
        <v>0.1</v>
      </c>
      <c r="AP47" s="138">
        <f>IF(AE47=Modelo!$F$30,Modelo!$H$30,IF(AE47=Modelo!$F$31,Modelo!$H$31,IF(AE47=Modelo!$F$32,Modelo!$H$32,0)))</f>
        <v>0.8</v>
      </c>
      <c r="AQ47" s="138">
        <f>IF(AF47=Modelo!$F$33,Modelo!$H$33,IF(AF47=Modelo!$F$34,Modelo!$H$34,IF(AF47=Modelo!$F$35,Modelo!$H$35,0)))</f>
        <v>0.3</v>
      </c>
      <c r="AR47" s="138">
        <f>IF(AG47=Modelo!$F$37,Modelo!$H$37,IF(AG47=Modelo!$F$38,Modelo!$H$38,IF(AG47=Modelo!$F$39,Modelo!$H$39,0)))</f>
        <v>0.8</v>
      </c>
      <c r="AS47" s="138">
        <f>IF(AH47=Modelo!$F$40,Modelo!$H$40,IF(AH47=Modelo!$F$41,Modelo!$H$41,IF(AH47=Modelo!$F$42,Modelo!$H$42,0)))</f>
        <v>0.4</v>
      </c>
      <c r="AT47" s="137">
        <f>IF(C47=Modelo!$F$44,Modelo!$H$44,IF(C47=Modelo!$F$45,Modelo!$H$45,IF(C47=Modelo!$F$46,Modelo!$H$46,IF(C47=Modelo!$F$47,Modelo!$H$47,IF(C47=Modelo!$F$48,Modelo!$H$48,IF(C47=Modelo!$F$49,Modelo!$H$49,IF(C47=Modelo!$F$50,Modelo!$H$50,IF(C47=Modelo!$F$51,Modelo!$H$51,IF(C47=Modelo!$F$52,Modelo!$H$52,IF(C47=Modelo!$F$53,Modelo!$H$53,0))))))))))</f>
        <v>0</v>
      </c>
      <c r="AU47" s="138">
        <f>IF(AI47=Modelo!$F$54,Modelo!$H$54,IF(AI47=Modelo!$F$55,Modelo!$H$55,IF(AI47=Modelo!$F$56,Modelo!$H$56,0)))</f>
        <v>1</v>
      </c>
      <c r="AV47" s="138">
        <f>IF(AJ47=Modelo!$F$58,Modelo!$H$58,IF(AJ47=Modelo!$F$59,Modelo!$H$59,IF(AJ47=Modelo!$F$60,Modelo!$H$60,0)))</f>
        <v>0.9</v>
      </c>
      <c r="AW47" s="40"/>
      <c r="AX47" s="139">
        <f>Modelo!$H$2</f>
        <v>0.05</v>
      </c>
      <c r="AY47" s="140">
        <f>ROUNDUP(Modelo!$I$2*Modelo!$H$3*Modelo!$I$75,2)</f>
        <v>0.02</v>
      </c>
      <c r="AZ47" s="141">
        <f>ROUNDUP(Modelo!$I$2*Modelo!$H$3*Modelo!$H$4*Modelo!$I$75,3)</f>
        <v>4.0000000000000001E-3</v>
      </c>
      <c r="BA47" s="139">
        <f>Modelo!$H$5</f>
        <v>0.04</v>
      </c>
      <c r="BB47" s="139">
        <f>ROUNDUP(SUM(BC47,BE47,BG47,BI47)*Modelo!$H$6,1)</f>
        <v>0.2</v>
      </c>
      <c r="BC47" s="139">
        <f>ROUNDUP((AL47*AN47+0.1)*Modelo!$I$75,1)</f>
        <v>0.4</v>
      </c>
      <c r="BD47" s="139">
        <f>ROUNDUP(AM47*AN47*AO47*Modelo!$I$75,1)</f>
        <v>0.1</v>
      </c>
      <c r="BE47" s="139">
        <f>ROUNDUP(V47*Modelo!$H$29*AP47*Modelo!$I$75*2/3,1)</f>
        <v>0</v>
      </c>
      <c r="BF47" s="139">
        <f>ROUNDUP(V47*Modelo!$H$29*AP47*AQ47*Modelo!$I$75*2/3,1)</f>
        <v>0</v>
      </c>
      <c r="BG47" s="139">
        <f>ROUNDUP(V47*Modelo!$H$29*AP47*Modelo!$I$75/3,1)</f>
        <v>0</v>
      </c>
      <c r="BH47" s="139">
        <f>ROUNDUP(V47*Modelo!$H$29*AP47*AQ47*Modelo!$I$75/3,1)</f>
        <v>0</v>
      </c>
      <c r="BI47" s="139">
        <f>ROUNDUP(W47*Modelo!$H$36*AR47*Modelo!$I$75,1)</f>
        <v>0</v>
      </c>
      <c r="BJ47" s="139">
        <f>ROUNDUP(W47*Modelo!$H$36*AR47*AS47*Modelo!$I$75,1)</f>
        <v>0</v>
      </c>
      <c r="BK47" s="139">
        <f>Modelo!$H$43</f>
        <v>0.04</v>
      </c>
      <c r="BL47" s="139">
        <f>ROUNDUP(SUM(ROUNDUP(AL47*AN47+0.1,1),ROUNDUP(V47*Modelo!$H$29*AP47,1),ROUNDUP(W47*Modelo!$H$36*AR47,1))*AU47*AT47*Modelo!$I$75,1)</f>
        <v>0</v>
      </c>
      <c r="BM47" s="139">
        <f t="shared" si="16"/>
        <v>0</v>
      </c>
      <c r="BN47" s="139">
        <f t="shared" si="17"/>
        <v>0</v>
      </c>
      <c r="BO47" s="139">
        <f t="shared" si="18"/>
        <v>0</v>
      </c>
      <c r="BP47" s="139">
        <f t="shared" si="19"/>
        <v>0</v>
      </c>
      <c r="BQ47" s="139">
        <f>ROUNDUP(SUM(ROUNDUP(AL47*AN47+0.1,1),ROUNDUP(V47*Modelo!$H$29*AP47,1),ROUNDUP(W47*Modelo!$H$36*AR47,1))*AT47*AV47*Modelo!$H$57,1)</f>
        <v>0</v>
      </c>
      <c r="BR47" s="409">
        <f>BL47*0.1
+IF(K$16="x",0,BL47*0.05)
+IF(K$28="x",0,BL47*0.2)
+IF(K$29="x",0,BL47*0.5)
+IF(OR(K$30="x",K$31="x"),0,BL47*0.05)
+IF(K$32="x",0,BL47*0.3)
+IF(Q47="x",0,BL47*0.5)
+IF(OR(R47="x",S47="x"),0,BL47*0.15)</f>
        <v>0</v>
      </c>
      <c r="BS47" s="139">
        <f>Modelo!$H$61</f>
        <v>0.04</v>
      </c>
      <c r="BT47" s="139">
        <f>ROUNDUP(SUM(ROUNDUP(AL47*AN47+0.1,1),ROUNDUP(V47*Modelo!$H$29*AP47,1),ROUNDUP(W47*Modelo!$H$36*AR47,1))*Modelo!$H$62*Modelo!$I$75,1)</f>
        <v>0.1</v>
      </c>
      <c r="BU47" s="139">
        <f>ROUNDUP(ROUNDUP(SUM(ROUNDUP(AL47*AN47+0.1,1),ROUNDUP(V47*Modelo!$H$29*AP47,1),ROUNDUP(W47*Modelo!$H$36*AR47,1))*Modelo!$H$62,1)*Modelo!$H$63*Modelo!$I$75,1)</f>
        <v>0.1</v>
      </c>
      <c r="BV47" s="139">
        <f>SUM(ROUNDUP(AL47*AN47+0.1,1),ROUNDUP(V47*Modelo!$H$29*AP47,1),ROUNDUP(W47*Modelo!$H$36*AR47,1))*Modelo!$H$64*Modelo!$I$75</f>
        <v>8.0000000000000016E-2</v>
      </c>
      <c r="BW47" s="139">
        <f>ROUNDUP(SUM(ROUNDUP(AL47*AN47+0.1,1),ROUNDUP(V47*Modelo!$H$29*AP47,1),ROUNDUP(W47*Modelo!$H$36*AR47,1))*Modelo!$H$64*Modelo!$H$65*Modelo!$I$75,1)</f>
        <v>0.1</v>
      </c>
      <c r="BX47" s="139">
        <f>Modelo!$H$66</f>
        <v>0.04</v>
      </c>
      <c r="BY47" s="139">
        <f>ROUNDUP(SUM(ROUNDUP(AL47*AN47+0.1,1),ROUNDUP(V47*Modelo!$H$29*AP47,1),ROUNDUP(W47*Modelo!$H$36*AR47,1))*Modelo!$H$69,1)</f>
        <v>0.1</v>
      </c>
      <c r="BZ47" s="139">
        <f>ROUNDUP(ROUNDUP(SUM(ROUNDUP(AL47*AN47+0.1,1),ROUNDUP(V47*Modelo!$H$29*AP47,1),ROUNDUP(W47*Modelo!$H$36*AR47,1))*Modelo!$H$62,1)*Modelo!$H$71,1)</f>
        <v>0.2</v>
      </c>
      <c r="CA47" s="142">
        <f t="shared" si="20"/>
        <v>1.6140000000000003</v>
      </c>
      <c r="CB47" s="27"/>
      <c r="CC47" s="27">
        <f t="shared" si="21"/>
        <v>0</v>
      </c>
      <c r="CD47" s="109">
        <f t="shared" si="22"/>
        <v>0</v>
      </c>
      <c r="CE47" s="27">
        <f t="shared" si="23"/>
        <v>1</v>
      </c>
      <c r="CF47" s="27"/>
      <c r="CG47" s="126">
        <v>0</v>
      </c>
      <c r="CH47" s="27"/>
      <c r="CI47" s="27">
        <f t="shared" si="24"/>
        <v>0</v>
      </c>
      <c r="CJ47" s="27"/>
      <c r="CK47" s="27"/>
      <c r="CL47" s="27"/>
      <c r="CM47" s="27"/>
      <c r="CN47" s="27"/>
      <c r="CO47" s="27"/>
      <c r="CP47" s="27"/>
      <c r="CQ47" s="27"/>
      <c r="CR47" s="27"/>
      <c r="CS47" s="27"/>
      <c r="CT47" s="27"/>
      <c r="CU47" s="27"/>
      <c r="CV47" s="27"/>
      <c r="CW47" s="27"/>
      <c r="CX47" s="27"/>
      <c r="CY47" s="27"/>
      <c r="CZ47" s="27"/>
      <c r="DA47" s="27"/>
      <c r="DB47" s="27"/>
      <c r="DC47" s="27"/>
    </row>
    <row r="48" spans="3:107" s="20" customFormat="1" ht="51.5" customHeight="1" outlineLevel="2" thickBot="1" x14ac:dyDescent="0.35">
      <c r="C48" s="388" t="s">
        <v>515</v>
      </c>
      <c r="D48" s="461" t="s">
        <v>18</v>
      </c>
      <c r="E48" s="461" t="str">
        <f t="shared" ref="E48" si="35">IF(U48&gt;50,"A",IF(U48&gt;15,"M","B"))</f>
        <v>B</v>
      </c>
      <c r="F48" s="461" t="s">
        <v>423</v>
      </c>
      <c r="G48" s="461" t="s">
        <v>423</v>
      </c>
      <c r="H48" s="461" t="str">
        <f t="shared" ref="H48" si="36">IF(V48+W48&gt;20,"A",IF(V48+W48&gt;5,"M","B"))</f>
        <v>B</v>
      </c>
      <c r="I48" s="461" t="str">
        <f t="shared" ref="I48" si="37">IF(V48+W48&gt;15,"A",IF(V48+W48&gt;4,"M","B"))</f>
        <v>B</v>
      </c>
      <c r="J48" s="425">
        <f t="shared" ref="J48" si="38">V48+W48</f>
        <v>2</v>
      </c>
      <c r="K48" s="503" t="str">
        <f t="shared" ref="K48" si="39">AB48</f>
        <v>Chica 3</v>
      </c>
      <c r="L48" s="537" t="s">
        <v>759</v>
      </c>
      <c r="M48" s="532">
        <f>BL48+BM48+BN48+BO48+BP48</f>
        <v>4.5</v>
      </c>
      <c r="N48" s="532">
        <f>BQ48</f>
        <v>1.8</v>
      </c>
      <c r="O48" s="538">
        <f>SUM(M48,N48)</f>
        <v>6.3</v>
      </c>
      <c r="P48" s="58"/>
      <c r="Q48" s="462"/>
      <c r="R48" s="462"/>
      <c r="S48" s="462"/>
      <c r="T48" s="109"/>
      <c r="U48" s="144">
        <v>15</v>
      </c>
      <c r="V48" s="144">
        <v>2</v>
      </c>
      <c r="W48" s="144">
        <v>0</v>
      </c>
      <c r="X48" s="463"/>
      <c r="Y48" s="463" t="str">
        <f t="shared" ref="Y48" si="40">CONCATENATE(C48,LEFT(K48,5),J48)</f>
        <v>ConsultaChica2</v>
      </c>
      <c r="Z48" s="135">
        <f>VLOOKUP(Y48,[1]Modelo!$G$82:$H$281,2,FALSE)</f>
        <v>2</v>
      </c>
      <c r="AA48" s="463"/>
      <c r="AB48" s="137" t="str">
        <f t="shared" ref="AB48" si="41">IF(AND(U48&gt;=0,U48&lt;=6),"Chica 1",IF(AND(U48&gt;=7,U48&lt;=12),"Chica 2",IF(AND(U48&gt;=13,U48&lt;=18),"Chica 3",IF(AND(U48&gt;=19,U48&lt;=24),"Chica 4",IF(AND(U48&gt;=25,U48&lt;=30),"Mediana 1",IF(AND(U48&gt;=31,U48&lt;=36),"Mediana 2",IF(AND(U48&gt;=37,U48&lt;=42),"Mediana 3",IF(AND(U48&gt;=43,U48&lt;=48),"Mediana 4",IF(AND(U48&gt;=49,U48&lt;=54),"Grande 1",IF(AND(U48&gt;=55,U48&lt;=60),"Grande 2",IF(AND(U48&gt;=61,U48&lt;=66),"Grande 3",IF(AND(U48&gt;=67,U48&lt;=72),"Grande 4",IF(AND(U48&gt;=73,U48&lt;=78),"M. grande 1",IF(AND(U48&gt;=79,U48&lt;=84),"M. grande 2",IF(AND(U48&gt;=85,U48&lt;=90),"M. grande 3",IF(AND(U48&gt;=91,U48&lt;=96),"M. grande 4","NO DEF"))))))))))))))))</f>
        <v>Chica 3</v>
      </c>
      <c r="AC48" s="137" t="str">
        <f t="shared" ref="AC48" si="42">IF(E48="A","Alta",IF(E48="M","Media","Baja"))</f>
        <v>Baja</v>
      </c>
      <c r="AD48" s="137" t="str">
        <f t="shared" ref="AD48" si="43">IF(E48="A","Alta",IF(E48="M","Media","Baja"))</f>
        <v>Baja</v>
      </c>
      <c r="AE48" s="137" t="str">
        <f t="shared" ref="AE48" si="44">IF(F48="A","Alta",IF(F48="M","Media","Baja"))</f>
        <v>Baja</v>
      </c>
      <c r="AF48" s="137" t="str">
        <f t="shared" ref="AF48" si="45">IF(F48="A","Alta",IF(F48="M","Media","Baja"))</f>
        <v>Baja</v>
      </c>
      <c r="AG48" s="137" t="str">
        <f t="shared" ref="AG48" si="46">IF(G48="A","Alta",IF(G48="M","Media","Baja"))</f>
        <v>Baja</v>
      </c>
      <c r="AH48" s="137" t="str">
        <f t="shared" ref="AH48" si="47">IF(G48="A","Alta",IF(G48="M","Media","Baja"))</f>
        <v>Baja</v>
      </c>
      <c r="AI48" s="137" t="str">
        <f t="shared" ref="AI48" si="48">IF(H48="A","Alta",IF(H48="M","Media","Baja"))</f>
        <v>Baja</v>
      </c>
      <c r="AJ48" s="137" t="str">
        <f t="shared" ref="AJ48" si="49">IF(I48="A","Alta",IF(I48="M","Media","Baja"))</f>
        <v>Baja</v>
      </c>
      <c r="AK48" s="40"/>
      <c r="AL48" s="138">
        <f>IF(AB48=[1]Modelo!$F$7,[1]Modelo!$H$7,IF(AB48=[1]Modelo!$F$8,[1]Modelo!$H$8,IF(AB48=[1]Modelo!$F$9,[1]Modelo!$H$9,IF(AB48=[1]Modelo!$F$10,[1]Modelo!$H$10,IF(AB48=[1]Modelo!$F$11,[1]Modelo!$H$11,IF(AB48=[1]Modelo!$F$12,[1]Modelo!$H$12,IF(AB48=[1]Modelo!$F$13,[1]Modelo!$H$13,IF(AB48=[1]Modelo!$F$14,[1]Modelo!$H$14,IF(AB48=[1]Modelo!$F$15,[1]Modelo!$H$15,IF(AB48=[1]Modelo!$F$16,[1]Modelo!$H$16,IF(AB48=[1]Modelo!$F$17,[1]Modelo!$H$17,IF(AB48=[1]Modelo!$F$18,[1]Modelo!$H$18,IF(AB48=[1]Modelo!$F$19,[1]Modelo!$H$19,IF(AB48=[1]Modelo!$F$20,[1]Modelo!$H$20,IF(AB48=[1]Modelo!$F$21,[1]Modelo!$H$21,IF(AB48=[1]Modelo!$F$22,[1]Modelo!$H$22,0))))))))))))))))</f>
        <v>0.9</v>
      </c>
      <c r="AM48" s="138">
        <f>IF(AB48=[1]Modelo!$F$7,[1]Modelo!$I$7,IF(AB48=[1]Modelo!$F$8,[1]Modelo!$I$8,IF(AB48=[1]Modelo!$F$9,[1]Modelo!$I$9,IF(AB48=[1]Modelo!$F$10,[1]Modelo!$I$10,IF(AB48=[1]Modelo!$F$11,[1]Modelo!$I$11,IF(AB48=[1]Modelo!$F$12,[1]Modelo!$I$12,IF(AB48=[1]Modelo!$F$13,[1]Modelo!$I$13,IF(AB48=[1]Modelo!$F$14,[1]Modelo!$I$14,IF(AB48=[1]Modelo!$F$15,[1]Modelo!$I$15,IF(AB48=[1]Modelo!$F$16,[1]Modelo!$I$16,IF(AB48=[1]Modelo!$F$17,[1]Modelo!$I$17,IF(AB48=[1]Modelo!$F$18,[1]Modelo!$I$18,IF(AB48=[1]Modelo!$F$19,[1]Modelo!$I$19,IF(AB48=[1]Modelo!$F$20,[1]Modelo!$I$20,IF(AB48=[1]Modelo!$F$21,[1]Modelo!$I$21,IF(AB48=[1]Modelo!$F$22,[1]Modelo!$I$22,0))))))))))))))))</f>
        <v>0.3</v>
      </c>
      <c r="AN48" s="138">
        <f>IF(AC48=[1]Modelo!$F$23,[1]Modelo!$H$23,IF(AC48=[1]Modelo!$F$24,[1]Modelo!$H$24,IF(AC48=[1]Modelo!$F$25,[1]Modelo!$H$25,0)))</f>
        <v>1</v>
      </c>
      <c r="AO48" s="138">
        <f>IF(AD48=[1]Modelo!$F$26,[1]Modelo!$H$26,IF(AD48=[1]Modelo!$F$27,[1]Modelo!$H$27,IF(AD48=[1]Modelo!$F$28,[1]Modelo!$H$28,0)))</f>
        <v>0.1</v>
      </c>
      <c r="AP48" s="138">
        <f>IF(AE48=[1]Modelo!$F$30,[1]Modelo!$H$30,IF(AE48=[1]Modelo!$F$31,[1]Modelo!$H$31,IF(AE48=[1]Modelo!$F$32,[1]Modelo!$H$32,0)))</f>
        <v>0.8</v>
      </c>
      <c r="AQ48" s="138">
        <f>IF(AF48=[1]Modelo!$F$33,[1]Modelo!$H$33,IF(AF48=[1]Modelo!$F$34,[1]Modelo!$H$34,IF(AF48=[1]Modelo!$F$35,[1]Modelo!$H$35,0)))</f>
        <v>0.3</v>
      </c>
      <c r="AR48" s="138">
        <f>IF(AG48=[1]Modelo!$F$37,[1]Modelo!$H$37,IF(AG48=[1]Modelo!$F$38,[1]Modelo!$H$38,IF(AG48=[1]Modelo!$F$39,[1]Modelo!$H$39,0)))</f>
        <v>0.8</v>
      </c>
      <c r="AS48" s="138">
        <f>IF(AH48=[1]Modelo!$F$40,[1]Modelo!$H$40,IF(AH48=[1]Modelo!$F$41,[1]Modelo!$H$41,IF(AH48=[1]Modelo!$F$42,[1]Modelo!$H$42,0)))</f>
        <v>0.4</v>
      </c>
      <c r="AT48" s="137">
        <f>IF(C48=[1]Modelo!$F$44,[1]Modelo!$H$44,IF(C48=[1]Modelo!$F$45,[1]Modelo!$H$45,IF(C48=[1]Modelo!$F$46,[1]Modelo!$H$46,IF(C48=[1]Modelo!$F$47,[1]Modelo!$H$47,IF(C48=[1]Modelo!$F$48,[1]Modelo!$H$48,IF(C48=[1]Modelo!$F$49,[1]Modelo!$H$49,IF(C48=[1]Modelo!$F$50,[1]Modelo!$H$50,IF(C48=[1]Modelo!$F$51,[1]Modelo!$H$51,IF(C48=[1]Modelo!$F$52,[1]Modelo!$H$52,IF(C48=[1]Modelo!$F$53,[1]Modelo!$H$53,0))))))))))</f>
        <v>1.7</v>
      </c>
      <c r="AU48" s="138">
        <f>IF(AI48=[1]Modelo!$F$54,[1]Modelo!$H$54,IF(AI48=[1]Modelo!$F$55,[1]Modelo!$H$55,IF(AI48=[1]Modelo!$F$56,[1]Modelo!$H$56,0)))</f>
        <v>1</v>
      </c>
      <c r="AV48" s="138">
        <f>IF(AJ48=[1]Modelo!$F$58,[1]Modelo!$H$58,IF(AJ48=[1]Modelo!$F$59,[1]Modelo!$H$59,IF(AJ48=[1]Modelo!$F$60,[1]Modelo!$H$60,0)))</f>
        <v>0.9</v>
      </c>
      <c r="AW48" s="40"/>
      <c r="AX48" s="139">
        <f>[1]Modelo!$H$2</f>
        <v>0.05</v>
      </c>
      <c r="AY48" s="140">
        <f>ROUNDUP([1]Modelo!$I$2*[1]Modelo!$H$3*[1]Modelo!$I$75,2)</f>
        <v>0.02</v>
      </c>
      <c r="AZ48" s="141">
        <f>ROUNDUP([1]Modelo!$I$2*[1]Modelo!$H$3*[1]Modelo!$H$4*[1]Modelo!$I$75,3)</f>
        <v>3.0000000000000001E-3</v>
      </c>
      <c r="BA48" s="139">
        <f>[1]Modelo!$H$5</f>
        <v>0.04</v>
      </c>
      <c r="BB48" s="139">
        <f>ROUNDUP(SUM(BC48,BE48,BG48,BI48)*[1]Modelo!$H$6,1)</f>
        <v>0.9</v>
      </c>
      <c r="BC48" s="139">
        <f>ROUNDUP((AL48*AN48+0.1)*[1]Modelo!$I$75,1)</f>
        <v>1</v>
      </c>
      <c r="BD48" s="139">
        <f>ROUNDUP(AM48*AN48*AO48*[1]Modelo!$I$75,1)</f>
        <v>0.1</v>
      </c>
      <c r="BE48" s="139">
        <f>ROUNDUP(V48*[1]Modelo!$H$29*AP48*[1]Modelo!$I$75*2/3,1)</f>
        <v>1.1000000000000001</v>
      </c>
      <c r="BF48" s="139">
        <f>ROUNDUP(V48*[1]Modelo!$H$29*AP48*AQ48*[1]Modelo!$I$75*2/3,1)</f>
        <v>0.4</v>
      </c>
      <c r="BG48" s="139">
        <f>ROUNDUP(V48*[1]Modelo!$H$29*AP48*[1]Modelo!$I$75/3,1)</f>
        <v>0.6</v>
      </c>
      <c r="BH48" s="139">
        <f>ROUNDUP(V48*[1]Modelo!$H$29*AP48*AQ48*[1]Modelo!$I$75/3,1)</f>
        <v>0.2</v>
      </c>
      <c r="BI48" s="139">
        <f>ROUNDUP(W48*[1]Modelo!$H$36*AR48*[1]Modelo!$I$75,1)</f>
        <v>0</v>
      </c>
      <c r="BJ48" s="139">
        <f>ROUNDUP(W48*[1]Modelo!$H$36*AR48*AS48*[1]Modelo!$I$75,1)</f>
        <v>0</v>
      </c>
      <c r="BK48" s="139">
        <f>[1]Modelo!$H$43</f>
        <v>0.04</v>
      </c>
      <c r="BL48" s="139">
        <f>ROUNDUP(SUM(ROUNDUP(AL48*AN48+0.1,1),ROUNDUP(V48*[1]Modelo!$H$29*AP48,1),ROUNDUP(W48*[1]Modelo!$H$36*AR48,1))*AU48*AT48*[1]Modelo!$I$75,1)</f>
        <v>4.5</v>
      </c>
      <c r="BM48" s="139">
        <f t="shared" ref="BM48" si="50">IF(K$32="x",0, BL48*0.1*1.25)</f>
        <v>0</v>
      </c>
      <c r="BN48" s="139">
        <f t="shared" ref="BN48" si="51">IF(Q48="x",(BL48)*0.1,0)</f>
        <v>0</v>
      </c>
      <c r="BO48" s="139">
        <f t="shared" ref="BO48" si="52">IF(R48="x",(BL48)*0.12,0)</f>
        <v>0</v>
      </c>
      <c r="BP48" s="139">
        <f t="shared" ref="BP48" si="53">IF(S48="x",(BL48)*0.12,0)*4</f>
        <v>0</v>
      </c>
      <c r="BQ48" s="139">
        <f>ROUNDUP(SUM(ROUNDUP(AL48*AN48+0.1,1),ROUNDUP(V48*[1]Modelo!$H$29*AP48,1),ROUNDUP(W48*[1]Modelo!$H$36*AR48,1))*AT48*AV48*[1]Modelo!$H$57,1)</f>
        <v>1.8</v>
      </c>
      <c r="BR48" s="409">
        <v>0</v>
      </c>
      <c r="BS48" s="139">
        <f>[1]Modelo!$H$61</f>
        <v>0.04</v>
      </c>
      <c r="BT48" s="139">
        <f>ROUNDUP(SUM(ROUNDUP(AL48*AN48+0.1,1),ROUNDUP(V48*[1]Modelo!$H$29*AP48,1),ROUNDUP(W48*[1]Modelo!$H$36*AR48,1))*[1]Modelo!$H$62*[1]Modelo!$I$75,1)</f>
        <v>0.2</v>
      </c>
      <c r="BU48" s="139">
        <f>ROUNDUP(ROUNDUP(SUM(ROUNDUP(AL48*AN48+0.1,1),ROUNDUP(V48*[1]Modelo!$H$29*AP48,1),ROUNDUP(W48*[1]Modelo!$H$36*AR48,1))*[1]Modelo!$H$62,1)*[1]Modelo!$H$63*[1]Modelo!$I$75,1)</f>
        <v>0.1</v>
      </c>
      <c r="BV48" s="139">
        <f>SUM(ROUNDUP(AL48*AN48+0.1,1),ROUNDUP(V48*[1]Modelo!$H$29*AP48,1),ROUNDUP(W48*[1]Modelo!$H$36*AR48,1))*[1]Modelo!$H$64*[1]Modelo!$I$75</f>
        <v>0.52</v>
      </c>
      <c r="BW48" s="139">
        <f>ROUNDUP(SUM(ROUNDUP(AL48*AN48+0.1,1),ROUNDUP(V48*[1]Modelo!$H$29*AP48,1),ROUNDUP(W48*[1]Modelo!$H$36*AR48,1))*[1]Modelo!$H$64*[1]Modelo!$H$65*[1]Modelo!$I$75,1)</f>
        <v>0.30000000000000004</v>
      </c>
      <c r="BX48" s="139">
        <f>[1]Modelo!$H$66</f>
        <v>0.04</v>
      </c>
      <c r="BY48" s="139">
        <f>ROUNDUP(SUM(ROUNDUP(AL48*AN48+0.1,1),ROUNDUP(V48*[1]Modelo!$H$29*AP48,1),ROUNDUP(W48*[1]Modelo!$H$36*AR48,1))*[1]Modelo!$H$69,1)</f>
        <v>0.6</v>
      </c>
      <c r="BZ48" s="139">
        <f>ROUNDUP(ROUNDUP(SUM(ROUNDUP(AL48*AN48+0.1,1),ROUNDUP(V48*[1]Modelo!$H$29*AP48,1),ROUNDUP(W48*[1]Modelo!$H$36*AR48,1))*[1]Modelo!$H$62,1)*[1]Modelo!$H$71,1)</f>
        <v>0.4</v>
      </c>
      <c r="CA48" s="142">
        <f t="shared" ref="CA48" si="54">SUM(AX48:BZ48)</f>
        <v>12.952999999999998</v>
      </c>
      <c r="CB48" s="27"/>
      <c r="CC48" s="27">
        <f t="shared" ref="CC48" si="55">CD48*0.85</f>
        <v>5.3549999999999995</v>
      </c>
      <c r="CD48" s="109">
        <f t="shared" ref="CD48" si="56">O48</f>
        <v>6.3</v>
      </c>
      <c r="CE48" s="27">
        <f t="shared" ref="CE48" si="57">IF(CD48=0,1,CD48*1.4)</f>
        <v>8.8199999999999985</v>
      </c>
      <c r="CF48" s="27"/>
      <c r="CG48" s="126">
        <v>0</v>
      </c>
      <c r="CH48" s="27"/>
      <c r="CI48" s="27">
        <f t="shared" ref="CI48" si="58">IF(CF48&lt;&gt;"",CF48,CG48)</f>
        <v>0</v>
      </c>
      <c r="CJ48" s="27"/>
      <c r="CK48" s="27"/>
      <c r="CL48" s="27"/>
      <c r="CM48" s="27"/>
      <c r="CN48" s="27"/>
      <c r="CO48" s="27"/>
      <c r="CP48" s="27"/>
      <c r="CQ48" s="27"/>
      <c r="CR48" s="27"/>
      <c r="CS48" s="27"/>
      <c r="CT48" s="27"/>
      <c r="CU48" s="27"/>
      <c r="CV48" s="27"/>
      <c r="CW48" s="27"/>
      <c r="CX48" s="27"/>
      <c r="CY48" s="27"/>
      <c r="CZ48" s="27"/>
      <c r="DA48" s="27"/>
      <c r="DB48" s="27"/>
      <c r="DC48" s="27"/>
    </row>
    <row r="49" spans="3:107" s="20" customFormat="1" ht="116.5" customHeight="1" outlineLevel="2" thickBot="1" x14ac:dyDescent="0.35">
      <c r="C49" s="388" t="s">
        <v>93</v>
      </c>
      <c r="D49" s="461" t="s">
        <v>18</v>
      </c>
      <c r="E49" s="461" t="str">
        <f t="shared" ref="E49" si="59">IF(U49&gt;50,"A",IF(U49&gt;15,"M","B"))</f>
        <v>B</v>
      </c>
      <c r="F49" s="461" t="s">
        <v>423</v>
      </c>
      <c r="G49" s="461" t="s">
        <v>423</v>
      </c>
      <c r="H49" s="461" t="str">
        <f t="shared" ref="H49" si="60">IF(V49+W49&gt;20,"A",IF(V49+W49&gt;5,"M","B"))</f>
        <v>B</v>
      </c>
      <c r="I49" s="461" t="str">
        <f t="shared" ref="I49" si="61">IF(V49+W49&gt;15,"A",IF(V49+W49&gt;4,"M","B"))</f>
        <v>B</v>
      </c>
      <c r="J49" s="425">
        <f t="shared" ref="J49" si="62">V49+W49</f>
        <v>1</v>
      </c>
      <c r="K49" s="503" t="str">
        <f t="shared" ref="K49" si="63">AB49</f>
        <v>Chica 2</v>
      </c>
      <c r="L49" s="541" t="s">
        <v>760</v>
      </c>
      <c r="M49" s="532">
        <f>BL49+BM49+BN49+BO49+BP49</f>
        <v>3.3</v>
      </c>
      <c r="N49" s="532">
        <f>BQ49</f>
        <v>1.4000000000000001</v>
      </c>
      <c r="O49" s="538">
        <f>SUM(M49,N49)</f>
        <v>4.7</v>
      </c>
      <c r="P49" s="58"/>
      <c r="Q49" s="462"/>
      <c r="R49" s="462"/>
      <c r="S49" s="462"/>
      <c r="T49" s="109"/>
      <c r="U49" s="144">
        <v>10</v>
      </c>
      <c r="V49" s="144">
        <v>1</v>
      </c>
      <c r="W49" s="144">
        <v>0</v>
      </c>
      <c r="X49" s="463"/>
      <c r="Y49" s="463" t="str">
        <f t="shared" ref="Y49" si="64">CONCATENATE(C49,LEFT(K49,5),J49)</f>
        <v>CapturaChica1</v>
      </c>
      <c r="Z49" s="135">
        <f>VLOOKUP(Y49,[1]Modelo!$G$82:$H$281,2,FALSE)</f>
        <v>41</v>
      </c>
      <c r="AA49" s="463"/>
      <c r="AB49" s="137" t="str">
        <f t="shared" ref="AB49" si="65">IF(AND(U49&gt;=0,U49&lt;=6),"Chica 1",IF(AND(U49&gt;=7,U49&lt;=12),"Chica 2",IF(AND(U49&gt;=13,U49&lt;=18),"Chica 3",IF(AND(U49&gt;=19,U49&lt;=24),"Chica 4",IF(AND(U49&gt;=25,U49&lt;=30),"Mediana 1",IF(AND(U49&gt;=31,U49&lt;=36),"Mediana 2",IF(AND(U49&gt;=37,U49&lt;=42),"Mediana 3",IF(AND(U49&gt;=43,U49&lt;=48),"Mediana 4",IF(AND(U49&gt;=49,U49&lt;=54),"Grande 1",IF(AND(U49&gt;=55,U49&lt;=60),"Grande 2",IF(AND(U49&gt;=61,U49&lt;=66),"Grande 3",IF(AND(U49&gt;=67,U49&lt;=72),"Grande 4",IF(AND(U49&gt;=73,U49&lt;=78),"M. grande 1",IF(AND(U49&gt;=79,U49&lt;=84),"M. grande 2",IF(AND(U49&gt;=85,U49&lt;=90),"M. grande 3",IF(AND(U49&gt;=91,U49&lt;=96),"M. grande 4","NO DEF"))))))))))))))))</f>
        <v>Chica 2</v>
      </c>
      <c r="AC49" s="137" t="str">
        <f t="shared" ref="AC49" si="66">IF(E49="A","Alta",IF(E49="M","Media","Baja"))</f>
        <v>Baja</v>
      </c>
      <c r="AD49" s="137" t="str">
        <f t="shared" ref="AD49" si="67">IF(E49="A","Alta",IF(E49="M","Media","Baja"))</f>
        <v>Baja</v>
      </c>
      <c r="AE49" s="137" t="str">
        <f t="shared" ref="AE49" si="68">IF(F49="A","Alta",IF(F49="M","Media","Baja"))</f>
        <v>Baja</v>
      </c>
      <c r="AF49" s="137" t="str">
        <f t="shared" ref="AF49" si="69">IF(F49="A","Alta",IF(F49="M","Media","Baja"))</f>
        <v>Baja</v>
      </c>
      <c r="AG49" s="137" t="str">
        <f t="shared" ref="AG49" si="70">IF(G49="A","Alta",IF(G49="M","Media","Baja"))</f>
        <v>Baja</v>
      </c>
      <c r="AH49" s="137" t="str">
        <f t="shared" ref="AH49" si="71">IF(G49="A","Alta",IF(G49="M","Media","Baja"))</f>
        <v>Baja</v>
      </c>
      <c r="AI49" s="137" t="str">
        <f t="shared" ref="AI49" si="72">IF(H49="A","Alta",IF(H49="M","Media","Baja"))</f>
        <v>Baja</v>
      </c>
      <c r="AJ49" s="137" t="str">
        <f t="shared" ref="AJ49" si="73">IF(I49="A","Alta",IF(I49="M","Media","Baja"))</f>
        <v>Baja</v>
      </c>
      <c r="AK49" s="40"/>
      <c r="AL49" s="138">
        <f>IF(AB49=[1]Modelo!$F$7,[1]Modelo!$H$7,IF(AB49=[1]Modelo!$F$8,[1]Modelo!$H$8,IF(AB49=[1]Modelo!$F$9,[1]Modelo!$H$9,IF(AB49=[1]Modelo!$F$10,[1]Modelo!$H$10,IF(AB49=[1]Modelo!$F$11,[1]Modelo!$H$11,IF(AB49=[1]Modelo!$F$12,[1]Modelo!$H$12,IF(AB49=[1]Modelo!$F$13,[1]Modelo!$H$13,IF(AB49=[1]Modelo!$F$14,[1]Modelo!$H$14,IF(AB49=[1]Modelo!$F$15,[1]Modelo!$H$15,IF(AB49=[1]Modelo!$F$16,[1]Modelo!$H$16,IF(AB49=[1]Modelo!$F$17,[1]Modelo!$H$17,IF(AB49=[1]Modelo!$F$18,[1]Modelo!$H$18,IF(AB49=[1]Modelo!$F$19,[1]Modelo!$H$19,IF(AB49=[1]Modelo!$F$20,[1]Modelo!$H$20,IF(AB49=[1]Modelo!$F$21,[1]Modelo!$H$21,IF(AB49=[1]Modelo!$F$22,[1]Modelo!$H$22,0))))))))))))))))</f>
        <v>0.60000000000000009</v>
      </c>
      <c r="AM49" s="138">
        <f>IF(AB49=[1]Modelo!$F$7,[1]Modelo!$I$7,IF(AB49=[1]Modelo!$F$8,[1]Modelo!$I$8,IF(AB49=[1]Modelo!$F$9,[1]Modelo!$I$9,IF(AB49=[1]Modelo!$F$10,[1]Modelo!$I$10,IF(AB49=[1]Modelo!$F$11,[1]Modelo!$I$11,IF(AB49=[1]Modelo!$F$12,[1]Modelo!$I$12,IF(AB49=[1]Modelo!$F$13,[1]Modelo!$I$13,IF(AB49=[1]Modelo!$F$14,[1]Modelo!$I$14,IF(AB49=[1]Modelo!$F$15,[1]Modelo!$I$15,IF(AB49=[1]Modelo!$F$16,[1]Modelo!$I$16,IF(AB49=[1]Modelo!$F$17,[1]Modelo!$I$17,IF(AB49=[1]Modelo!$F$18,[1]Modelo!$I$18,IF(AB49=[1]Modelo!$F$19,[1]Modelo!$I$19,IF(AB49=[1]Modelo!$F$20,[1]Modelo!$I$20,IF(AB49=[1]Modelo!$F$21,[1]Modelo!$I$21,IF(AB49=[1]Modelo!$F$22,[1]Modelo!$I$22,0))))))))))))))))</f>
        <v>0.2</v>
      </c>
      <c r="AN49" s="138">
        <f>IF(AC49=[1]Modelo!$F$23,[1]Modelo!$H$23,IF(AC49=[1]Modelo!$F$24,[1]Modelo!$H$24,IF(AC49=[1]Modelo!$F$25,[1]Modelo!$H$25,0)))</f>
        <v>1</v>
      </c>
      <c r="AO49" s="138">
        <f>IF(AD49=[1]Modelo!$F$26,[1]Modelo!$H$26,IF(AD49=[1]Modelo!$F$27,[1]Modelo!$H$27,IF(AD49=[1]Modelo!$F$28,[1]Modelo!$H$28,0)))</f>
        <v>0.1</v>
      </c>
      <c r="AP49" s="138">
        <f>IF(AE49=[1]Modelo!$F$30,[1]Modelo!$H$30,IF(AE49=[1]Modelo!$F$31,[1]Modelo!$H$31,IF(AE49=[1]Modelo!$F$32,[1]Modelo!$H$32,0)))</f>
        <v>0.8</v>
      </c>
      <c r="AQ49" s="138">
        <f>IF(AF49=[1]Modelo!$F$33,[1]Modelo!$H$33,IF(AF49=[1]Modelo!$F$34,[1]Modelo!$H$34,IF(AF49=[1]Modelo!$F$35,[1]Modelo!$H$35,0)))</f>
        <v>0.3</v>
      </c>
      <c r="AR49" s="138">
        <f>IF(AG49=[1]Modelo!$F$37,[1]Modelo!$H$37,IF(AG49=[1]Modelo!$F$38,[1]Modelo!$H$38,IF(AG49=[1]Modelo!$F$39,[1]Modelo!$H$39,0)))</f>
        <v>0.8</v>
      </c>
      <c r="AS49" s="138">
        <f>IF(AH49=[1]Modelo!$F$40,[1]Modelo!$H$40,IF(AH49=[1]Modelo!$F$41,[1]Modelo!$H$41,IF(AH49=[1]Modelo!$F$42,[1]Modelo!$H$42,0)))</f>
        <v>0.4</v>
      </c>
      <c r="AT49" s="137">
        <f>IF(C49=[1]Modelo!$F$44,[1]Modelo!$H$44,IF(C49=[1]Modelo!$F$45,[1]Modelo!$H$45,IF(C49=[1]Modelo!$F$46,[1]Modelo!$H$46,IF(C49=[1]Modelo!$F$47,[1]Modelo!$H$47,IF(C49=[1]Modelo!$F$48,[1]Modelo!$H$48,IF(C49=[1]Modelo!$F$49,[1]Modelo!$H$49,IF(C49=[1]Modelo!$F$50,[1]Modelo!$H$50,IF(C49=[1]Modelo!$F$51,[1]Modelo!$H$51,IF(C49=[1]Modelo!$F$52,[1]Modelo!$H$52,IF(C49=[1]Modelo!$F$53,[1]Modelo!$H$53,0))))))))))</f>
        <v>2.2000000000000002</v>
      </c>
      <c r="AU49" s="138">
        <f>IF(AI49=[1]Modelo!$F$54,[1]Modelo!$H$54,IF(AI49=[1]Modelo!$F$55,[1]Modelo!$H$55,IF(AI49=[1]Modelo!$F$56,[1]Modelo!$H$56,0)))</f>
        <v>1</v>
      </c>
      <c r="AV49" s="138">
        <f>IF(AJ49=[1]Modelo!$F$58,[1]Modelo!$H$58,IF(AJ49=[1]Modelo!$F$59,[1]Modelo!$H$59,IF(AJ49=[1]Modelo!$F$60,[1]Modelo!$H$60,0)))</f>
        <v>0.9</v>
      </c>
      <c r="AW49" s="40"/>
      <c r="AX49" s="139">
        <f>[1]Modelo!$H$2</f>
        <v>0.05</v>
      </c>
      <c r="AY49" s="140">
        <f>ROUNDUP([1]Modelo!$I$2*[1]Modelo!$H$3*[1]Modelo!$I$75,2)</f>
        <v>0.02</v>
      </c>
      <c r="AZ49" s="141">
        <f>ROUNDUP([1]Modelo!$I$2*[1]Modelo!$H$3*[1]Modelo!$H$4*[1]Modelo!$I$75,3)</f>
        <v>3.0000000000000001E-3</v>
      </c>
      <c r="BA49" s="139">
        <f>[1]Modelo!$H$5</f>
        <v>0.04</v>
      </c>
      <c r="BB49" s="139">
        <f>ROUNDUP(SUM(BC49,BE49,BG49,BI49)*[1]Modelo!$H$6,1)</f>
        <v>0.6</v>
      </c>
      <c r="BC49" s="139">
        <f>ROUNDUP((AL49*AN49+0.1)*[1]Modelo!$I$75,1)</f>
        <v>0.7</v>
      </c>
      <c r="BD49" s="139">
        <f>ROUNDUP(AM49*AN49*AO49*[1]Modelo!$I$75,1)</f>
        <v>0.1</v>
      </c>
      <c r="BE49" s="139">
        <f>ROUNDUP(V49*[1]Modelo!$H$29*AP49*[1]Modelo!$I$75*2/3,1)</f>
        <v>0.6</v>
      </c>
      <c r="BF49" s="139">
        <f>ROUNDUP(V49*[1]Modelo!$H$29*AP49*AQ49*[1]Modelo!$I$75*2/3,1)</f>
        <v>0.2</v>
      </c>
      <c r="BG49" s="139">
        <f>ROUNDUP(V49*[1]Modelo!$H$29*AP49*[1]Modelo!$I$75/3,1)</f>
        <v>0.30000000000000004</v>
      </c>
      <c r="BH49" s="139">
        <f>ROUNDUP(V49*[1]Modelo!$H$29*AP49*AQ49*[1]Modelo!$I$75/3,1)</f>
        <v>0.1</v>
      </c>
      <c r="BI49" s="139">
        <f>ROUNDUP(W49*[1]Modelo!$H$36*AR49*[1]Modelo!$I$75,1)</f>
        <v>0</v>
      </c>
      <c r="BJ49" s="139">
        <f>ROUNDUP(W49*[1]Modelo!$H$36*AR49*AS49*[1]Modelo!$I$75,1)</f>
        <v>0</v>
      </c>
      <c r="BK49" s="139">
        <f>[1]Modelo!$H$43</f>
        <v>0.04</v>
      </c>
      <c r="BL49" s="139">
        <f>ROUNDUP(SUM(ROUNDUP(AL49*AN49+0.1,1),ROUNDUP(V49*[1]Modelo!$H$29*AP49,1),ROUNDUP(W49*[1]Modelo!$H$36*AR49,1))*AU49*AT49*[1]Modelo!$I$75,1)</f>
        <v>3.3</v>
      </c>
      <c r="BM49" s="139">
        <f t="shared" ref="BM49" si="74">IF(K$32="x",0, BL49*0.1*1.25)</f>
        <v>0</v>
      </c>
      <c r="BN49" s="139">
        <f t="shared" ref="BN49" si="75">IF(Q49="x",(BL49)*0.1,0)</f>
        <v>0</v>
      </c>
      <c r="BO49" s="139">
        <f t="shared" ref="BO49" si="76">IF(R49="x",(BL49)*0.12,0)</f>
        <v>0</v>
      </c>
      <c r="BP49" s="139">
        <f t="shared" ref="BP49" si="77">IF(S49="x",(BL49)*0.12,0)*4</f>
        <v>0</v>
      </c>
      <c r="BQ49" s="139">
        <f>ROUNDUP(SUM(ROUNDUP(AL49*AN49+0.1,1),ROUNDUP(V49*[1]Modelo!$H$29*AP49,1),ROUNDUP(W49*[1]Modelo!$H$36*AR49,1))*AT49*AV49*[1]Modelo!$H$57,1)</f>
        <v>1.4000000000000001</v>
      </c>
      <c r="BR49" s="409">
        <v>0</v>
      </c>
      <c r="BS49" s="139">
        <f>[1]Modelo!$H$61</f>
        <v>0.04</v>
      </c>
      <c r="BT49" s="139">
        <f>ROUNDUP(SUM(ROUNDUP(AL49*AN49+0.1,1),ROUNDUP(V49*[1]Modelo!$H$29*AP49,1),ROUNDUP(W49*[1]Modelo!$H$36*AR49,1))*[1]Modelo!$H$62*[1]Modelo!$I$75,1)</f>
        <v>0.1</v>
      </c>
      <c r="BU49" s="139">
        <f>ROUNDUP(ROUNDUP(SUM(ROUNDUP(AL49*AN49+0.1,1),ROUNDUP(V49*[1]Modelo!$H$29*AP49,1),ROUNDUP(W49*[1]Modelo!$H$36*AR49,1))*[1]Modelo!$H$62,1)*[1]Modelo!$H$63*[1]Modelo!$I$75,1)</f>
        <v>0.1</v>
      </c>
      <c r="BV49" s="139">
        <f>SUM(ROUNDUP(AL49*AN49+0.1,1),ROUNDUP(V49*[1]Modelo!$H$29*AP49,1),ROUNDUP(W49*[1]Modelo!$H$36*AR49,1))*[1]Modelo!$H$64*[1]Modelo!$I$75</f>
        <v>0.30000000000000004</v>
      </c>
      <c r="BW49" s="139">
        <f>ROUNDUP(SUM(ROUNDUP(AL49*AN49+0.1,1),ROUNDUP(V49*[1]Modelo!$H$29*AP49,1),ROUNDUP(W49*[1]Modelo!$H$36*AR49,1))*[1]Modelo!$H$64*[1]Modelo!$H$65*[1]Modelo!$I$75,1)</f>
        <v>0.2</v>
      </c>
      <c r="BX49" s="139">
        <f>[1]Modelo!$H$66</f>
        <v>0.04</v>
      </c>
      <c r="BY49" s="139">
        <f>ROUNDUP(SUM(ROUNDUP(AL49*AN49+0.1,1),ROUNDUP(V49*[1]Modelo!$H$29*AP49,1),ROUNDUP(W49*[1]Modelo!$H$36*AR49,1))*[1]Modelo!$H$69,1)</f>
        <v>0.4</v>
      </c>
      <c r="BZ49" s="139">
        <f>ROUNDUP(ROUNDUP(SUM(ROUNDUP(AL49*AN49+0.1,1),ROUNDUP(V49*[1]Modelo!$H$29*AP49,1),ROUNDUP(W49*[1]Modelo!$H$36*AR49,1))*[1]Modelo!$H$62,1)*[1]Modelo!$H$71,1)</f>
        <v>0.2</v>
      </c>
      <c r="CA49" s="142">
        <f t="shared" ref="CA49" si="78">SUM(AX49:BZ49)</f>
        <v>8.8329999999999984</v>
      </c>
      <c r="CB49" s="27"/>
      <c r="CC49" s="27">
        <f t="shared" ref="CC49" si="79">CD49*0.85</f>
        <v>3.9950000000000001</v>
      </c>
      <c r="CD49" s="109">
        <f t="shared" ref="CD49" si="80">O49</f>
        <v>4.7</v>
      </c>
      <c r="CE49" s="27">
        <f t="shared" ref="CE49" si="81">IF(CD49=0,1,CD49*1.4)</f>
        <v>6.58</v>
      </c>
      <c r="CF49" s="27"/>
      <c r="CG49" s="126">
        <v>0</v>
      </c>
      <c r="CH49" s="27"/>
      <c r="CI49" s="27">
        <f t="shared" ref="CI49" si="82">IF(CF49&lt;&gt;"",CF49,CG49)</f>
        <v>0</v>
      </c>
      <c r="CJ49" s="27"/>
      <c r="CK49" s="27"/>
      <c r="CL49" s="27"/>
      <c r="CM49" s="27"/>
      <c r="CN49" s="27"/>
      <c r="CO49" s="27"/>
      <c r="CP49" s="27"/>
      <c r="CQ49" s="27"/>
      <c r="CR49" s="27"/>
      <c r="CS49" s="27"/>
      <c r="CT49" s="27"/>
      <c r="CU49" s="27"/>
      <c r="CV49" s="27"/>
      <c r="CW49" s="27"/>
      <c r="CX49" s="27"/>
      <c r="CY49" s="27"/>
      <c r="CZ49" s="27"/>
      <c r="DA49" s="27"/>
      <c r="DB49" s="27"/>
      <c r="DC49" s="27"/>
    </row>
    <row r="50" spans="3:107" s="20" customFormat="1" ht="55" customHeight="1" outlineLevel="2" thickBot="1" x14ac:dyDescent="0.35">
      <c r="C50" s="388" t="s">
        <v>93</v>
      </c>
      <c r="D50" s="461" t="s">
        <v>18</v>
      </c>
      <c r="E50" s="461" t="str">
        <f t="shared" ref="E50" si="83">IF(U50&gt;50,"A",IF(U50&gt;15,"M","B"))</f>
        <v>M</v>
      </c>
      <c r="F50" s="461" t="s">
        <v>423</v>
      </c>
      <c r="G50" s="461" t="s">
        <v>423</v>
      </c>
      <c r="H50" s="461" t="str">
        <f t="shared" ref="H50" si="84">IF(V50+W50&gt;20,"A",IF(V50+W50&gt;5,"M","B"))</f>
        <v>B</v>
      </c>
      <c r="I50" s="461" t="str">
        <f t="shared" ref="I50" si="85">IF(V50+W50&gt;15,"A",IF(V50+W50&gt;4,"M","B"))</f>
        <v>B</v>
      </c>
      <c r="J50" s="425">
        <f t="shared" ref="J50" si="86">V50+W50</f>
        <v>1</v>
      </c>
      <c r="K50" s="503" t="str">
        <f t="shared" ref="K50" si="87">AB50</f>
        <v>Chica 4</v>
      </c>
      <c r="L50" s="541" t="s">
        <v>761</v>
      </c>
      <c r="M50" s="532">
        <f>BL50+BM50+BN50+BO50+BP50</f>
        <v>5.3</v>
      </c>
      <c r="N50" s="532">
        <f>BQ50</f>
        <v>2.2000000000000002</v>
      </c>
      <c r="O50" s="538">
        <f>SUM(M50,N50)</f>
        <v>7.5</v>
      </c>
      <c r="P50" s="58"/>
      <c r="Q50" s="462"/>
      <c r="R50" s="462"/>
      <c r="S50" s="462"/>
      <c r="T50" s="109"/>
      <c r="U50" s="144">
        <v>20</v>
      </c>
      <c r="V50" s="144">
        <v>1</v>
      </c>
      <c r="W50" s="144">
        <v>0</v>
      </c>
      <c r="X50" s="463"/>
      <c r="Y50" s="463" t="str">
        <f t="shared" ref="Y50" si="88">CONCATENATE(C50,LEFT(K50,5),J50)</f>
        <v>CapturaChica1</v>
      </c>
      <c r="Z50" s="135">
        <f>VLOOKUP(Y50,[1]Modelo!$G$82:$H$281,2,FALSE)</f>
        <v>41</v>
      </c>
      <c r="AA50" s="463"/>
      <c r="AB50" s="137" t="str">
        <f t="shared" ref="AB50" si="89">IF(AND(U50&gt;=0,U50&lt;=6),"Chica 1",IF(AND(U50&gt;=7,U50&lt;=12),"Chica 2",IF(AND(U50&gt;=13,U50&lt;=18),"Chica 3",IF(AND(U50&gt;=19,U50&lt;=24),"Chica 4",IF(AND(U50&gt;=25,U50&lt;=30),"Mediana 1",IF(AND(U50&gt;=31,U50&lt;=36),"Mediana 2",IF(AND(U50&gt;=37,U50&lt;=42),"Mediana 3",IF(AND(U50&gt;=43,U50&lt;=48),"Mediana 4",IF(AND(U50&gt;=49,U50&lt;=54),"Grande 1",IF(AND(U50&gt;=55,U50&lt;=60),"Grande 2",IF(AND(U50&gt;=61,U50&lt;=66),"Grande 3",IF(AND(U50&gt;=67,U50&lt;=72),"Grande 4",IF(AND(U50&gt;=73,U50&lt;=78),"M. grande 1",IF(AND(U50&gt;=79,U50&lt;=84),"M. grande 2",IF(AND(U50&gt;=85,U50&lt;=90),"M. grande 3",IF(AND(U50&gt;=91,U50&lt;=96),"M. grande 4","NO DEF"))))))))))))))))</f>
        <v>Chica 4</v>
      </c>
      <c r="AC50" s="137" t="str">
        <f t="shared" ref="AC50" si="90">IF(E50="A","Alta",IF(E50="M","Media","Baja"))</f>
        <v>Media</v>
      </c>
      <c r="AD50" s="137" t="str">
        <f t="shared" ref="AD50" si="91">IF(E50="A","Alta",IF(E50="M","Media","Baja"))</f>
        <v>Media</v>
      </c>
      <c r="AE50" s="137" t="str">
        <f t="shared" ref="AE50" si="92">IF(F50="A","Alta",IF(F50="M","Media","Baja"))</f>
        <v>Baja</v>
      </c>
      <c r="AF50" s="137" t="str">
        <f t="shared" ref="AF50" si="93">IF(F50="A","Alta",IF(F50="M","Media","Baja"))</f>
        <v>Baja</v>
      </c>
      <c r="AG50" s="137" t="str">
        <f t="shared" ref="AG50" si="94">IF(G50="A","Alta",IF(G50="M","Media","Baja"))</f>
        <v>Baja</v>
      </c>
      <c r="AH50" s="137" t="str">
        <f t="shared" ref="AH50" si="95">IF(G50="A","Alta",IF(G50="M","Media","Baja"))</f>
        <v>Baja</v>
      </c>
      <c r="AI50" s="137" t="str">
        <f t="shared" ref="AI50" si="96">IF(H50="A","Alta",IF(H50="M","Media","Baja"))</f>
        <v>Baja</v>
      </c>
      <c r="AJ50" s="137" t="str">
        <f t="shared" ref="AJ50" si="97">IF(I50="A","Alta",IF(I50="M","Media","Baja"))</f>
        <v>Baja</v>
      </c>
      <c r="AK50" s="40"/>
      <c r="AL50" s="138">
        <f>IF(AB50=[1]Modelo!$F$7,[1]Modelo!$H$7,IF(AB50=[1]Modelo!$F$8,[1]Modelo!$H$8,IF(AB50=[1]Modelo!$F$9,[1]Modelo!$H$9,IF(AB50=[1]Modelo!$F$10,[1]Modelo!$H$10,IF(AB50=[1]Modelo!$F$11,[1]Modelo!$H$11,IF(AB50=[1]Modelo!$F$12,[1]Modelo!$H$12,IF(AB50=[1]Modelo!$F$13,[1]Modelo!$H$13,IF(AB50=[1]Modelo!$F$14,[1]Modelo!$H$14,IF(AB50=[1]Modelo!$F$15,[1]Modelo!$H$15,IF(AB50=[1]Modelo!$F$16,[1]Modelo!$H$16,IF(AB50=[1]Modelo!$F$17,[1]Modelo!$H$17,IF(AB50=[1]Modelo!$F$18,[1]Modelo!$H$18,IF(AB50=[1]Modelo!$F$19,[1]Modelo!$H$19,IF(AB50=[1]Modelo!$F$20,[1]Modelo!$H$20,IF(AB50=[1]Modelo!$F$21,[1]Modelo!$H$21,IF(AB50=[1]Modelo!$F$22,[1]Modelo!$H$22,0))))))))))))))))</f>
        <v>1.2000000000000002</v>
      </c>
      <c r="AM50" s="138">
        <f>IF(AB50=[1]Modelo!$F$7,[1]Modelo!$I$7,IF(AB50=[1]Modelo!$F$8,[1]Modelo!$I$8,IF(AB50=[1]Modelo!$F$9,[1]Modelo!$I$9,IF(AB50=[1]Modelo!$F$10,[1]Modelo!$I$10,IF(AB50=[1]Modelo!$F$11,[1]Modelo!$I$11,IF(AB50=[1]Modelo!$F$12,[1]Modelo!$I$12,IF(AB50=[1]Modelo!$F$13,[1]Modelo!$I$13,IF(AB50=[1]Modelo!$F$14,[1]Modelo!$I$14,IF(AB50=[1]Modelo!$F$15,[1]Modelo!$I$15,IF(AB50=[1]Modelo!$F$16,[1]Modelo!$I$16,IF(AB50=[1]Modelo!$F$17,[1]Modelo!$I$17,IF(AB50=[1]Modelo!$F$18,[1]Modelo!$I$18,IF(AB50=[1]Modelo!$F$19,[1]Modelo!$I$19,IF(AB50=[1]Modelo!$F$20,[1]Modelo!$I$20,IF(AB50=[1]Modelo!$F$21,[1]Modelo!$I$21,IF(AB50=[1]Modelo!$F$22,[1]Modelo!$I$22,0))))))))))))))))</f>
        <v>0.4</v>
      </c>
      <c r="AN50" s="138">
        <f>IF(AC50=[1]Modelo!$F$23,[1]Modelo!$H$23,IF(AC50=[1]Modelo!$F$24,[1]Modelo!$H$24,IF(AC50=[1]Modelo!$F$25,[1]Modelo!$H$25,0)))</f>
        <v>1.2</v>
      </c>
      <c r="AO50" s="138">
        <f>IF(AD50=[1]Modelo!$F$26,[1]Modelo!$H$26,IF(AD50=[1]Modelo!$F$27,[1]Modelo!$H$27,IF(AD50=[1]Modelo!$F$28,[1]Modelo!$H$28,0)))</f>
        <v>0.2</v>
      </c>
      <c r="AP50" s="138">
        <f>IF(AE50=[1]Modelo!$F$30,[1]Modelo!$H$30,IF(AE50=[1]Modelo!$F$31,[1]Modelo!$H$31,IF(AE50=[1]Modelo!$F$32,[1]Modelo!$H$32,0)))</f>
        <v>0.8</v>
      </c>
      <c r="AQ50" s="138">
        <f>IF(AF50=[1]Modelo!$F$33,[1]Modelo!$H$33,IF(AF50=[1]Modelo!$F$34,[1]Modelo!$H$34,IF(AF50=[1]Modelo!$F$35,[1]Modelo!$H$35,0)))</f>
        <v>0.3</v>
      </c>
      <c r="AR50" s="138">
        <f>IF(AG50=[1]Modelo!$F$37,[1]Modelo!$H$37,IF(AG50=[1]Modelo!$F$38,[1]Modelo!$H$38,IF(AG50=[1]Modelo!$F$39,[1]Modelo!$H$39,0)))</f>
        <v>0.8</v>
      </c>
      <c r="AS50" s="138">
        <f>IF(AH50=[1]Modelo!$F$40,[1]Modelo!$H$40,IF(AH50=[1]Modelo!$F$41,[1]Modelo!$H$41,IF(AH50=[1]Modelo!$F$42,[1]Modelo!$H$42,0)))</f>
        <v>0.4</v>
      </c>
      <c r="AT50" s="137">
        <f>IF(C50=[1]Modelo!$F$44,[1]Modelo!$H$44,IF(C50=[1]Modelo!$F$45,[1]Modelo!$H$45,IF(C50=[1]Modelo!$F$46,[1]Modelo!$H$46,IF(C50=[1]Modelo!$F$47,[1]Modelo!$H$47,IF(C50=[1]Modelo!$F$48,[1]Modelo!$H$48,IF(C50=[1]Modelo!$F$49,[1]Modelo!$H$49,IF(C50=[1]Modelo!$F$50,[1]Modelo!$H$50,IF(C50=[1]Modelo!$F$51,[1]Modelo!$H$51,IF(C50=[1]Modelo!$F$52,[1]Modelo!$H$52,IF(C50=[1]Modelo!$F$53,[1]Modelo!$H$53,0))))))))))</f>
        <v>2.2000000000000002</v>
      </c>
      <c r="AU50" s="138">
        <f>IF(AI50=[1]Modelo!$F$54,[1]Modelo!$H$54,IF(AI50=[1]Modelo!$F$55,[1]Modelo!$H$55,IF(AI50=[1]Modelo!$F$56,[1]Modelo!$H$56,0)))</f>
        <v>1</v>
      </c>
      <c r="AV50" s="138">
        <f>IF(AJ50=[1]Modelo!$F$58,[1]Modelo!$H$58,IF(AJ50=[1]Modelo!$F$59,[1]Modelo!$H$59,IF(AJ50=[1]Modelo!$F$60,[1]Modelo!$H$60,0)))</f>
        <v>0.9</v>
      </c>
      <c r="AW50" s="40"/>
      <c r="AX50" s="139">
        <f>[1]Modelo!$H$2</f>
        <v>0.05</v>
      </c>
      <c r="AY50" s="140">
        <f>ROUNDUP([1]Modelo!$I$2*[1]Modelo!$H$3*[1]Modelo!$I$75,2)</f>
        <v>0.02</v>
      </c>
      <c r="AZ50" s="141">
        <f>ROUNDUP([1]Modelo!$I$2*[1]Modelo!$H$3*[1]Modelo!$H$4*[1]Modelo!$I$75,3)</f>
        <v>3.0000000000000001E-3</v>
      </c>
      <c r="BA50" s="139">
        <f>[1]Modelo!$H$5</f>
        <v>0.04</v>
      </c>
      <c r="BB50" s="139">
        <f>ROUNDUP(SUM(BC50,BE50,BG50,BI50)*[1]Modelo!$H$6,1)</f>
        <v>0.9</v>
      </c>
      <c r="BC50" s="139">
        <f>ROUNDUP((AL50*AN50+0.1)*[1]Modelo!$I$75,1)</f>
        <v>1.6</v>
      </c>
      <c r="BD50" s="139">
        <f>ROUNDUP(AM50*AN50*AO50*[1]Modelo!$I$75,1)</f>
        <v>0.1</v>
      </c>
      <c r="BE50" s="139">
        <f>ROUNDUP(V50*[1]Modelo!$H$29*AP50*[1]Modelo!$I$75*2/3,1)</f>
        <v>0.6</v>
      </c>
      <c r="BF50" s="139">
        <f>ROUNDUP(V50*[1]Modelo!$H$29*AP50*AQ50*[1]Modelo!$I$75*2/3,1)</f>
        <v>0.2</v>
      </c>
      <c r="BG50" s="139">
        <f>ROUNDUP(V50*[1]Modelo!$H$29*AP50*[1]Modelo!$I$75/3,1)</f>
        <v>0.30000000000000004</v>
      </c>
      <c r="BH50" s="139">
        <f>ROUNDUP(V50*[1]Modelo!$H$29*AP50*AQ50*[1]Modelo!$I$75/3,1)</f>
        <v>0.1</v>
      </c>
      <c r="BI50" s="139">
        <f>ROUNDUP(W50*[1]Modelo!$H$36*AR50*[1]Modelo!$I$75,1)</f>
        <v>0</v>
      </c>
      <c r="BJ50" s="139">
        <f>ROUNDUP(W50*[1]Modelo!$H$36*AR50*AS50*[1]Modelo!$I$75,1)</f>
        <v>0</v>
      </c>
      <c r="BK50" s="139">
        <f>[1]Modelo!$H$43</f>
        <v>0.04</v>
      </c>
      <c r="BL50" s="139">
        <f>ROUNDUP(SUM(ROUNDUP(AL50*AN50+0.1,1),ROUNDUP(V50*[1]Modelo!$H$29*AP50,1),ROUNDUP(W50*[1]Modelo!$H$36*AR50,1))*AU50*AT50*[1]Modelo!$I$75,1)</f>
        <v>5.3</v>
      </c>
      <c r="BM50" s="139">
        <f t="shared" ref="BM50" si="98">IF(K$32="x",0, BL50*0.1*1.25)</f>
        <v>0</v>
      </c>
      <c r="BN50" s="139">
        <f t="shared" ref="BN50" si="99">IF(Q50="x",(BL50)*0.1,0)</f>
        <v>0</v>
      </c>
      <c r="BO50" s="139">
        <f t="shared" ref="BO50" si="100">IF(R50="x",(BL50)*0.12,0)</f>
        <v>0</v>
      </c>
      <c r="BP50" s="139">
        <f t="shared" ref="BP50" si="101">IF(S50="x",(BL50)*0.12,0)*4</f>
        <v>0</v>
      </c>
      <c r="BQ50" s="139">
        <f>ROUNDUP(SUM(ROUNDUP(AL50*AN50+0.1,1),ROUNDUP(V50*[1]Modelo!$H$29*AP50,1),ROUNDUP(W50*[1]Modelo!$H$36*AR50,1))*AT50*AV50*[1]Modelo!$H$57,1)</f>
        <v>2.2000000000000002</v>
      </c>
      <c r="BR50" s="409">
        <v>0</v>
      </c>
      <c r="BS50" s="139">
        <f>[1]Modelo!$H$61</f>
        <v>0.04</v>
      </c>
      <c r="BT50" s="139">
        <f>ROUNDUP(SUM(ROUNDUP(AL50*AN50+0.1,1),ROUNDUP(V50*[1]Modelo!$H$29*AP50,1),ROUNDUP(W50*[1]Modelo!$H$36*AR50,1))*[1]Modelo!$H$62*[1]Modelo!$I$75,1)</f>
        <v>0.2</v>
      </c>
      <c r="BU50" s="139">
        <f>ROUNDUP(ROUNDUP(SUM(ROUNDUP(AL50*AN50+0.1,1),ROUNDUP(V50*[1]Modelo!$H$29*AP50,1),ROUNDUP(W50*[1]Modelo!$H$36*AR50,1))*[1]Modelo!$H$62,1)*[1]Modelo!$H$63*[1]Modelo!$I$75,1)</f>
        <v>0.1</v>
      </c>
      <c r="BV50" s="139">
        <f>SUM(ROUNDUP(AL50*AN50+0.1,1),ROUNDUP(V50*[1]Modelo!$H$29*AP50,1),ROUNDUP(W50*[1]Modelo!$H$36*AR50,1))*[1]Modelo!$H$64*[1]Modelo!$I$75</f>
        <v>0.48000000000000009</v>
      </c>
      <c r="BW50" s="139">
        <f>ROUNDUP(SUM(ROUNDUP(AL50*AN50+0.1,1),ROUNDUP(V50*[1]Modelo!$H$29*AP50,1),ROUNDUP(W50*[1]Modelo!$H$36*AR50,1))*[1]Modelo!$H$64*[1]Modelo!$H$65*[1]Modelo!$I$75,1)</f>
        <v>0.30000000000000004</v>
      </c>
      <c r="BX50" s="139">
        <f>[1]Modelo!$H$66</f>
        <v>0.04</v>
      </c>
      <c r="BY50" s="139">
        <f>ROUNDUP(SUM(ROUNDUP(AL50*AN50+0.1,1),ROUNDUP(V50*[1]Modelo!$H$29*AP50,1),ROUNDUP(W50*[1]Modelo!$H$36*AR50,1))*[1]Modelo!$H$69,1)</f>
        <v>0.6</v>
      </c>
      <c r="BZ50" s="139">
        <f>ROUNDUP(ROUNDUP(SUM(ROUNDUP(AL50*AN50+0.1,1),ROUNDUP(V50*[1]Modelo!$H$29*AP50,1),ROUNDUP(W50*[1]Modelo!$H$36*AR50,1))*[1]Modelo!$H$62,1)*[1]Modelo!$H$71,1)</f>
        <v>0.4</v>
      </c>
      <c r="CA50" s="142">
        <f t="shared" ref="CA50" si="102">SUM(AX50:BZ50)</f>
        <v>13.612999999999998</v>
      </c>
      <c r="CB50" s="27"/>
      <c r="CC50" s="27">
        <f t="shared" ref="CC50" si="103">CD50*0.85</f>
        <v>6.375</v>
      </c>
      <c r="CD50" s="109">
        <f t="shared" ref="CD50" si="104">O50</f>
        <v>7.5</v>
      </c>
      <c r="CE50" s="27">
        <f t="shared" ref="CE50" si="105">IF(CD50=0,1,CD50*1.4)</f>
        <v>10.5</v>
      </c>
      <c r="CF50" s="27"/>
      <c r="CG50" s="126">
        <v>0</v>
      </c>
      <c r="CH50" s="27"/>
      <c r="CI50" s="27">
        <f t="shared" ref="CI50" si="106">IF(CF50&lt;&gt;"",CF50,CG50)</f>
        <v>0</v>
      </c>
      <c r="CJ50" s="27"/>
      <c r="CK50" s="27"/>
      <c r="CL50" s="27"/>
      <c r="CM50" s="27"/>
      <c r="CN50" s="27"/>
      <c r="CO50" s="27"/>
      <c r="CP50" s="27"/>
      <c r="CQ50" s="27"/>
      <c r="CR50" s="27"/>
      <c r="CS50" s="27"/>
      <c r="CT50" s="27"/>
      <c r="CU50" s="27"/>
      <c r="CV50" s="27"/>
      <c r="CW50" s="27"/>
      <c r="CX50" s="27"/>
      <c r="CY50" s="27"/>
      <c r="CZ50" s="27"/>
      <c r="DA50" s="27"/>
      <c r="DB50" s="27"/>
      <c r="DC50" s="27"/>
    </row>
    <row r="51" spans="3:107" s="20" customFormat="1" ht="51.5" customHeight="1" outlineLevel="2" thickBot="1" x14ac:dyDescent="0.35">
      <c r="C51" s="388" t="s">
        <v>93</v>
      </c>
      <c r="D51" s="461" t="s">
        <v>18</v>
      </c>
      <c r="E51" s="461" t="str">
        <f t="shared" ref="E51" si="107">IF(U51&gt;50,"A",IF(U51&gt;15,"M","B"))</f>
        <v>B</v>
      </c>
      <c r="F51" s="461" t="s">
        <v>423</v>
      </c>
      <c r="G51" s="461" t="s">
        <v>423</v>
      </c>
      <c r="H51" s="461" t="str">
        <f t="shared" ref="H51" si="108">IF(V51+W51&gt;20,"A",IF(V51+W51&gt;5,"M","B"))</f>
        <v>B</v>
      </c>
      <c r="I51" s="461" t="str">
        <f t="shared" ref="I51" si="109">IF(V51+W51&gt;15,"A",IF(V51+W51&gt;4,"M","B"))</f>
        <v>B</v>
      </c>
      <c r="J51" s="425">
        <f t="shared" ref="J51:J52" si="110">V51+W51</f>
        <v>2</v>
      </c>
      <c r="K51" s="503" t="str">
        <f t="shared" ref="K51" si="111">AB51</f>
        <v>Chica 2</v>
      </c>
      <c r="L51" s="541" t="s">
        <v>762</v>
      </c>
      <c r="M51" s="532">
        <f>BL51+BM51+BN51+BO51+BP51</f>
        <v>5.0999999999999996</v>
      </c>
      <c r="N51" s="532">
        <f>BQ51</f>
        <v>2.1</v>
      </c>
      <c r="O51" s="538">
        <f>SUM(M51,N51)</f>
        <v>7.1999999999999993</v>
      </c>
      <c r="P51" s="58"/>
      <c r="Q51" s="462"/>
      <c r="R51" s="462"/>
      <c r="S51" s="462"/>
      <c r="T51" s="109"/>
      <c r="U51" s="144">
        <v>10</v>
      </c>
      <c r="V51" s="144">
        <v>2</v>
      </c>
      <c r="W51" s="144">
        <v>0</v>
      </c>
      <c r="X51" s="463"/>
      <c r="Y51" s="463" t="str">
        <f t="shared" ref="Y51:Y52" si="112">CONCATENATE(C51,LEFT(K51,5),J51)</f>
        <v>CapturaChica2</v>
      </c>
      <c r="Z51" s="135">
        <f>VLOOKUP(Y51,[1]Modelo!$G$82:$H$281,2,FALSE)</f>
        <v>42</v>
      </c>
      <c r="AA51" s="463"/>
      <c r="AB51" s="137" t="str">
        <f t="shared" ref="AB51:AB52" si="113">IF(AND(U51&gt;=0,U51&lt;=6),"Chica 1",IF(AND(U51&gt;=7,U51&lt;=12),"Chica 2",IF(AND(U51&gt;=13,U51&lt;=18),"Chica 3",IF(AND(U51&gt;=19,U51&lt;=24),"Chica 4",IF(AND(U51&gt;=25,U51&lt;=30),"Mediana 1",IF(AND(U51&gt;=31,U51&lt;=36),"Mediana 2",IF(AND(U51&gt;=37,U51&lt;=42),"Mediana 3",IF(AND(U51&gt;=43,U51&lt;=48),"Mediana 4",IF(AND(U51&gt;=49,U51&lt;=54),"Grande 1",IF(AND(U51&gt;=55,U51&lt;=60),"Grande 2",IF(AND(U51&gt;=61,U51&lt;=66),"Grande 3",IF(AND(U51&gt;=67,U51&lt;=72),"Grande 4",IF(AND(U51&gt;=73,U51&lt;=78),"M. grande 1",IF(AND(U51&gt;=79,U51&lt;=84),"M. grande 2",IF(AND(U51&gt;=85,U51&lt;=90),"M. grande 3",IF(AND(U51&gt;=91,U51&lt;=96),"M. grande 4","NO DEF"))))))))))))))))</f>
        <v>Chica 2</v>
      </c>
      <c r="AC51" s="137" t="str">
        <f t="shared" ref="AC51:AC52" si="114">IF(E51="A","Alta",IF(E51="M","Media","Baja"))</f>
        <v>Baja</v>
      </c>
      <c r="AD51" s="137" t="str">
        <f t="shared" ref="AD51:AD52" si="115">IF(E51="A","Alta",IF(E51="M","Media","Baja"))</f>
        <v>Baja</v>
      </c>
      <c r="AE51" s="137" t="str">
        <f t="shared" ref="AE51:AE52" si="116">IF(F51="A","Alta",IF(F51="M","Media","Baja"))</f>
        <v>Baja</v>
      </c>
      <c r="AF51" s="137" t="str">
        <f t="shared" ref="AF51:AF52" si="117">IF(F51="A","Alta",IF(F51="M","Media","Baja"))</f>
        <v>Baja</v>
      </c>
      <c r="AG51" s="137" t="str">
        <f t="shared" ref="AG51:AG52" si="118">IF(G51="A","Alta",IF(G51="M","Media","Baja"))</f>
        <v>Baja</v>
      </c>
      <c r="AH51" s="137" t="str">
        <f t="shared" ref="AH51:AH52" si="119">IF(G51="A","Alta",IF(G51="M","Media","Baja"))</f>
        <v>Baja</v>
      </c>
      <c r="AI51" s="137" t="str">
        <f t="shared" ref="AI51:AI52" si="120">IF(H51="A","Alta",IF(H51="M","Media","Baja"))</f>
        <v>Baja</v>
      </c>
      <c r="AJ51" s="137" t="str">
        <f t="shared" ref="AJ51:AJ52" si="121">IF(I51="A","Alta",IF(I51="M","Media","Baja"))</f>
        <v>Baja</v>
      </c>
      <c r="AK51" s="40"/>
      <c r="AL51" s="138">
        <f>IF(AB51=[1]Modelo!$F$7,[1]Modelo!$H$7,IF(AB51=[1]Modelo!$F$8,[1]Modelo!$H$8,IF(AB51=[1]Modelo!$F$9,[1]Modelo!$H$9,IF(AB51=[1]Modelo!$F$10,[1]Modelo!$H$10,IF(AB51=[1]Modelo!$F$11,[1]Modelo!$H$11,IF(AB51=[1]Modelo!$F$12,[1]Modelo!$H$12,IF(AB51=[1]Modelo!$F$13,[1]Modelo!$H$13,IF(AB51=[1]Modelo!$F$14,[1]Modelo!$H$14,IF(AB51=[1]Modelo!$F$15,[1]Modelo!$H$15,IF(AB51=[1]Modelo!$F$16,[1]Modelo!$H$16,IF(AB51=[1]Modelo!$F$17,[1]Modelo!$H$17,IF(AB51=[1]Modelo!$F$18,[1]Modelo!$H$18,IF(AB51=[1]Modelo!$F$19,[1]Modelo!$H$19,IF(AB51=[1]Modelo!$F$20,[1]Modelo!$H$20,IF(AB51=[1]Modelo!$F$21,[1]Modelo!$H$21,IF(AB51=[1]Modelo!$F$22,[1]Modelo!$H$22,0))))))))))))))))</f>
        <v>0.60000000000000009</v>
      </c>
      <c r="AM51" s="138">
        <f>IF(AB51=[1]Modelo!$F$7,[1]Modelo!$I$7,IF(AB51=[1]Modelo!$F$8,[1]Modelo!$I$8,IF(AB51=[1]Modelo!$F$9,[1]Modelo!$I$9,IF(AB51=[1]Modelo!$F$10,[1]Modelo!$I$10,IF(AB51=[1]Modelo!$F$11,[1]Modelo!$I$11,IF(AB51=[1]Modelo!$F$12,[1]Modelo!$I$12,IF(AB51=[1]Modelo!$F$13,[1]Modelo!$I$13,IF(AB51=[1]Modelo!$F$14,[1]Modelo!$I$14,IF(AB51=[1]Modelo!$F$15,[1]Modelo!$I$15,IF(AB51=[1]Modelo!$F$16,[1]Modelo!$I$16,IF(AB51=[1]Modelo!$F$17,[1]Modelo!$I$17,IF(AB51=[1]Modelo!$F$18,[1]Modelo!$I$18,IF(AB51=[1]Modelo!$F$19,[1]Modelo!$I$19,IF(AB51=[1]Modelo!$F$20,[1]Modelo!$I$20,IF(AB51=[1]Modelo!$F$21,[1]Modelo!$I$21,IF(AB51=[1]Modelo!$F$22,[1]Modelo!$I$22,0))))))))))))))))</f>
        <v>0.2</v>
      </c>
      <c r="AN51" s="138">
        <f>IF(AC51=[1]Modelo!$F$23,[1]Modelo!$H$23,IF(AC51=[1]Modelo!$F$24,[1]Modelo!$H$24,IF(AC51=[1]Modelo!$F$25,[1]Modelo!$H$25,0)))</f>
        <v>1</v>
      </c>
      <c r="AO51" s="138">
        <f>IF(AD51=[1]Modelo!$F$26,[1]Modelo!$H$26,IF(AD51=[1]Modelo!$F$27,[1]Modelo!$H$27,IF(AD51=[1]Modelo!$F$28,[1]Modelo!$H$28,0)))</f>
        <v>0.1</v>
      </c>
      <c r="AP51" s="138">
        <f>IF(AE51=[1]Modelo!$F$30,[1]Modelo!$H$30,IF(AE51=[1]Modelo!$F$31,[1]Modelo!$H$31,IF(AE51=[1]Modelo!$F$32,[1]Modelo!$H$32,0)))</f>
        <v>0.8</v>
      </c>
      <c r="AQ51" s="138">
        <f>IF(AF51=[1]Modelo!$F$33,[1]Modelo!$H$33,IF(AF51=[1]Modelo!$F$34,[1]Modelo!$H$34,IF(AF51=[1]Modelo!$F$35,[1]Modelo!$H$35,0)))</f>
        <v>0.3</v>
      </c>
      <c r="AR51" s="138">
        <f>IF(AG51=[1]Modelo!$F$37,[1]Modelo!$H$37,IF(AG51=[1]Modelo!$F$38,[1]Modelo!$H$38,IF(AG51=[1]Modelo!$F$39,[1]Modelo!$H$39,0)))</f>
        <v>0.8</v>
      </c>
      <c r="AS51" s="138">
        <f>IF(AH51=[1]Modelo!$F$40,[1]Modelo!$H$40,IF(AH51=[1]Modelo!$F$41,[1]Modelo!$H$41,IF(AH51=[1]Modelo!$F$42,[1]Modelo!$H$42,0)))</f>
        <v>0.4</v>
      </c>
      <c r="AT51" s="137">
        <f>IF(C51=[1]Modelo!$F$44,[1]Modelo!$H$44,IF(C51=[1]Modelo!$F$45,[1]Modelo!$H$45,IF(C51=[1]Modelo!$F$46,[1]Modelo!$H$46,IF(C51=[1]Modelo!$F$47,[1]Modelo!$H$47,IF(C51=[1]Modelo!$F$48,[1]Modelo!$H$48,IF(C51=[1]Modelo!$F$49,[1]Modelo!$H$49,IF(C51=[1]Modelo!$F$50,[1]Modelo!$H$50,IF(C51=[1]Modelo!$F$51,[1]Modelo!$H$51,IF(C51=[1]Modelo!$F$52,[1]Modelo!$H$52,IF(C51=[1]Modelo!$F$53,[1]Modelo!$H$53,0))))))))))</f>
        <v>2.2000000000000002</v>
      </c>
      <c r="AU51" s="138">
        <f>IF(AI51=[1]Modelo!$F$54,[1]Modelo!$H$54,IF(AI51=[1]Modelo!$F$55,[1]Modelo!$H$55,IF(AI51=[1]Modelo!$F$56,[1]Modelo!$H$56,0)))</f>
        <v>1</v>
      </c>
      <c r="AV51" s="138">
        <f>IF(AJ51=[1]Modelo!$F$58,[1]Modelo!$H$58,IF(AJ51=[1]Modelo!$F$59,[1]Modelo!$H$59,IF(AJ51=[1]Modelo!$F$60,[1]Modelo!$H$60,0)))</f>
        <v>0.9</v>
      </c>
      <c r="AW51" s="40"/>
      <c r="AX51" s="139">
        <f>[1]Modelo!$H$2</f>
        <v>0.05</v>
      </c>
      <c r="AY51" s="140">
        <f>ROUNDUP([1]Modelo!$I$2*[1]Modelo!$H$3*[1]Modelo!$I$75,2)</f>
        <v>0.02</v>
      </c>
      <c r="AZ51" s="141">
        <f>ROUNDUP([1]Modelo!$I$2*[1]Modelo!$H$3*[1]Modelo!$H$4*[1]Modelo!$I$75,3)</f>
        <v>3.0000000000000001E-3</v>
      </c>
      <c r="BA51" s="139">
        <f>[1]Modelo!$H$5</f>
        <v>0.04</v>
      </c>
      <c r="BB51" s="139">
        <f>ROUNDUP(SUM(BC51,BE51,BG51,BI51)*[1]Modelo!$H$6,1)</f>
        <v>0.8</v>
      </c>
      <c r="BC51" s="139">
        <f>ROUNDUP((AL51*AN51+0.1)*[1]Modelo!$I$75,1)</f>
        <v>0.7</v>
      </c>
      <c r="BD51" s="139">
        <f>ROUNDUP(AM51*AN51*AO51*[1]Modelo!$I$75,1)</f>
        <v>0.1</v>
      </c>
      <c r="BE51" s="139">
        <f>ROUNDUP(V51*[1]Modelo!$H$29*AP51*[1]Modelo!$I$75*2/3,1)</f>
        <v>1.1000000000000001</v>
      </c>
      <c r="BF51" s="139">
        <f>ROUNDUP(V51*[1]Modelo!$H$29*AP51*AQ51*[1]Modelo!$I$75*2/3,1)</f>
        <v>0.4</v>
      </c>
      <c r="BG51" s="139">
        <f>ROUNDUP(V51*[1]Modelo!$H$29*AP51*[1]Modelo!$I$75/3,1)</f>
        <v>0.6</v>
      </c>
      <c r="BH51" s="139">
        <f>ROUNDUP(V51*[1]Modelo!$H$29*AP51*AQ51*[1]Modelo!$I$75/3,1)</f>
        <v>0.2</v>
      </c>
      <c r="BI51" s="139">
        <f>ROUNDUP(W51*[1]Modelo!$H$36*AR51*[1]Modelo!$I$75,1)</f>
        <v>0</v>
      </c>
      <c r="BJ51" s="139">
        <f>ROUNDUP(W51*[1]Modelo!$H$36*AR51*AS51*[1]Modelo!$I$75,1)</f>
        <v>0</v>
      </c>
      <c r="BK51" s="139">
        <f>[1]Modelo!$H$43</f>
        <v>0.04</v>
      </c>
      <c r="BL51" s="139">
        <f>ROUNDUP(SUM(ROUNDUP(AL51*AN51+0.1,1),ROUNDUP(V51*[1]Modelo!$H$29*AP51,1),ROUNDUP(W51*[1]Modelo!$H$36*AR51,1))*AU51*AT51*[1]Modelo!$I$75,1)</f>
        <v>5.0999999999999996</v>
      </c>
      <c r="BM51" s="139">
        <f t="shared" ref="BM51:BM52" si="122">IF(K$32="x",0, BL51*0.1*1.25)</f>
        <v>0</v>
      </c>
      <c r="BN51" s="139">
        <f t="shared" ref="BN51:BN52" si="123">IF(Q51="x",(BL51)*0.1,0)</f>
        <v>0</v>
      </c>
      <c r="BO51" s="139">
        <f t="shared" ref="BO51:BO52" si="124">IF(R51="x",(BL51)*0.12,0)</f>
        <v>0</v>
      </c>
      <c r="BP51" s="139">
        <f t="shared" ref="BP51:BP52" si="125">IF(S51="x",(BL51)*0.12,0)*4</f>
        <v>0</v>
      </c>
      <c r="BQ51" s="139">
        <f>ROUNDUP(SUM(ROUNDUP(AL51*AN51+0.1,1),ROUNDUP(V51*[1]Modelo!$H$29*AP51,1),ROUNDUP(W51*[1]Modelo!$H$36*AR51,1))*AT51*AV51*[1]Modelo!$H$57,1)</f>
        <v>2.1</v>
      </c>
      <c r="BR51" s="409">
        <v>0</v>
      </c>
      <c r="BS51" s="139">
        <f>[1]Modelo!$H$61</f>
        <v>0.04</v>
      </c>
      <c r="BT51" s="139">
        <f>ROUNDUP(SUM(ROUNDUP(AL51*AN51+0.1,1),ROUNDUP(V51*[1]Modelo!$H$29*AP51,1),ROUNDUP(W51*[1]Modelo!$H$36*AR51,1))*[1]Modelo!$H$62*[1]Modelo!$I$75,1)</f>
        <v>0.2</v>
      </c>
      <c r="BU51" s="139">
        <f>ROUNDUP(ROUNDUP(SUM(ROUNDUP(AL51*AN51+0.1,1),ROUNDUP(V51*[1]Modelo!$H$29*AP51,1),ROUNDUP(W51*[1]Modelo!$H$36*AR51,1))*[1]Modelo!$H$62,1)*[1]Modelo!$H$63*[1]Modelo!$I$75,1)</f>
        <v>0.1</v>
      </c>
      <c r="BV51" s="139">
        <f>SUM(ROUNDUP(AL51*AN51+0.1,1),ROUNDUP(V51*[1]Modelo!$H$29*AP51,1),ROUNDUP(W51*[1]Modelo!$H$36*AR51,1))*[1]Modelo!$H$64*[1]Modelo!$I$75</f>
        <v>0.45999999999999996</v>
      </c>
      <c r="BW51" s="139">
        <f>ROUNDUP(SUM(ROUNDUP(AL51*AN51+0.1,1),ROUNDUP(V51*[1]Modelo!$H$29*AP51,1),ROUNDUP(W51*[1]Modelo!$H$36*AR51,1))*[1]Modelo!$H$64*[1]Modelo!$H$65*[1]Modelo!$I$75,1)</f>
        <v>0.30000000000000004</v>
      </c>
      <c r="BX51" s="139">
        <f>[1]Modelo!$H$66</f>
        <v>0.04</v>
      </c>
      <c r="BY51" s="139">
        <f>ROUNDUP(SUM(ROUNDUP(AL51*AN51+0.1,1),ROUNDUP(V51*[1]Modelo!$H$29*AP51,1),ROUNDUP(W51*[1]Modelo!$H$36*AR51,1))*[1]Modelo!$H$69,1)</f>
        <v>0.5</v>
      </c>
      <c r="BZ51" s="139">
        <f>ROUNDUP(ROUNDUP(SUM(ROUNDUP(AL51*AN51+0.1,1),ROUNDUP(V51*[1]Modelo!$H$29*AP51,1),ROUNDUP(W51*[1]Modelo!$H$36*AR51,1))*[1]Modelo!$H$62,1)*[1]Modelo!$H$71,1)</f>
        <v>0.4</v>
      </c>
      <c r="CA51" s="142">
        <f t="shared" ref="CA51:CA52" si="126">SUM(AX51:BZ51)</f>
        <v>13.292999999999997</v>
      </c>
      <c r="CB51" s="27"/>
      <c r="CC51" s="27">
        <f t="shared" ref="CC51:CC52" si="127">CD51*0.85</f>
        <v>6.1199999999999992</v>
      </c>
      <c r="CD51" s="109">
        <f t="shared" ref="CD51:CD52" si="128">O51</f>
        <v>7.1999999999999993</v>
      </c>
      <c r="CE51" s="27">
        <f t="shared" ref="CE51:CE52" si="129">IF(CD51=0,1,CD51*1.4)</f>
        <v>10.079999999999998</v>
      </c>
      <c r="CF51" s="27"/>
      <c r="CG51" s="126">
        <v>0</v>
      </c>
      <c r="CH51" s="27"/>
      <c r="CI51" s="27">
        <f t="shared" ref="CI51:CI52" si="130">IF(CF51&lt;&gt;"",CF51,CG51)</f>
        <v>0</v>
      </c>
      <c r="CJ51" s="27"/>
      <c r="CK51" s="27"/>
      <c r="CL51" s="27"/>
      <c r="CM51" s="27"/>
      <c r="CN51" s="27"/>
      <c r="CO51" s="27"/>
      <c r="CP51" s="27"/>
      <c r="CQ51" s="27"/>
      <c r="CR51" s="27"/>
      <c r="CS51" s="27"/>
      <c r="CT51" s="27"/>
      <c r="CU51" s="27"/>
      <c r="CV51" s="27"/>
      <c r="CW51" s="27"/>
      <c r="CX51" s="27"/>
      <c r="CY51" s="27"/>
      <c r="CZ51" s="27"/>
      <c r="DA51" s="27"/>
      <c r="DB51" s="27"/>
      <c r="DC51" s="27"/>
    </row>
    <row r="52" spans="3:107" s="20" customFormat="1" ht="18" customHeight="1" outlineLevel="2" thickBot="1" x14ac:dyDescent="0.35">
      <c r="C52" s="388"/>
      <c r="D52" s="461"/>
      <c r="E52" s="461"/>
      <c r="F52" s="461"/>
      <c r="G52" s="461"/>
      <c r="H52" s="461"/>
      <c r="I52" s="461"/>
      <c r="J52" s="425">
        <f t="shared" si="110"/>
        <v>0</v>
      </c>
      <c r="K52" s="506"/>
      <c r="L52" s="542" t="s">
        <v>736</v>
      </c>
      <c r="M52" s="526"/>
      <c r="N52" s="526"/>
      <c r="O52" s="530"/>
      <c r="P52" s="58"/>
      <c r="Q52" s="143"/>
      <c r="R52" s="143"/>
      <c r="S52" s="143"/>
      <c r="T52" s="109"/>
      <c r="U52" s="144"/>
      <c r="V52" s="144"/>
      <c r="W52" s="144"/>
      <c r="X52" s="136"/>
      <c r="Y52" s="136" t="str">
        <f t="shared" si="112"/>
        <v>0</v>
      </c>
      <c r="Z52" s="135" t="e">
        <f>VLOOKUP(Y52,Modelo!$G$82:$H$281,2,FALSE)</f>
        <v>#N/A</v>
      </c>
      <c r="AA52" s="136"/>
      <c r="AB52" s="137" t="str">
        <f t="shared" si="113"/>
        <v>Chica 1</v>
      </c>
      <c r="AC52" s="137" t="str">
        <f t="shared" si="114"/>
        <v>Baja</v>
      </c>
      <c r="AD52" s="137" t="str">
        <f t="shared" si="115"/>
        <v>Baja</v>
      </c>
      <c r="AE52" s="137" t="str">
        <f t="shared" si="116"/>
        <v>Baja</v>
      </c>
      <c r="AF52" s="137" t="str">
        <f t="shared" si="117"/>
        <v>Baja</v>
      </c>
      <c r="AG52" s="137" t="str">
        <f t="shared" si="118"/>
        <v>Baja</v>
      </c>
      <c r="AH52" s="137" t="str">
        <f t="shared" si="119"/>
        <v>Baja</v>
      </c>
      <c r="AI52" s="137" t="str">
        <f t="shared" si="120"/>
        <v>Baja</v>
      </c>
      <c r="AJ52" s="137" t="str">
        <f t="shared" si="121"/>
        <v>Baja</v>
      </c>
      <c r="AK52" s="40"/>
      <c r="AL52" s="138">
        <f>IF(AB52=Modelo!$F$7,Modelo!$H$7,IF(AB52=Modelo!$F$8,Modelo!$H$8,IF(AB52=Modelo!$F$9,Modelo!$H$9,IF(AB52=Modelo!$F$10,Modelo!$H$10,IF(AB52=Modelo!$F$11,Modelo!$H$11,IF(AB52=Modelo!$F$12,Modelo!$H$12,IF(AB52=Modelo!$F$13,Modelo!$H$13,IF(AB52=Modelo!$F$14,Modelo!$H$14,IF(AB52=Modelo!$F$15,Modelo!$H$15,IF(AB52=Modelo!$F$16,Modelo!$H$16,IF(AB52=Modelo!$F$17,Modelo!$H$17,IF(AB52=Modelo!$F$18,Modelo!$H$18,IF(AB52=Modelo!$F$19,Modelo!$H$19,IF(AB52=Modelo!$F$20,Modelo!$H$20,IF(AB52=Modelo!$F$21,Modelo!$H$21,IF(AB52=Modelo!$F$22,Modelo!$H$22,0))))))))))))))))</f>
        <v>0.30000000000000004</v>
      </c>
      <c r="AM52" s="138">
        <f>IF(AB52=Modelo!$F$7,Modelo!$I$7,IF(AB52=Modelo!$F$8,Modelo!$I$8,IF(AB52=Modelo!$F$9,Modelo!$I$9,IF(AB52=Modelo!$F$10,Modelo!$I$10,IF(AB52=Modelo!$F$11,Modelo!$I$11,IF(AB52=Modelo!$F$12,Modelo!$I$12,IF(AB52=Modelo!$F$13,Modelo!$I$13,IF(AB52=Modelo!$F$14,Modelo!$I$14,IF(AB52=Modelo!$F$15,Modelo!$I$15,IF(AB52=Modelo!$F$16,Modelo!$I$16,IF(AB52=Modelo!$F$17,Modelo!$I$17,IF(AB52=Modelo!$F$18,Modelo!$I$18,IF(AB52=Modelo!$F$19,Modelo!$I$19,IF(AB52=Modelo!$F$20,Modelo!$I$20,IF(AB52=Modelo!$F$21,Modelo!$I$21,IF(AB52=Modelo!$F$22,Modelo!$I$22,0))))))))))))))))</f>
        <v>0.1</v>
      </c>
      <c r="AN52" s="138">
        <f>IF(AC52=Modelo!$F$23,Modelo!$H$23,IF(AC52=Modelo!$F$24,Modelo!$H$24,IF(AC52=Modelo!$F$25,Modelo!$H$25,0)))</f>
        <v>1</v>
      </c>
      <c r="AO52" s="138">
        <f>IF(AD52=Modelo!$F$26,Modelo!$H$26,IF(AD52=Modelo!$F$27,Modelo!$H$27,IF(AD52=Modelo!$F$28,Modelo!$H$28,0)))</f>
        <v>0.1</v>
      </c>
      <c r="AP52" s="138">
        <f>IF(AE52=Modelo!$F$30,Modelo!$H$30,IF(AE52=Modelo!$F$31,Modelo!$H$31,IF(AE52=Modelo!$F$32,Modelo!$H$32,0)))</f>
        <v>0.8</v>
      </c>
      <c r="AQ52" s="138">
        <f>IF(AF52=Modelo!$F$33,Modelo!$H$33,IF(AF52=Modelo!$F$34,Modelo!$H$34,IF(AF52=Modelo!$F$35,Modelo!$H$35,0)))</f>
        <v>0.3</v>
      </c>
      <c r="AR52" s="138">
        <f>IF(AG52=Modelo!$F$37,Modelo!$H$37,IF(AG52=Modelo!$F$38,Modelo!$H$38,IF(AG52=Modelo!$F$39,Modelo!$H$39,0)))</f>
        <v>0.8</v>
      </c>
      <c r="AS52" s="138">
        <f>IF(AH52=Modelo!$F$40,Modelo!$H$40,IF(AH52=Modelo!$F$41,Modelo!$H$41,IF(AH52=Modelo!$F$42,Modelo!$H$42,0)))</f>
        <v>0.4</v>
      </c>
      <c r="AT52" s="137">
        <f>IF(C52=Modelo!$F$44,Modelo!$H$44,IF(C52=Modelo!$F$45,Modelo!$H$45,IF(C52=Modelo!$F$46,Modelo!$H$46,IF(C52=Modelo!$F$47,Modelo!$H$47,IF(C52=Modelo!$F$48,Modelo!$H$48,IF(C52=Modelo!$F$49,Modelo!$H$49,IF(C52=Modelo!$F$50,Modelo!$H$50,IF(C52=Modelo!$F$51,Modelo!$H$51,IF(C52=Modelo!$F$52,Modelo!$H$52,IF(C52=Modelo!$F$53,Modelo!$H$53,0))))))))))</f>
        <v>0</v>
      </c>
      <c r="AU52" s="138">
        <f>IF(AI52=Modelo!$F$54,Modelo!$H$54,IF(AI52=Modelo!$F$55,Modelo!$H$55,IF(AI52=Modelo!$F$56,Modelo!$H$56,0)))</f>
        <v>1</v>
      </c>
      <c r="AV52" s="138">
        <f>IF(AJ52=Modelo!$F$58,Modelo!$H$58,IF(AJ52=Modelo!$F$59,Modelo!$H$59,IF(AJ52=Modelo!$F$60,Modelo!$H$60,0)))</f>
        <v>0.9</v>
      </c>
      <c r="AW52" s="40"/>
      <c r="AX52" s="139">
        <f>Modelo!$H$2</f>
        <v>0.05</v>
      </c>
      <c r="AY52" s="140">
        <f>ROUNDUP(Modelo!$I$2*Modelo!$H$3*Modelo!$I$75,2)</f>
        <v>0.02</v>
      </c>
      <c r="AZ52" s="141">
        <f>ROUNDUP(Modelo!$I$2*Modelo!$H$3*Modelo!$H$4*Modelo!$I$75,3)</f>
        <v>4.0000000000000001E-3</v>
      </c>
      <c r="BA52" s="139">
        <f>Modelo!$H$5</f>
        <v>0.04</v>
      </c>
      <c r="BB52" s="139">
        <f>ROUNDUP(SUM(BC52,BE52,BG52,BI52)*Modelo!$H$6,1)</f>
        <v>0.2</v>
      </c>
      <c r="BC52" s="139">
        <f>ROUNDUP((AL52*AN52+0.1)*Modelo!$I$75,1)</f>
        <v>0.4</v>
      </c>
      <c r="BD52" s="139">
        <f>ROUNDUP(AM52*AN52*AO52*Modelo!$I$75,1)</f>
        <v>0.1</v>
      </c>
      <c r="BE52" s="139">
        <f>ROUNDUP(V52*Modelo!$H$29*AP52*Modelo!$I$75*2/3,1)</f>
        <v>0</v>
      </c>
      <c r="BF52" s="139">
        <f>ROUNDUP(V52*Modelo!$H$29*AP52*AQ52*Modelo!$I$75*2/3,1)</f>
        <v>0</v>
      </c>
      <c r="BG52" s="139">
        <f>ROUNDUP(V52*Modelo!$H$29*AP52*Modelo!$I$75/3,1)</f>
        <v>0</v>
      </c>
      <c r="BH52" s="139">
        <f>ROUNDUP(V52*Modelo!$H$29*AP52*AQ52*Modelo!$I$75/3,1)</f>
        <v>0</v>
      </c>
      <c r="BI52" s="139">
        <f>ROUNDUP(W52*Modelo!$H$36*AR52*Modelo!$I$75,1)</f>
        <v>0</v>
      </c>
      <c r="BJ52" s="139">
        <f>ROUNDUP(W52*Modelo!$H$36*AR52*AS52*Modelo!$I$75,1)</f>
        <v>0</v>
      </c>
      <c r="BK52" s="139">
        <f>Modelo!$H$43</f>
        <v>0.04</v>
      </c>
      <c r="BL52" s="139">
        <f>ROUNDUP(SUM(ROUNDUP(AL52*AN52+0.1,1),ROUNDUP(V52*Modelo!$H$29*AP52,1),ROUNDUP(W52*Modelo!$H$36*AR52,1))*AU52*AT52*Modelo!$I$75,1)</f>
        <v>0</v>
      </c>
      <c r="BM52" s="139">
        <f t="shared" si="122"/>
        <v>0</v>
      </c>
      <c r="BN52" s="139">
        <f t="shared" si="123"/>
        <v>0</v>
      </c>
      <c r="BO52" s="139">
        <f t="shared" si="124"/>
        <v>0</v>
      </c>
      <c r="BP52" s="139">
        <f t="shared" si="125"/>
        <v>0</v>
      </c>
      <c r="BQ52" s="139">
        <f>ROUNDUP(SUM(ROUNDUP(AL52*AN52+0.1,1),ROUNDUP(V52*Modelo!$H$29*AP52,1),ROUNDUP(W52*Modelo!$H$36*AR52,1))*AT52*AV52*Modelo!$H$57,1)</f>
        <v>0</v>
      </c>
      <c r="BR52" s="409">
        <f>BL52*0.1
+IF(K$16="x",0,BL52*0.05)
+IF(K$28="x",0,BL52*0.2)
+IF(K$29="x",0,BL52*0.5)
+IF(OR(K$30="x",K$31="x"),0,BL52*0.05)
+IF(K$32="x",0,BL52*0.3)
+IF(Q52="x",0,BL52*0.5)
+IF(OR(R52="x",S52="x"),0,BL52*0.15)</f>
        <v>0</v>
      </c>
      <c r="BS52" s="139">
        <f>Modelo!$H$61</f>
        <v>0.04</v>
      </c>
      <c r="BT52" s="139">
        <f>ROUNDUP(SUM(ROUNDUP(AL52*AN52+0.1,1),ROUNDUP(V52*Modelo!$H$29*AP52,1),ROUNDUP(W52*Modelo!$H$36*AR52,1))*Modelo!$H$62*Modelo!$I$75,1)</f>
        <v>0.1</v>
      </c>
      <c r="BU52" s="139">
        <f>ROUNDUP(ROUNDUP(SUM(ROUNDUP(AL52*AN52+0.1,1),ROUNDUP(V52*Modelo!$H$29*AP52,1),ROUNDUP(W52*Modelo!$H$36*AR52,1))*Modelo!$H$62,1)*Modelo!$H$63*Modelo!$I$75,1)</f>
        <v>0.1</v>
      </c>
      <c r="BV52" s="139">
        <f>SUM(ROUNDUP(AL52*AN52+0.1,1),ROUNDUP(V52*Modelo!$H$29*AP52,1),ROUNDUP(W52*Modelo!$H$36*AR52,1))*Modelo!$H$64*Modelo!$I$75</f>
        <v>8.0000000000000016E-2</v>
      </c>
      <c r="BW52" s="139">
        <f>ROUNDUP(SUM(ROUNDUP(AL52*AN52+0.1,1),ROUNDUP(V52*Modelo!$H$29*AP52,1),ROUNDUP(W52*Modelo!$H$36*AR52,1))*Modelo!$H$64*Modelo!$H$65*Modelo!$I$75,1)</f>
        <v>0.1</v>
      </c>
      <c r="BX52" s="139">
        <f>Modelo!$H$66</f>
        <v>0.04</v>
      </c>
      <c r="BY52" s="139">
        <f>ROUNDUP(SUM(ROUNDUP(AL52*AN52+0.1,1),ROUNDUP(V52*Modelo!$H$29*AP52,1),ROUNDUP(W52*Modelo!$H$36*AR52,1))*Modelo!$H$69,1)</f>
        <v>0.1</v>
      </c>
      <c r="BZ52" s="139">
        <f>ROUNDUP(ROUNDUP(SUM(ROUNDUP(AL52*AN52+0.1,1),ROUNDUP(V52*Modelo!$H$29*AP52,1),ROUNDUP(W52*Modelo!$H$36*AR52,1))*Modelo!$H$62,1)*Modelo!$H$71,1)</f>
        <v>0.2</v>
      </c>
      <c r="CA52" s="142">
        <f t="shared" si="126"/>
        <v>1.6140000000000003</v>
      </c>
      <c r="CB52" s="27"/>
      <c r="CC52" s="27">
        <f t="shared" si="127"/>
        <v>0</v>
      </c>
      <c r="CD52" s="109">
        <f t="shared" si="128"/>
        <v>0</v>
      </c>
      <c r="CE52" s="27">
        <f t="shared" si="129"/>
        <v>1</v>
      </c>
      <c r="CF52" s="27"/>
      <c r="CG52" s="126">
        <v>0</v>
      </c>
      <c r="CH52" s="27"/>
      <c r="CI52" s="27">
        <f t="shared" si="130"/>
        <v>0</v>
      </c>
      <c r="CJ52" s="27"/>
      <c r="CK52" s="27"/>
      <c r="CL52" s="27"/>
      <c r="CM52" s="27"/>
      <c r="CN52" s="27"/>
      <c r="CO52" s="27"/>
      <c r="CP52" s="27"/>
      <c r="CQ52" s="27"/>
      <c r="CR52" s="27"/>
      <c r="CS52" s="27"/>
      <c r="CT52" s="27"/>
      <c r="CU52" s="27"/>
      <c r="CV52" s="27"/>
      <c r="CW52" s="27"/>
      <c r="CX52" s="27"/>
      <c r="CY52" s="27"/>
      <c r="CZ52" s="27"/>
      <c r="DA52" s="27"/>
      <c r="DB52" s="27"/>
      <c r="DC52" s="27"/>
    </row>
    <row r="53" spans="3:107" s="20" customFormat="1" ht="84.75" customHeight="1" outlineLevel="2" thickBot="1" x14ac:dyDescent="0.35">
      <c r="C53" s="388" t="s">
        <v>93</v>
      </c>
      <c r="D53" s="461" t="s">
        <v>18</v>
      </c>
      <c r="E53" s="461" t="str">
        <f t="shared" ref="E53" si="131">IF(U53&gt;50,"A",IF(U53&gt;15,"M","B"))</f>
        <v>B</v>
      </c>
      <c r="F53" s="461" t="s">
        <v>423</v>
      </c>
      <c r="G53" s="461" t="s">
        <v>423</v>
      </c>
      <c r="H53" s="461" t="str">
        <f t="shared" ref="H53" si="132">IF(V53+W53&gt;20,"A",IF(V53+W53&gt;5,"M","B"))</f>
        <v>B</v>
      </c>
      <c r="I53" s="461" t="str">
        <f t="shared" ref="I53" si="133">IF(V53+W53&gt;15,"A",IF(V53+W53&gt;4,"M","B"))</f>
        <v>B</v>
      </c>
      <c r="J53" s="425">
        <f t="shared" ref="J53" si="134">V53+W53</f>
        <v>1</v>
      </c>
      <c r="K53" s="503" t="str">
        <f t="shared" ref="K53" si="135">AB53</f>
        <v>Chica 1</v>
      </c>
      <c r="L53" s="543" t="s">
        <v>763</v>
      </c>
      <c r="M53" s="532">
        <f>BL53+BM53+BN53+BO53+BP53</f>
        <v>2.7</v>
      </c>
      <c r="N53" s="532">
        <f>BQ53</f>
        <v>1.1000000000000001</v>
      </c>
      <c r="O53" s="538">
        <f>SUM(M53,N53)</f>
        <v>3.8000000000000003</v>
      </c>
      <c r="P53" s="58"/>
      <c r="Q53" s="462"/>
      <c r="R53" s="462"/>
      <c r="S53" s="462"/>
      <c r="T53" s="109"/>
      <c r="U53" s="144">
        <v>5</v>
      </c>
      <c r="V53" s="144">
        <v>1</v>
      </c>
      <c r="W53" s="144">
        <v>0</v>
      </c>
      <c r="X53" s="463"/>
      <c r="Y53" s="463" t="str">
        <f t="shared" ref="Y53" si="136">CONCATENATE(C53,LEFT(K53,5),J53)</f>
        <v>CapturaChica1</v>
      </c>
      <c r="Z53" s="135">
        <f>VLOOKUP(Y53,[1]Modelo!$G$82:$H$281,2,FALSE)</f>
        <v>41</v>
      </c>
      <c r="AA53" s="463"/>
      <c r="AB53" s="137" t="str">
        <f t="shared" ref="AB53" si="137">IF(AND(U53&gt;=0,U53&lt;=6),"Chica 1",IF(AND(U53&gt;=7,U53&lt;=12),"Chica 2",IF(AND(U53&gt;=13,U53&lt;=18),"Chica 3",IF(AND(U53&gt;=19,U53&lt;=24),"Chica 4",IF(AND(U53&gt;=25,U53&lt;=30),"Mediana 1",IF(AND(U53&gt;=31,U53&lt;=36),"Mediana 2",IF(AND(U53&gt;=37,U53&lt;=42),"Mediana 3",IF(AND(U53&gt;=43,U53&lt;=48),"Mediana 4",IF(AND(U53&gt;=49,U53&lt;=54),"Grande 1",IF(AND(U53&gt;=55,U53&lt;=60),"Grande 2",IF(AND(U53&gt;=61,U53&lt;=66),"Grande 3",IF(AND(U53&gt;=67,U53&lt;=72),"Grande 4",IF(AND(U53&gt;=73,U53&lt;=78),"M. grande 1",IF(AND(U53&gt;=79,U53&lt;=84),"M. grande 2",IF(AND(U53&gt;=85,U53&lt;=90),"M. grande 3",IF(AND(U53&gt;=91,U53&lt;=96),"M. grande 4","NO DEF"))))))))))))))))</f>
        <v>Chica 1</v>
      </c>
      <c r="AC53" s="137" t="str">
        <f t="shared" ref="AC53" si="138">IF(E53="A","Alta",IF(E53="M","Media","Baja"))</f>
        <v>Baja</v>
      </c>
      <c r="AD53" s="137" t="str">
        <f t="shared" ref="AD53" si="139">IF(E53="A","Alta",IF(E53="M","Media","Baja"))</f>
        <v>Baja</v>
      </c>
      <c r="AE53" s="137" t="str">
        <f t="shared" ref="AE53" si="140">IF(F53="A","Alta",IF(F53="M","Media","Baja"))</f>
        <v>Baja</v>
      </c>
      <c r="AF53" s="137" t="str">
        <f t="shared" ref="AF53" si="141">IF(F53="A","Alta",IF(F53="M","Media","Baja"))</f>
        <v>Baja</v>
      </c>
      <c r="AG53" s="137" t="str">
        <f t="shared" ref="AG53" si="142">IF(G53="A","Alta",IF(G53="M","Media","Baja"))</f>
        <v>Baja</v>
      </c>
      <c r="AH53" s="137" t="str">
        <f t="shared" ref="AH53" si="143">IF(G53="A","Alta",IF(G53="M","Media","Baja"))</f>
        <v>Baja</v>
      </c>
      <c r="AI53" s="137" t="str">
        <f t="shared" ref="AI53" si="144">IF(H53="A","Alta",IF(H53="M","Media","Baja"))</f>
        <v>Baja</v>
      </c>
      <c r="AJ53" s="137" t="str">
        <f t="shared" ref="AJ53" si="145">IF(I53="A","Alta",IF(I53="M","Media","Baja"))</f>
        <v>Baja</v>
      </c>
      <c r="AK53" s="40"/>
      <c r="AL53" s="138">
        <f>IF(AB53=[1]Modelo!$F$7,[1]Modelo!$H$7,IF(AB53=[1]Modelo!$F$8,[1]Modelo!$H$8,IF(AB53=[1]Modelo!$F$9,[1]Modelo!$H$9,IF(AB53=[1]Modelo!$F$10,[1]Modelo!$H$10,IF(AB53=[1]Modelo!$F$11,[1]Modelo!$H$11,IF(AB53=[1]Modelo!$F$12,[1]Modelo!$H$12,IF(AB53=[1]Modelo!$F$13,[1]Modelo!$H$13,IF(AB53=[1]Modelo!$F$14,[1]Modelo!$H$14,IF(AB53=[1]Modelo!$F$15,[1]Modelo!$H$15,IF(AB53=[1]Modelo!$F$16,[1]Modelo!$H$16,IF(AB53=[1]Modelo!$F$17,[1]Modelo!$H$17,IF(AB53=[1]Modelo!$F$18,[1]Modelo!$H$18,IF(AB53=[1]Modelo!$F$19,[1]Modelo!$H$19,IF(AB53=[1]Modelo!$F$20,[1]Modelo!$H$20,IF(AB53=[1]Modelo!$F$21,[1]Modelo!$H$21,IF(AB53=[1]Modelo!$F$22,[1]Modelo!$H$22,0))))))))))))))))</f>
        <v>0.30000000000000004</v>
      </c>
      <c r="AM53" s="138">
        <f>IF(AB53=[1]Modelo!$F$7,[1]Modelo!$I$7,IF(AB53=[1]Modelo!$F$8,[1]Modelo!$I$8,IF(AB53=[1]Modelo!$F$9,[1]Modelo!$I$9,IF(AB53=[1]Modelo!$F$10,[1]Modelo!$I$10,IF(AB53=[1]Modelo!$F$11,[1]Modelo!$I$11,IF(AB53=[1]Modelo!$F$12,[1]Modelo!$I$12,IF(AB53=[1]Modelo!$F$13,[1]Modelo!$I$13,IF(AB53=[1]Modelo!$F$14,[1]Modelo!$I$14,IF(AB53=[1]Modelo!$F$15,[1]Modelo!$I$15,IF(AB53=[1]Modelo!$F$16,[1]Modelo!$I$16,IF(AB53=[1]Modelo!$F$17,[1]Modelo!$I$17,IF(AB53=[1]Modelo!$F$18,[1]Modelo!$I$18,IF(AB53=[1]Modelo!$F$19,[1]Modelo!$I$19,IF(AB53=[1]Modelo!$F$20,[1]Modelo!$I$20,IF(AB53=[1]Modelo!$F$21,[1]Modelo!$I$21,IF(AB53=[1]Modelo!$F$22,[1]Modelo!$I$22,0))))))))))))))))</f>
        <v>0.1</v>
      </c>
      <c r="AN53" s="138">
        <f>IF(AC53=[1]Modelo!$F$23,[1]Modelo!$H$23,IF(AC53=[1]Modelo!$F$24,[1]Modelo!$H$24,IF(AC53=[1]Modelo!$F$25,[1]Modelo!$H$25,0)))</f>
        <v>1</v>
      </c>
      <c r="AO53" s="138">
        <f>IF(AD53=[1]Modelo!$F$26,[1]Modelo!$H$26,IF(AD53=[1]Modelo!$F$27,[1]Modelo!$H$27,IF(AD53=[1]Modelo!$F$28,[1]Modelo!$H$28,0)))</f>
        <v>0.1</v>
      </c>
      <c r="AP53" s="138">
        <f>IF(AE53=[1]Modelo!$F$30,[1]Modelo!$H$30,IF(AE53=[1]Modelo!$F$31,[1]Modelo!$H$31,IF(AE53=[1]Modelo!$F$32,[1]Modelo!$H$32,0)))</f>
        <v>0.8</v>
      </c>
      <c r="AQ53" s="138">
        <f>IF(AF53=[1]Modelo!$F$33,[1]Modelo!$H$33,IF(AF53=[1]Modelo!$F$34,[1]Modelo!$H$34,IF(AF53=[1]Modelo!$F$35,[1]Modelo!$H$35,0)))</f>
        <v>0.3</v>
      </c>
      <c r="AR53" s="138">
        <f>IF(AG53=[1]Modelo!$F$37,[1]Modelo!$H$37,IF(AG53=[1]Modelo!$F$38,[1]Modelo!$H$38,IF(AG53=[1]Modelo!$F$39,[1]Modelo!$H$39,0)))</f>
        <v>0.8</v>
      </c>
      <c r="AS53" s="138">
        <f>IF(AH53=[1]Modelo!$F$40,[1]Modelo!$H$40,IF(AH53=[1]Modelo!$F$41,[1]Modelo!$H$41,IF(AH53=[1]Modelo!$F$42,[1]Modelo!$H$42,0)))</f>
        <v>0.4</v>
      </c>
      <c r="AT53" s="137">
        <f>IF(C53=[1]Modelo!$F$44,[1]Modelo!$H$44,IF(C53=[1]Modelo!$F$45,[1]Modelo!$H$45,IF(C53=[1]Modelo!$F$46,[1]Modelo!$H$46,IF(C53=[1]Modelo!$F$47,[1]Modelo!$H$47,IF(C53=[1]Modelo!$F$48,[1]Modelo!$H$48,IF(C53=[1]Modelo!$F$49,[1]Modelo!$H$49,IF(C53=[1]Modelo!$F$50,[1]Modelo!$H$50,IF(C53=[1]Modelo!$F$51,[1]Modelo!$H$51,IF(C53=[1]Modelo!$F$52,[1]Modelo!$H$52,IF(C53=[1]Modelo!$F$53,[1]Modelo!$H$53,0))))))))))</f>
        <v>2.2000000000000002</v>
      </c>
      <c r="AU53" s="138">
        <f>IF(AI53=[1]Modelo!$F$54,[1]Modelo!$H$54,IF(AI53=[1]Modelo!$F$55,[1]Modelo!$H$55,IF(AI53=[1]Modelo!$F$56,[1]Modelo!$H$56,0)))</f>
        <v>1</v>
      </c>
      <c r="AV53" s="138">
        <f>IF(AJ53=[1]Modelo!$F$58,[1]Modelo!$H$58,IF(AJ53=[1]Modelo!$F$59,[1]Modelo!$H$59,IF(AJ53=[1]Modelo!$F$60,[1]Modelo!$H$60,0)))</f>
        <v>0.9</v>
      </c>
      <c r="AW53" s="40"/>
      <c r="AX53" s="139">
        <f>[1]Modelo!$H$2</f>
        <v>0.05</v>
      </c>
      <c r="AY53" s="140">
        <f>ROUNDUP([1]Modelo!$I$2*[1]Modelo!$H$3*[1]Modelo!$I$75,2)</f>
        <v>0.02</v>
      </c>
      <c r="AZ53" s="141">
        <f>ROUNDUP([1]Modelo!$I$2*[1]Modelo!$H$3*[1]Modelo!$H$4*[1]Modelo!$I$75,3)</f>
        <v>3.0000000000000001E-3</v>
      </c>
      <c r="BA53" s="139">
        <f>[1]Modelo!$H$5</f>
        <v>0.04</v>
      </c>
      <c r="BB53" s="139">
        <f>ROUNDUP(SUM(BC53,BE53,BG53,BI53)*[1]Modelo!$H$6,1)</f>
        <v>0.5</v>
      </c>
      <c r="BC53" s="139">
        <f>ROUNDUP((AL53*AN53+0.1)*[1]Modelo!$I$75,1)</f>
        <v>0.4</v>
      </c>
      <c r="BD53" s="139">
        <f>ROUNDUP(AM53*AN53*AO53*[1]Modelo!$I$75,1)</f>
        <v>0.1</v>
      </c>
      <c r="BE53" s="139">
        <f>ROUNDUP(V53*[1]Modelo!$H$29*AP53*[1]Modelo!$I$75*2/3,1)</f>
        <v>0.6</v>
      </c>
      <c r="BF53" s="139">
        <f>ROUNDUP(V53*[1]Modelo!$H$29*AP53*AQ53*[1]Modelo!$I$75*2/3,1)</f>
        <v>0.2</v>
      </c>
      <c r="BG53" s="139">
        <f>ROUNDUP(V53*[1]Modelo!$H$29*AP53*[1]Modelo!$I$75/3,1)</f>
        <v>0.30000000000000004</v>
      </c>
      <c r="BH53" s="139">
        <f>ROUNDUP(V53*[1]Modelo!$H$29*AP53*AQ53*[1]Modelo!$I$75/3,1)</f>
        <v>0.1</v>
      </c>
      <c r="BI53" s="139">
        <f>ROUNDUP(W53*[1]Modelo!$H$36*AR53*[1]Modelo!$I$75,1)</f>
        <v>0</v>
      </c>
      <c r="BJ53" s="139">
        <f>ROUNDUP(W53*[1]Modelo!$H$36*AR53*AS53*[1]Modelo!$I$75,1)</f>
        <v>0</v>
      </c>
      <c r="BK53" s="139">
        <f>[1]Modelo!$H$43</f>
        <v>0.04</v>
      </c>
      <c r="BL53" s="139">
        <f>ROUNDUP(SUM(ROUNDUP(AL53*AN53+0.1,1),ROUNDUP(V53*[1]Modelo!$H$29*AP53,1),ROUNDUP(W53*[1]Modelo!$H$36*AR53,1))*AU53*AT53*[1]Modelo!$I$75,1)</f>
        <v>2.7</v>
      </c>
      <c r="BM53" s="139">
        <f t="shared" ref="BM53" si="146">IF(K$32="x",0, BL53*0.1*1.25)</f>
        <v>0</v>
      </c>
      <c r="BN53" s="139">
        <f t="shared" ref="BN53" si="147">IF(Q53="x",(BL53)*0.1,0)</f>
        <v>0</v>
      </c>
      <c r="BO53" s="139">
        <f t="shared" ref="BO53" si="148">IF(R53="x",(BL53)*0.12,0)</f>
        <v>0</v>
      </c>
      <c r="BP53" s="139">
        <f t="shared" ref="BP53" si="149">IF(S53="x",(BL53)*0.12,0)*4</f>
        <v>0</v>
      </c>
      <c r="BQ53" s="139">
        <f>ROUNDUP(SUM(ROUNDUP(AL53*AN53+0.1,1),ROUNDUP(V53*[1]Modelo!$H$29*AP53,1),ROUNDUP(W53*[1]Modelo!$H$36*AR53,1))*AT53*AV53*[1]Modelo!$H$57,1)</f>
        <v>1.1000000000000001</v>
      </c>
      <c r="BR53" s="409">
        <v>0</v>
      </c>
      <c r="BS53" s="139">
        <f>[1]Modelo!$H$61</f>
        <v>0.04</v>
      </c>
      <c r="BT53" s="139">
        <f>ROUNDUP(SUM(ROUNDUP(AL53*AN53+0.1,1),ROUNDUP(V53*[1]Modelo!$H$29*AP53,1),ROUNDUP(W53*[1]Modelo!$H$36*AR53,1))*[1]Modelo!$H$62*[1]Modelo!$I$75,1)</f>
        <v>0.1</v>
      </c>
      <c r="BU53" s="139">
        <f>ROUNDUP(ROUNDUP(SUM(ROUNDUP(AL53*AN53+0.1,1),ROUNDUP(V53*[1]Modelo!$H$29*AP53,1),ROUNDUP(W53*[1]Modelo!$H$36*AR53,1))*[1]Modelo!$H$62,1)*[1]Modelo!$H$63*[1]Modelo!$I$75,1)</f>
        <v>0.1</v>
      </c>
      <c r="BV53" s="139">
        <f>SUM(ROUNDUP(AL53*AN53+0.1,1),ROUNDUP(V53*[1]Modelo!$H$29*AP53,1),ROUNDUP(W53*[1]Modelo!$H$36*AR53,1))*[1]Modelo!$H$64*[1]Modelo!$I$75</f>
        <v>0.24000000000000005</v>
      </c>
      <c r="BW53" s="139">
        <f>ROUNDUP(SUM(ROUNDUP(AL53*AN53+0.1,1),ROUNDUP(V53*[1]Modelo!$H$29*AP53,1),ROUNDUP(W53*[1]Modelo!$H$36*AR53,1))*[1]Modelo!$H$64*[1]Modelo!$H$65*[1]Modelo!$I$75,1)</f>
        <v>0.2</v>
      </c>
      <c r="BX53" s="139">
        <f>[1]Modelo!$H$66</f>
        <v>0.04</v>
      </c>
      <c r="BY53" s="139">
        <f>ROUNDUP(SUM(ROUNDUP(AL53*AN53+0.1,1),ROUNDUP(V53*[1]Modelo!$H$29*AP53,1),ROUNDUP(W53*[1]Modelo!$H$36*AR53,1))*[1]Modelo!$H$69,1)</f>
        <v>0.30000000000000004</v>
      </c>
      <c r="BZ53" s="139">
        <f>ROUNDUP(ROUNDUP(SUM(ROUNDUP(AL53*AN53+0.1,1),ROUNDUP(V53*[1]Modelo!$H$29*AP53,1),ROUNDUP(W53*[1]Modelo!$H$36*AR53,1))*[1]Modelo!$H$62,1)*[1]Modelo!$H$71,1)</f>
        <v>0.2</v>
      </c>
      <c r="CA53" s="142">
        <f t="shared" ref="CA53" si="150">SUM(AX53:BZ53)</f>
        <v>7.3730000000000002</v>
      </c>
      <c r="CB53" s="27"/>
      <c r="CC53" s="27">
        <f t="shared" ref="CC53" si="151">CD53*0.85</f>
        <v>3.23</v>
      </c>
      <c r="CD53" s="109">
        <f t="shared" ref="CD53" si="152">O53</f>
        <v>3.8000000000000003</v>
      </c>
      <c r="CE53" s="27">
        <f t="shared" ref="CE53" si="153">IF(CD53=0,1,CD53*1.4)</f>
        <v>5.32</v>
      </c>
      <c r="CF53" s="27"/>
      <c r="CG53" s="126">
        <v>0</v>
      </c>
      <c r="CH53" s="27"/>
      <c r="CI53" s="27">
        <f t="shared" ref="CI53" si="154">IF(CF53&lt;&gt;"",CF53,CG53)</f>
        <v>0</v>
      </c>
      <c r="CJ53" s="27"/>
      <c r="CK53" s="27"/>
      <c r="CL53" s="27"/>
      <c r="CM53" s="27"/>
      <c r="CN53" s="27"/>
      <c r="CO53" s="27"/>
      <c r="CP53" s="27"/>
      <c r="CQ53" s="27"/>
      <c r="CR53" s="27"/>
      <c r="CS53" s="27"/>
      <c r="CT53" s="27"/>
      <c r="CU53" s="27"/>
      <c r="CV53" s="27"/>
      <c r="CW53" s="27"/>
      <c r="CX53" s="27"/>
      <c r="CY53" s="27"/>
      <c r="CZ53" s="27"/>
      <c r="DA53" s="27"/>
      <c r="DB53" s="27"/>
      <c r="DC53" s="27"/>
    </row>
    <row r="54" spans="3:107" s="20" customFormat="1" ht="93" customHeight="1" outlineLevel="2" thickBot="1" x14ac:dyDescent="0.35">
      <c r="C54" s="388" t="s">
        <v>93</v>
      </c>
      <c r="D54" s="461" t="s">
        <v>18</v>
      </c>
      <c r="E54" s="461" t="str">
        <f t="shared" ref="E54" si="155">IF(U54&gt;50,"A",IF(U54&gt;15,"M","B"))</f>
        <v>B</v>
      </c>
      <c r="F54" s="461" t="s">
        <v>423</v>
      </c>
      <c r="G54" s="461" t="s">
        <v>423</v>
      </c>
      <c r="H54" s="461" t="str">
        <f t="shared" ref="H54" si="156">IF(V54+W54&gt;20,"A",IF(V54+W54&gt;5,"M","B"))</f>
        <v>B</v>
      </c>
      <c r="I54" s="461" t="str">
        <f t="shared" ref="I54" si="157">IF(V54+W54&gt;15,"A",IF(V54+W54&gt;4,"M","B"))</f>
        <v>B</v>
      </c>
      <c r="J54" s="425">
        <f t="shared" ref="J54" si="158">V54+W54</f>
        <v>3</v>
      </c>
      <c r="K54" s="503" t="str">
        <f t="shared" ref="K54" si="159">AB54</f>
        <v>Chica 3</v>
      </c>
      <c r="L54" s="543" t="s">
        <v>764</v>
      </c>
      <c r="M54" s="532">
        <f>BL54+BM54+BN54+BO54+BP54</f>
        <v>7.5</v>
      </c>
      <c r="N54" s="532">
        <f>BQ54</f>
        <v>3.1</v>
      </c>
      <c r="O54" s="538">
        <f>SUM(M54,N54)</f>
        <v>10.6</v>
      </c>
      <c r="P54" s="58"/>
      <c r="Q54" s="462"/>
      <c r="R54" s="462"/>
      <c r="S54" s="462"/>
      <c r="T54" s="109"/>
      <c r="U54" s="144">
        <v>15</v>
      </c>
      <c r="V54" s="144">
        <v>3</v>
      </c>
      <c r="W54" s="144">
        <v>0</v>
      </c>
      <c r="X54" s="463"/>
      <c r="Y54" s="463" t="str">
        <f t="shared" ref="Y54" si="160">CONCATENATE(C54,LEFT(K54,5),J54)</f>
        <v>CapturaChica3</v>
      </c>
      <c r="Z54" s="135">
        <f>VLOOKUP(Y54,[1]Modelo!$G$82:$H$281,2,FALSE)</f>
        <v>43</v>
      </c>
      <c r="AA54" s="463"/>
      <c r="AB54" s="137" t="str">
        <f t="shared" ref="AB54" si="161">IF(AND(U54&gt;=0,U54&lt;=6),"Chica 1",IF(AND(U54&gt;=7,U54&lt;=12),"Chica 2",IF(AND(U54&gt;=13,U54&lt;=18),"Chica 3",IF(AND(U54&gt;=19,U54&lt;=24),"Chica 4",IF(AND(U54&gt;=25,U54&lt;=30),"Mediana 1",IF(AND(U54&gt;=31,U54&lt;=36),"Mediana 2",IF(AND(U54&gt;=37,U54&lt;=42),"Mediana 3",IF(AND(U54&gt;=43,U54&lt;=48),"Mediana 4",IF(AND(U54&gt;=49,U54&lt;=54),"Grande 1",IF(AND(U54&gt;=55,U54&lt;=60),"Grande 2",IF(AND(U54&gt;=61,U54&lt;=66),"Grande 3",IF(AND(U54&gt;=67,U54&lt;=72),"Grande 4",IF(AND(U54&gt;=73,U54&lt;=78),"M. grande 1",IF(AND(U54&gt;=79,U54&lt;=84),"M. grande 2",IF(AND(U54&gt;=85,U54&lt;=90),"M. grande 3",IF(AND(U54&gt;=91,U54&lt;=96),"M. grande 4","NO DEF"))))))))))))))))</f>
        <v>Chica 3</v>
      </c>
      <c r="AC54" s="137" t="str">
        <f t="shared" ref="AC54" si="162">IF(E54="A","Alta",IF(E54="M","Media","Baja"))</f>
        <v>Baja</v>
      </c>
      <c r="AD54" s="137" t="str">
        <f t="shared" ref="AD54" si="163">IF(E54="A","Alta",IF(E54="M","Media","Baja"))</f>
        <v>Baja</v>
      </c>
      <c r="AE54" s="137" t="str">
        <f t="shared" ref="AE54" si="164">IF(F54="A","Alta",IF(F54="M","Media","Baja"))</f>
        <v>Baja</v>
      </c>
      <c r="AF54" s="137" t="str">
        <f t="shared" ref="AF54" si="165">IF(F54="A","Alta",IF(F54="M","Media","Baja"))</f>
        <v>Baja</v>
      </c>
      <c r="AG54" s="137" t="str">
        <f t="shared" ref="AG54" si="166">IF(G54="A","Alta",IF(G54="M","Media","Baja"))</f>
        <v>Baja</v>
      </c>
      <c r="AH54" s="137" t="str">
        <f t="shared" ref="AH54" si="167">IF(G54="A","Alta",IF(G54="M","Media","Baja"))</f>
        <v>Baja</v>
      </c>
      <c r="AI54" s="137" t="str">
        <f t="shared" ref="AI54" si="168">IF(H54="A","Alta",IF(H54="M","Media","Baja"))</f>
        <v>Baja</v>
      </c>
      <c r="AJ54" s="137" t="str">
        <f t="shared" ref="AJ54" si="169">IF(I54="A","Alta",IF(I54="M","Media","Baja"))</f>
        <v>Baja</v>
      </c>
      <c r="AK54" s="40"/>
      <c r="AL54" s="138">
        <f>IF(AB54=[1]Modelo!$F$7,[1]Modelo!$H$7,IF(AB54=[1]Modelo!$F$8,[1]Modelo!$H$8,IF(AB54=[1]Modelo!$F$9,[1]Modelo!$H$9,IF(AB54=[1]Modelo!$F$10,[1]Modelo!$H$10,IF(AB54=[1]Modelo!$F$11,[1]Modelo!$H$11,IF(AB54=[1]Modelo!$F$12,[1]Modelo!$H$12,IF(AB54=[1]Modelo!$F$13,[1]Modelo!$H$13,IF(AB54=[1]Modelo!$F$14,[1]Modelo!$H$14,IF(AB54=[1]Modelo!$F$15,[1]Modelo!$H$15,IF(AB54=[1]Modelo!$F$16,[1]Modelo!$H$16,IF(AB54=[1]Modelo!$F$17,[1]Modelo!$H$17,IF(AB54=[1]Modelo!$F$18,[1]Modelo!$H$18,IF(AB54=[1]Modelo!$F$19,[1]Modelo!$H$19,IF(AB54=[1]Modelo!$F$20,[1]Modelo!$H$20,IF(AB54=[1]Modelo!$F$21,[1]Modelo!$H$21,IF(AB54=[1]Modelo!$F$22,[1]Modelo!$H$22,0))))))))))))))))</f>
        <v>0.9</v>
      </c>
      <c r="AM54" s="138">
        <f>IF(AB54=[1]Modelo!$F$7,[1]Modelo!$I$7,IF(AB54=[1]Modelo!$F$8,[1]Modelo!$I$8,IF(AB54=[1]Modelo!$F$9,[1]Modelo!$I$9,IF(AB54=[1]Modelo!$F$10,[1]Modelo!$I$10,IF(AB54=[1]Modelo!$F$11,[1]Modelo!$I$11,IF(AB54=[1]Modelo!$F$12,[1]Modelo!$I$12,IF(AB54=[1]Modelo!$F$13,[1]Modelo!$I$13,IF(AB54=[1]Modelo!$F$14,[1]Modelo!$I$14,IF(AB54=[1]Modelo!$F$15,[1]Modelo!$I$15,IF(AB54=[1]Modelo!$F$16,[1]Modelo!$I$16,IF(AB54=[1]Modelo!$F$17,[1]Modelo!$I$17,IF(AB54=[1]Modelo!$F$18,[1]Modelo!$I$18,IF(AB54=[1]Modelo!$F$19,[1]Modelo!$I$19,IF(AB54=[1]Modelo!$F$20,[1]Modelo!$I$20,IF(AB54=[1]Modelo!$F$21,[1]Modelo!$I$21,IF(AB54=[1]Modelo!$F$22,[1]Modelo!$I$22,0))))))))))))))))</f>
        <v>0.3</v>
      </c>
      <c r="AN54" s="138">
        <f>IF(AC54=[1]Modelo!$F$23,[1]Modelo!$H$23,IF(AC54=[1]Modelo!$F$24,[1]Modelo!$H$24,IF(AC54=[1]Modelo!$F$25,[1]Modelo!$H$25,0)))</f>
        <v>1</v>
      </c>
      <c r="AO54" s="138">
        <f>IF(AD54=[1]Modelo!$F$26,[1]Modelo!$H$26,IF(AD54=[1]Modelo!$F$27,[1]Modelo!$H$27,IF(AD54=[1]Modelo!$F$28,[1]Modelo!$H$28,0)))</f>
        <v>0.1</v>
      </c>
      <c r="AP54" s="138">
        <f>IF(AE54=[1]Modelo!$F$30,[1]Modelo!$H$30,IF(AE54=[1]Modelo!$F$31,[1]Modelo!$H$31,IF(AE54=[1]Modelo!$F$32,[1]Modelo!$H$32,0)))</f>
        <v>0.8</v>
      </c>
      <c r="AQ54" s="138">
        <f>IF(AF54=[1]Modelo!$F$33,[1]Modelo!$H$33,IF(AF54=[1]Modelo!$F$34,[1]Modelo!$H$34,IF(AF54=[1]Modelo!$F$35,[1]Modelo!$H$35,0)))</f>
        <v>0.3</v>
      </c>
      <c r="AR54" s="138">
        <f>IF(AG54=[1]Modelo!$F$37,[1]Modelo!$H$37,IF(AG54=[1]Modelo!$F$38,[1]Modelo!$H$38,IF(AG54=[1]Modelo!$F$39,[1]Modelo!$H$39,0)))</f>
        <v>0.8</v>
      </c>
      <c r="AS54" s="138">
        <f>IF(AH54=[1]Modelo!$F$40,[1]Modelo!$H$40,IF(AH54=[1]Modelo!$F$41,[1]Modelo!$H$41,IF(AH54=[1]Modelo!$F$42,[1]Modelo!$H$42,0)))</f>
        <v>0.4</v>
      </c>
      <c r="AT54" s="137">
        <f>IF(C54=[1]Modelo!$F$44,[1]Modelo!$H$44,IF(C54=[1]Modelo!$F$45,[1]Modelo!$H$45,IF(C54=[1]Modelo!$F$46,[1]Modelo!$H$46,IF(C54=[1]Modelo!$F$47,[1]Modelo!$H$47,IF(C54=[1]Modelo!$F$48,[1]Modelo!$H$48,IF(C54=[1]Modelo!$F$49,[1]Modelo!$H$49,IF(C54=[1]Modelo!$F$50,[1]Modelo!$H$50,IF(C54=[1]Modelo!$F$51,[1]Modelo!$H$51,IF(C54=[1]Modelo!$F$52,[1]Modelo!$H$52,IF(C54=[1]Modelo!$F$53,[1]Modelo!$H$53,0))))))))))</f>
        <v>2.2000000000000002</v>
      </c>
      <c r="AU54" s="138">
        <f>IF(AI54=[1]Modelo!$F$54,[1]Modelo!$H$54,IF(AI54=[1]Modelo!$F$55,[1]Modelo!$H$55,IF(AI54=[1]Modelo!$F$56,[1]Modelo!$H$56,0)))</f>
        <v>1</v>
      </c>
      <c r="AV54" s="138">
        <f>IF(AJ54=[1]Modelo!$F$58,[1]Modelo!$H$58,IF(AJ54=[1]Modelo!$F$59,[1]Modelo!$H$59,IF(AJ54=[1]Modelo!$F$60,[1]Modelo!$H$60,0)))</f>
        <v>0.9</v>
      </c>
      <c r="AW54" s="40"/>
      <c r="AX54" s="139">
        <f>[1]Modelo!$H$2</f>
        <v>0.05</v>
      </c>
      <c r="AY54" s="140">
        <f>ROUNDUP([1]Modelo!$I$2*[1]Modelo!$H$3*[1]Modelo!$I$75,2)</f>
        <v>0.02</v>
      </c>
      <c r="AZ54" s="141">
        <f>ROUNDUP([1]Modelo!$I$2*[1]Modelo!$H$3*[1]Modelo!$H$4*[1]Modelo!$I$75,3)</f>
        <v>3.0000000000000001E-3</v>
      </c>
      <c r="BA54" s="139">
        <f>[1]Modelo!$H$5</f>
        <v>0.04</v>
      </c>
      <c r="BB54" s="139">
        <f>ROUNDUP(SUM(BC54,BE54,BG54,BI54)*[1]Modelo!$H$6,1)</f>
        <v>1.2000000000000002</v>
      </c>
      <c r="BC54" s="139">
        <f>ROUNDUP((AL54*AN54+0.1)*[1]Modelo!$I$75,1)</f>
        <v>1</v>
      </c>
      <c r="BD54" s="139">
        <f>ROUNDUP(AM54*AN54*AO54*[1]Modelo!$I$75,1)</f>
        <v>0.1</v>
      </c>
      <c r="BE54" s="139">
        <f>ROUNDUP(V54*[1]Modelo!$H$29*AP54*[1]Modelo!$I$75*2/3,1)</f>
        <v>1.6</v>
      </c>
      <c r="BF54" s="139">
        <f>ROUNDUP(V54*[1]Modelo!$H$29*AP54*AQ54*[1]Modelo!$I$75*2/3,1)</f>
        <v>0.5</v>
      </c>
      <c r="BG54" s="139">
        <f>ROUNDUP(V54*[1]Modelo!$H$29*AP54*[1]Modelo!$I$75/3,1)</f>
        <v>0.8</v>
      </c>
      <c r="BH54" s="139">
        <f>ROUNDUP(V54*[1]Modelo!$H$29*AP54*AQ54*[1]Modelo!$I$75/3,1)</f>
        <v>0.30000000000000004</v>
      </c>
      <c r="BI54" s="139">
        <f>ROUNDUP(W54*[1]Modelo!$H$36*AR54*[1]Modelo!$I$75,1)</f>
        <v>0</v>
      </c>
      <c r="BJ54" s="139">
        <f>ROUNDUP(W54*[1]Modelo!$H$36*AR54*AS54*[1]Modelo!$I$75,1)</f>
        <v>0</v>
      </c>
      <c r="BK54" s="139">
        <f>[1]Modelo!$H$43</f>
        <v>0.04</v>
      </c>
      <c r="BL54" s="139">
        <f>ROUNDUP(SUM(ROUNDUP(AL54*AN54+0.1,1),ROUNDUP(V54*[1]Modelo!$H$29*AP54,1),ROUNDUP(W54*[1]Modelo!$H$36*AR54,1))*AU54*AT54*[1]Modelo!$I$75,1)</f>
        <v>7.5</v>
      </c>
      <c r="BM54" s="139">
        <f t="shared" ref="BM54" si="170">IF(K$32="x",0, BL54*0.1*1.25)</f>
        <v>0</v>
      </c>
      <c r="BN54" s="139">
        <f t="shared" ref="BN54" si="171">IF(Q54="x",(BL54)*0.1,0)</f>
        <v>0</v>
      </c>
      <c r="BO54" s="139">
        <f t="shared" ref="BO54" si="172">IF(R54="x",(BL54)*0.12,0)</f>
        <v>0</v>
      </c>
      <c r="BP54" s="139">
        <f t="shared" ref="BP54" si="173">IF(S54="x",(BL54)*0.12,0)*4</f>
        <v>0</v>
      </c>
      <c r="BQ54" s="139">
        <f>ROUNDUP(SUM(ROUNDUP(AL54*AN54+0.1,1),ROUNDUP(V54*[1]Modelo!$H$29*AP54,1),ROUNDUP(W54*[1]Modelo!$H$36*AR54,1))*AT54*AV54*[1]Modelo!$H$57,1)</f>
        <v>3.1</v>
      </c>
      <c r="BR54" s="409">
        <v>0</v>
      </c>
      <c r="BS54" s="139">
        <f>[1]Modelo!$H$61</f>
        <v>0.04</v>
      </c>
      <c r="BT54" s="139">
        <f>ROUNDUP(SUM(ROUNDUP(AL54*AN54+0.1,1),ROUNDUP(V54*[1]Modelo!$H$29*AP54,1),ROUNDUP(W54*[1]Modelo!$H$36*AR54,1))*[1]Modelo!$H$62*[1]Modelo!$I$75,1)</f>
        <v>0.30000000000000004</v>
      </c>
      <c r="BU54" s="139">
        <f>ROUNDUP(ROUNDUP(SUM(ROUNDUP(AL54*AN54+0.1,1),ROUNDUP(V54*[1]Modelo!$H$29*AP54,1),ROUNDUP(W54*[1]Modelo!$H$36*AR54,1))*[1]Modelo!$H$62,1)*[1]Modelo!$H$63*[1]Modelo!$I$75,1)</f>
        <v>0.1</v>
      </c>
      <c r="BV54" s="139">
        <f>SUM(ROUNDUP(AL54*AN54+0.1,1),ROUNDUP(V54*[1]Modelo!$H$29*AP54,1),ROUNDUP(W54*[1]Modelo!$H$36*AR54,1))*[1]Modelo!$H$64*[1]Modelo!$I$75</f>
        <v>0.68</v>
      </c>
      <c r="BW54" s="139">
        <f>ROUNDUP(SUM(ROUNDUP(AL54*AN54+0.1,1),ROUNDUP(V54*[1]Modelo!$H$29*AP54,1),ROUNDUP(W54*[1]Modelo!$H$36*AR54,1))*[1]Modelo!$H$64*[1]Modelo!$H$65*[1]Modelo!$I$75,1)</f>
        <v>0.4</v>
      </c>
      <c r="BX54" s="139">
        <f>[1]Modelo!$H$66</f>
        <v>0.04</v>
      </c>
      <c r="BY54" s="139">
        <f>ROUNDUP(SUM(ROUNDUP(AL54*AN54+0.1,1),ROUNDUP(V54*[1]Modelo!$H$29*AP54,1),ROUNDUP(W54*[1]Modelo!$H$36*AR54,1))*[1]Modelo!$H$69,1)</f>
        <v>0.79999999999999993</v>
      </c>
      <c r="BZ54" s="139">
        <f>ROUNDUP(ROUNDUP(SUM(ROUNDUP(AL54*AN54+0.1,1),ROUNDUP(V54*[1]Modelo!$H$29*AP54,1),ROUNDUP(W54*[1]Modelo!$H$36*AR54,1))*[1]Modelo!$H$62,1)*[1]Modelo!$H$71,1)</f>
        <v>0.6</v>
      </c>
      <c r="CA54" s="142">
        <f t="shared" ref="CA54" si="174">SUM(AX54:BZ54)</f>
        <v>19.213000000000001</v>
      </c>
      <c r="CB54" s="27"/>
      <c r="CC54" s="27">
        <f t="shared" ref="CC54" si="175">CD54*0.85</f>
        <v>9.01</v>
      </c>
      <c r="CD54" s="109">
        <f t="shared" ref="CD54" si="176">O54</f>
        <v>10.6</v>
      </c>
      <c r="CE54" s="27">
        <f t="shared" ref="CE54" si="177">IF(CD54=0,1,CD54*1.4)</f>
        <v>14.839999999999998</v>
      </c>
      <c r="CF54" s="27"/>
      <c r="CG54" s="126">
        <v>0</v>
      </c>
      <c r="CH54" s="27"/>
      <c r="CI54" s="27">
        <f t="shared" ref="CI54" si="178">IF(CF54&lt;&gt;"",CF54,CG54)</f>
        <v>0</v>
      </c>
      <c r="CJ54" s="27"/>
      <c r="CK54" s="27"/>
      <c r="CL54" s="27"/>
      <c r="CM54" s="27"/>
      <c r="CN54" s="27"/>
      <c r="CO54" s="27"/>
      <c r="CP54" s="27"/>
      <c r="CQ54" s="27"/>
      <c r="CR54" s="27"/>
      <c r="CS54" s="27"/>
      <c r="CT54" s="27"/>
      <c r="CU54" s="27"/>
      <c r="CV54" s="27"/>
      <c r="CW54" s="27"/>
      <c r="CX54" s="27"/>
      <c r="CY54" s="27"/>
      <c r="CZ54" s="27"/>
      <c r="DA54" s="27"/>
      <c r="DB54" s="27"/>
      <c r="DC54" s="27"/>
    </row>
    <row r="55" spans="3:107" s="20" customFormat="1" ht="24.5" customHeight="1" outlineLevel="2" thickBot="1" x14ac:dyDescent="0.35">
      <c r="C55" s="388" t="s">
        <v>93</v>
      </c>
      <c r="D55" s="461" t="s">
        <v>18</v>
      </c>
      <c r="E55" s="461" t="str">
        <f t="shared" ref="E55" si="179">IF(U55&gt;50,"A",IF(U55&gt;15,"M","B"))</f>
        <v>B</v>
      </c>
      <c r="F55" s="461" t="s">
        <v>423</v>
      </c>
      <c r="G55" s="461" t="s">
        <v>423</v>
      </c>
      <c r="H55" s="461" t="str">
        <f t="shared" ref="H55" si="180">IF(V55+W55&gt;20,"A",IF(V55+W55&gt;5,"M","B"))</f>
        <v>B</v>
      </c>
      <c r="I55" s="461" t="str">
        <f t="shared" ref="I55" si="181">IF(V55+W55&gt;15,"A",IF(V55+W55&gt;4,"M","B"))</f>
        <v>B</v>
      </c>
      <c r="J55" s="425">
        <f t="shared" ref="J55:J57" si="182">V55+W55</f>
        <v>1</v>
      </c>
      <c r="K55" s="503" t="str">
        <f t="shared" ref="K55" si="183">AB55</f>
        <v>Chica 1</v>
      </c>
      <c r="L55" s="544" t="s">
        <v>737</v>
      </c>
      <c r="M55" s="532">
        <f>BL55+BM55+BN55+BO55+BP55</f>
        <v>2.7</v>
      </c>
      <c r="N55" s="532">
        <f>BQ55</f>
        <v>1.1000000000000001</v>
      </c>
      <c r="O55" s="538">
        <f>SUM(M55,N55)</f>
        <v>3.8000000000000003</v>
      </c>
      <c r="P55" s="58"/>
      <c r="Q55" s="462"/>
      <c r="R55" s="462"/>
      <c r="S55" s="462"/>
      <c r="T55" s="109"/>
      <c r="U55" s="144">
        <v>5</v>
      </c>
      <c r="V55" s="144">
        <v>1</v>
      </c>
      <c r="W55" s="144">
        <v>0</v>
      </c>
      <c r="X55" s="463"/>
      <c r="Y55" s="463" t="str">
        <f t="shared" ref="Y55:Y57" si="184">CONCATENATE(C55,LEFT(K55,5),J55)</f>
        <v>CapturaChica1</v>
      </c>
      <c r="Z55" s="135">
        <f>VLOOKUP(Y55,[1]Modelo!$G$82:$H$281,2,FALSE)</f>
        <v>41</v>
      </c>
      <c r="AA55" s="463"/>
      <c r="AB55" s="137" t="str">
        <f t="shared" ref="AB55:AB57" si="185">IF(AND(U55&gt;=0,U55&lt;=6),"Chica 1",IF(AND(U55&gt;=7,U55&lt;=12),"Chica 2",IF(AND(U55&gt;=13,U55&lt;=18),"Chica 3",IF(AND(U55&gt;=19,U55&lt;=24),"Chica 4",IF(AND(U55&gt;=25,U55&lt;=30),"Mediana 1",IF(AND(U55&gt;=31,U55&lt;=36),"Mediana 2",IF(AND(U55&gt;=37,U55&lt;=42),"Mediana 3",IF(AND(U55&gt;=43,U55&lt;=48),"Mediana 4",IF(AND(U55&gt;=49,U55&lt;=54),"Grande 1",IF(AND(U55&gt;=55,U55&lt;=60),"Grande 2",IF(AND(U55&gt;=61,U55&lt;=66),"Grande 3",IF(AND(U55&gt;=67,U55&lt;=72),"Grande 4",IF(AND(U55&gt;=73,U55&lt;=78),"M. grande 1",IF(AND(U55&gt;=79,U55&lt;=84),"M. grande 2",IF(AND(U55&gt;=85,U55&lt;=90),"M. grande 3",IF(AND(U55&gt;=91,U55&lt;=96),"M. grande 4","NO DEF"))))))))))))))))</f>
        <v>Chica 1</v>
      </c>
      <c r="AC55" s="137" t="str">
        <f t="shared" ref="AC55:AC57" si="186">IF(E55="A","Alta",IF(E55="M","Media","Baja"))</f>
        <v>Baja</v>
      </c>
      <c r="AD55" s="137" t="str">
        <f t="shared" ref="AD55:AD57" si="187">IF(E55="A","Alta",IF(E55="M","Media","Baja"))</f>
        <v>Baja</v>
      </c>
      <c r="AE55" s="137" t="str">
        <f t="shared" ref="AE55:AE57" si="188">IF(F55="A","Alta",IF(F55="M","Media","Baja"))</f>
        <v>Baja</v>
      </c>
      <c r="AF55" s="137" t="str">
        <f t="shared" ref="AF55:AF57" si="189">IF(F55="A","Alta",IF(F55="M","Media","Baja"))</f>
        <v>Baja</v>
      </c>
      <c r="AG55" s="137" t="str">
        <f t="shared" ref="AG55:AG57" si="190">IF(G55="A","Alta",IF(G55="M","Media","Baja"))</f>
        <v>Baja</v>
      </c>
      <c r="AH55" s="137" t="str">
        <f t="shared" ref="AH55:AH57" si="191">IF(G55="A","Alta",IF(G55="M","Media","Baja"))</f>
        <v>Baja</v>
      </c>
      <c r="AI55" s="137" t="str">
        <f t="shared" ref="AI55:AI57" si="192">IF(H55="A","Alta",IF(H55="M","Media","Baja"))</f>
        <v>Baja</v>
      </c>
      <c r="AJ55" s="137" t="str">
        <f t="shared" ref="AJ55:AJ57" si="193">IF(I55="A","Alta",IF(I55="M","Media","Baja"))</f>
        <v>Baja</v>
      </c>
      <c r="AK55" s="40"/>
      <c r="AL55" s="138">
        <f>IF(AB55=[1]Modelo!$F$7,[1]Modelo!$H$7,IF(AB55=[1]Modelo!$F$8,[1]Modelo!$H$8,IF(AB55=[1]Modelo!$F$9,[1]Modelo!$H$9,IF(AB55=[1]Modelo!$F$10,[1]Modelo!$H$10,IF(AB55=[1]Modelo!$F$11,[1]Modelo!$H$11,IF(AB55=[1]Modelo!$F$12,[1]Modelo!$H$12,IF(AB55=[1]Modelo!$F$13,[1]Modelo!$H$13,IF(AB55=[1]Modelo!$F$14,[1]Modelo!$H$14,IF(AB55=[1]Modelo!$F$15,[1]Modelo!$H$15,IF(AB55=[1]Modelo!$F$16,[1]Modelo!$H$16,IF(AB55=[1]Modelo!$F$17,[1]Modelo!$H$17,IF(AB55=[1]Modelo!$F$18,[1]Modelo!$H$18,IF(AB55=[1]Modelo!$F$19,[1]Modelo!$H$19,IF(AB55=[1]Modelo!$F$20,[1]Modelo!$H$20,IF(AB55=[1]Modelo!$F$21,[1]Modelo!$H$21,IF(AB55=[1]Modelo!$F$22,[1]Modelo!$H$22,0))))))))))))))))</f>
        <v>0.30000000000000004</v>
      </c>
      <c r="AM55" s="138">
        <f>IF(AB55=[1]Modelo!$F$7,[1]Modelo!$I$7,IF(AB55=[1]Modelo!$F$8,[1]Modelo!$I$8,IF(AB55=[1]Modelo!$F$9,[1]Modelo!$I$9,IF(AB55=[1]Modelo!$F$10,[1]Modelo!$I$10,IF(AB55=[1]Modelo!$F$11,[1]Modelo!$I$11,IF(AB55=[1]Modelo!$F$12,[1]Modelo!$I$12,IF(AB55=[1]Modelo!$F$13,[1]Modelo!$I$13,IF(AB55=[1]Modelo!$F$14,[1]Modelo!$I$14,IF(AB55=[1]Modelo!$F$15,[1]Modelo!$I$15,IF(AB55=[1]Modelo!$F$16,[1]Modelo!$I$16,IF(AB55=[1]Modelo!$F$17,[1]Modelo!$I$17,IF(AB55=[1]Modelo!$F$18,[1]Modelo!$I$18,IF(AB55=[1]Modelo!$F$19,[1]Modelo!$I$19,IF(AB55=[1]Modelo!$F$20,[1]Modelo!$I$20,IF(AB55=[1]Modelo!$F$21,[1]Modelo!$I$21,IF(AB55=[1]Modelo!$F$22,[1]Modelo!$I$22,0))))))))))))))))</f>
        <v>0.1</v>
      </c>
      <c r="AN55" s="138">
        <f>IF(AC55=[1]Modelo!$F$23,[1]Modelo!$H$23,IF(AC55=[1]Modelo!$F$24,[1]Modelo!$H$24,IF(AC55=[1]Modelo!$F$25,[1]Modelo!$H$25,0)))</f>
        <v>1</v>
      </c>
      <c r="AO55" s="138">
        <f>IF(AD55=[1]Modelo!$F$26,[1]Modelo!$H$26,IF(AD55=[1]Modelo!$F$27,[1]Modelo!$H$27,IF(AD55=[1]Modelo!$F$28,[1]Modelo!$H$28,0)))</f>
        <v>0.1</v>
      </c>
      <c r="AP55" s="138">
        <f>IF(AE55=[1]Modelo!$F$30,[1]Modelo!$H$30,IF(AE55=[1]Modelo!$F$31,[1]Modelo!$H$31,IF(AE55=[1]Modelo!$F$32,[1]Modelo!$H$32,0)))</f>
        <v>0.8</v>
      </c>
      <c r="AQ55" s="138">
        <f>IF(AF55=[1]Modelo!$F$33,[1]Modelo!$H$33,IF(AF55=[1]Modelo!$F$34,[1]Modelo!$H$34,IF(AF55=[1]Modelo!$F$35,[1]Modelo!$H$35,0)))</f>
        <v>0.3</v>
      </c>
      <c r="AR55" s="138">
        <f>IF(AG55=[1]Modelo!$F$37,[1]Modelo!$H$37,IF(AG55=[1]Modelo!$F$38,[1]Modelo!$H$38,IF(AG55=[1]Modelo!$F$39,[1]Modelo!$H$39,0)))</f>
        <v>0.8</v>
      </c>
      <c r="AS55" s="138">
        <f>IF(AH55=[1]Modelo!$F$40,[1]Modelo!$H$40,IF(AH55=[1]Modelo!$F$41,[1]Modelo!$H$41,IF(AH55=[1]Modelo!$F$42,[1]Modelo!$H$42,0)))</f>
        <v>0.4</v>
      </c>
      <c r="AT55" s="137">
        <f>IF(C55=[1]Modelo!$F$44,[1]Modelo!$H$44,IF(C55=[1]Modelo!$F$45,[1]Modelo!$H$45,IF(C55=[1]Modelo!$F$46,[1]Modelo!$H$46,IF(C55=[1]Modelo!$F$47,[1]Modelo!$H$47,IF(C55=[1]Modelo!$F$48,[1]Modelo!$H$48,IF(C55=[1]Modelo!$F$49,[1]Modelo!$H$49,IF(C55=[1]Modelo!$F$50,[1]Modelo!$H$50,IF(C55=[1]Modelo!$F$51,[1]Modelo!$H$51,IF(C55=[1]Modelo!$F$52,[1]Modelo!$H$52,IF(C55=[1]Modelo!$F$53,[1]Modelo!$H$53,0))))))))))</f>
        <v>2.2000000000000002</v>
      </c>
      <c r="AU55" s="138">
        <f>IF(AI55=[1]Modelo!$F$54,[1]Modelo!$H$54,IF(AI55=[1]Modelo!$F$55,[1]Modelo!$H$55,IF(AI55=[1]Modelo!$F$56,[1]Modelo!$H$56,0)))</f>
        <v>1</v>
      </c>
      <c r="AV55" s="138">
        <f>IF(AJ55=[1]Modelo!$F$58,[1]Modelo!$H$58,IF(AJ55=[1]Modelo!$F$59,[1]Modelo!$H$59,IF(AJ55=[1]Modelo!$F$60,[1]Modelo!$H$60,0)))</f>
        <v>0.9</v>
      </c>
      <c r="AW55" s="40"/>
      <c r="AX55" s="139">
        <f>[1]Modelo!$H$2</f>
        <v>0.05</v>
      </c>
      <c r="AY55" s="140">
        <f>ROUNDUP([1]Modelo!$I$2*[1]Modelo!$H$3*[1]Modelo!$I$75,2)</f>
        <v>0.02</v>
      </c>
      <c r="AZ55" s="141">
        <f>ROUNDUP([1]Modelo!$I$2*[1]Modelo!$H$3*[1]Modelo!$H$4*[1]Modelo!$I$75,3)</f>
        <v>3.0000000000000001E-3</v>
      </c>
      <c r="BA55" s="139">
        <f>[1]Modelo!$H$5</f>
        <v>0.04</v>
      </c>
      <c r="BB55" s="139">
        <f>ROUNDUP(SUM(BC55,BE55,BG55,BI55)*[1]Modelo!$H$6,1)</f>
        <v>0.5</v>
      </c>
      <c r="BC55" s="139">
        <f>ROUNDUP((AL55*AN55+0.1)*[1]Modelo!$I$75,1)</f>
        <v>0.4</v>
      </c>
      <c r="BD55" s="139">
        <f>ROUNDUP(AM55*AN55*AO55*[1]Modelo!$I$75,1)</f>
        <v>0.1</v>
      </c>
      <c r="BE55" s="139">
        <f>ROUNDUP(V55*[1]Modelo!$H$29*AP55*[1]Modelo!$I$75*2/3,1)</f>
        <v>0.6</v>
      </c>
      <c r="BF55" s="139">
        <f>ROUNDUP(V55*[1]Modelo!$H$29*AP55*AQ55*[1]Modelo!$I$75*2/3,1)</f>
        <v>0.2</v>
      </c>
      <c r="BG55" s="139">
        <f>ROUNDUP(V55*[1]Modelo!$H$29*AP55*[1]Modelo!$I$75/3,1)</f>
        <v>0.30000000000000004</v>
      </c>
      <c r="BH55" s="139">
        <f>ROUNDUP(V55*[1]Modelo!$H$29*AP55*AQ55*[1]Modelo!$I$75/3,1)</f>
        <v>0.1</v>
      </c>
      <c r="BI55" s="139">
        <f>ROUNDUP(W55*[1]Modelo!$H$36*AR55*[1]Modelo!$I$75,1)</f>
        <v>0</v>
      </c>
      <c r="BJ55" s="139">
        <f>ROUNDUP(W55*[1]Modelo!$H$36*AR55*AS55*[1]Modelo!$I$75,1)</f>
        <v>0</v>
      </c>
      <c r="BK55" s="139">
        <f>[1]Modelo!$H$43</f>
        <v>0.04</v>
      </c>
      <c r="BL55" s="139">
        <f>ROUNDUP(SUM(ROUNDUP(AL55*AN55+0.1,1),ROUNDUP(V55*[1]Modelo!$H$29*AP55,1),ROUNDUP(W55*[1]Modelo!$H$36*AR55,1))*AU55*AT55*[1]Modelo!$I$75,1)</f>
        <v>2.7</v>
      </c>
      <c r="BM55" s="139">
        <f t="shared" ref="BM55:BM57" si="194">IF(K$32="x",0, BL55*0.1*1.25)</f>
        <v>0</v>
      </c>
      <c r="BN55" s="139">
        <f t="shared" ref="BN55:BN57" si="195">IF(Q55="x",(BL55)*0.1,0)</f>
        <v>0</v>
      </c>
      <c r="BO55" s="139">
        <f t="shared" ref="BO55:BO57" si="196">IF(R55="x",(BL55)*0.12,0)</f>
        <v>0</v>
      </c>
      <c r="BP55" s="139">
        <f t="shared" ref="BP55:BP57" si="197">IF(S55="x",(BL55)*0.12,0)*4</f>
        <v>0</v>
      </c>
      <c r="BQ55" s="139">
        <f>ROUNDUP(SUM(ROUNDUP(AL55*AN55+0.1,1),ROUNDUP(V55*[1]Modelo!$H$29*AP55,1),ROUNDUP(W55*[1]Modelo!$H$36*AR55,1))*AT55*AV55*[1]Modelo!$H$57,1)</f>
        <v>1.1000000000000001</v>
      </c>
      <c r="BR55" s="409">
        <v>0</v>
      </c>
      <c r="BS55" s="139">
        <f>[1]Modelo!$H$61</f>
        <v>0.04</v>
      </c>
      <c r="BT55" s="139">
        <f>ROUNDUP(SUM(ROUNDUP(AL55*AN55+0.1,1),ROUNDUP(V55*[1]Modelo!$H$29*AP55,1),ROUNDUP(W55*[1]Modelo!$H$36*AR55,1))*[1]Modelo!$H$62*[1]Modelo!$I$75,1)</f>
        <v>0.1</v>
      </c>
      <c r="BU55" s="139">
        <f>ROUNDUP(ROUNDUP(SUM(ROUNDUP(AL55*AN55+0.1,1),ROUNDUP(V55*[1]Modelo!$H$29*AP55,1),ROUNDUP(W55*[1]Modelo!$H$36*AR55,1))*[1]Modelo!$H$62,1)*[1]Modelo!$H$63*[1]Modelo!$I$75,1)</f>
        <v>0.1</v>
      </c>
      <c r="BV55" s="139">
        <f>SUM(ROUNDUP(AL55*AN55+0.1,1),ROUNDUP(V55*[1]Modelo!$H$29*AP55,1),ROUNDUP(W55*[1]Modelo!$H$36*AR55,1))*[1]Modelo!$H$64*[1]Modelo!$I$75</f>
        <v>0.24000000000000005</v>
      </c>
      <c r="BW55" s="139">
        <f>ROUNDUP(SUM(ROUNDUP(AL55*AN55+0.1,1),ROUNDUP(V55*[1]Modelo!$H$29*AP55,1),ROUNDUP(W55*[1]Modelo!$H$36*AR55,1))*[1]Modelo!$H$64*[1]Modelo!$H$65*[1]Modelo!$I$75,1)</f>
        <v>0.2</v>
      </c>
      <c r="BX55" s="139">
        <f>[1]Modelo!$H$66</f>
        <v>0.04</v>
      </c>
      <c r="BY55" s="139">
        <f>ROUNDUP(SUM(ROUNDUP(AL55*AN55+0.1,1),ROUNDUP(V55*[1]Modelo!$H$29*AP55,1),ROUNDUP(W55*[1]Modelo!$H$36*AR55,1))*[1]Modelo!$H$69,1)</f>
        <v>0.30000000000000004</v>
      </c>
      <c r="BZ55" s="139">
        <f>ROUNDUP(ROUNDUP(SUM(ROUNDUP(AL55*AN55+0.1,1),ROUNDUP(V55*[1]Modelo!$H$29*AP55,1),ROUNDUP(W55*[1]Modelo!$H$36*AR55,1))*[1]Modelo!$H$62,1)*[1]Modelo!$H$71,1)</f>
        <v>0.2</v>
      </c>
      <c r="CA55" s="142">
        <f t="shared" ref="CA55:CA57" si="198">SUM(AX55:BZ55)</f>
        <v>7.3730000000000002</v>
      </c>
      <c r="CB55" s="27"/>
      <c r="CC55" s="27">
        <f t="shared" ref="CC55:CC57" si="199">CD55*0.85</f>
        <v>3.23</v>
      </c>
      <c r="CD55" s="109">
        <f t="shared" ref="CD55:CD57" si="200">O55</f>
        <v>3.8000000000000003</v>
      </c>
      <c r="CE55" s="27">
        <f t="shared" ref="CE55:CE57" si="201">IF(CD55=0,1,CD55*1.4)</f>
        <v>5.32</v>
      </c>
      <c r="CF55" s="27"/>
      <c r="CG55" s="126">
        <v>0</v>
      </c>
      <c r="CH55" s="27"/>
      <c r="CI55" s="27">
        <f t="shared" ref="CI55:CI57" si="202">IF(CF55&lt;&gt;"",CF55,CG55)</f>
        <v>0</v>
      </c>
      <c r="CJ55" s="27"/>
      <c r="CK55" s="27"/>
      <c r="CL55" s="27"/>
      <c r="CM55" s="27"/>
      <c r="CN55" s="27"/>
      <c r="CO55" s="27"/>
      <c r="CP55" s="27"/>
      <c r="CQ55" s="27"/>
      <c r="CR55" s="27"/>
      <c r="CS55" s="27"/>
      <c r="CT55" s="27"/>
      <c r="CU55" s="27"/>
      <c r="CV55" s="27"/>
      <c r="CW55" s="27"/>
      <c r="CX55" s="27"/>
      <c r="CY55" s="27"/>
      <c r="CZ55" s="27"/>
      <c r="DA55" s="27"/>
      <c r="DB55" s="27"/>
      <c r="DC55" s="27"/>
    </row>
    <row r="56" spans="3:107" s="20" customFormat="1" ht="26" customHeight="1" outlineLevel="2" thickBot="1" x14ac:dyDescent="0.35">
      <c r="C56" s="388"/>
      <c r="D56" s="461"/>
      <c r="E56" s="461"/>
      <c r="F56" s="461"/>
      <c r="G56" s="461"/>
      <c r="H56" s="461"/>
      <c r="I56" s="461"/>
      <c r="J56" s="425">
        <f t="shared" si="182"/>
        <v>1</v>
      </c>
      <c r="K56" s="506"/>
      <c r="L56" s="542" t="s">
        <v>738</v>
      </c>
      <c r="M56" s="526"/>
      <c r="N56" s="526"/>
      <c r="O56" s="530"/>
      <c r="P56" s="58"/>
      <c r="Q56" s="143"/>
      <c r="R56" s="143"/>
      <c r="S56" s="143"/>
      <c r="T56" s="109"/>
      <c r="U56" s="144">
        <v>30</v>
      </c>
      <c r="V56" s="144">
        <v>1</v>
      </c>
      <c r="W56" s="144">
        <v>0</v>
      </c>
      <c r="X56" s="136"/>
      <c r="Y56" s="136" t="str">
        <f t="shared" si="184"/>
        <v>1</v>
      </c>
      <c r="Z56" s="135" t="e">
        <f>VLOOKUP(Y56,Modelo!$G$82:$H$281,2,FALSE)</f>
        <v>#N/A</v>
      </c>
      <c r="AA56" s="136"/>
      <c r="AB56" s="137" t="str">
        <f t="shared" si="185"/>
        <v>Mediana 1</v>
      </c>
      <c r="AC56" s="137" t="str">
        <f t="shared" si="186"/>
        <v>Baja</v>
      </c>
      <c r="AD56" s="137" t="str">
        <f t="shared" si="187"/>
        <v>Baja</v>
      </c>
      <c r="AE56" s="137" t="str">
        <f t="shared" si="188"/>
        <v>Baja</v>
      </c>
      <c r="AF56" s="137" t="str">
        <f t="shared" si="189"/>
        <v>Baja</v>
      </c>
      <c r="AG56" s="137" t="str">
        <f t="shared" si="190"/>
        <v>Baja</v>
      </c>
      <c r="AH56" s="137" t="str">
        <f t="shared" si="191"/>
        <v>Baja</v>
      </c>
      <c r="AI56" s="137" t="str">
        <f t="shared" si="192"/>
        <v>Baja</v>
      </c>
      <c r="AJ56" s="137" t="str">
        <f t="shared" si="193"/>
        <v>Baja</v>
      </c>
      <c r="AK56" s="40"/>
      <c r="AL56" s="138">
        <f>IF(AB56=Modelo!$F$7,Modelo!$H$7,IF(AB56=Modelo!$F$8,Modelo!$H$8,IF(AB56=Modelo!$F$9,Modelo!$H$9,IF(AB56=Modelo!$F$10,Modelo!$H$10,IF(AB56=Modelo!$F$11,Modelo!$H$11,IF(AB56=Modelo!$F$12,Modelo!$H$12,IF(AB56=Modelo!$F$13,Modelo!$H$13,IF(AB56=Modelo!$F$14,Modelo!$H$14,IF(AB56=Modelo!$F$15,Modelo!$H$15,IF(AB56=Modelo!$F$16,Modelo!$H$16,IF(AB56=Modelo!$F$17,Modelo!$H$17,IF(AB56=Modelo!$F$18,Modelo!$H$18,IF(AB56=Modelo!$F$19,Modelo!$H$19,IF(AB56=Modelo!$F$20,Modelo!$H$20,IF(AB56=Modelo!$F$21,Modelo!$H$21,IF(AB56=Modelo!$F$22,Modelo!$H$22,0))))))))))))))))</f>
        <v>1.5</v>
      </c>
      <c r="AM56" s="138">
        <f>IF(AB56=Modelo!$F$7,Modelo!$I$7,IF(AB56=Modelo!$F$8,Modelo!$I$8,IF(AB56=Modelo!$F$9,Modelo!$I$9,IF(AB56=Modelo!$F$10,Modelo!$I$10,IF(AB56=Modelo!$F$11,Modelo!$I$11,IF(AB56=Modelo!$F$12,Modelo!$I$12,IF(AB56=Modelo!$F$13,Modelo!$I$13,IF(AB56=Modelo!$F$14,Modelo!$I$14,IF(AB56=Modelo!$F$15,Modelo!$I$15,IF(AB56=Modelo!$F$16,Modelo!$I$16,IF(AB56=Modelo!$F$17,Modelo!$I$17,IF(AB56=Modelo!$F$18,Modelo!$I$18,IF(AB56=Modelo!$F$19,Modelo!$I$19,IF(AB56=Modelo!$F$20,Modelo!$I$20,IF(AB56=Modelo!$F$21,Modelo!$I$21,IF(AB56=Modelo!$F$22,Modelo!$I$22,0))))))))))))))))</f>
        <v>0.5</v>
      </c>
      <c r="AN56" s="138">
        <f>IF(AC56=Modelo!$F$23,Modelo!$H$23,IF(AC56=Modelo!$F$24,Modelo!$H$24,IF(AC56=Modelo!$F$25,Modelo!$H$25,0)))</f>
        <v>1</v>
      </c>
      <c r="AO56" s="138">
        <f>IF(AD56=Modelo!$F$26,Modelo!$H$26,IF(AD56=Modelo!$F$27,Modelo!$H$27,IF(AD56=Modelo!$F$28,Modelo!$H$28,0)))</f>
        <v>0.1</v>
      </c>
      <c r="AP56" s="138">
        <f>IF(AE56=Modelo!$F$30,Modelo!$H$30,IF(AE56=Modelo!$F$31,Modelo!$H$31,IF(AE56=Modelo!$F$32,Modelo!$H$32,0)))</f>
        <v>0.8</v>
      </c>
      <c r="AQ56" s="138">
        <f>IF(AF56=Modelo!$F$33,Modelo!$H$33,IF(AF56=Modelo!$F$34,Modelo!$H$34,IF(AF56=Modelo!$F$35,Modelo!$H$35,0)))</f>
        <v>0.3</v>
      </c>
      <c r="AR56" s="138">
        <f>IF(AG56=Modelo!$F$37,Modelo!$H$37,IF(AG56=Modelo!$F$38,Modelo!$H$38,IF(AG56=Modelo!$F$39,Modelo!$H$39,0)))</f>
        <v>0.8</v>
      </c>
      <c r="AS56" s="138">
        <f>IF(AH56=Modelo!$F$40,Modelo!$H$40,IF(AH56=Modelo!$F$41,Modelo!$H$41,IF(AH56=Modelo!$F$42,Modelo!$H$42,0)))</f>
        <v>0.4</v>
      </c>
      <c r="AT56" s="137">
        <f>IF(C56=Modelo!$F$44,Modelo!$H$44,IF(C56=Modelo!$F$45,Modelo!$H$45,IF(C56=Modelo!$F$46,Modelo!$H$46,IF(C56=Modelo!$F$47,Modelo!$H$47,IF(C56=Modelo!$F$48,Modelo!$H$48,IF(C56=Modelo!$F$49,Modelo!$H$49,IF(C56=Modelo!$F$50,Modelo!$H$50,IF(C56=Modelo!$F$51,Modelo!$H$51,IF(C56=Modelo!$F$52,Modelo!$H$52,IF(C56=Modelo!$F$53,Modelo!$H$53,0))))))))))</f>
        <v>0</v>
      </c>
      <c r="AU56" s="138">
        <f>IF(AI56=Modelo!$F$54,Modelo!$H$54,IF(AI56=Modelo!$F$55,Modelo!$H$55,IF(AI56=Modelo!$F$56,Modelo!$H$56,0)))</f>
        <v>1</v>
      </c>
      <c r="AV56" s="138">
        <f>IF(AJ56=Modelo!$F$58,Modelo!$H$58,IF(AJ56=Modelo!$F$59,Modelo!$H$59,IF(AJ56=Modelo!$F$60,Modelo!$H$60,0)))</f>
        <v>0.9</v>
      </c>
      <c r="AW56" s="40"/>
      <c r="AX56" s="139">
        <f>Modelo!$H$2</f>
        <v>0.05</v>
      </c>
      <c r="AY56" s="140">
        <f>ROUNDUP(Modelo!$I$2*Modelo!$H$3*Modelo!$I$75,2)</f>
        <v>0.02</v>
      </c>
      <c r="AZ56" s="141">
        <f>ROUNDUP(Modelo!$I$2*Modelo!$H$3*Modelo!$H$4*Modelo!$I$75,3)</f>
        <v>4.0000000000000001E-3</v>
      </c>
      <c r="BA56" s="139">
        <f>Modelo!$H$5</f>
        <v>0.04</v>
      </c>
      <c r="BB56" s="139">
        <f>ROUNDUP(SUM(BC56,BE56,BG56,BI56)*Modelo!$H$6,1)</f>
        <v>0.9</v>
      </c>
      <c r="BC56" s="139">
        <f>ROUNDUP((AL56*AN56+0.1)*Modelo!$I$75,1)</f>
        <v>1.6</v>
      </c>
      <c r="BD56" s="139">
        <f>ROUNDUP(AM56*AN56*AO56*Modelo!$I$75,1)</f>
        <v>0.1</v>
      </c>
      <c r="BE56" s="139">
        <f>ROUNDUP(V56*Modelo!$H$29*AP56*Modelo!$I$75*2/3,1)</f>
        <v>0.6</v>
      </c>
      <c r="BF56" s="139">
        <f>ROUNDUP(V56*Modelo!$H$29*AP56*AQ56*Modelo!$I$75*2/3,1)</f>
        <v>0.2</v>
      </c>
      <c r="BG56" s="139">
        <f>ROUNDUP(V56*Modelo!$H$29*AP56*Modelo!$I$75/3,1)</f>
        <v>0.30000000000000004</v>
      </c>
      <c r="BH56" s="139">
        <f>ROUNDUP(V56*Modelo!$H$29*AP56*AQ56*Modelo!$I$75/3,1)</f>
        <v>0.1</v>
      </c>
      <c r="BI56" s="139">
        <f>ROUNDUP(W56*Modelo!$H$36*AR56*Modelo!$I$75,1)</f>
        <v>0</v>
      </c>
      <c r="BJ56" s="139">
        <f>ROUNDUP(W56*Modelo!$H$36*AR56*AS56*Modelo!$I$75,1)</f>
        <v>0</v>
      </c>
      <c r="BK56" s="139">
        <f>Modelo!$H$43</f>
        <v>0.04</v>
      </c>
      <c r="BL56" s="139">
        <f>ROUNDUP(SUM(ROUNDUP(AL56*AN56+0.1,1),ROUNDUP(V56*Modelo!$H$29*AP56,1),ROUNDUP(W56*Modelo!$H$36*AR56,1))*AU56*AT56*Modelo!$I$75,1)</f>
        <v>0</v>
      </c>
      <c r="BM56" s="139">
        <f t="shared" si="194"/>
        <v>0</v>
      </c>
      <c r="BN56" s="139">
        <f t="shared" si="195"/>
        <v>0</v>
      </c>
      <c r="BO56" s="139">
        <f t="shared" si="196"/>
        <v>0</v>
      </c>
      <c r="BP56" s="139">
        <f t="shared" si="197"/>
        <v>0</v>
      </c>
      <c r="BQ56" s="139">
        <f>ROUNDUP(SUM(ROUNDUP(AL56*AN56+0.1,1),ROUNDUP(V56*Modelo!$H$29*AP56,1),ROUNDUP(W56*Modelo!$H$36*AR56,1))*AT56*AV56*Modelo!$H$57,1)</f>
        <v>0</v>
      </c>
      <c r="BR56" s="409">
        <f>BL56*0.1
+IF(K$16="x",0,BL56*0.05)
+IF(K$28="x",0,BL56*0.2)
+IF(K$29="x",0,BL56*0.5)
+IF(OR(K$30="x",K$31="x"),0,BL56*0.05)
+IF(K$32="x",0,BL56*0.3)
+IF(Q56="x",0,BL56*0.5)
+IF(OR(R56="x",S56="x"),0,BL56*0.15)</f>
        <v>0</v>
      </c>
      <c r="BS56" s="139">
        <f>Modelo!$H$61</f>
        <v>0.04</v>
      </c>
      <c r="BT56" s="139">
        <f>ROUNDUP(SUM(ROUNDUP(AL56*AN56+0.1,1),ROUNDUP(V56*Modelo!$H$29*AP56,1),ROUNDUP(W56*Modelo!$H$36*AR56,1))*Modelo!$H$62*Modelo!$I$75,1)</f>
        <v>0.2</v>
      </c>
      <c r="BU56" s="139">
        <f>ROUNDUP(ROUNDUP(SUM(ROUNDUP(AL56*AN56+0.1,1),ROUNDUP(V56*Modelo!$H$29*AP56,1),ROUNDUP(W56*Modelo!$H$36*AR56,1))*Modelo!$H$62,1)*Modelo!$H$63*Modelo!$I$75,1)</f>
        <v>0.1</v>
      </c>
      <c r="BV56" s="139">
        <f>SUM(ROUNDUP(AL56*AN56+0.1,1),ROUNDUP(V56*Modelo!$H$29*AP56,1),ROUNDUP(W56*Modelo!$H$36*AR56,1))*Modelo!$H$64*Modelo!$I$75</f>
        <v>0.48000000000000009</v>
      </c>
      <c r="BW56" s="139">
        <f>ROUNDUP(SUM(ROUNDUP(AL56*AN56+0.1,1),ROUNDUP(V56*Modelo!$H$29*AP56,1),ROUNDUP(W56*Modelo!$H$36*AR56,1))*Modelo!$H$64*Modelo!$H$65*Modelo!$I$75,1)</f>
        <v>0.30000000000000004</v>
      </c>
      <c r="BX56" s="139">
        <f>Modelo!$H$66</f>
        <v>0.04</v>
      </c>
      <c r="BY56" s="139">
        <f>ROUNDUP(SUM(ROUNDUP(AL56*AN56+0.1,1),ROUNDUP(V56*Modelo!$H$29*AP56,1),ROUNDUP(W56*Modelo!$H$36*AR56,1))*Modelo!$H$69,1)</f>
        <v>0.6</v>
      </c>
      <c r="BZ56" s="139">
        <f>ROUNDUP(ROUNDUP(SUM(ROUNDUP(AL56*AN56+0.1,1),ROUNDUP(V56*Modelo!$H$29*AP56,1),ROUNDUP(W56*Modelo!$H$36*AR56,1))*Modelo!$H$62,1)*Modelo!$H$71,1)</f>
        <v>0.4</v>
      </c>
      <c r="CA56" s="142">
        <f t="shared" si="198"/>
        <v>6.1139999999999999</v>
      </c>
      <c r="CB56" s="27"/>
      <c r="CC56" s="27">
        <f t="shared" si="199"/>
        <v>0</v>
      </c>
      <c r="CD56" s="109">
        <f t="shared" si="200"/>
        <v>0</v>
      </c>
      <c r="CE56" s="27">
        <f t="shared" si="201"/>
        <v>1</v>
      </c>
      <c r="CF56" s="27"/>
      <c r="CG56" s="126">
        <v>0</v>
      </c>
      <c r="CH56" s="27"/>
      <c r="CI56" s="27">
        <f t="shared" si="202"/>
        <v>0</v>
      </c>
      <c r="CJ56" s="27"/>
      <c r="CK56" s="27"/>
      <c r="CL56" s="27"/>
      <c r="CM56" s="27"/>
      <c r="CN56" s="27"/>
      <c r="CO56" s="27"/>
      <c r="CP56" s="27"/>
      <c r="CQ56" s="27"/>
      <c r="CR56" s="27"/>
      <c r="CS56" s="27"/>
      <c r="CT56" s="27"/>
      <c r="CU56" s="27"/>
      <c r="CV56" s="27"/>
      <c r="CW56" s="27"/>
      <c r="CX56" s="27"/>
      <c r="CY56" s="27"/>
      <c r="CZ56" s="27"/>
      <c r="DA56" s="27"/>
      <c r="DB56" s="27"/>
      <c r="DC56" s="27"/>
    </row>
    <row r="57" spans="3:107" s="20" customFormat="1" ht="55.5" customHeight="1" outlineLevel="2" thickBot="1" x14ac:dyDescent="0.35">
      <c r="C57" s="388" t="s">
        <v>93</v>
      </c>
      <c r="D57" s="461" t="s">
        <v>18</v>
      </c>
      <c r="E57" s="461" t="str">
        <f t="shared" ref="E57" si="203">IF(U57&gt;50,"A",IF(U57&gt;15,"M","B"))</f>
        <v>B</v>
      </c>
      <c r="F57" s="461" t="s">
        <v>423</v>
      </c>
      <c r="G57" s="461" t="s">
        <v>423</v>
      </c>
      <c r="H57" s="461" t="str">
        <f t="shared" ref="H57" si="204">IF(V57+W57&gt;20,"A",IF(V57+W57&gt;5,"M","B"))</f>
        <v>B</v>
      </c>
      <c r="I57" s="461" t="str">
        <f t="shared" ref="I57" si="205">IF(V57+W57&gt;15,"A",IF(V57+W57&gt;4,"M","B"))</f>
        <v>B</v>
      </c>
      <c r="J57" s="425">
        <f t="shared" si="182"/>
        <v>2</v>
      </c>
      <c r="K57" s="503" t="str">
        <f t="shared" ref="K57" si="206">AB57</f>
        <v>Chica 3</v>
      </c>
      <c r="L57" s="543" t="s">
        <v>765</v>
      </c>
      <c r="M57" s="532">
        <f>BL57+BM57+BN57+BO57+BP57</f>
        <v>5.8</v>
      </c>
      <c r="N57" s="532">
        <f>BQ57</f>
        <v>2.4</v>
      </c>
      <c r="O57" s="538">
        <f>SUM(M57,N57)</f>
        <v>8.1999999999999993</v>
      </c>
      <c r="P57" s="58"/>
      <c r="Q57" s="462"/>
      <c r="R57" s="462"/>
      <c r="S57" s="462"/>
      <c r="T57" s="109"/>
      <c r="U57" s="144">
        <v>15</v>
      </c>
      <c r="V57" s="144">
        <v>2</v>
      </c>
      <c r="W57" s="144">
        <v>0</v>
      </c>
      <c r="X57" s="463"/>
      <c r="Y57" s="463" t="str">
        <f t="shared" si="184"/>
        <v>CapturaChica2</v>
      </c>
      <c r="Z57" s="135">
        <f>VLOOKUP(Y57,[1]Modelo!$G$82:$H$281,2,FALSE)</f>
        <v>42</v>
      </c>
      <c r="AA57" s="463"/>
      <c r="AB57" s="137" t="str">
        <f t="shared" si="185"/>
        <v>Chica 3</v>
      </c>
      <c r="AC57" s="137" t="str">
        <f t="shared" si="186"/>
        <v>Baja</v>
      </c>
      <c r="AD57" s="137" t="str">
        <f t="shared" si="187"/>
        <v>Baja</v>
      </c>
      <c r="AE57" s="137" t="str">
        <f t="shared" si="188"/>
        <v>Baja</v>
      </c>
      <c r="AF57" s="137" t="str">
        <f t="shared" si="189"/>
        <v>Baja</v>
      </c>
      <c r="AG57" s="137" t="str">
        <f t="shared" si="190"/>
        <v>Baja</v>
      </c>
      <c r="AH57" s="137" t="str">
        <f t="shared" si="191"/>
        <v>Baja</v>
      </c>
      <c r="AI57" s="137" t="str">
        <f t="shared" si="192"/>
        <v>Baja</v>
      </c>
      <c r="AJ57" s="137" t="str">
        <f t="shared" si="193"/>
        <v>Baja</v>
      </c>
      <c r="AK57" s="40"/>
      <c r="AL57" s="138">
        <f>IF(AB57=[1]Modelo!$F$7,[1]Modelo!$H$7,IF(AB57=[1]Modelo!$F$8,[1]Modelo!$H$8,IF(AB57=[1]Modelo!$F$9,[1]Modelo!$H$9,IF(AB57=[1]Modelo!$F$10,[1]Modelo!$H$10,IF(AB57=[1]Modelo!$F$11,[1]Modelo!$H$11,IF(AB57=[1]Modelo!$F$12,[1]Modelo!$H$12,IF(AB57=[1]Modelo!$F$13,[1]Modelo!$H$13,IF(AB57=[1]Modelo!$F$14,[1]Modelo!$H$14,IF(AB57=[1]Modelo!$F$15,[1]Modelo!$H$15,IF(AB57=[1]Modelo!$F$16,[1]Modelo!$H$16,IF(AB57=[1]Modelo!$F$17,[1]Modelo!$H$17,IF(AB57=[1]Modelo!$F$18,[1]Modelo!$H$18,IF(AB57=[1]Modelo!$F$19,[1]Modelo!$H$19,IF(AB57=[1]Modelo!$F$20,[1]Modelo!$H$20,IF(AB57=[1]Modelo!$F$21,[1]Modelo!$H$21,IF(AB57=[1]Modelo!$F$22,[1]Modelo!$H$22,0))))))))))))))))</f>
        <v>0.9</v>
      </c>
      <c r="AM57" s="138">
        <f>IF(AB57=[1]Modelo!$F$7,[1]Modelo!$I$7,IF(AB57=[1]Modelo!$F$8,[1]Modelo!$I$8,IF(AB57=[1]Modelo!$F$9,[1]Modelo!$I$9,IF(AB57=[1]Modelo!$F$10,[1]Modelo!$I$10,IF(AB57=[1]Modelo!$F$11,[1]Modelo!$I$11,IF(AB57=[1]Modelo!$F$12,[1]Modelo!$I$12,IF(AB57=[1]Modelo!$F$13,[1]Modelo!$I$13,IF(AB57=[1]Modelo!$F$14,[1]Modelo!$I$14,IF(AB57=[1]Modelo!$F$15,[1]Modelo!$I$15,IF(AB57=[1]Modelo!$F$16,[1]Modelo!$I$16,IF(AB57=[1]Modelo!$F$17,[1]Modelo!$I$17,IF(AB57=[1]Modelo!$F$18,[1]Modelo!$I$18,IF(AB57=[1]Modelo!$F$19,[1]Modelo!$I$19,IF(AB57=[1]Modelo!$F$20,[1]Modelo!$I$20,IF(AB57=[1]Modelo!$F$21,[1]Modelo!$I$21,IF(AB57=[1]Modelo!$F$22,[1]Modelo!$I$22,0))))))))))))))))</f>
        <v>0.3</v>
      </c>
      <c r="AN57" s="138">
        <f>IF(AC57=[1]Modelo!$F$23,[1]Modelo!$H$23,IF(AC57=[1]Modelo!$F$24,[1]Modelo!$H$24,IF(AC57=[1]Modelo!$F$25,[1]Modelo!$H$25,0)))</f>
        <v>1</v>
      </c>
      <c r="AO57" s="138">
        <f>IF(AD57=[1]Modelo!$F$26,[1]Modelo!$H$26,IF(AD57=[1]Modelo!$F$27,[1]Modelo!$H$27,IF(AD57=[1]Modelo!$F$28,[1]Modelo!$H$28,0)))</f>
        <v>0.1</v>
      </c>
      <c r="AP57" s="138">
        <f>IF(AE57=[1]Modelo!$F$30,[1]Modelo!$H$30,IF(AE57=[1]Modelo!$F$31,[1]Modelo!$H$31,IF(AE57=[1]Modelo!$F$32,[1]Modelo!$H$32,0)))</f>
        <v>0.8</v>
      </c>
      <c r="AQ57" s="138">
        <f>IF(AF57=[1]Modelo!$F$33,[1]Modelo!$H$33,IF(AF57=[1]Modelo!$F$34,[1]Modelo!$H$34,IF(AF57=[1]Modelo!$F$35,[1]Modelo!$H$35,0)))</f>
        <v>0.3</v>
      </c>
      <c r="AR57" s="138">
        <f>IF(AG57=[1]Modelo!$F$37,[1]Modelo!$H$37,IF(AG57=[1]Modelo!$F$38,[1]Modelo!$H$38,IF(AG57=[1]Modelo!$F$39,[1]Modelo!$H$39,0)))</f>
        <v>0.8</v>
      </c>
      <c r="AS57" s="138">
        <f>IF(AH57=[1]Modelo!$F$40,[1]Modelo!$H$40,IF(AH57=[1]Modelo!$F$41,[1]Modelo!$H$41,IF(AH57=[1]Modelo!$F$42,[1]Modelo!$H$42,0)))</f>
        <v>0.4</v>
      </c>
      <c r="AT57" s="137">
        <f>IF(C57=[1]Modelo!$F$44,[1]Modelo!$H$44,IF(C57=[1]Modelo!$F$45,[1]Modelo!$H$45,IF(C57=[1]Modelo!$F$46,[1]Modelo!$H$46,IF(C57=[1]Modelo!$F$47,[1]Modelo!$H$47,IF(C57=[1]Modelo!$F$48,[1]Modelo!$H$48,IF(C57=[1]Modelo!$F$49,[1]Modelo!$H$49,IF(C57=[1]Modelo!$F$50,[1]Modelo!$H$50,IF(C57=[1]Modelo!$F$51,[1]Modelo!$H$51,IF(C57=[1]Modelo!$F$52,[1]Modelo!$H$52,IF(C57=[1]Modelo!$F$53,[1]Modelo!$H$53,0))))))))))</f>
        <v>2.2000000000000002</v>
      </c>
      <c r="AU57" s="138">
        <f>IF(AI57=[1]Modelo!$F$54,[1]Modelo!$H$54,IF(AI57=[1]Modelo!$F$55,[1]Modelo!$H$55,IF(AI57=[1]Modelo!$F$56,[1]Modelo!$H$56,0)))</f>
        <v>1</v>
      </c>
      <c r="AV57" s="138">
        <f>IF(AJ57=[1]Modelo!$F$58,[1]Modelo!$H$58,IF(AJ57=[1]Modelo!$F$59,[1]Modelo!$H$59,IF(AJ57=[1]Modelo!$F$60,[1]Modelo!$H$60,0)))</f>
        <v>0.9</v>
      </c>
      <c r="AW57" s="40"/>
      <c r="AX57" s="139">
        <f>[1]Modelo!$H$2</f>
        <v>0.05</v>
      </c>
      <c r="AY57" s="140">
        <f>ROUNDUP([1]Modelo!$I$2*[1]Modelo!$H$3*[1]Modelo!$I$75,2)</f>
        <v>0.02</v>
      </c>
      <c r="AZ57" s="141">
        <f>ROUNDUP([1]Modelo!$I$2*[1]Modelo!$H$3*[1]Modelo!$H$4*[1]Modelo!$I$75,3)</f>
        <v>3.0000000000000001E-3</v>
      </c>
      <c r="BA57" s="139">
        <f>[1]Modelo!$H$5</f>
        <v>0.04</v>
      </c>
      <c r="BB57" s="139">
        <f>ROUNDUP(SUM(BC57,BE57,BG57,BI57)*[1]Modelo!$H$6,1)</f>
        <v>0.9</v>
      </c>
      <c r="BC57" s="139">
        <f>ROUNDUP((AL57*AN57+0.1)*[1]Modelo!$I$75,1)</f>
        <v>1</v>
      </c>
      <c r="BD57" s="139">
        <f>ROUNDUP(AM57*AN57*AO57*[1]Modelo!$I$75,1)</f>
        <v>0.1</v>
      </c>
      <c r="BE57" s="139">
        <f>ROUNDUP(V57*[1]Modelo!$H$29*AP57*[1]Modelo!$I$75*2/3,1)</f>
        <v>1.1000000000000001</v>
      </c>
      <c r="BF57" s="139">
        <f>ROUNDUP(V57*[1]Modelo!$H$29*AP57*AQ57*[1]Modelo!$I$75*2/3,1)</f>
        <v>0.4</v>
      </c>
      <c r="BG57" s="139">
        <f>ROUNDUP(V57*[1]Modelo!$H$29*AP57*[1]Modelo!$I$75/3,1)</f>
        <v>0.6</v>
      </c>
      <c r="BH57" s="139">
        <f>ROUNDUP(V57*[1]Modelo!$H$29*AP57*AQ57*[1]Modelo!$I$75/3,1)</f>
        <v>0.2</v>
      </c>
      <c r="BI57" s="139">
        <f>ROUNDUP(W57*[1]Modelo!$H$36*AR57*[1]Modelo!$I$75,1)</f>
        <v>0</v>
      </c>
      <c r="BJ57" s="139">
        <f>ROUNDUP(W57*[1]Modelo!$H$36*AR57*AS57*[1]Modelo!$I$75,1)</f>
        <v>0</v>
      </c>
      <c r="BK57" s="139">
        <f>[1]Modelo!$H$43</f>
        <v>0.04</v>
      </c>
      <c r="BL57" s="139">
        <f>ROUNDUP(SUM(ROUNDUP(AL57*AN57+0.1,1),ROUNDUP(V57*[1]Modelo!$H$29*AP57,1),ROUNDUP(W57*[1]Modelo!$H$36*AR57,1))*AU57*AT57*[1]Modelo!$I$75,1)</f>
        <v>5.8</v>
      </c>
      <c r="BM57" s="139">
        <f t="shared" si="194"/>
        <v>0</v>
      </c>
      <c r="BN57" s="139">
        <f t="shared" si="195"/>
        <v>0</v>
      </c>
      <c r="BO57" s="139">
        <f t="shared" si="196"/>
        <v>0</v>
      </c>
      <c r="BP57" s="139">
        <f t="shared" si="197"/>
        <v>0</v>
      </c>
      <c r="BQ57" s="139">
        <f>ROUNDUP(SUM(ROUNDUP(AL57*AN57+0.1,1),ROUNDUP(V57*[1]Modelo!$H$29*AP57,1),ROUNDUP(W57*[1]Modelo!$H$36*AR57,1))*AT57*AV57*[1]Modelo!$H$57,1)</f>
        <v>2.4</v>
      </c>
      <c r="BR57" s="409">
        <v>0</v>
      </c>
      <c r="BS57" s="139">
        <f>[1]Modelo!$H$61</f>
        <v>0.04</v>
      </c>
      <c r="BT57" s="139">
        <f>ROUNDUP(SUM(ROUNDUP(AL57*AN57+0.1,1),ROUNDUP(V57*[1]Modelo!$H$29*AP57,1),ROUNDUP(W57*[1]Modelo!$H$36*AR57,1))*[1]Modelo!$H$62*[1]Modelo!$I$75,1)</f>
        <v>0.2</v>
      </c>
      <c r="BU57" s="139">
        <f>ROUNDUP(ROUNDUP(SUM(ROUNDUP(AL57*AN57+0.1,1),ROUNDUP(V57*[1]Modelo!$H$29*AP57,1),ROUNDUP(W57*[1]Modelo!$H$36*AR57,1))*[1]Modelo!$H$62,1)*[1]Modelo!$H$63*[1]Modelo!$I$75,1)</f>
        <v>0.1</v>
      </c>
      <c r="BV57" s="139">
        <f>SUM(ROUNDUP(AL57*AN57+0.1,1),ROUNDUP(V57*[1]Modelo!$H$29*AP57,1),ROUNDUP(W57*[1]Modelo!$H$36*AR57,1))*[1]Modelo!$H$64*[1]Modelo!$I$75</f>
        <v>0.52</v>
      </c>
      <c r="BW57" s="139">
        <f>ROUNDUP(SUM(ROUNDUP(AL57*AN57+0.1,1),ROUNDUP(V57*[1]Modelo!$H$29*AP57,1),ROUNDUP(W57*[1]Modelo!$H$36*AR57,1))*[1]Modelo!$H$64*[1]Modelo!$H$65*[1]Modelo!$I$75,1)</f>
        <v>0.30000000000000004</v>
      </c>
      <c r="BX57" s="139">
        <f>[1]Modelo!$H$66</f>
        <v>0.04</v>
      </c>
      <c r="BY57" s="139">
        <f>ROUNDUP(SUM(ROUNDUP(AL57*AN57+0.1,1),ROUNDUP(V57*[1]Modelo!$H$29*AP57,1),ROUNDUP(W57*[1]Modelo!$H$36*AR57,1))*[1]Modelo!$H$69,1)</f>
        <v>0.6</v>
      </c>
      <c r="BZ57" s="139">
        <f>ROUNDUP(ROUNDUP(SUM(ROUNDUP(AL57*AN57+0.1,1),ROUNDUP(V57*[1]Modelo!$H$29*AP57,1),ROUNDUP(W57*[1]Modelo!$H$36*AR57,1))*[1]Modelo!$H$62,1)*[1]Modelo!$H$71,1)</f>
        <v>0.4</v>
      </c>
      <c r="CA57" s="142">
        <f t="shared" si="198"/>
        <v>14.852999999999998</v>
      </c>
      <c r="CB57" s="27"/>
      <c r="CC57" s="27">
        <f t="shared" si="199"/>
        <v>6.9699999999999989</v>
      </c>
      <c r="CD57" s="109">
        <f t="shared" si="200"/>
        <v>8.1999999999999993</v>
      </c>
      <c r="CE57" s="27">
        <f t="shared" si="201"/>
        <v>11.479999999999999</v>
      </c>
      <c r="CF57" s="27"/>
      <c r="CG57" s="126">
        <v>0</v>
      </c>
      <c r="CH57" s="27"/>
      <c r="CI57" s="27">
        <f t="shared" si="202"/>
        <v>0</v>
      </c>
      <c r="CJ57" s="27"/>
      <c r="CK57" s="27"/>
      <c r="CL57" s="27"/>
      <c r="CM57" s="27"/>
      <c r="CN57" s="27"/>
      <c r="CO57" s="27"/>
      <c r="CP57" s="27"/>
      <c r="CQ57" s="27"/>
      <c r="CR57" s="27"/>
      <c r="CS57" s="27"/>
      <c r="CT57" s="27"/>
      <c r="CU57" s="27"/>
      <c r="CV57" s="27"/>
      <c r="CW57" s="27"/>
      <c r="CX57" s="27"/>
      <c r="CY57" s="27"/>
      <c r="CZ57" s="27"/>
      <c r="DA57" s="27"/>
      <c r="DB57" s="27"/>
      <c r="DC57" s="27"/>
    </row>
    <row r="58" spans="3:107" s="20" customFormat="1" ht="26" customHeight="1" outlineLevel="2" thickBot="1" x14ac:dyDescent="0.35">
      <c r="C58" s="388"/>
      <c r="D58" s="461"/>
      <c r="E58" s="461"/>
      <c r="F58" s="461"/>
      <c r="G58" s="461"/>
      <c r="H58" s="461"/>
      <c r="I58" s="461"/>
      <c r="J58" s="425">
        <f t="shared" ref="J58:J59" si="207">V58+W58</f>
        <v>1</v>
      </c>
      <c r="K58" s="506"/>
      <c r="L58" s="542" t="s">
        <v>739</v>
      </c>
      <c r="M58" s="526"/>
      <c r="N58" s="526"/>
      <c r="O58" s="530"/>
      <c r="P58" s="58"/>
      <c r="Q58" s="143"/>
      <c r="R58" s="143"/>
      <c r="S58" s="143"/>
      <c r="T58" s="109"/>
      <c r="U58" s="144">
        <v>30</v>
      </c>
      <c r="V58" s="144">
        <v>1</v>
      </c>
      <c r="W58" s="144">
        <v>0</v>
      </c>
      <c r="X58" s="136"/>
      <c r="Y58" s="136" t="str">
        <f t="shared" ref="Y58:Y59" si="208">CONCATENATE(C58,LEFT(K58,5),J58)</f>
        <v>1</v>
      </c>
      <c r="Z58" s="135" t="e">
        <f>VLOOKUP(Y58,Modelo!$G$82:$H$281,2,FALSE)</f>
        <v>#N/A</v>
      </c>
      <c r="AA58" s="136"/>
      <c r="AB58" s="137" t="str">
        <f t="shared" ref="AB58:AB59" si="209">IF(AND(U58&gt;=0,U58&lt;=6),"Chica 1",IF(AND(U58&gt;=7,U58&lt;=12),"Chica 2",IF(AND(U58&gt;=13,U58&lt;=18),"Chica 3",IF(AND(U58&gt;=19,U58&lt;=24),"Chica 4",IF(AND(U58&gt;=25,U58&lt;=30),"Mediana 1",IF(AND(U58&gt;=31,U58&lt;=36),"Mediana 2",IF(AND(U58&gt;=37,U58&lt;=42),"Mediana 3",IF(AND(U58&gt;=43,U58&lt;=48),"Mediana 4",IF(AND(U58&gt;=49,U58&lt;=54),"Grande 1",IF(AND(U58&gt;=55,U58&lt;=60),"Grande 2",IF(AND(U58&gt;=61,U58&lt;=66),"Grande 3",IF(AND(U58&gt;=67,U58&lt;=72),"Grande 4",IF(AND(U58&gt;=73,U58&lt;=78),"M. grande 1",IF(AND(U58&gt;=79,U58&lt;=84),"M. grande 2",IF(AND(U58&gt;=85,U58&lt;=90),"M. grande 3",IF(AND(U58&gt;=91,U58&lt;=96),"M. grande 4","NO DEF"))))))))))))))))</f>
        <v>Mediana 1</v>
      </c>
      <c r="AC58" s="137" t="str">
        <f t="shared" ref="AC58:AC59" si="210">IF(E58="A","Alta",IF(E58="M","Media","Baja"))</f>
        <v>Baja</v>
      </c>
      <c r="AD58" s="137" t="str">
        <f t="shared" ref="AD58:AD59" si="211">IF(E58="A","Alta",IF(E58="M","Media","Baja"))</f>
        <v>Baja</v>
      </c>
      <c r="AE58" s="137" t="str">
        <f t="shared" ref="AE58:AE59" si="212">IF(F58="A","Alta",IF(F58="M","Media","Baja"))</f>
        <v>Baja</v>
      </c>
      <c r="AF58" s="137" t="str">
        <f t="shared" ref="AF58:AF59" si="213">IF(F58="A","Alta",IF(F58="M","Media","Baja"))</f>
        <v>Baja</v>
      </c>
      <c r="AG58" s="137" t="str">
        <f t="shared" ref="AG58:AG59" si="214">IF(G58="A","Alta",IF(G58="M","Media","Baja"))</f>
        <v>Baja</v>
      </c>
      <c r="AH58" s="137" t="str">
        <f t="shared" ref="AH58:AH59" si="215">IF(G58="A","Alta",IF(G58="M","Media","Baja"))</f>
        <v>Baja</v>
      </c>
      <c r="AI58" s="137" t="str">
        <f t="shared" ref="AI58:AI59" si="216">IF(H58="A","Alta",IF(H58="M","Media","Baja"))</f>
        <v>Baja</v>
      </c>
      <c r="AJ58" s="137" t="str">
        <f t="shared" ref="AJ58:AJ59" si="217">IF(I58="A","Alta",IF(I58="M","Media","Baja"))</f>
        <v>Baja</v>
      </c>
      <c r="AK58" s="40"/>
      <c r="AL58" s="138">
        <f>IF(AB58=Modelo!$F$7,Modelo!$H$7,IF(AB58=Modelo!$F$8,Modelo!$H$8,IF(AB58=Modelo!$F$9,Modelo!$H$9,IF(AB58=Modelo!$F$10,Modelo!$H$10,IF(AB58=Modelo!$F$11,Modelo!$H$11,IF(AB58=Modelo!$F$12,Modelo!$H$12,IF(AB58=Modelo!$F$13,Modelo!$H$13,IF(AB58=Modelo!$F$14,Modelo!$H$14,IF(AB58=Modelo!$F$15,Modelo!$H$15,IF(AB58=Modelo!$F$16,Modelo!$H$16,IF(AB58=Modelo!$F$17,Modelo!$H$17,IF(AB58=Modelo!$F$18,Modelo!$H$18,IF(AB58=Modelo!$F$19,Modelo!$H$19,IF(AB58=Modelo!$F$20,Modelo!$H$20,IF(AB58=Modelo!$F$21,Modelo!$H$21,IF(AB58=Modelo!$F$22,Modelo!$H$22,0))))))))))))))))</f>
        <v>1.5</v>
      </c>
      <c r="AM58" s="138">
        <f>IF(AB58=Modelo!$F$7,Modelo!$I$7,IF(AB58=Modelo!$F$8,Modelo!$I$8,IF(AB58=Modelo!$F$9,Modelo!$I$9,IF(AB58=Modelo!$F$10,Modelo!$I$10,IF(AB58=Modelo!$F$11,Modelo!$I$11,IF(AB58=Modelo!$F$12,Modelo!$I$12,IF(AB58=Modelo!$F$13,Modelo!$I$13,IF(AB58=Modelo!$F$14,Modelo!$I$14,IF(AB58=Modelo!$F$15,Modelo!$I$15,IF(AB58=Modelo!$F$16,Modelo!$I$16,IF(AB58=Modelo!$F$17,Modelo!$I$17,IF(AB58=Modelo!$F$18,Modelo!$I$18,IF(AB58=Modelo!$F$19,Modelo!$I$19,IF(AB58=Modelo!$F$20,Modelo!$I$20,IF(AB58=Modelo!$F$21,Modelo!$I$21,IF(AB58=Modelo!$F$22,Modelo!$I$22,0))))))))))))))))</f>
        <v>0.5</v>
      </c>
      <c r="AN58" s="138">
        <f>IF(AC58=Modelo!$F$23,Modelo!$H$23,IF(AC58=Modelo!$F$24,Modelo!$H$24,IF(AC58=Modelo!$F$25,Modelo!$H$25,0)))</f>
        <v>1</v>
      </c>
      <c r="AO58" s="138">
        <f>IF(AD58=Modelo!$F$26,Modelo!$H$26,IF(AD58=Modelo!$F$27,Modelo!$H$27,IF(AD58=Modelo!$F$28,Modelo!$H$28,0)))</f>
        <v>0.1</v>
      </c>
      <c r="AP58" s="138">
        <f>IF(AE58=Modelo!$F$30,Modelo!$H$30,IF(AE58=Modelo!$F$31,Modelo!$H$31,IF(AE58=Modelo!$F$32,Modelo!$H$32,0)))</f>
        <v>0.8</v>
      </c>
      <c r="AQ58" s="138">
        <f>IF(AF58=Modelo!$F$33,Modelo!$H$33,IF(AF58=Modelo!$F$34,Modelo!$H$34,IF(AF58=Modelo!$F$35,Modelo!$H$35,0)))</f>
        <v>0.3</v>
      </c>
      <c r="AR58" s="138">
        <f>IF(AG58=Modelo!$F$37,Modelo!$H$37,IF(AG58=Modelo!$F$38,Modelo!$H$38,IF(AG58=Modelo!$F$39,Modelo!$H$39,0)))</f>
        <v>0.8</v>
      </c>
      <c r="AS58" s="138">
        <f>IF(AH58=Modelo!$F$40,Modelo!$H$40,IF(AH58=Modelo!$F$41,Modelo!$H$41,IF(AH58=Modelo!$F$42,Modelo!$H$42,0)))</f>
        <v>0.4</v>
      </c>
      <c r="AT58" s="137">
        <f>IF(C58=Modelo!$F$44,Modelo!$H$44,IF(C58=Modelo!$F$45,Modelo!$H$45,IF(C58=Modelo!$F$46,Modelo!$H$46,IF(C58=Modelo!$F$47,Modelo!$H$47,IF(C58=Modelo!$F$48,Modelo!$H$48,IF(C58=Modelo!$F$49,Modelo!$H$49,IF(C58=Modelo!$F$50,Modelo!$H$50,IF(C58=Modelo!$F$51,Modelo!$H$51,IF(C58=Modelo!$F$52,Modelo!$H$52,IF(C58=Modelo!$F$53,Modelo!$H$53,0))))))))))</f>
        <v>0</v>
      </c>
      <c r="AU58" s="138">
        <f>IF(AI58=Modelo!$F$54,Modelo!$H$54,IF(AI58=Modelo!$F$55,Modelo!$H$55,IF(AI58=Modelo!$F$56,Modelo!$H$56,0)))</f>
        <v>1</v>
      </c>
      <c r="AV58" s="138">
        <f>IF(AJ58=Modelo!$F$58,Modelo!$H$58,IF(AJ58=Modelo!$F$59,Modelo!$H$59,IF(AJ58=Modelo!$F$60,Modelo!$H$60,0)))</f>
        <v>0.9</v>
      </c>
      <c r="AW58" s="40"/>
      <c r="AX58" s="139">
        <f>Modelo!$H$2</f>
        <v>0.05</v>
      </c>
      <c r="AY58" s="140">
        <f>ROUNDUP(Modelo!$I$2*Modelo!$H$3*Modelo!$I$75,2)</f>
        <v>0.02</v>
      </c>
      <c r="AZ58" s="141">
        <f>ROUNDUP(Modelo!$I$2*Modelo!$H$3*Modelo!$H$4*Modelo!$I$75,3)</f>
        <v>4.0000000000000001E-3</v>
      </c>
      <c r="BA58" s="139">
        <f>Modelo!$H$5</f>
        <v>0.04</v>
      </c>
      <c r="BB58" s="139">
        <f>ROUNDUP(SUM(BC58,BE58,BG58,BI58)*Modelo!$H$6,1)</f>
        <v>0.9</v>
      </c>
      <c r="BC58" s="139">
        <f>ROUNDUP((AL58*AN58+0.1)*Modelo!$I$75,1)</f>
        <v>1.6</v>
      </c>
      <c r="BD58" s="139">
        <f>ROUNDUP(AM58*AN58*AO58*Modelo!$I$75,1)</f>
        <v>0.1</v>
      </c>
      <c r="BE58" s="139">
        <f>ROUNDUP(V58*Modelo!$H$29*AP58*Modelo!$I$75*2/3,1)</f>
        <v>0.6</v>
      </c>
      <c r="BF58" s="139">
        <f>ROUNDUP(V58*Modelo!$H$29*AP58*AQ58*Modelo!$I$75*2/3,1)</f>
        <v>0.2</v>
      </c>
      <c r="BG58" s="139">
        <f>ROUNDUP(V58*Modelo!$H$29*AP58*Modelo!$I$75/3,1)</f>
        <v>0.30000000000000004</v>
      </c>
      <c r="BH58" s="139">
        <f>ROUNDUP(V58*Modelo!$H$29*AP58*AQ58*Modelo!$I$75/3,1)</f>
        <v>0.1</v>
      </c>
      <c r="BI58" s="139">
        <f>ROUNDUP(W58*Modelo!$H$36*AR58*Modelo!$I$75,1)</f>
        <v>0</v>
      </c>
      <c r="BJ58" s="139">
        <f>ROUNDUP(W58*Modelo!$H$36*AR58*AS58*Modelo!$I$75,1)</f>
        <v>0</v>
      </c>
      <c r="BK58" s="139">
        <f>Modelo!$H$43</f>
        <v>0.04</v>
      </c>
      <c r="BL58" s="139">
        <f>ROUNDUP(SUM(ROUNDUP(AL58*AN58+0.1,1),ROUNDUP(V58*Modelo!$H$29*AP58,1),ROUNDUP(W58*Modelo!$H$36*AR58,1))*AU58*AT58*Modelo!$I$75,1)</f>
        <v>0</v>
      </c>
      <c r="BM58" s="139">
        <f t="shared" ref="BM58:BM59" si="218">IF(K$32="x",0, BL58*0.1*1.25)</f>
        <v>0</v>
      </c>
      <c r="BN58" s="139">
        <f t="shared" ref="BN58:BN59" si="219">IF(Q58="x",(BL58)*0.1,0)</f>
        <v>0</v>
      </c>
      <c r="BO58" s="139">
        <f t="shared" ref="BO58:BO59" si="220">IF(R58="x",(BL58)*0.12,0)</f>
        <v>0</v>
      </c>
      <c r="BP58" s="139">
        <f t="shared" ref="BP58:BP59" si="221">IF(S58="x",(BL58)*0.12,0)*4</f>
        <v>0</v>
      </c>
      <c r="BQ58" s="139">
        <f>ROUNDUP(SUM(ROUNDUP(AL58*AN58+0.1,1),ROUNDUP(V58*Modelo!$H$29*AP58,1),ROUNDUP(W58*Modelo!$H$36*AR58,1))*AT58*AV58*Modelo!$H$57,1)</f>
        <v>0</v>
      </c>
      <c r="BR58" s="409">
        <f>BL58*0.1
+IF(K$16="x",0,BL58*0.05)
+IF(K$28="x",0,BL58*0.2)
+IF(K$29="x",0,BL58*0.5)
+IF(OR(K$30="x",K$31="x"),0,BL58*0.05)
+IF(K$32="x",0,BL58*0.3)
+IF(Q58="x",0,BL58*0.5)
+IF(OR(R58="x",S58="x"),0,BL58*0.15)</f>
        <v>0</v>
      </c>
      <c r="BS58" s="139">
        <f>Modelo!$H$61</f>
        <v>0.04</v>
      </c>
      <c r="BT58" s="139">
        <f>ROUNDUP(SUM(ROUNDUP(AL58*AN58+0.1,1),ROUNDUP(V58*Modelo!$H$29*AP58,1),ROUNDUP(W58*Modelo!$H$36*AR58,1))*Modelo!$H$62*Modelo!$I$75,1)</f>
        <v>0.2</v>
      </c>
      <c r="BU58" s="139">
        <f>ROUNDUP(ROUNDUP(SUM(ROUNDUP(AL58*AN58+0.1,1),ROUNDUP(V58*Modelo!$H$29*AP58,1),ROUNDUP(W58*Modelo!$H$36*AR58,1))*Modelo!$H$62,1)*Modelo!$H$63*Modelo!$I$75,1)</f>
        <v>0.1</v>
      </c>
      <c r="BV58" s="139">
        <f>SUM(ROUNDUP(AL58*AN58+0.1,1),ROUNDUP(V58*Modelo!$H$29*AP58,1),ROUNDUP(W58*Modelo!$H$36*AR58,1))*Modelo!$H$64*Modelo!$I$75</f>
        <v>0.48000000000000009</v>
      </c>
      <c r="BW58" s="139">
        <f>ROUNDUP(SUM(ROUNDUP(AL58*AN58+0.1,1),ROUNDUP(V58*Modelo!$H$29*AP58,1),ROUNDUP(W58*Modelo!$H$36*AR58,1))*Modelo!$H$64*Modelo!$H$65*Modelo!$I$75,1)</f>
        <v>0.30000000000000004</v>
      </c>
      <c r="BX58" s="139">
        <f>Modelo!$H$66</f>
        <v>0.04</v>
      </c>
      <c r="BY58" s="139">
        <f>ROUNDUP(SUM(ROUNDUP(AL58*AN58+0.1,1),ROUNDUP(V58*Modelo!$H$29*AP58,1),ROUNDUP(W58*Modelo!$H$36*AR58,1))*Modelo!$H$69,1)</f>
        <v>0.6</v>
      </c>
      <c r="BZ58" s="139">
        <f>ROUNDUP(ROUNDUP(SUM(ROUNDUP(AL58*AN58+0.1,1),ROUNDUP(V58*Modelo!$H$29*AP58,1),ROUNDUP(W58*Modelo!$H$36*AR58,1))*Modelo!$H$62,1)*Modelo!$H$71,1)</f>
        <v>0.4</v>
      </c>
      <c r="CA58" s="142">
        <f t="shared" ref="CA58:CA59" si="222">SUM(AX58:BZ58)</f>
        <v>6.1139999999999999</v>
      </c>
      <c r="CB58" s="27"/>
      <c r="CC58" s="27">
        <f t="shared" ref="CC58:CC59" si="223">CD58*0.85</f>
        <v>0</v>
      </c>
      <c r="CD58" s="109">
        <f t="shared" ref="CD58:CD59" si="224">O58</f>
        <v>0</v>
      </c>
      <c r="CE58" s="27">
        <f t="shared" ref="CE58:CE59" si="225">IF(CD58=0,1,CD58*1.4)</f>
        <v>1</v>
      </c>
      <c r="CF58" s="27"/>
      <c r="CG58" s="126">
        <v>0</v>
      </c>
      <c r="CH58" s="27"/>
      <c r="CI58" s="27">
        <f t="shared" ref="CI58:CI59" si="226">IF(CF58&lt;&gt;"",CF58,CG58)</f>
        <v>0</v>
      </c>
      <c r="CJ58" s="27"/>
      <c r="CK58" s="27"/>
      <c r="CL58" s="27"/>
      <c r="CM58" s="27"/>
      <c r="CN58" s="27"/>
      <c r="CO58" s="27"/>
      <c r="CP58" s="27"/>
      <c r="CQ58" s="27"/>
      <c r="CR58" s="27"/>
      <c r="CS58" s="27"/>
      <c r="CT58" s="27"/>
      <c r="CU58" s="27"/>
      <c r="CV58" s="27"/>
      <c r="CW58" s="27"/>
      <c r="CX58" s="27"/>
      <c r="CY58" s="27"/>
      <c r="CZ58" s="27"/>
      <c r="DA58" s="27"/>
      <c r="DB58" s="27"/>
      <c r="DC58" s="27"/>
    </row>
    <row r="59" spans="3:107" s="20" customFormat="1" ht="40.5" customHeight="1" outlineLevel="2" thickBot="1" x14ac:dyDescent="0.35">
      <c r="C59" s="388" t="s">
        <v>93</v>
      </c>
      <c r="D59" s="461" t="s">
        <v>18</v>
      </c>
      <c r="E59" s="461" t="str">
        <f t="shared" ref="E59" si="227">IF(U59&gt;50,"A",IF(U59&gt;15,"M","B"))</f>
        <v>B</v>
      </c>
      <c r="F59" s="461" t="s">
        <v>423</v>
      </c>
      <c r="G59" s="461" t="s">
        <v>423</v>
      </c>
      <c r="H59" s="461" t="str">
        <f t="shared" ref="H59" si="228">IF(V59+W59&gt;20,"A",IF(V59+W59&gt;5,"M","B"))</f>
        <v>B</v>
      </c>
      <c r="I59" s="461" t="str">
        <f t="shared" ref="I59" si="229">IF(V59+W59&gt;15,"A",IF(V59+W59&gt;4,"M","B"))</f>
        <v>B</v>
      </c>
      <c r="J59" s="425">
        <f t="shared" si="207"/>
        <v>1</v>
      </c>
      <c r="K59" s="503" t="str">
        <f t="shared" ref="K59" si="230">AB59</f>
        <v>Chica 1</v>
      </c>
      <c r="L59" s="543" t="s">
        <v>766</v>
      </c>
      <c r="M59" s="532">
        <f>BL59+BM59+BN59+BO59+BP59</f>
        <v>2.7</v>
      </c>
      <c r="N59" s="532">
        <f>BQ59</f>
        <v>1.1000000000000001</v>
      </c>
      <c r="O59" s="538">
        <f>SUM(M59,N59)</f>
        <v>3.8000000000000003</v>
      </c>
      <c r="P59" s="58"/>
      <c r="Q59" s="462"/>
      <c r="R59" s="462"/>
      <c r="S59" s="462"/>
      <c r="T59" s="109"/>
      <c r="U59" s="144">
        <v>5</v>
      </c>
      <c r="V59" s="144">
        <v>1</v>
      </c>
      <c r="W59" s="144">
        <v>0</v>
      </c>
      <c r="X59" s="463"/>
      <c r="Y59" s="463" t="str">
        <f t="shared" si="208"/>
        <v>CapturaChica1</v>
      </c>
      <c r="Z59" s="135">
        <f>VLOOKUP(Y59,[1]Modelo!$G$82:$H$281,2,FALSE)</f>
        <v>41</v>
      </c>
      <c r="AA59" s="463"/>
      <c r="AB59" s="137" t="str">
        <f t="shared" si="209"/>
        <v>Chica 1</v>
      </c>
      <c r="AC59" s="137" t="str">
        <f t="shared" si="210"/>
        <v>Baja</v>
      </c>
      <c r="AD59" s="137" t="str">
        <f t="shared" si="211"/>
        <v>Baja</v>
      </c>
      <c r="AE59" s="137" t="str">
        <f t="shared" si="212"/>
        <v>Baja</v>
      </c>
      <c r="AF59" s="137" t="str">
        <f t="shared" si="213"/>
        <v>Baja</v>
      </c>
      <c r="AG59" s="137" t="str">
        <f t="shared" si="214"/>
        <v>Baja</v>
      </c>
      <c r="AH59" s="137" t="str">
        <f t="shared" si="215"/>
        <v>Baja</v>
      </c>
      <c r="AI59" s="137" t="str">
        <f t="shared" si="216"/>
        <v>Baja</v>
      </c>
      <c r="AJ59" s="137" t="str">
        <f t="shared" si="217"/>
        <v>Baja</v>
      </c>
      <c r="AK59" s="40"/>
      <c r="AL59" s="138">
        <f>IF(AB59=[1]Modelo!$F$7,[1]Modelo!$H$7,IF(AB59=[1]Modelo!$F$8,[1]Modelo!$H$8,IF(AB59=[1]Modelo!$F$9,[1]Modelo!$H$9,IF(AB59=[1]Modelo!$F$10,[1]Modelo!$H$10,IF(AB59=[1]Modelo!$F$11,[1]Modelo!$H$11,IF(AB59=[1]Modelo!$F$12,[1]Modelo!$H$12,IF(AB59=[1]Modelo!$F$13,[1]Modelo!$H$13,IF(AB59=[1]Modelo!$F$14,[1]Modelo!$H$14,IF(AB59=[1]Modelo!$F$15,[1]Modelo!$H$15,IF(AB59=[1]Modelo!$F$16,[1]Modelo!$H$16,IF(AB59=[1]Modelo!$F$17,[1]Modelo!$H$17,IF(AB59=[1]Modelo!$F$18,[1]Modelo!$H$18,IF(AB59=[1]Modelo!$F$19,[1]Modelo!$H$19,IF(AB59=[1]Modelo!$F$20,[1]Modelo!$H$20,IF(AB59=[1]Modelo!$F$21,[1]Modelo!$H$21,IF(AB59=[1]Modelo!$F$22,[1]Modelo!$H$22,0))))))))))))))))</f>
        <v>0.30000000000000004</v>
      </c>
      <c r="AM59" s="138">
        <f>IF(AB59=[1]Modelo!$F$7,[1]Modelo!$I$7,IF(AB59=[1]Modelo!$F$8,[1]Modelo!$I$8,IF(AB59=[1]Modelo!$F$9,[1]Modelo!$I$9,IF(AB59=[1]Modelo!$F$10,[1]Modelo!$I$10,IF(AB59=[1]Modelo!$F$11,[1]Modelo!$I$11,IF(AB59=[1]Modelo!$F$12,[1]Modelo!$I$12,IF(AB59=[1]Modelo!$F$13,[1]Modelo!$I$13,IF(AB59=[1]Modelo!$F$14,[1]Modelo!$I$14,IF(AB59=[1]Modelo!$F$15,[1]Modelo!$I$15,IF(AB59=[1]Modelo!$F$16,[1]Modelo!$I$16,IF(AB59=[1]Modelo!$F$17,[1]Modelo!$I$17,IF(AB59=[1]Modelo!$F$18,[1]Modelo!$I$18,IF(AB59=[1]Modelo!$F$19,[1]Modelo!$I$19,IF(AB59=[1]Modelo!$F$20,[1]Modelo!$I$20,IF(AB59=[1]Modelo!$F$21,[1]Modelo!$I$21,IF(AB59=[1]Modelo!$F$22,[1]Modelo!$I$22,0))))))))))))))))</f>
        <v>0.1</v>
      </c>
      <c r="AN59" s="138">
        <f>IF(AC59=[1]Modelo!$F$23,[1]Modelo!$H$23,IF(AC59=[1]Modelo!$F$24,[1]Modelo!$H$24,IF(AC59=[1]Modelo!$F$25,[1]Modelo!$H$25,0)))</f>
        <v>1</v>
      </c>
      <c r="AO59" s="138">
        <f>IF(AD59=[1]Modelo!$F$26,[1]Modelo!$H$26,IF(AD59=[1]Modelo!$F$27,[1]Modelo!$H$27,IF(AD59=[1]Modelo!$F$28,[1]Modelo!$H$28,0)))</f>
        <v>0.1</v>
      </c>
      <c r="AP59" s="138">
        <f>IF(AE59=[1]Modelo!$F$30,[1]Modelo!$H$30,IF(AE59=[1]Modelo!$F$31,[1]Modelo!$H$31,IF(AE59=[1]Modelo!$F$32,[1]Modelo!$H$32,0)))</f>
        <v>0.8</v>
      </c>
      <c r="AQ59" s="138">
        <f>IF(AF59=[1]Modelo!$F$33,[1]Modelo!$H$33,IF(AF59=[1]Modelo!$F$34,[1]Modelo!$H$34,IF(AF59=[1]Modelo!$F$35,[1]Modelo!$H$35,0)))</f>
        <v>0.3</v>
      </c>
      <c r="AR59" s="138">
        <f>IF(AG59=[1]Modelo!$F$37,[1]Modelo!$H$37,IF(AG59=[1]Modelo!$F$38,[1]Modelo!$H$38,IF(AG59=[1]Modelo!$F$39,[1]Modelo!$H$39,0)))</f>
        <v>0.8</v>
      </c>
      <c r="AS59" s="138">
        <f>IF(AH59=[1]Modelo!$F$40,[1]Modelo!$H$40,IF(AH59=[1]Modelo!$F$41,[1]Modelo!$H$41,IF(AH59=[1]Modelo!$F$42,[1]Modelo!$H$42,0)))</f>
        <v>0.4</v>
      </c>
      <c r="AT59" s="137">
        <f>IF(C59=[1]Modelo!$F$44,[1]Modelo!$H$44,IF(C59=[1]Modelo!$F$45,[1]Modelo!$H$45,IF(C59=[1]Modelo!$F$46,[1]Modelo!$H$46,IF(C59=[1]Modelo!$F$47,[1]Modelo!$H$47,IF(C59=[1]Modelo!$F$48,[1]Modelo!$H$48,IF(C59=[1]Modelo!$F$49,[1]Modelo!$H$49,IF(C59=[1]Modelo!$F$50,[1]Modelo!$H$50,IF(C59=[1]Modelo!$F$51,[1]Modelo!$H$51,IF(C59=[1]Modelo!$F$52,[1]Modelo!$H$52,IF(C59=[1]Modelo!$F$53,[1]Modelo!$H$53,0))))))))))</f>
        <v>2.2000000000000002</v>
      </c>
      <c r="AU59" s="138">
        <f>IF(AI59=[1]Modelo!$F$54,[1]Modelo!$H$54,IF(AI59=[1]Modelo!$F$55,[1]Modelo!$H$55,IF(AI59=[1]Modelo!$F$56,[1]Modelo!$H$56,0)))</f>
        <v>1</v>
      </c>
      <c r="AV59" s="138">
        <f>IF(AJ59=[1]Modelo!$F$58,[1]Modelo!$H$58,IF(AJ59=[1]Modelo!$F$59,[1]Modelo!$H$59,IF(AJ59=[1]Modelo!$F$60,[1]Modelo!$H$60,0)))</f>
        <v>0.9</v>
      </c>
      <c r="AW59" s="40"/>
      <c r="AX59" s="139">
        <f>[1]Modelo!$H$2</f>
        <v>0.05</v>
      </c>
      <c r="AY59" s="140">
        <f>ROUNDUP([1]Modelo!$I$2*[1]Modelo!$H$3*[1]Modelo!$I$75,2)</f>
        <v>0.02</v>
      </c>
      <c r="AZ59" s="141">
        <f>ROUNDUP([1]Modelo!$I$2*[1]Modelo!$H$3*[1]Modelo!$H$4*[1]Modelo!$I$75,3)</f>
        <v>3.0000000000000001E-3</v>
      </c>
      <c r="BA59" s="139">
        <f>[1]Modelo!$H$5</f>
        <v>0.04</v>
      </c>
      <c r="BB59" s="139">
        <f>ROUNDUP(SUM(BC59,BE59,BG59,BI59)*[1]Modelo!$H$6,1)</f>
        <v>0.5</v>
      </c>
      <c r="BC59" s="139">
        <f>ROUNDUP((AL59*AN59+0.1)*[1]Modelo!$I$75,1)</f>
        <v>0.4</v>
      </c>
      <c r="BD59" s="139">
        <f>ROUNDUP(AM59*AN59*AO59*[1]Modelo!$I$75,1)</f>
        <v>0.1</v>
      </c>
      <c r="BE59" s="139">
        <f>ROUNDUP(V59*[1]Modelo!$H$29*AP59*[1]Modelo!$I$75*2/3,1)</f>
        <v>0.6</v>
      </c>
      <c r="BF59" s="139">
        <f>ROUNDUP(V59*[1]Modelo!$H$29*AP59*AQ59*[1]Modelo!$I$75*2/3,1)</f>
        <v>0.2</v>
      </c>
      <c r="BG59" s="139">
        <f>ROUNDUP(V59*[1]Modelo!$H$29*AP59*[1]Modelo!$I$75/3,1)</f>
        <v>0.30000000000000004</v>
      </c>
      <c r="BH59" s="139">
        <f>ROUNDUP(V59*[1]Modelo!$H$29*AP59*AQ59*[1]Modelo!$I$75/3,1)</f>
        <v>0.1</v>
      </c>
      <c r="BI59" s="139">
        <f>ROUNDUP(W59*[1]Modelo!$H$36*AR59*[1]Modelo!$I$75,1)</f>
        <v>0</v>
      </c>
      <c r="BJ59" s="139">
        <f>ROUNDUP(W59*[1]Modelo!$H$36*AR59*AS59*[1]Modelo!$I$75,1)</f>
        <v>0</v>
      </c>
      <c r="BK59" s="139">
        <f>[1]Modelo!$H$43</f>
        <v>0.04</v>
      </c>
      <c r="BL59" s="139">
        <f>ROUNDUP(SUM(ROUNDUP(AL59*AN59+0.1,1),ROUNDUP(V59*[1]Modelo!$H$29*AP59,1),ROUNDUP(W59*[1]Modelo!$H$36*AR59,1))*AU59*AT59*[1]Modelo!$I$75,1)</f>
        <v>2.7</v>
      </c>
      <c r="BM59" s="139">
        <f t="shared" si="218"/>
        <v>0</v>
      </c>
      <c r="BN59" s="139">
        <f t="shared" si="219"/>
        <v>0</v>
      </c>
      <c r="BO59" s="139">
        <f t="shared" si="220"/>
        <v>0</v>
      </c>
      <c r="BP59" s="139">
        <f t="shared" si="221"/>
        <v>0</v>
      </c>
      <c r="BQ59" s="139">
        <f>ROUNDUP(SUM(ROUNDUP(AL59*AN59+0.1,1),ROUNDUP(V59*[1]Modelo!$H$29*AP59,1),ROUNDUP(W59*[1]Modelo!$H$36*AR59,1))*AT59*AV59*[1]Modelo!$H$57,1)</f>
        <v>1.1000000000000001</v>
      </c>
      <c r="BR59" s="409">
        <v>0</v>
      </c>
      <c r="BS59" s="139">
        <f>[1]Modelo!$H$61</f>
        <v>0.04</v>
      </c>
      <c r="BT59" s="139">
        <f>ROUNDUP(SUM(ROUNDUP(AL59*AN59+0.1,1),ROUNDUP(V59*[1]Modelo!$H$29*AP59,1),ROUNDUP(W59*[1]Modelo!$H$36*AR59,1))*[1]Modelo!$H$62*[1]Modelo!$I$75,1)</f>
        <v>0.1</v>
      </c>
      <c r="BU59" s="139">
        <f>ROUNDUP(ROUNDUP(SUM(ROUNDUP(AL59*AN59+0.1,1),ROUNDUP(V59*[1]Modelo!$H$29*AP59,1),ROUNDUP(W59*[1]Modelo!$H$36*AR59,1))*[1]Modelo!$H$62,1)*[1]Modelo!$H$63*[1]Modelo!$I$75,1)</f>
        <v>0.1</v>
      </c>
      <c r="BV59" s="139">
        <f>SUM(ROUNDUP(AL59*AN59+0.1,1),ROUNDUP(V59*[1]Modelo!$H$29*AP59,1),ROUNDUP(W59*[1]Modelo!$H$36*AR59,1))*[1]Modelo!$H$64*[1]Modelo!$I$75</f>
        <v>0.24000000000000005</v>
      </c>
      <c r="BW59" s="139">
        <f>ROUNDUP(SUM(ROUNDUP(AL59*AN59+0.1,1),ROUNDUP(V59*[1]Modelo!$H$29*AP59,1),ROUNDUP(W59*[1]Modelo!$H$36*AR59,1))*[1]Modelo!$H$64*[1]Modelo!$H$65*[1]Modelo!$I$75,1)</f>
        <v>0.2</v>
      </c>
      <c r="BX59" s="139">
        <f>[1]Modelo!$H$66</f>
        <v>0.04</v>
      </c>
      <c r="BY59" s="139">
        <f>ROUNDUP(SUM(ROUNDUP(AL59*AN59+0.1,1),ROUNDUP(V59*[1]Modelo!$H$29*AP59,1),ROUNDUP(W59*[1]Modelo!$H$36*AR59,1))*[1]Modelo!$H$69,1)</f>
        <v>0.30000000000000004</v>
      </c>
      <c r="BZ59" s="139">
        <f>ROUNDUP(ROUNDUP(SUM(ROUNDUP(AL59*AN59+0.1,1),ROUNDUP(V59*[1]Modelo!$H$29*AP59,1),ROUNDUP(W59*[1]Modelo!$H$36*AR59,1))*[1]Modelo!$H$62,1)*[1]Modelo!$H$71,1)</f>
        <v>0.2</v>
      </c>
      <c r="CA59" s="142">
        <f t="shared" si="222"/>
        <v>7.3730000000000002</v>
      </c>
      <c r="CB59" s="27"/>
      <c r="CC59" s="27">
        <f t="shared" si="223"/>
        <v>3.23</v>
      </c>
      <c r="CD59" s="109">
        <f t="shared" si="224"/>
        <v>3.8000000000000003</v>
      </c>
      <c r="CE59" s="27">
        <f t="shared" si="225"/>
        <v>5.32</v>
      </c>
      <c r="CF59" s="27"/>
      <c r="CG59" s="126">
        <v>0</v>
      </c>
      <c r="CH59" s="27"/>
      <c r="CI59" s="27">
        <f t="shared" si="226"/>
        <v>0</v>
      </c>
      <c r="CJ59" s="27"/>
      <c r="CK59" s="27"/>
      <c r="CL59" s="27"/>
      <c r="CM59" s="27"/>
      <c r="CN59" s="27"/>
      <c r="CO59" s="27"/>
      <c r="CP59" s="27"/>
      <c r="CQ59" s="27"/>
      <c r="CR59" s="27"/>
      <c r="CS59" s="27"/>
      <c r="CT59" s="27"/>
      <c r="CU59" s="27"/>
      <c r="CV59" s="27"/>
      <c r="CW59" s="27"/>
      <c r="CX59" s="27"/>
      <c r="CY59" s="27"/>
      <c r="CZ59" s="27"/>
      <c r="DA59" s="27"/>
      <c r="DB59" s="27"/>
      <c r="DC59" s="27"/>
    </row>
    <row r="60" spans="3:107" s="20" customFormat="1" ht="45.5" customHeight="1" outlineLevel="2" thickBot="1" x14ac:dyDescent="0.35">
      <c r="C60" s="388" t="s">
        <v>93</v>
      </c>
      <c r="D60" s="461" t="s">
        <v>18</v>
      </c>
      <c r="E60" s="461" t="str">
        <f t="shared" ref="E60" si="231">IF(U60&gt;50,"A",IF(U60&gt;15,"M","B"))</f>
        <v>B</v>
      </c>
      <c r="F60" s="461" t="s">
        <v>423</v>
      </c>
      <c r="G60" s="461" t="s">
        <v>423</v>
      </c>
      <c r="H60" s="461" t="str">
        <f t="shared" ref="H60" si="232">IF(V60+W60&gt;20,"A",IF(V60+W60&gt;5,"M","B"))</f>
        <v>B</v>
      </c>
      <c r="I60" s="461" t="str">
        <f t="shared" ref="I60" si="233">IF(V60+W60&gt;15,"A",IF(V60+W60&gt;4,"M","B"))</f>
        <v>M</v>
      </c>
      <c r="J60" s="425">
        <f t="shared" ref="J60:J62" si="234">V60+W60</f>
        <v>5</v>
      </c>
      <c r="K60" s="503" t="str">
        <f t="shared" ref="K60" si="235">AB60</f>
        <v>Chica 2</v>
      </c>
      <c r="L60" s="543" t="s">
        <v>767</v>
      </c>
      <c r="M60" s="532">
        <f>BL60+BM60+BN60+BO60+BP60</f>
        <v>10.4</v>
      </c>
      <c r="N60" s="532">
        <f>BQ60</f>
        <v>4.6999999999999993</v>
      </c>
      <c r="O60" s="538">
        <f>SUM(M60,N60)</f>
        <v>15.1</v>
      </c>
      <c r="P60" s="58"/>
      <c r="Q60" s="462"/>
      <c r="R60" s="462"/>
      <c r="S60" s="462"/>
      <c r="T60" s="109"/>
      <c r="U60" s="144">
        <v>10</v>
      </c>
      <c r="V60" s="144">
        <v>5</v>
      </c>
      <c r="W60" s="144">
        <v>0</v>
      </c>
      <c r="X60" s="463"/>
      <c r="Y60" s="463" t="str">
        <f t="shared" ref="Y60:Y62" si="236">CONCATENATE(C60,LEFT(K60,5),J60)</f>
        <v>CapturaChica5</v>
      </c>
      <c r="Z60" s="135">
        <f>VLOOKUP(Y60,[1]Modelo!$G$82:$H$281,2,FALSE)</f>
        <v>45</v>
      </c>
      <c r="AA60" s="463"/>
      <c r="AB60" s="137" t="str">
        <f t="shared" ref="AB60:AB62" si="237">IF(AND(U60&gt;=0,U60&lt;=6),"Chica 1",IF(AND(U60&gt;=7,U60&lt;=12),"Chica 2",IF(AND(U60&gt;=13,U60&lt;=18),"Chica 3",IF(AND(U60&gt;=19,U60&lt;=24),"Chica 4",IF(AND(U60&gt;=25,U60&lt;=30),"Mediana 1",IF(AND(U60&gt;=31,U60&lt;=36),"Mediana 2",IF(AND(U60&gt;=37,U60&lt;=42),"Mediana 3",IF(AND(U60&gt;=43,U60&lt;=48),"Mediana 4",IF(AND(U60&gt;=49,U60&lt;=54),"Grande 1",IF(AND(U60&gt;=55,U60&lt;=60),"Grande 2",IF(AND(U60&gt;=61,U60&lt;=66),"Grande 3",IF(AND(U60&gt;=67,U60&lt;=72),"Grande 4",IF(AND(U60&gt;=73,U60&lt;=78),"M. grande 1",IF(AND(U60&gt;=79,U60&lt;=84),"M. grande 2",IF(AND(U60&gt;=85,U60&lt;=90),"M. grande 3",IF(AND(U60&gt;=91,U60&lt;=96),"M. grande 4","NO DEF"))))))))))))))))</f>
        <v>Chica 2</v>
      </c>
      <c r="AC60" s="137" t="str">
        <f t="shared" ref="AC60:AC62" si="238">IF(E60="A","Alta",IF(E60="M","Media","Baja"))</f>
        <v>Baja</v>
      </c>
      <c r="AD60" s="137" t="str">
        <f t="shared" ref="AD60:AD62" si="239">IF(E60="A","Alta",IF(E60="M","Media","Baja"))</f>
        <v>Baja</v>
      </c>
      <c r="AE60" s="137" t="str">
        <f t="shared" ref="AE60:AE62" si="240">IF(F60="A","Alta",IF(F60="M","Media","Baja"))</f>
        <v>Baja</v>
      </c>
      <c r="AF60" s="137" t="str">
        <f t="shared" ref="AF60:AF62" si="241">IF(F60="A","Alta",IF(F60="M","Media","Baja"))</f>
        <v>Baja</v>
      </c>
      <c r="AG60" s="137" t="str">
        <f t="shared" ref="AG60:AG62" si="242">IF(G60="A","Alta",IF(G60="M","Media","Baja"))</f>
        <v>Baja</v>
      </c>
      <c r="AH60" s="137" t="str">
        <f t="shared" ref="AH60:AH62" si="243">IF(G60="A","Alta",IF(G60="M","Media","Baja"))</f>
        <v>Baja</v>
      </c>
      <c r="AI60" s="137" t="str">
        <f t="shared" ref="AI60:AI62" si="244">IF(H60="A","Alta",IF(H60="M","Media","Baja"))</f>
        <v>Baja</v>
      </c>
      <c r="AJ60" s="137" t="str">
        <f t="shared" ref="AJ60:AJ62" si="245">IF(I60="A","Alta",IF(I60="M","Media","Baja"))</f>
        <v>Media</v>
      </c>
      <c r="AK60" s="40"/>
      <c r="AL60" s="138">
        <f>IF(AB60=[1]Modelo!$F$7,[1]Modelo!$H$7,IF(AB60=[1]Modelo!$F$8,[1]Modelo!$H$8,IF(AB60=[1]Modelo!$F$9,[1]Modelo!$H$9,IF(AB60=[1]Modelo!$F$10,[1]Modelo!$H$10,IF(AB60=[1]Modelo!$F$11,[1]Modelo!$H$11,IF(AB60=[1]Modelo!$F$12,[1]Modelo!$H$12,IF(AB60=[1]Modelo!$F$13,[1]Modelo!$H$13,IF(AB60=[1]Modelo!$F$14,[1]Modelo!$H$14,IF(AB60=[1]Modelo!$F$15,[1]Modelo!$H$15,IF(AB60=[1]Modelo!$F$16,[1]Modelo!$H$16,IF(AB60=[1]Modelo!$F$17,[1]Modelo!$H$17,IF(AB60=[1]Modelo!$F$18,[1]Modelo!$H$18,IF(AB60=[1]Modelo!$F$19,[1]Modelo!$H$19,IF(AB60=[1]Modelo!$F$20,[1]Modelo!$H$20,IF(AB60=[1]Modelo!$F$21,[1]Modelo!$H$21,IF(AB60=[1]Modelo!$F$22,[1]Modelo!$H$22,0))))))))))))))))</f>
        <v>0.60000000000000009</v>
      </c>
      <c r="AM60" s="138">
        <f>IF(AB60=[1]Modelo!$F$7,[1]Modelo!$I$7,IF(AB60=[1]Modelo!$F$8,[1]Modelo!$I$8,IF(AB60=[1]Modelo!$F$9,[1]Modelo!$I$9,IF(AB60=[1]Modelo!$F$10,[1]Modelo!$I$10,IF(AB60=[1]Modelo!$F$11,[1]Modelo!$I$11,IF(AB60=[1]Modelo!$F$12,[1]Modelo!$I$12,IF(AB60=[1]Modelo!$F$13,[1]Modelo!$I$13,IF(AB60=[1]Modelo!$F$14,[1]Modelo!$I$14,IF(AB60=[1]Modelo!$F$15,[1]Modelo!$I$15,IF(AB60=[1]Modelo!$F$16,[1]Modelo!$I$16,IF(AB60=[1]Modelo!$F$17,[1]Modelo!$I$17,IF(AB60=[1]Modelo!$F$18,[1]Modelo!$I$18,IF(AB60=[1]Modelo!$F$19,[1]Modelo!$I$19,IF(AB60=[1]Modelo!$F$20,[1]Modelo!$I$20,IF(AB60=[1]Modelo!$F$21,[1]Modelo!$I$21,IF(AB60=[1]Modelo!$F$22,[1]Modelo!$I$22,0))))))))))))))))</f>
        <v>0.2</v>
      </c>
      <c r="AN60" s="138">
        <f>IF(AC60=[1]Modelo!$F$23,[1]Modelo!$H$23,IF(AC60=[1]Modelo!$F$24,[1]Modelo!$H$24,IF(AC60=[1]Modelo!$F$25,[1]Modelo!$H$25,0)))</f>
        <v>1</v>
      </c>
      <c r="AO60" s="138">
        <f>IF(AD60=[1]Modelo!$F$26,[1]Modelo!$H$26,IF(AD60=[1]Modelo!$F$27,[1]Modelo!$H$27,IF(AD60=[1]Modelo!$F$28,[1]Modelo!$H$28,0)))</f>
        <v>0.1</v>
      </c>
      <c r="AP60" s="138">
        <f>IF(AE60=[1]Modelo!$F$30,[1]Modelo!$H$30,IF(AE60=[1]Modelo!$F$31,[1]Modelo!$H$31,IF(AE60=[1]Modelo!$F$32,[1]Modelo!$H$32,0)))</f>
        <v>0.8</v>
      </c>
      <c r="AQ60" s="138">
        <f>IF(AF60=[1]Modelo!$F$33,[1]Modelo!$H$33,IF(AF60=[1]Modelo!$F$34,[1]Modelo!$H$34,IF(AF60=[1]Modelo!$F$35,[1]Modelo!$H$35,0)))</f>
        <v>0.3</v>
      </c>
      <c r="AR60" s="138">
        <f>IF(AG60=[1]Modelo!$F$37,[1]Modelo!$H$37,IF(AG60=[1]Modelo!$F$38,[1]Modelo!$H$38,IF(AG60=[1]Modelo!$F$39,[1]Modelo!$H$39,0)))</f>
        <v>0.8</v>
      </c>
      <c r="AS60" s="138">
        <f>IF(AH60=[1]Modelo!$F$40,[1]Modelo!$H$40,IF(AH60=[1]Modelo!$F$41,[1]Modelo!$H$41,IF(AH60=[1]Modelo!$F$42,[1]Modelo!$H$42,0)))</f>
        <v>0.4</v>
      </c>
      <c r="AT60" s="137">
        <f>IF(C60=[1]Modelo!$F$44,[1]Modelo!$H$44,IF(C60=[1]Modelo!$F$45,[1]Modelo!$H$45,IF(C60=[1]Modelo!$F$46,[1]Modelo!$H$46,IF(C60=[1]Modelo!$F$47,[1]Modelo!$H$47,IF(C60=[1]Modelo!$F$48,[1]Modelo!$H$48,IF(C60=[1]Modelo!$F$49,[1]Modelo!$H$49,IF(C60=[1]Modelo!$F$50,[1]Modelo!$H$50,IF(C60=[1]Modelo!$F$51,[1]Modelo!$H$51,IF(C60=[1]Modelo!$F$52,[1]Modelo!$H$52,IF(C60=[1]Modelo!$F$53,[1]Modelo!$H$53,0))))))))))</f>
        <v>2.2000000000000002</v>
      </c>
      <c r="AU60" s="138">
        <f>IF(AI60=[1]Modelo!$F$54,[1]Modelo!$H$54,IF(AI60=[1]Modelo!$F$55,[1]Modelo!$H$55,IF(AI60=[1]Modelo!$F$56,[1]Modelo!$H$56,0)))</f>
        <v>1</v>
      </c>
      <c r="AV60" s="138">
        <f>IF(AJ60=[1]Modelo!$F$58,[1]Modelo!$H$58,IF(AJ60=[1]Modelo!$F$59,[1]Modelo!$H$59,IF(AJ60=[1]Modelo!$F$60,[1]Modelo!$H$60,0)))</f>
        <v>1</v>
      </c>
      <c r="AW60" s="40"/>
      <c r="AX60" s="139">
        <f>[1]Modelo!$H$2</f>
        <v>0.05</v>
      </c>
      <c r="AY60" s="140">
        <f>ROUNDUP([1]Modelo!$I$2*[1]Modelo!$H$3*[1]Modelo!$I$75,2)</f>
        <v>0.02</v>
      </c>
      <c r="AZ60" s="141">
        <f>ROUNDUP([1]Modelo!$I$2*[1]Modelo!$H$3*[1]Modelo!$H$4*[1]Modelo!$I$75,3)</f>
        <v>3.0000000000000001E-3</v>
      </c>
      <c r="BA60" s="139">
        <f>[1]Modelo!$H$5</f>
        <v>0.04</v>
      </c>
      <c r="BB60" s="139">
        <f>ROUNDUP(SUM(BC60,BE60,BG60,BI60)*[1]Modelo!$H$6,1)</f>
        <v>1.6</v>
      </c>
      <c r="BC60" s="139">
        <f>ROUNDUP((AL60*AN60+0.1)*[1]Modelo!$I$75,1)</f>
        <v>0.7</v>
      </c>
      <c r="BD60" s="139">
        <f>ROUNDUP(AM60*AN60*AO60*[1]Modelo!$I$75,1)</f>
        <v>0.1</v>
      </c>
      <c r="BE60" s="139">
        <f>ROUNDUP(V60*[1]Modelo!$H$29*AP60*[1]Modelo!$I$75*2/3,1)</f>
        <v>2.7</v>
      </c>
      <c r="BF60" s="139">
        <f>ROUNDUP(V60*[1]Modelo!$H$29*AP60*AQ60*[1]Modelo!$I$75*2/3,1)</f>
        <v>0.8</v>
      </c>
      <c r="BG60" s="139">
        <f>ROUNDUP(V60*[1]Modelo!$H$29*AP60*[1]Modelo!$I$75/3,1)</f>
        <v>1.4000000000000001</v>
      </c>
      <c r="BH60" s="139">
        <f>ROUNDUP(V60*[1]Modelo!$H$29*AP60*AQ60*[1]Modelo!$I$75/3,1)</f>
        <v>0.4</v>
      </c>
      <c r="BI60" s="139">
        <f>ROUNDUP(W60*[1]Modelo!$H$36*AR60*[1]Modelo!$I$75,1)</f>
        <v>0</v>
      </c>
      <c r="BJ60" s="139">
        <f>ROUNDUP(W60*[1]Modelo!$H$36*AR60*AS60*[1]Modelo!$I$75,1)</f>
        <v>0</v>
      </c>
      <c r="BK60" s="139">
        <f>[1]Modelo!$H$43</f>
        <v>0.04</v>
      </c>
      <c r="BL60" s="139">
        <f>ROUNDUP(SUM(ROUNDUP(AL60*AN60+0.1,1),ROUNDUP(V60*[1]Modelo!$H$29*AP60,1),ROUNDUP(W60*[1]Modelo!$H$36*AR60,1))*AU60*AT60*[1]Modelo!$I$75,1)</f>
        <v>10.4</v>
      </c>
      <c r="BM60" s="139">
        <f t="shared" ref="BM60:BM62" si="246">IF(K$32="x",0, BL60*0.1*1.25)</f>
        <v>0</v>
      </c>
      <c r="BN60" s="139">
        <f t="shared" ref="BN60:BN62" si="247">IF(Q60="x",(BL60)*0.1,0)</f>
        <v>0</v>
      </c>
      <c r="BO60" s="139">
        <f t="shared" ref="BO60:BO62" si="248">IF(R60="x",(BL60)*0.12,0)</f>
        <v>0</v>
      </c>
      <c r="BP60" s="139">
        <f t="shared" ref="BP60:BP62" si="249">IF(S60="x",(BL60)*0.12,0)*4</f>
        <v>0</v>
      </c>
      <c r="BQ60" s="139">
        <f>ROUNDUP(SUM(ROUNDUP(AL60*AN60+0.1,1),ROUNDUP(V60*[1]Modelo!$H$29*AP60,1),ROUNDUP(W60*[1]Modelo!$H$36*AR60,1))*AT60*AV60*[1]Modelo!$H$57,1)</f>
        <v>4.6999999999999993</v>
      </c>
      <c r="BR60" s="409">
        <v>0</v>
      </c>
      <c r="BS60" s="139">
        <f>[1]Modelo!$H$61</f>
        <v>0.04</v>
      </c>
      <c r="BT60" s="139">
        <f>ROUNDUP(SUM(ROUNDUP(AL60*AN60+0.1,1),ROUNDUP(V60*[1]Modelo!$H$29*AP60,1),ROUNDUP(W60*[1]Modelo!$H$36*AR60,1))*[1]Modelo!$H$62*[1]Modelo!$I$75,1)</f>
        <v>0.4</v>
      </c>
      <c r="BU60" s="139">
        <f>ROUNDUP(ROUNDUP(SUM(ROUNDUP(AL60*AN60+0.1,1),ROUNDUP(V60*[1]Modelo!$H$29*AP60,1),ROUNDUP(W60*[1]Modelo!$H$36*AR60,1))*[1]Modelo!$H$62,1)*[1]Modelo!$H$63*[1]Modelo!$I$75,1)</f>
        <v>0.2</v>
      </c>
      <c r="BV60" s="139">
        <f>SUM(ROUNDUP(AL60*AN60+0.1,1),ROUNDUP(V60*[1]Modelo!$H$29*AP60,1),ROUNDUP(W60*[1]Modelo!$H$36*AR60,1))*[1]Modelo!$H$64*[1]Modelo!$I$75</f>
        <v>0.94000000000000006</v>
      </c>
      <c r="BW60" s="139">
        <f>ROUNDUP(SUM(ROUNDUP(AL60*AN60+0.1,1),ROUNDUP(V60*[1]Modelo!$H$29*AP60,1),ROUNDUP(W60*[1]Modelo!$H$36*AR60,1))*[1]Modelo!$H$64*[1]Modelo!$H$65*[1]Modelo!$I$75,1)</f>
        <v>0.5</v>
      </c>
      <c r="BX60" s="139">
        <f>[1]Modelo!$H$66</f>
        <v>0.04</v>
      </c>
      <c r="BY60" s="139">
        <f>ROUNDUP(SUM(ROUNDUP(AL60*AN60+0.1,1),ROUNDUP(V60*[1]Modelo!$H$29*AP60,1),ROUNDUP(W60*[1]Modelo!$H$36*AR60,1))*[1]Modelo!$H$69,1)</f>
        <v>1.1000000000000001</v>
      </c>
      <c r="BZ60" s="139">
        <f>ROUNDUP(ROUNDUP(SUM(ROUNDUP(AL60*AN60+0.1,1),ROUNDUP(V60*[1]Modelo!$H$29*AP60,1),ROUNDUP(W60*[1]Modelo!$H$36*AR60,1))*[1]Modelo!$H$62,1)*[1]Modelo!$H$71,1)</f>
        <v>0.8</v>
      </c>
      <c r="CA60" s="142">
        <f t="shared" ref="CA60:CA62" si="250">SUM(AX60:BZ60)</f>
        <v>26.972999999999999</v>
      </c>
      <c r="CB60" s="27"/>
      <c r="CC60" s="27">
        <f t="shared" ref="CC60:CC62" si="251">CD60*0.85</f>
        <v>12.834999999999999</v>
      </c>
      <c r="CD60" s="109">
        <f t="shared" ref="CD60:CD62" si="252">O60</f>
        <v>15.1</v>
      </c>
      <c r="CE60" s="27">
        <f t="shared" ref="CE60:CE62" si="253">IF(CD60=0,1,CD60*1.4)</f>
        <v>21.139999999999997</v>
      </c>
      <c r="CF60" s="27"/>
      <c r="CG60" s="126">
        <v>0</v>
      </c>
      <c r="CH60" s="27"/>
      <c r="CI60" s="27">
        <f t="shared" ref="CI60:CI62" si="254">IF(CF60&lt;&gt;"",CF60,CG60)</f>
        <v>0</v>
      </c>
      <c r="CJ60" s="27"/>
      <c r="CK60" s="27"/>
      <c r="CL60" s="27"/>
      <c r="CM60" s="27"/>
      <c r="CN60" s="27"/>
      <c r="CO60" s="27"/>
      <c r="CP60" s="27"/>
      <c r="CQ60" s="27"/>
      <c r="CR60" s="27"/>
      <c r="CS60" s="27"/>
      <c r="CT60" s="27"/>
      <c r="CU60" s="27"/>
      <c r="CV60" s="27"/>
      <c r="CW60" s="27"/>
      <c r="CX60" s="27"/>
      <c r="CY60" s="27"/>
      <c r="CZ60" s="27"/>
      <c r="DA60" s="27"/>
      <c r="DB60" s="27"/>
      <c r="DC60" s="27"/>
    </row>
    <row r="61" spans="3:107" s="20" customFormat="1" ht="21" customHeight="1" outlineLevel="2" thickBot="1" x14ac:dyDescent="0.35">
      <c r="C61" s="388"/>
      <c r="D61" s="461"/>
      <c r="E61" s="461"/>
      <c r="F61" s="461"/>
      <c r="G61" s="461"/>
      <c r="H61" s="461"/>
      <c r="I61" s="461"/>
      <c r="J61" s="425">
        <f t="shared" si="234"/>
        <v>1</v>
      </c>
      <c r="K61" s="506"/>
      <c r="L61" s="542" t="s">
        <v>740</v>
      </c>
      <c r="M61" s="526"/>
      <c r="N61" s="526"/>
      <c r="O61" s="530"/>
      <c r="P61" s="58"/>
      <c r="Q61" s="143"/>
      <c r="R61" s="143"/>
      <c r="S61" s="143"/>
      <c r="T61" s="109"/>
      <c r="U61" s="144">
        <v>30</v>
      </c>
      <c r="V61" s="144">
        <v>1</v>
      </c>
      <c r="W61" s="144">
        <v>0</v>
      </c>
      <c r="X61" s="136"/>
      <c r="Y61" s="136" t="str">
        <f t="shared" si="236"/>
        <v>1</v>
      </c>
      <c r="Z61" s="135" t="e">
        <f>VLOOKUP(Y61,Modelo!$G$82:$H$281,2,FALSE)</f>
        <v>#N/A</v>
      </c>
      <c r="AA61" s="136"/>
      <c r="AB61" s="137" t="str">
        <f t="shared" si="237"/>
        <v>Mediana 1</v>
      </c>
      <c r="AC61" s="137" t="str">
        <f t="shared" si="238"/>
        <v>Baja</v>
      </c>
      <c r="AD61" s="137" t="str">
        <f t="shared" si="239"/>
        <v>Baja</v>
      </c>
      <c r="AE61" s="137" t="str">
        <f t="shared" si="240"/>
        <v>Baja</v>
      </c>
      <c r="AF61" s="137" t="str">
        <f t="shared" si="241"/>
        <v>Baja</v>
      </c>
      <c r="AG61" s="137" t="str">
        <f t="shared" si="242"/>
        <v>Baja</v>
      </c>
      <c r="AH61" s="137" t="str">
        <f t="shared" si="243"/>
        <v>Baja</v>
      </c>
      <c r="AI61" s="137" t="str">
        <f t="shared" si="244"/>
        <v>Baja</v>
      </c>
      <c r="AJ61" s="137" t="str">
        <f t="shared" si="245"/>
        <v>Baja</v>
      </c>
      <c r="AK61" s="40"/>
      <c r="AL61" s="138">
        <f>IF(AB61=Modelo!$F$7,Modelo!$H$7,IF(AB61=Modelo!$F$8,Modelo!$H$8,IF(AB61=Modelo!$F$9,Modelo!$H$9,IF(AB61=Modelo!$F$10,Modelo!$H$10,IF(AB61=Modelo!$F$11,Modelo!$H$11,IF(AB61=Modelo!$F$12,Modelo!$H$12,IF(AB61=Modelo!$F$13,Modelo!$H$13,IF(AB61=Modelo!$F$14,Modelo!$H$14,IF(AB61=Modelo!$F$15,Modelo!$H$15,IF(AB61=Modelo!$F$16,Modelo!$H$16,IF(AB61=Modelo!$F$17,Modelo!$H$17,IF(AB61=Modelo!$F$18,Modelo!$H$18,IF(AB61=Modelo!$F$19,Modelo!$H$19,IF(AB61=Modelo!$F$20,Modelo!$H$20,IF(AB61=Modelo!$F$21,Modelo!$H$21,IF(AB61=Modelo!$F$22,Modelo!$H$22,0))))))))))))))))</f>
        <v>1.5</v>
      </c>
      <c r="AM61" s="138">
        <f>IF(AB61=Modelo!$F$7,Modelo!$I$7,IF(AB61=Modelo!$F$8,Modelo!$I$8,IF(AB61=Modelo!$F$9,Modelo!$I$9,IF(AB61=Modelo!$F$10,Modelo!$I$10,IF(AB61=Modelo!$F$11,Modelo!$I$11,IF(AB61=Modelo!$F$12,Modelo!$I$12,IF(AB61=Modelo!$F$13,Modelo!$I$13,IF(AB61=Modelo!$F$14,Modelo!$I$14,IF(AB61=Modelo!$F$15,Modelo!$I$15,IF(AB61=Modelo!$F$16,Modelo!$I$16,IF(AB61=Modelo!$F$17,Modelo!$I$17,IF(AB61=Modelo!$F$18,Modelo!$I$18,IF(AB61=Modelo!$F$19,Modelo!$I$19,IF(AB61=Modelo!$F$20,Modelo!$I$20,IF(AB61=Modelo!$F$21,Modelo!$I$21,IF(AB61=Modelo!$F$22,Modelo!$I$22,0))))))))))))))))</f>
        <v>0.5</v>
      </c>
      <c r="AN61" s="138">
        <f>IF(AC61=Modelo!$F$23,Modelo!$H$23,IF(AC61=Modelo!$F$24,Modelo!$H$24,IF(AC61=Modelo!$F$25,Modelo!$H$25,0)))</f>
        <v>1</v>
      </c>
      <c r="AO61" s="138">
        <f>IF(AD61=Modelo!$F$26,Modelo!$H$26,IF(AD61=Modelo!$F$27,Modelo!$H$27,IF(AD61=Modelo!$F$28,Modelo!$H$28,0)))</f>
        <v>0.1</v>
      </c>
      <c r="AP61" s="138">
        <f>IF(AE61=Modelo!$F$30,Modelo!$H$30,IF(AE61=Modelo!$F$31,Modelo!$H$31,IF(AE61=Modelo!$F$32,Modelo!$H$32,0)))</f>
        <v>0.8</v>
      </c>
      <c r="AQ61" s="138">
        <f>IF(AF61=Modelo!$F$33,Modelo!$H$33,IF(AF61=Modelo!$F$34,Modelo!$H$34,IF(AF61=Modelo!$F$35,Modelo!$H$35,0)))</f>
        <v>0.3</v>
      </c>
      <c r="AR61" s="138">
        <f>IF(AG61=Modelo!$F$37,Modelo!$H$37,IF(AG61=Modelo!$F$38,Modelo!$H$38,IF(AG61=Modelo!$F$39,Modelo!$H$39,0)))</f>
        <v>0.8</v>
      </c>
      <c r="AS61" s="138">
        <f>IF(AH61=Modelo!$F$40,Modelo!$H$40,IF(AH61=Modelo!$F$41,Modelo!$H$41,IF(AH61=Modelo!$F$42,Modelo!$H$42,0)))</f>
        <v>0.4</v>
      </c>
      <c r="AT61" s="137">
        <f>IF(C61=Modelo!$F$44,Modelo!$H$44,IF(C61=Modelo!$F$45,Modelo!$H$45,IF(C61=Modelo!$F$46,Modelo!$H$46,IF(C61=Modelo!$F$47,Modelo!$H$47,IF(C61=Modelo!$F$48,Modelo!$H$48,IF(C61=Modelo!$F$49,Modelo!$H$49,IF(C61=Modelo!$F$50,Modelo!$H$50,IF(C61=Modelo!$F$51,Modelo!$H$51,IF(C61=Modelo!$F$52,Modelo!$H$52,IF(C61=Modelo!$F$53,Modelo!$H$53,0))))))))))</f>
        <v>0</v>
      </c>
      <c r="AU61" s="138">
        <f>IF(AI61=Modelo!$F$54,Modelo!$H$54,IF(AI61=Modelo!$F$55,Modelo!$H$55,IF(AI61=Modelo!$F$56,Modelo!$H$56,0)))</f>
        <v>1</v>
      </c>
      <c r="AV61" s="138">
        <f>IF(AJ61=Modelo!$F$58,Modelo!$H$58,IF(AJ61=Modelo!$F$59,Modelo!$H$59,IF(AJ61=Modelo!$F$60,Modelo!$H$60,0)))</f>
        <v>0.9</v>
      </c>
      <c r="AW61" s="40"/>
      <c r="AX61" s="139">
        <f>Modelo!$H$2</f>
        <v>0.05</v>
      </c>
      <c r="AY61" s="140">
        <f>ROUNDUP(Modelo!$I$2*Modelo!$H$3*Modelo!$I$75,2)</f>
        <v>0.02</v>
      </c>
      <c r="AZ61" s="141">
        <f>ROUNDUP(Modelo!$I$2*Modelo!$H$3*Modelo!$H$4*Modelo!$I$75,3)</f>
        <v>4.0000000000000001E-3</v>
      </c>
      <c r="BA61" s="139">
        <f>Modelo!$H$5</f>
        <v>0.04</v>
      </c>
      <c r="BB61" s="139">
        <f>ROUNDUP(SUM(BC61,BE61,BG61,BI61)*Modelo!$H$6,1)</f>
        <v>0.9</v>
      </c>
      <c r="BC61" s="139">
        <f>ROUNDUP((AL61*AN61+0.1)*Modelo!$I$75,1)</f>
        <v>1.6</v>
      </c>
      <c r="BD61" s="139">
        <f>ROUNDUP(AM61*AN61*AO61*Modelo!$I$75,1)</f>
        <v>0.1</v>
      </c>
      <c r="BE61" s="139">
        <f>ROUNDUP(V61*Modelo!$H$29*AP61*Modelo!$I$75*2/3,1)</f>
        <v>0.6</v>
      </c>
      <c r="BF61" s="139">
        <f>ROUNDUP(V61*Modelo!$H$29*AP61*AQ61*Modelo!$I$75*2/3,1)</f>
        <v>0.2</v>
      </c>
      <c r="BG61" s="139">
        <f>ROUNDUP(V61*Modelo!$H$29*AP61*Modelo!$I$75/3,1)</f>
        <v>0.30000000000000004</v>
      </c>
      <c r="BH61" s="139">
        <f>ROUNDUP(V61*Modelo!$H$29*AP61*AQ61*Modelo!$I$75/3,1)</f>
        <v>0.1</v>
      </c>
      <c r="BI61" s="139">
        <f>ROUNDUP(W61*Modelo!$H$36*AR61*Modelo!$I$75,1)</f>
        <v>0</v>
      </c>
      <c r="BJ61" s="139">
        <f>ROUNDUP(W61*Modelo!$H$36*AR61*AS61*Modelo!$I$75,1)</f>
        <v>0</v>
      </c>
      <c r="BK61" s="139">
        <f>Modelo!$H$43</f>
        <v>0.04</v>
      </c>
      <c r="BL61" s="139">
        <f>ROUNDUP(SUM(ROUNDUP(AL61*AN61+0.1,1),ROUNDUP(V61*Modelo!$H$29*AP61,1),ROUNDUP(W61*Modelo!$H$36*AR61,1))*AU61*AT61*Modelo!$I$75,1)</f>
        <v>0</v>
      </c>
      <c r="BM61" s="139">
        <f t="shared" si="246"/>
        <v>0</v>
      </c>
      <c r="BN61" s="139">
        <f t="shared" si="247"/>
        <v>0</v>
      </c>
      <c r="BO61" s="139">
        <f t="shared" si="248"/>
        <v>0</v>
      </c>
      <c r="BP61" s="139">
        <f t="shared" si="249"/>
        <v>0</v>
      </c>
      <c r="BQ61" s="139">
        <f>ROUNDUP(SUM(ROUNDUP(AL61*AN61+0.1,1),ROUNDUP(V61*Modelo!$H$29*AP61,1),ROUNDUP(W61*Modelo!$H$36*AR61,1))*AT61*AV61*Modelo!$H$57,1)</f>
        <v>0</v>
      </c>
      <c r="BR61" s="409">
        <f>BL61*0.1
+IF(K$16="x",0,BL61*0.05)
+IF(K$28="x",0,BL61*0.2)
+IF(K$29="x",0,BL61*0.5)
+IF(OR(K$30="x",K$31="x"),0,BL61*0.05)
+IF(K$32="x",0,BL61*0.3)
+IF(Q61="x",0,BL61*0.5)
+IF(OR(R61="x",S61="x"),0,BL61*0.15)</f>
        <v>0</v>
      </c>
      <c r="BS61" s="139">
        <f>Modelo!$H$61</f>
        <v>0.04</v>
      </c>
      <c r="BT61" s="139">
        <f>ROUNDUP(SUM(ROUNDUP(AL61*AN61+0.1,1),ROUNDUP(V61*Modelo!$H$29*AP61,1),ROUNDUP(W61*Modelo!$H$36*AR61,1))*Modelo!$H$62*Modelo!$I$75,1)</f>
        <v>0.2</v>
      </c>
      <c r="BU61" s="139">
        <f>ROUNDUP(ROUNDUP(SUM(ROUNDUP(AL61*AN61+0.1,1),ROUNDUP(V61*Modelo!$H$29*AP61,1),ROUNDUP(W61*Modelo!$H$36*AR61,1))*Modelo!$H$62,1)*Modelo!$H$63*Modelo!$I$75,1)</f>
        <v>0.1</v>
      </c>
      <c r="BV61" s="139">
        <f>SUM(ROUNDUP(AL61*AN61+0.1,1),ROUNDUP(V61*Modelo!$H$29*AP61,1),ROUNDUP(W61*Modelo!$H$36*AR61,1))*Modelo!$H$64*Modelo!$I$75</f>
        <v>0.48000000000000009</v>
      </c>
      <c r="BW61" s="139">
        <f>ROUNDUP(SUM(ROUNDUP(AL61*AN61+0.1,1),ROUNDUP(V61*Modelo!$H$29*AP61,1),ROUNDUP(W61*Modelo!$H$36*AR61,1))*Modelo!$H$64*Modelo!$H$65*Modelo!$I$75,1)</f>
        <v>0.30000000000000004</v>
      </c>
      <c r="BX61" s="139">
        <f>Modelo!$H$66</f>
        <v>0.04</v>
      </c>
      <c r="BY61" s="139">
        <f>ROUNDUP(SUM(ROUNDUP(AL61*AN61+0.1,1),ROUNDUP(V61*Modelo!$H$29*AP61,1),ROUNDUP(W61*Modelo!$H$36*AR61,1))*Modelo!$H$69,1)</f>
        <v>0.6</v>
      </c>
      <c r="BZ61" s="139">
        <f>ROUNDUP(ROUNDUP(SUM(ROUNDUP(AL61*AN61+0.1,1),ROUNDUP(V61*Modelo!$H$29*AP61,1),ROUNDUP(W61*Modelo!$H$36*AR61,1))*Modelo!$H$62,1)*Modelo!$H$71,1)</f>
        <v>0.4</v>
      </c>
      <c r="CA61" s="142">
        <f t="shared" si="250"/>
        <v>6.1139999999999999</v>
      </c>
      <c r="CB61" s="27"/>
      <c r="CC61" s="27">
        <f t="shared" si="251"/>
        <v>0</v>
      </c>
      <c r="CD61" s="109">
        <f t="shared" si="252"/>
        <v>0</v>
      </c>
      <c r="CE61" s="27">
        <f t="shared" si="253"/>
        <v>1</v>
      </c>
      <c r="CF61" s="27"/>
      <c r="CG61" s="126">
        <v>0</v>
      </c>
      <c r="CH61" s="27"/>
      <c r="CI61" s="27">
        <f t="shared" si="254"/>
        <v>0</v>
      </c>
      <c r="CJ61" s="27"/>
      <c r="CK61" s="27"/>
      <c r="CL61" s="27"/>
      <c r="CM61" s="27"/>
      <c r="CN61" s="27"/>
      <c r="CO61" s="27"/>
      <c r="CP61" s="27"/>
      <c r="CQ61" s="27"/>
      <c r="CR61" s="27"/>
      <c r="CS61" s="27"/>
      <c r="CT61" s="27"/>
      <c r="CU61" s="27"/>
      <c r="CV61" s="27"/>
      <c r="CW61" s="27"/>
      <c r="CX61" s="27"/>
      <c r="CY61" s="27"/>
      <c r="CZ61" s="27"/>
      <c r="DA61" s="27"/>
      <c r="DB61" s="27"/>
      <c r="DC61" s="27"/>
    </row>
    <row r="62" spans="3:107" s="20" customFormat="1" ht="98" customHeight="1" outlineLevel="2" thickBot="1" x14ac:dyDescent="0.35">
      <c r="C62" s="388" t="s">
        <v>103</v>
      </c>
      <c r="D62" s="461" t="s">
        <v>18</v>
      </c>
      <c r="E62" s="461" t="str">
        <f t="shared" ref="E62:E63" si="255">IF(U62&gt;50,"A",IF(U62&gt;15,"M","B"))</f>
        <v>M</v>
      </c>
      <c r="F62" s="461" t="s">
        <v>423</v>
      </c>
      <c r="G62" s="461" t="s">
        <v>423</v>
      </c>
      <c r="H62" s="461" t="str">
        <f t="shared" ref="H62:H63" si="256">IF(V62+W62&gt;20,"A",IF(V62+W62&gt;5,"M","B"))</f>
        <v>B</v>
      </c>
      <c r="I62" s="461" t="str">
        <f t="shared" ref="I62:I63" si="257">IF(V62+W62&gt;15,"A",IF(V62+W62&gt;4,"M","B"))</f>
        <v>B</v>
      </c>
      <c r="J62" s="425">
        <f t="shared" si="234"/>
        <v>3</v>
      </c>
      <c r="K62" s="503" t="str">
        <f t="shared" ref="K62:K63" si="258">AB62</f>
        <v>Mediana 3</v>
      </c>
      <c r="L62" s="543" t="s">
        <v>768</v>
      </c>
      <c r="M62" s="532">
        <f>BL62+BM62+BN62+BO62+BP62</f>
        <v>10.199999999999999</v>
      </c>
      <c r="N62" s="532">
        <f>BQ62</f>
        <v>4.1999999999999993</v>
      </c>
      <c r="O62" s="538">
        <f>SUM(M62,N62)</f>
        <v>14.399999999999999</v>
      </c>
      <c r="P62" s="58"/>
      <c r="Q62" s="462"/>
      <c r="R62" s="462"/>
      <c r="S62" s="462"/>
      <c r="T62" s="109"/>
      <c r="U62" s="144">
        <v>40</v>
      </c>
      <c r="V62" s="144">
        <v>3</v>
      </c>
      <c r="W62" s="144">
        <v>0</v>
      </c>
      <c r="X62" s="463"/>
      <c r="Y62" s="463" t="str">
        <f t="shared" si="236"/>
        <v>ReporteMedia3</v>
      </c>
      <c r="Z62" s="135">
        <f>VLOOKUP(Y62,[1]Modelo!$G$82:$H$281,2,FALSE)</f>
        <v>188</v>
      </c>
      <c r="AA62" s="463"/>
      <c r="AB62" s="137" t="str">
        <f t="shared" si="237"/>
        <v>Mediana 3</v>
      </c>
      <c r="AC62" s="137" t="str">
        <f t="shared" si="238"/>
        <v>Media</v>
      </c>
      <c r="AD62" s="137" t="str">
        <f t="shared" si="239"/>
        <v>Media</v>
      </c>
      <c r="AE62" s="137" t="str">
        <f t="shared" si="240"/>
        <v>Baja</v>
      </c>
      <c r="AF62" s="137" t="str">
        <f t="shared" si="241"/>
        <v>Baja</v>
      </c>
      <c r="AG62" s="137" t="str">
        <f t="shared" si="242"/>
        <v>Baja</v>
      </c>
      <c r="AH62" s="137" t="str">
        <f t="shared" si="243"/>
        <v>Baja</v>
      </c>
      <c r="AI62" s="137" t="str">
        <f t="shared" si="244"/>
        <v>Baja</v>
      </c>
      <c r="AJ62" s="137" t="str">
        <f t="shared" si="245"/>
        <v>Baja</v>
      </c>
      <c r="AK62" s="40"/>
      <c r="AL62" s="138">
        <f>IF(AB62=[1]Modelo!$F$7,[1]Modelo!$H$7,IF(AB62=[1]Modelo!$F$8,[1]Modelo!$H$8,IF(AB62=[1]Modelo!$F$9,[1]Modelo!$H$9,IF(AB62=[1]Modelo!$F$10,[1]Modelo!$H$10,IF(AB62=[1]Modelo!$F$11,[1]Modelo!$H$11,IF(AB62=[1]Modelo!$F$12,[1]Modelo!$H$12,IF(AB62=[1]Modelo!$F$13,[1]Modelo!$H$13,IF(AB62=[1]Modelo!$F$14,[1]Modelo!$H$14,IF(AB62=[1]Modelo!$F$15,[1]Modelo!$H$15,IF(AB62=[1]Modelo!$F$16,[1]Modelo!$H$16,IF(AB62=[1]Modelo!$F$17,[1]Modelo!$H$17,IF(AB62=[1]Modelo!$F$18,[1]Modelo!$H$18,IF(AB62=[1]Modelo!$F$19,[1]Modelo!$H$19,IF(AB62=[1]Modelo!$F$20,[1]Modelo!$H$20,IF(AB62=[1]Modelo!$F$21,[1]Modelo!$H$21,IF(AB62=[1]Modelo!$F$22,[1]Modelo!$H$22,0))))))))))))))))</f>
        <v>2.1</v>
      </c>
      <c r="AM62" s="138">
        <f>IF(AB62=[1]Modelo!$F$7,[1]Modelo!$I$7,IF(AB62=[1]Modelo!$F$8,[1]Modelo!$I$8,IF(AB62=[1]Modelo!$F$9,[1]Modelo!$I$9,IF(AB62=[1]Modelo!$F$10,[1]Modelo!$I$10,IF(AB62=[1]Modelo!$F$11,[1]Modelo!$I$11,IF(AB62=[1]Modelo!$F$12,[1]Modelo!$I$12,IF(AB62=[1]Modelo!$F$13,[1]Modelo!$I$13,IF(AB62=[1]Modelo!$F$14,[1]Modelo!$I$14,IF(AB62=[1]Modelo!$F$15,[1]Modelo!$I$15,IF(AB62=[1]Modelo!$F$16,[1]Modelo!$I$16,IF(AB62=[1]Modelo!$F$17,[1]Modelo!$I$17,IF(AB62=[1]Modelo!$F$18,[1]Modelo!$I$18,IF(AB62=[1]Modelo!$F$19,[1]Modelo!$I$19,IF(AB62=[1]Modelo!$F$20,[1]Modelo!$I$20,IF(AB62=[1]Modelo!$F$21,[1]Modelo!$I$21,IF(AB62=[1]Modelo!$F$22,[1]Modelo!$I$22,0))))))))))))))))</f>
        <v>0.7</v>
      </c>
      <c r="AN62" s="138">
        <f>IF(AC62=[1]Modelo!$F$23,[1]Modelo!$H$23,IF(AC62=[1]Modelo!$F$24,[1]Modelo!$H$24,IF(AC62=[1]Modelo!$F$25,[1]Modelo!$H$25,0)))</f>
        <v>1.2</v>
      </c>
      <c r="AO62" s="138">
        <f>IF(AD62=[1]Modelo!$F$26,[1]Modelo!$H$26,IF(AD62=[1]Modelo!$F$27,[1]Modelo!$H$27,IF(AD62=[1]Modelo!$F$28,[1]Modelo!$H$28,0)))</f>
        <v>0.2</v>
      </c>
      <c r="AP62" s="138">
        <f>IF(AE62=[1]Modelo!$F$30,[1]Modelo!$H$30,IF(AE62=[1]Modelo!$F$31,[1]Modelo!$H$31,IF(AE62=[1]Modelo!$F$32,[1]Modelo!$H$32,0)))</f>
        <v>0.8</v>
      </c>
      <c r="AQ62" s="138">
        <f>IF(AF62=[1]Modelo!$F$33,[1]Modelo!$H$33,IF(AF62=[1]Modelo!$F$34,[1]Modelo!$H$34,IF(AF62=[1]Modelo!$F$35,[1]Modelo!$H$35,0)))</f>
        <v>0.3</v>
      </c>
      <c r="AR62" s="138">
        <f>IF(AG62=[1]Modelo!$F$37,[1]Modelo!$H$37,IF(AG62=[1]Modelo!$F$38,[1]Modelo!$H$38,IF(AG62=[1]Modelo!$F$39,[1]Modelo!$H$39,0)))</f>
        <v>0.8</v>
      </c>
      <c r="AS62" s="138">
        <f>IF(AH62=[1]Modelo!$F$40,[1]Modelo!$H$40,IF(AH62=[1]Modelo!$F$41,[1]Modelo!$H$41,IF(AH62=[1]Modelo!$F$42,[1]Modelo!$H$42,0)))</f>
        <v>0.4</v>
      </c>
      <c r="AT62" s="137">
        <f>IF(C62=[1]Modelo!$F$44,[1]Modelo!$H$44,IF(C62=[1]Modelo!$F$45,[1]Modelo!$H$45,IF(C62=[1]Modelo!$F$46,[1]Modelo!$H$46,IF(C62=[1]Modelo!$F$47,[1]Modelo!$H$47,IF(C62=[1]Modelo!$F$48,[1]Modelo!$H$48,IF(C62=[1]Modelo!$F$49,[1]Modelo!$H$49,IF(C62=[1]Modelo!$F$50,[1]Modelo!$H$50,IF(C62=[1]Modelo!$F$51,[1]Modelo!$H$51,IF(C62=[1]Modelo!$F$52,[1]Modelo!$H$52,IF(C62=[1]Modelo!$F$53,[1]Modelo!$H$53,0))))))))))</f>
        <v>2</v>
      </c>
      <c r="AU62" s="138">
        <f>IF(AI62=[1]Modelo!$F$54,[1]Modelo!$H$54,IF(AI62=[1]Modelo!$F$55,[1]Modelo!$H$55,IF(AI62=[1]Modelo!$F$56,[1]Modelo!$H$56,0)))</f>
        <v>1</v>
      </c>
      <c r="AV62" s="138">
        <f>IF(AJ62=[1]Modelo!$F$58,[1]Modelo!$H$58,IF(AJ62=[1]Modelo!$F$59,[1]Modelo!$H$59,IF(AJ62=[1]Modelo!$F$60,[1]Modelo!$H$60,0)))</f>
        <v>0.9</v>
      </c>
      <c r="AW62" s="40"/>
      <c r="AX62" s="139">
        <f>[1]Modelo!$H$2</f>
        <v>0.05</v>
      </c>
      <c r="AY62" s="140">
        <f>ROUNDUP([1]Modelo!$I$2*[1]Modelo!$H$3*[1]Modelo!$I$75,2)</f>
        <v>0.02</v>
      </c>
      <c r="AZ62" s="141">
        <f>ROUNDUP([1]Modelo!$I$2*[1]Modelo!$H$3*[1]Modelo!$H$4*[1]Modelo!$I$75,3)</f>
        <v>3.0000000000000001E-3</v>
      </c>
      <c r="BA62" s="139">
        <f>[1]Modelo!$H$5</f>
        <v>0.04</v>
      </c>
      <c r="BB62" s="139">
        <f>ROUNDUP(SUM(BC62,BE62,BG62,BI62)*[1]Modelo!$H$6,1)</f>
        <v>1.7</v>
      </c>
      <c r="BC62" s="139">
        <f>ROUNDUP((AL62*AN62+0.1)*[1]Modelo!$I$75,1)</f>
        <v>2.7</v>
      </c>
      <c r="BD62" s="139">
        <f>ROUNDUP(AM62*AN62*AO62*[1]Modelo!$I$75,1)</f>
        <v>0.2</v>
      </c>
      <c r="BE62" s="139">
        <f>ROUNDUP(V62*[1]Modelo!$H$29*AP62*[1]Modelo!$I$75*2/3,1)</f>
        <v>1.6</v>
      </c>
      <c r="BF62" s="139">
        <f>ROUNDUP(V62*[1]Modelo!$H$29*AP62*AQ62*[1]Modelo!$I$75*2/3,1)</f>
        <v>0.5</v>
      </c>
      <c r="BG62" s="139">
        <f>ROUNDUP(V62*[1]Modelo!$H$29*AP62*[1]Modelo!$I$75/3,1)</f>
        <v>0.8</v>
      </c>
      <c r="BH62" s="139">
        <f>ROUNDUP(V62*[1]Modelo!$H$29*AP62*AQ62*[1]Modelo!$I$75/3,1)</f>
        <v>0.30000000000000004</v>
      </c>
      <c r="BI62" s="139">
        <f>ROUNDUP(W62*[1]Modelo!$H$36*AR62*[1]Modelo!$I$75,1)</f>
        <v>0</v>
      </c>
      <c r="BJ62" s="139">
        <f>ROUNDUP(W62*[1]Modelo!$H$36*AR62*AS62*[1]Modelo!$I$75,1)</f>
        <v>0</v>
      </c>
      <c r="BK62" s="139">
        <f>[1]Modelo!$H$43</f>
        <v>0.04</v>
      </c>
      <c r="BL62" s="139">
        <f>ROUNDUP(SUM(ROUNDUP(AL62*AN62+0.1,1),ROUNDUP(V62*[1]Modelo!$H$29*AP62,1),ROUNDUP(W62*[1]Modelo!$H$36*AR62,1))*AU62*AT62*[1]Modelo!$I$75,1)</f>
        <v>10.199999999999999</v>
      </c>
      <c r="BM62" s="139">
        <f t="shared" si="246"/>
        <v>0</v>
      </c>
      <c r="BN62" s="139">
        <f t="shared" si="247"/>
        <v>0</v>
      </c>
      <c r="BO62" s="139">
        <f t="shared" si="248"/>
        <v>0</v>
      </c>
      <c r="BP62" s="139">
        <f t="shared" si="249"/>
        <v>0</v>
      </c>
      <c r="BQ62" s="139">
        <f>ROUNDUP(SUM(ROUNDUP(AL62*AN62+0.1,1),ROUNDUP(V62*[1]Modelo!$H$29*AP62,1),ROUNDUP(W62*[1]Modelo!$H$36*AR62,1))*AT62*AV62*[1]Modelo!$H$57,1)</f>
        <v>4.1999999999999993</v>
      </c>
      <c r="BR62" s="409">
        <v>0</v>
      </c>
      <c r="BS62" s="139">
        <f>[1]Modelo!$H$61</f>
        <v>0.04</v>
      </c>
      <c r="BT62" s="139">
        <f>ROUNDUP(SUM(ROUNDUP(AL62*AN62+0.1,1),ROUNDUP(V62*[1]Modelo!$H$29*AP62,1),ROUNDUP(W62*[1]Modelo!$H$36*AR62,1))*[1]Modelo!$H$62*[1]Modelo!$I$75,1)</f>
        <v>0.4</v>
      </c>
      <c r="BU62" s="139">
        <f>ROUNDUP(ROUNDUP(SUM(ROUNDUP(AL62*AN62+0.1,1),ROUNDUP(V62*[1]Modelo!$H$29*AP62,1),ROUNDUP(W62*[1]Modelo!$H$36*AR62,1))*[1]Modelo!$H$62,1)*[1]Modelo!$H$63*[1]Modelo!$I$75,1)</f>
        <v>0.2</v>
      </c>
      <c r="BV62" s="139">
        <f>SUM(ROUNDUP(AL62*AN62+0.1,1),ROUNDUP(V62*[1]Modelo!$H$29*AP62,1),ROUNDUP(W62*[1]Modelo!$H$36*AR62,1))*[1]Modelo!$H$64*[1]Modelo!$I$75</f>
        <v>1.02</v>
      </c>
      <c r="BW62" s="139">
        <f>ROUNDUP(SUM(ROUNDUP(AL62*AN62+0.1,1),ROUNDUP(V62*[1]Modelo!$H$29*AP62,1),ROUNDUP(W62*[1]Modelo!$H$36*AR62,1))*[1]Modelo!$H$64*[1]Modelo!$H$65*[1]Modelo!$I$75,1)</f>
        <v>0.6</v>
      </c>
      <c r="BX62" s="139">
        <f>[1]Modelo!$H$66</f>
        <v>0.04</v>
      </c>
      <c r="BY62" s="139">
        <f>ROUNDUP(SUM(ROUNDUP(AL62*AN62+0.1,1),ROUNDUP(V62*[1]Modelo!$H$29*AP62,1),ROUNDUP(W62*[1]Modelo!$H$36*AR62,1))*[1]Modelo!$H$69,1)</f>
        <v>1.2000000000000002</v>
      </c>
      <c r="BZ62" s="139">
        <f>ROUNDUP(ROUNDUP(SUM(ROUNDUP(AL62*AN62+0.1,1),ROUNDUP(V62*[1]Modelo!$H$29*AP62,1),ROUNDUP(W62*[1]Modelo!$H$36*AR62,1))*[1]Modelo!$H$62,1)*[1]Modelo!$H$71,1)</f>
        <v>0.8</v>
      </c>
      <c r="CA62" s="142">
        <f t="shared" si="250"/>
        <v>26.652999999999995</v>
      </c>
      <c r="CB62" s="27"/>
      <c r="CC62" s="27">
        <f t="shared" si="251"/>
        <v>12.239999999999998</v>
      </c>
      <c r="CD62" s="109">
        <f t="shared" si="252"/>
        <v>14.399999999999999</v>
      </c>
      <c r="CE62" s="27">
        <f t="shared" si="253"/>
        <v>20.159999999999997</v>
      </c>
      <c r="CF62" s="27"/>
      <c r="CG62" s="126">
        <v>0</v>
      </c>
      <c r="CH62" s="27"/>
      <c r="CI62" s="27">
        <f t="shared" si="254"/>
        <v>0</v>
      </c>
      <c r="CJ62" s="27"/>
      <c r="CK62" s="27"/>
      <c r="CL62" s="27"/>
      <c r="CM62" s="27"/>
      <c r="CN62" s="27"/>
      <c r="CO62" s="27"/>
      <c r="CP62" s="27"/>
      <c r="CQ62" s="27"/>
      <c r="CR62" s="27"/>
      <c r="CS62" s="27"/>
      <c r="CT62" s="27"/>
      <c r="CU62" s="27"/>
      <c r="CV62" s="27"/>
      <c r="CW62" s="27"/>
      <c r="CX62" s="27"/>
      <c r="CY62" s="27"/>
      <c r="CZ62" s="27"/>
      <c r="DA62" s="27"/>
      <c r="DB62" s="27"/>
      <c r="DC62" s="27"/>
    </row>
    <row r="63" spans="3:107" s="20" customFormat="1" ht="58" customHeight="1" outlineLevel="2" thickBot="1" x14ac:dyDescent="0.35">
      <c r="C63" s="388" t="s">
        <v>103</v>
      </c>
      <c r="D63" s="461" t="s">
        <v>18</v>
      </c>
      <c r="E63" s="461" t="str">
        <f t="shared" si="255"/>
        <v>M</v>
      </c>
      <c r="F63" s="461" t="s">
        <v>423</v>
      </c>
      <c r="G63" s="461" t="s">
        <v>423</v>
      </c>
      <c r="H63" s="461" t="str">
        <f t="shared" si="256"/>
        <v>B</v>
      </c>
      <c r="I63" s="461" t="str">
        <f t="shared" si="257"/>
        <v>B</v>
      </c>
      <c r="J63" s="425">
        <f t="shared" ref="J63:J71" si="259">V63+W63</f>
        <v>2</v>
      </c>
      <c r="K63" s="503" t="str">
        <f t="shared" si="258"/>
        <v>Mediana 3</v>
      </c>
      <c r="L63" s="543" t="s">
        <v>769</v>
      </c>
      <c r="M63" s="532">
        <f>BL63+BM63+BN63+BO63+BP63</f>
        <v>8.6</v>
      </c>
      <c r="N63" s="532">
        <f>BQ63</f>
        <v>3.5</v>
      </c>
      <c r="O63" s="538">
        <f>SUM(M63,N63)</f>
        <v>12.1</v>
      </c>
      <c r="P63" s="58"/>
      <c r="Q63" s="462"/>
      <c r="R63" s="462"/>
      <c r="S63" s="462"/>
      <c r="T63" s="109"/>
      <c r="U63" s="144">
        <v>40</v>
      </c>
      <c r="V63" s="144">
        <v>2</v>
      </c>
      <c r="W63" s="144">
        <v>0</v>
      </c>
      <c r="X63" s="463"/>
      <c r="Y63" s="463" t="str">
        <f t="shared" ref="Y63:Y71" si="260">CONCATENATE(C63,LEFT(K63,5),J63)</f>
        <v>ReporteMedia2</v>
      </c>
      <c r="Z63" s="135">
        <f>VLOOKUP(Y63,[1]Modelo!$G$82:$H$281,2,FALSE)</f>
        <v>187</v>
      </c>
      <c r="AA63" s="463"/>
      <c r="AB63" s="137" t="str">
        <f t="shared" ref="AB63:AB71" si="261">IF(AND(U63&gt;=0,U63&lt;=6),"Chica 1",IF(AND(U63&gt;=7,U63&lt;=12),"Chica 2",IF(AND(U63&gt;=13,U63&lt;=18),"Chica 3",IF(AND(U63&gt;=19,U63&lt;=24),"Chica 4",IF(AND(U63&gt;=25,U63&lt;=30),"Mediana 1",IF(AND(U63&gt;=31,U63&lt;=36),"Mediana 2",IF(AND(U63&gt;=37,U63&lt;=42),"Mediana 3",IF(AND(U63&gt;=43,U63&lt;=48),"Mediana 4",IF(AND(U63&gt;=49,U63&lt;=54),"Grande 1",IF(AND(U63&gt;=55,U63&lt;=60),"Grande 2",IF(AND(U63&gt;=61,U63&lt;=66),"Grande 3",IF(AND(U63&gt;=67,U63&lt;=72),"Grande 4",IF(AND(U63&gt;=73,U63&lt;=78),"M. grande 1",IF(AND(U63&gt;=79,U63&lt;=84),"M. grande 2",IF(AND(U63&gt;=85,U63&lt;=90),"M. grande 3",IF(AND(U63&gt;=91,U63&lt;=96),"M. grande 4","NO DEF"))))))))))))))))</f>
        <v>Mediana 3</v>
      </c>
      <c r="AC63" s="137" t="str">
        <f t="shared" ref="AC63:AC71" si="262">IF(E63="A","Alta",IF(E63="M","Media","Baja"))</f>
        <v>Media</v>
      </c>
      <c r="AD63" s="137" t="str">
        <f t="shared" ref="AD63:AD71" si="263">IF(E63="A","Alta",IF(E63="M","Media","Baja"))</f>
        <v>Media</v>
      </c>
      <c r="AE63" s="137" t="str">
        <f t="shared" ref="AE63:AE71" si="264">IF(F63="A","Alta",IF(F63="M","Media","Baja"))</f>
        <v>Baja</v>
      </c>
      <c r="AF63" s="137" t="str">
        <f t="shared" ref="AF63:AF71" si="265">IF(F63="A","Alta",IF(F63="M","Media","Baja"))</f>
        <v>Baja</v>
      </c>
      <c r="AG63" s="137" t="str">
        <f t="shared" ref="AG63:AG71" si="266">IF(G63="A","Alta",IF(G63="M","Media","Baja"))</f>
        <v>Baja</v>
      </c>
      <c r="AH63" s="137" t="str">
        <f t="shared" ref="AH63:AH71" si="267">IF(G63="A","Alta",IF(G63="M","Media","Baja"))</f>
        <v>Baja</v>
      </c>
      <c r="AI63" s="137" t="str">
        <f t="shared" ref="AI63:AI71" si="268">IF(H63="A","Alta",IF(H63="M","Media","Baja"))</f>
        <v>Baja</v>
      </c>
      <c r="AJ63" s="137" t="str">
        <f t="shared" ref="AJ63:AJ71" si="269">IF(I63="A","Alta",IF(I63="M","Media","Baja"))</f>
        <v>Baja</v>
      </c>
      <c r="AK63" s="40"/>
      <c r="AL63" s="138">
        <f>IF(AB63=[1]Modelo!$F$7,[1]Modelo!$H$7,IF(AB63=[1]Modelo!$F$8,[1]Modelo!$H$8,IF(AB63=[1]Modelo!$F$9,[1]Modelo!$H$9,IF(AB63=[1]Modelo!$F$10,[1]Modelo!$H$10,IF(AB63=[1]Modelo!$F$11,[1]Modelo!$H$11,IF(AB63=[1]Modelo!$F$12,[1]Modelo!$H$12,IF(AB63=[1]Modelo!$F$13,[1]Modelo!$H$13,IF(AB63=[1]Modelo!$F$14,[1]Modelo!$H$14,IF(AB63=[1]Modelo!$F$15,[1]Modelo!$H$15,IF(AB63=[1]Modelo!$F$16,[1]Modelo!$H$16,IF(AB63=[1]Modelo!$F$17,[1]Modelo!$H$17,IF(AB63=[1]Modelo!$F$18,[1]Modelo!$H$18,IF(AB63=[1]Modelo!$F$19,[1]Modelo!$H$19,IF(AB63=[1]Modelo!$F$20,[1]Modelo!$H$20,IF(AB63=[1]Modelo!$F$21,[1]Modelo!$H$21,IF(AB63=[1]Modelo!$F$22,[1]Modelo!$H$22,0))))))))))))))))</f>
        <v>2.1</v>
      </c>
      <c r="AM63" s="138">
        <f>IF(AB63=[1]Modelo!$F$7,[1]Modelo!$I$7,IF(AB63=[1]Modelo!$F$8,[1]Modelo!$I$8,IF(AB63=[1]Modelo!$F$9,[1]Modelo!$I$9,IF(AB63=[1]Modelo!$F$10,[1]Modelo!$I$10,IF(AB63=[1]Modelo!$F$11,[1]Modelo!$I$11,IF(AB63=[1]Modelo!$F$12,[1]Modelo!$I$12,IF(AB63=[1]Modelo!$F$13,[1]Modelo!$I$13,IF(AB63=[1]Modelo!$F$14,[1]Modelo!$I$14,IF(AB63=[1]Modelo!$F$15,[1]Modelo!$I$15,IF(AB63=[1]Modelo!$F$16,[1]Modelo!$I$16,IF(AB63=[1]Modelo!$F$17,[1]Modelo!$I$17,IF(AB63=[1]Modelo!$F$18,[1]Modelo!$I$18,IF(AB63=[1]Modelo!$F$19,[1]Modelo!$I$19,IF(AB63=[1]Modelo!$F$20,[1]Modelo!$I$20,IF(AB63=[1]Modelo!$F$21,[1]Modelo!$I$21,IF(AB63=[1]Modelo!$F$22,[1]Modelo!$I$22,0))))))))))))))))</f>
        <v>0.7</v>
      </c>
      <c r="AN63" s="138">
        <f>IF(AC63=[1]Modelo!$F$23,[1]Modelo!$H$23,IF(AC63=[1]Modelo!$F$24,[1]Modelo!$H$24,IF(AC63=[1]Modelo!$F$25,[1]Modelo!$H$25,0)))</f>
        <v>1.2</v>
      </c>
      <c r="AO63" s="138">
        <f>IF(AD63=[1]Modelo!$F$26,[1]Modelo!$H$26,IF(AD63=[1]Modelo!$F$27,[1]Modelo!$H$27,IF(AD63=[1]Modelo!$F$28,[1]Modelo!$H$28,0)))</f>
        <v>0.2</v>
      </c>
      <c r="AP63" s="138">
        <f>IF(AE63=[1]Modelo!$F$30,[1]Modelo!$H$30,IF(AE63=[1]Modelo!$F$31,[1]Modelo!$H$31,IF(AE63=[1]Modelo!$F$32,[1]Modelo!$H$32,0)))</f>
        <v>0.8</v>
      </c>
      <c r="AQ63" s="138">
        <f>IF(AF63=[1]Modelo!$F$33,[1]Modelo!$H$33,IF(AF63=[1]Modelo!$F$34,[1]Modelo!$H$34,IF(AF63=[1]Modelo!$F$35,[1]Modelo!$H$35,0)))</f>
        <v>0.3</v>
      </c>
      <c r="AR63" s="138">
        <f>IF(AG63=[1]Modelo!$F$37,[1]Modelo!$H$37,IF(AG63=[1]Modelo!$F$38,[1]Modelo!$H$38,IF(AG63=[1]Modelo!$F$39,[1]Modelo!$H$39,0)))</f>
        <v>0.8</v>
      </c>
      <c r="AS63" s="138">
        <f>IF(AH63=[1]Modelo!$F$40,[1]Modelo!$H$40,IF(AH63=[1]Modelo!$F$41,[1]Modelo!$H$41,IF(AH63=[1]Modelo!$F$42,[1]Modelo!$H$42,0)))</f>
        <v>0.4</v>
      </c>
      <c r="AT63" s="137">
        <f>IF(C63=[1]Modelo!$F$44,[1]Modelo!$H$44,IF(C63=[1]Modelo!$F$45,[1]Modelo!$H$45,IF(C63=[1]Modelo!$F$46,[1]Modelo!$H$46,IF(C63=[1]Modelo!$F$47,[1]Modelo!$H$47,IF(C63=[1]Modelo!$F$48,[1]Modelo!$H$48,IF(C63=[1]Modelo!$F$49,[1]Modelo!$H$49,IF(C63=[1]Modelo!$F$50,[1]Modelo!$H$50,IF(C63=[1]Modelo!$F$51,[1]Modelo!$H$51,IF(C63=[1]Modelo!$F$52,[1]Modelo!$H$52,IF(C63=[1]Modelo!$F$53,[1]Modelo!$H$53,0))))))))))</f>
        <v>2</v>
      </c>
      <c r="AU63" s="138">
        <f>IF(AI63=[1]Modelo!$F$54,[1]Modelo!$H$54,IF(AI63=[1]Modelo!$F$55,[1]Modelo!$H$55,IF(AI63=[1]Modelo!$F$56,[1]Modelo!$H$56,0)))</f>
        <v>1</v>
      </c>
      <c r="AV63" s="138">
        <f>IF(AJ63=[1]Modelo!$F$58,[1]Modelo!$H$58,IF(AJ63=[1]Modelo!$F$59,[1]Modelo!$H$59,IF(AJ63=[1]Modelo!$F$60,[1]Modelo!$H$60,0)))</f>
        <v>0.9</v>
      </c>
      <c r="AW63" s="40"/>
      <c r="AX63" s="139">
        <f>[1]Modelo!$H$2</f>
        <v>0.05</v>
      </c>
      <c r="AY63" s="140">
        <f>ROUNDUP([1]Modelo!$I$2*[1]Modelo!$H$3*[1]Modelo!$I$75,2)</f>
        <v>0.02</v>
      </c>
      <c r="AZ63" s="141">
        <f>ROUNDUP([1]Modelo!$I$2*[1]Modelo!$H$3*[1]Modelo!$H$4*[1]Modelo!$I$75,3)</f>
        <v>3.0000000000000001E-3</v>
      </c>
      <c r="BA63" s="139">
        <f>[1]Modelo!$H$5</f>
        <v>0.04</v>
      </c>
      <c r="BB63" s="139">
        <f>ROUNDUP(SUM(BC63,BE63,BG63,BI63)*[1]Modelo!$H$6,1)</f>
        <v>1.5</v>
      </c>
      <c r="BC63" s="139">
        <f>ROUNDUP((AL63*AN63+0.1)*[1]Modelo!$I$75,1)</f>
        <v>2.7</v>
      </c>
      <c r="BD63" s="139">
        <f>ROUNDUP(AM63*AN63*AO63*[1]Modelo!$I$75,1)</f>
        <v>0.2</v>
      </c>
      <c r="BE63" s="139">
        <f>ROUNDUP(V63*[1]Modelo!$H$29*AP63*[1]Modelo!$I$75*2/3,1)</f>
        <v>1.1000000000000001</v>
      </c>
      <c r="BF63" s="139">
        <f>ROUNDUP(V63*[1]Modelo!$H$29*AP63*AQ63*[1]Modelo!$I$75*2/3,1)</f>
        <v>0.4</v>
      </c>
      <c r="BG63" s="139">
        <f>ROUNDUP(V63*[1]Modelo!$H$29*AP63*[1]Modelo!$I$75/3,1)</f>
        <v>0.6</v>
      </c>
      <c r="BH63" s="139">
        <f>ROUNDUP(V63*[1]Modelo!$H$29*AP63*AQ63*[1]Modelo!$I$75/3,1)</f>
        <v>0.2</v>
      </c>
      <c r="BI63" s="139">
        <f>ROUNDUP(W63*[1]Modelo!$H$36*AR63*[1]Modelo!$I$75,1)</f>
        <v>0</v>
      </c>
      <c r="BJ63" s="139">
        <f>ROUNDUP(W63*[1]Modelo!$H$36*AR63*AS63*[1]Modelo!$I$75,1)</f>
        <v>0</v>
      </c>
      <c r="BK63" s="139">
        <f>[1]Modelo!$H$43</f>
        <v>0.04</v>
      </c>
      <c r="BL63" s="139">
        <f>ROUNDUP(SUM(ROUNDUP(AL63*AN63+0.1,1),ROUNDUP(V63*[1]Modelo!$H$29*AP63,1),ROUNDUP(W63*[1]Modelo!$H$36*AR63,1))*AU63*AT63*[1]Modelo!$I$75,1)</f>
        <v>8.6</v>
      </c>
      <c r="BM63" s="139">
        <f t="shared" ref="BM63:BM71" si="270">IF(K$32="x",0, BL63*0.1*1.25)</f>
        <v>0</v>
      </c>
      <c r="BN63" s="139">
        <f t="shared" ref="BN63:BN71" si="271">IF(Q63="x",(BL63)*0.1,0)</f>
        <v>0</v>
      </c>
      <c r="BO63" s="139">
        <f t="shared" ref="BO63:BO71" si="272">IF(R63="x",(BL63)*0.12,0)</f>
        <v>0</v>
      </c>
      <c r="BP63" s="139">
        <f t="shared" ref="BP63:BP71" si="273">IF(S63="x",(BL63)*0.12,0)*4</f>
        <v>0</v>
      </c>
      <c r="BQ63" s="139">
        <f>ROUNDUP(SUM(ROUNDUP(AL63*AN63+0.1,1),ROUNDUP(V63*[1]Modelo!$H$29*AP63,1),ROUNDUP(W63*[1]Modelo!$H$36*AR63,1))*AT63*AV63*[1]Modelo!$H$57,1)</f>
        <v>3.5</v>
      </c>
      <c r="BR63" s="409">
        <v>0</v>
      </c>
      <c r="BS63" s="139">
        <f>[1]Modelo!$H$61</f>
        <v>0.04</v>
      </c>
      <c r="BT63" s="139">
        <f>ROUNDUP(SUM(ROUNDUP(AL63*AN63+0.1,1),ROUNDUP(V63*[1]Modelo!$H$29*AP63,1),ROUNDUP(W63*[1]Modelo!$H$36*AR63,1))*[1]Modelo!$H$62*[1]Modelo!$I$75,1)</f>
        <v>0.30000000000000004</v>
      </c>
      <c r="BU63" s="139">
        <f>ROUNDUP(ROUNDUP(SUM(ROUNDUP(AL63*AN63+0.1,1),ROUNDUP(V63*[1]Modelo!$H$29*AP63,1),ROUNDUP(W63*[1]Modelo!$H$36*AR63,1))*[1]Modelo!$H$62,1)*[1]Modelo!$H$63*[1]Modelo!$I$75,1)</f>
        <v>0.1</v>
      </c>
      <c r="BV63" s="139">
        <f>SUM(ROUNDUP(AL63*AN63+0.1,1),ROUNDUP(V63*[1]Modelo!$H$29*AP63,1),ROUNDUP(W63*[1]Modelo!$H$36*AR63,1))*[1]Modelo!$H$64*[1]Modelo!$I$75</f>
        <v>0.86000000000000021</v>
      </c>
      <c r="BW63" s="139">
        <f>ROUNDUP(SUM(ROUNDUP(AL63*AN63+0.1,1),ROUNDUP(V63*[1]Modelo!$H$29*AP63,1),ROUNDUP(W63*[1]Modelo!$H$36*AR63,1))*[1]Modelo!$H$64*[1]Modelo!$H$65*[1]Modelo!$I$75,1)</f>
        <v>0.5</v>
      </c>
      <c r="BX63" s="139">
        <f>[1]Modelo!$H$66</f>
        <v>0.04</v>
      </c>
      <c r="BY63" s="139">
        <f>ROUNDUP(SUM(ROUNDUP(AL63*AN63+0.1,1),ROUNDUP(V63*[1]Modelo!$H$29*AP63,1),ROUNDUP(W63*[1]Modelo!$H$36*AR63,1))*[1]Modelo!$H$69,1)</f>
        <v>1</v>
      </c>
      <c r="BZ63" s="139">
        <f>ROUNDUP(ROUNDUP(SUM(ROUNDUP(AL63*AN63+0.1,1),ROUNDUP(V63*[1]Modelo!$H$29*AP63,1),ROUNDUP(W63*[1]Modelo!$H$36*AR63,1))*[1]Modelo!$H$62,1)*[1]Modelo!$H$71,1)</f>
        <v>0.6</v>
      </c>
      <c r="CA63" s="142">
        <f t="shared" ref="CA63:CA71" si="274">SUM(AX63:BZ63)</f>
        <v>22.393000000000004</v>
      </c>
      <c r="CB63" s="27"/>
      <c r="CC63" s="27">
        <f t="shared" ref="CC63:CC71" si="275">CD63*0.85</f>
        <v>10.285</v>
      </c>
      <c r="CD63" s="109">
        <f t="shared" ref="CD63:CD71" si="276">O63</f>
        <v>12.1</v>
      </c>
      <c r="CE63" s="27">
        <f t="shared" ref="CE63:CE71" si="277">IF(CD63=0,1,CD63*1.4)</f>
        <v>16.939999999999998</v>
      </c>
      <c r="CF63" s="27"/>
      <c r="CG63" s="126">
        <v>0</v>
      </c>
      <c r="CH63" s="27"/>
      <c r="CI63" s="27">
        <f t="shared" ref="CI63:CI71" si="278">IF(CF63&lt;&gt;"",CF63,CG63)</f>
        <v>0</v>
      </c>
      <c r="CJ63" s="27"/>
      <c r="CK63" s="27"/>
      <c r="CL63" s="27"/>
      <c r="CM63" s="27"/>
      <c r="CN63" s="27"/>
      <c r="CO63" s="27"/>
      <c r="CP63" s="27"/>
      <c r="CQ63" s="27"/>
      <c r="CR63" s="27"/>
      <c r="CS63" s="27"/>
      <c r="CT63" s="27"/>
      <c r="CU63" s="27"/>
      <c r="CV63" s="27"/>
      <c r="CW63" s="27"/>
      <c r="CX63" s="27"/>
      <c r="CY63" s="27"/>
      <c r="CZ63" s="27"/>
      <c r="DA63" s="27"/>
      <c r="DB63" s="27"/>
      <c r="DC63" s="27"/>
    </row>
    <row r="64" spans="3:107" s="20" customFormat="1" ht="23" customHeight="1" outlineLevel="2" thickBot="1" x14ac:dyDescent="0.35">
      <c r="C64" s="388" t="s">
        <v>103</v>
      </c>
      <c r="D64" s="461" t="s">
        <v>18</v>
      </c>
      <c r="E64" s="461" t="str">
        <f t="shared" ref="E64" si="279">IF(U64&gt;50,"A",IF(U64&gt;15,"M","B"))</f>
        <v>M</v>
      </c>
      <c r="F64" s="461" t="s">
        <v>423</v>
      </c>
      <c r="G64" s="461" t="s">
        <v>423</v>
      </c>
      <c r="H64" s="461" t="str">
        <f t="shared" ref="H64" si="280">IF(V64+W64&gt;20,"A",IF(V64+W64&gt;5,"M","B"))</f>
        <v>B</v>
      </c>
      <c r="I64" s="461" t="str">
        <f t="shared" ref="I64" si="281">IF(V64+W64&gt;15,"A",IF(V64+W64&gt;4,"M","B"))</f>
        <v>B</v>
      </c>
      <c r="J64" s="425">
        <f t="shared" ref="J64" si="282">V64+W64</f>
        <v>1</v>
      </c>
      <c r="K64" s="503" t="str">
        <f t="shared" ref="K64" si="283">AB64</f>
        <v>Mediana 1</v>
      </c>
      <c r="L64" s="543" t="s">
        <v>770</v>
      </c>
      <c r="M64" s="532">
        <f>BL64+BM64+BN64+BO64+BP64</f>
        <v>5.4</v>
      </c>
      <c r="N64" s="532">
        <f>BQ64</f>
        <v>2.2000000000000002</v>
      </c>
      <c r="O64" s="538">
        <f>SUM(M64,N64)</f>
        <v>7.6000000000000005</v>
      </c>
      <c r="P64" s="58"/>
      <c r="Q64" s="462"/>
      <c r="R64" s="462"/>
      <c r="S64" s="462"/>
      <c r="T64" s="109"/>
      <c r="U64" s="144">
        <v>30</v>
      </c>
      <c r="V64" s="144">
        <v>1</v>
      </c>
      <c r="W64" s="144">
        <v>0</v>
      </c>
      <c r="X64" s="463"/>
      <c r="Y64" s="463" t="str">
        <f t="shared" ref="Y64" si="284">CONCATENATE(C64,LEFT(K64,5),J64)</f>
        <v>ReporteMedia1</v>
      </c>
      <c r="Z64" s="135">
        <f>VLOOKUP(Y64,[1]Modelo!$G$82:$H$281,2,FALSE)</f>
        <v>186</v>
      </c>
      <c r="AA64" s="463"/>
      <c r="AB64" s="137" t="str">
        <f t="shared" ref="AB64" si="285">IF(AND(U64&gt;=0,U64&lt;=6),"Chica 1",IF(AND(U64&gt;=7,U64&lt;=12),"Chica 2",IF(AND(U64&gt;=13,U64&lt;=18),"Chica 3",IF(AND(U64&gt;=19,U64&lt;=24),"Chica 4",IF(AND(U64&gt;=25,U64&lt;=30),"Mediana 1",IF(AND(U64&gt;=31,U64&lt;=36),"Mediana 2",IF(AND(U64&gt;=37,U64&lt;=42),"Mediana 3",IF(AND(U64&gt;=43,U64&lt;=48),"Mediana 4",IF(AND(U64&gt;=49,U64&lt;=54),"Grande 1",IF(AND(U64&gt;=55,U64&lt;=60),"Grande 2",IF(AND(U64&gt;=61,U64&lt;=66),"Grande 3",IF(AND(U64&gt;=67,U64&lt;=72),"Grande 4",IF(AND(U64&gt;=73,U64&lt;=78),"M. grande 1",IF(AND(U64&gt;=79,U64&lt;=84),"M. grande 2",IF(AND(U64&gt;=85,U64&lt;=90),"M. grande 3",IF(AND(U64&gt;=91,U64&lt;=96),"M. grande 4","NO DEF"))))))))))))))))</f>
        <v>Mediana 1</v>
      </c>
      <c r="AC64" s="137" t="str">
        <f t="shared" ref="AC64" si="286">IF(E64="A","Alta",IF(E64="M","Media","Baja"))</f>
        <v>Media</v>
      </c>
      <c r="AD64" s="137" t="str">
        <f t="shared" ref="AD64" si="287">IF(E64="A","Alta",IF(E64="M","Media","Baja"))</f>
        <v>Media</v>
      </c>
      <c r="AE64" s="137" t="str">
        <f t="shared" ref="AE64" si="288">IF(F64="A","Alta",IF(F64="M","Media","Baja"))</f>
        <v>Baja</v>
      </c>
      <c r="AF64" s="137" t="str">
        <f t="shared" ref="AF64" si="289">IF(F64="A","Alta",IF(F64="M","Media","Baja"))</f>
        <v>Baja</v>
      </c>
      <c r="AG64" s="137" t="str">
        <f t="shared" ref="AG64" si="290">IF(G64="A","Alta",IF(G64="M","Media","Baja"))</f>
        <v>Baja</v>
      </c>
      <c r="AH64" s="137" t="str">
        <f t="shared" ref="AH64" si="291">IF(G64="A","Alta",IF(G64="M","Media","Baja"))</f>
        <v>Baja</v>
      </c>
      <c r="AI64" s="137" t="str">
        <f t="shared" ref="AI64" si="292">IF(H64="A","Alta",IF(H64="M","Media","Baja"))</f>
        <v>Baja</v>
      </c>
      <c r="AJ64" s="137" t="str">
        <f t="shared" ref="AJ64" si="293">IF(I64="A","Alta",IF(I64="M","Media","Baja"))</f>
        <v>Baja</v>
      </c>
      <c r="AK64" s="40"/>
      <c r="AL64" s="138">
        <f>IF(AB64=[1]Modelo!$F$7,[1]Modelo!$H$7,IF(AB64=[1]Modelo!$F$8,[1]Modelo!$H$8,IF(AB64=[1]Modelo!$F$9,[1]Modelo!$H$9,IF(AB64=[1]Modelo!$F$10,[1]Modelo!$H$10,IF(AB64=[1]Modelo!$F$11,[1]Modelo!$H$11,IF(AB64=[1]Modelo!$F$12,[1]Modelo!$H$12,IF(AB64=[1]Modelo!$F$13,[1]Modelo!$H$13,IF(AB64=[1]Modelo!$F$14,[1]Modelo!$H$14,IF(AB64=[1]Modelo!$F$15,[1]Modelo!$H$15,IF(AB64=[1]Modelo!$F$16,[1]Modelo!$H$16,IF(AB64=[1]Modelo!$F$17,[1]Modelo!$H$17,IF(AB64=[1]Modelo!$F$18,[1]Modelo!$H$18,IF(AB64=[1]Modelo!$F$19,[1]Modelo!$H$19,IF(AB64=[1]Modelo!$F$20,[1]Modelo!$H$20,IF(AB64=[1]Modelo!$F$21,[1]Modelo!$H$21,IF(AB64=[1]Modelo!$F$22,[1]Modelo!$H$22,0))))))))))))))))</f>
        <v>1.5</v>
      </c>
      <c r="AM64" s="138">
        <f>IF(AB64=[1]Modelo!$F$7,[1]Modelo!$I$7,IF(AB64=[1]Modelo!$F$8,[1]Modelo!$I$8,IF(AB64=[1]Modelo!$F$9,[1]Modelo!$I$9,IF(AB64=[1]Modelo!$F$10,[1]Modelo!$I$10,IF(AB64=[1]Modelo!$F$11,[1]Modelo!$I$11,IF(AB64=[1]Modelo!$F$12,[1]Modelo!$I$12,IF(AB64=[1]Modelo!$F$13,[1]Modelo!$I$13,IF(AB64=[1]Modelo!$F$14,[1]Modelo!$I$14,IF(AB64=[1]Modelo!$F$15,[1]Modelo!$I$15,IF(AB64=[1]Modelo!$F$16,[1]Modelo!$I$16,IF(AB64=[1]Modelo!$F$17,[1]Modelo!$I$17,IF(AB64=[1]Modelo!$F$18,[1]Modelo!$I$18,IF(AB64=[1]Modelo!$F$19,[1]Modelo!$I$19,IF(AB64=[1]Modelo!$F$20,[1]Modelo!$I$20,IF(AB64=[1]Modelo!$F$21,[1]Modelo!$I$21,IF(AB64=[1]Modelo!$F$22,[1]Modelo!$I$22,0))))))))))))))))</f>
        <v>0.5</v>
      </c>
      <c r="AN64" s="138">
        <f>IF(AC64=[1]Modelo!$F$23,[1]Modelo!$H$23,IF(AC64=[1]Modelo!$F$24,[1]Modelo!$H$24,IF(AC64=[1]Modelo!$F$25,[1]Modelo!$H$25,0)))</f>
        <v>1.2</v>
      </c>
      <c r="AO64" s="138">
        <f>IF(AD64=[1]Modelo!$F$26,[1]Modelo!$H$26,IF(AD64=[1]Modelo!$F$27,[1]Modelo!$H$27,IF(AD64=[1]Modelo!$F$28,[1]Modelo!$H$28,0)))</f>
        <v>0.2</v>
      </c>
      <c r="AP64" s="138">
        <f>IF(AE64=[1]Modelo!$F$30,[1]Modelo!$H$30,IF(AE64=[1]Modelo!$F$31,[1]Modelo!$H$31,IF(AE64=[1]Modelo!$F$32,[1]Modelo!$H$32,0)))</f>
        <v>0.8</v>
      </c>
      <c r="AQ64" s="138">
        <f>IF(AF64=[1]Modelo!$F$33,[1]Modelo!$H$33,IF(AF64=[1]Modelo!$F$34,[1]Modelo!$H$34,IF(AF64=[1]Modelo!$F$35,[1]Modelo!$H$35,0)))</f>
        <v>0.3</v>
      </c>
      <c r="AR64" s="138">
        <f>IF(AG64=[1]Modelo!$F$37,[1]Modelo!$H$37,IF(AG64=[1]Modelo!$F$38,[1]Modelo!$H$38,IF(AG64=[1]Modelo!$F$39,[1]Modelo!$H$39,0)))</f>
        <v>0.8</v>
      </c>
      <c r="AS64" s="138">
        <f>IF(AH64=[1]Modelo!$F$40,[1]Modelo!$H$40,IF(AH64=[1]Modelo!$F$41,[1]Modelo!$H$41,IF(AH64=[1]Modelo!$F$42,[1]Modelo!$H$42,0)))</f>
        <v>0.4</v>
      </c>
      <c r="AT64" s="137">
        <f>IF(C64=[1]Modelo!$F$44,[1]Modelo!$H$44,IF(C64=[1]Modelo!$F$45,[1]Modelo!$H$45,IF(C64=[1]Modelo!$F$46,[1]Modelo!$H$46,IF(C64=[1]Modelo!$F$47,[1]Modelo!$H$47,IF(C64=[1]Modelo!$F$48,[1]Modelo!$H$48,IF(C64=[1]Modelo!$F$49,[1]Modelo!$H$49,IF(C64=[1]Modelo!$F$50,[1]Modelo!$H$50,IF(C64=[1]Modelo!$F$51,[1]Modelo!$H$51,IF(C64=[1]Modelo!$F$52,[1]Modelo!$H$52,IF(C64=[1]Modelo!$F$53,[1]Modelo!$H$53,0))))))))))</f>
        <v>2</v>
      </c>
      <c r="AU64" s="138">
        <f>IF(AI64=[1]Modelo!$F$54,[1]Modelo!$H$54,IF(AI64=[1]Modelo!$F$55,[1]Modelo!$H$55,IF(AI64=[1]Modelo!$F$56,[1]Modelo!$H$56,0)))</f>
        <v>1</v>
      </c>
      <c r="AV64" s="138">
        <f>IF(AJ64=[1]Modelo!$F$58,[1]Modelo!$H$58,IF(AJ64=[1]Modelo!$F$59,[1]Modelo!$H$59,IF(AJ64=[1]Modelo!$F$60,[1]Modelo!$H$60,0)))</f>
        <v>0.9</v>
      </c>
      <c r="AW64" s="40"/>
      <c r="AX64" s="139">
        <f>[1]Modelo!$H$2</f>
        <v>0.05</v>
      </c>
      <c r="AY64" s="140">
        <f>ROUNDUP([1]Modelo!$I$2*[1]Modelo!$H$3*[1]Modelo!$I$75,2)</f>
        <v>0.02</v>
      </c>
      <c r="AZ64" s="141">
        <f>ROUNDUP([1]Modelo!$I$2*[1]Modelo!$H$3*[1]Modelo!$H$4*[1]Modelo!$I$75,3)</f>
        <v>3.0000000000000001E-3</v>
      </c>
      <c r="BA64" s="139">
        <f>[1]Modelo!$H$5</f>
        <v>0.04</v>
      </c>
      <c r="BB64" s="139">
        <f>ROUNDUP(SUM(BC64,BE64,BG64,BI64)*[1]Modelo!$H$6,1)</f>
        <v>1</v>
      </c>
      <c r="BC64" s="139">
        <f>ROUNDUP((AL64*AN64+0.1)*[1]Modelo!$I$75,1)</f>
        <v>1.9</v>
      </c>
      <c r="BD64" s="139">
        <f>ROUNDUP(AM64*AN64*AO64*[1]Modelo!$I$75,1)</f>
        <v>0.2</v>
      </c>
      <c r="BE64" s="139">
        <f>ROUNDUP(V64*[1]Modelo!$H$29*AP64*[1]Modelo!$I$75*2/3,1)</f>
        <v>0.6</v>
      </c>
      <c r="BF64" s="139">
        <f>ROUNDUP(V64*[1]Modelo!$H$29*AP64*AQ64*[1]Modelo!$I$75*2/3,1)</f>
        <v>0.2</v>
      </c>
      <c r="BG64" s="139">
        <f>ROUNDUP(V64*[1]Modelo!$H$29*AP64*[1]Modelo!$I$75/3,1)</f>
        <v>0.30000000000000004</v>
      </c>
      <c r="BH64" s="139">
        <f>ROUNDUP(V64*[1]Modelo!$H$29*AP64*AQ64*[1]Modelo!$I$75/3,1)</f>
        <v>0.1</v>
      </c>
      <c r="BI64" s="139">
        <f>ROUNDUP(W64*[1]Modelo!$H$36*AR64*[1]Modelo!$I$75,1)</f>
        <v>0</v>
      </c>
      <c r="BJ64" s="139">
        <f>ROUNDUP(W64*[1]Modelo!$H$36*AR64*AS64*[1]Modelo!$I$75,1)</f>
        <v>0</v>
      </c>
      <c r="BK64" s="139">
        <f>[1]Modelo!$H$43</f>
        <v>0.04</v>
      </c>
      <c r="BL64" s="139">
        <f>ROUNDUP(SUM(ROUNDUP(AL64*AN64+0.1,1),ROUNDUP(V64*[1]Modelo!$H$29*AP64,1),ROUNDUP(W64*[1]Modelo!$H$36*AR64,1))*AU64*AT64*[1]Modelo!$I$75,1)</f>
        <v>5.4</v>
      </c>
      <c r="BM64" s="139">
        <f t="shared" ref="BM64" si="294">IF(K$32="x",0, BL64*0.1*1.25)</f>
        <v>0</v>
      </c>
      <c r="BN64" s="139">
        <f t="shared" ref="BN64" si="295">IF(Q64="x",(BL64)*0.1,0)</f>
        <v>0</v>
      </c>
      <c r="BO64" s="139">
        <f t="shared" ref="BO64" si="296">IF(R64="x",(BL64)*0.12,0)</f>
        <v>0</v>
      </c>
      <c r="BP64" s="139">
        <f t="shared" ref="BP64" si="297">IF(S64="x",(BL64)*0.12,0)*4</f>
        <v>0</v>
      </c>
      <c r="BQ64" s="139">
        <f>ROUNDUP(SUM(ROUNDUP(AL64*AN64+0.1,1),ROUNDUP(V64*[1]Modelo!$H$29*AP64,1),ROUNDUP(W64*[1]Modelo!$H$36*AR64,1))*AT64*AV64*[1]Modelo!$H$57,1)</f>
        <v>2.2000000000000002</v>
      </c>
      <c r="BR64" s="409">
        <v>0</v>
      </c>
      <c r="BS64" s="139">
        <f>[1]Modelo!$H$61</f>
        <v>0.04</v>
      </c>
      <c r="BT64" s="139">
        <f>ROUNDUP(SUM(ROUNDUP(AL64*AN64+0.1,1),ROUNDUP(V64*[1]Modelo!$H$29*AP64,1),ROUNDUP(W64*[1]Modelo!$H$36*AR64,1))*[1]Modelo!$H$62*[1]Modelo!$I$75,1)</f>
        <v>0.2</v>
      </c>
      <c r="BU64" s="139">
        <f>ROUNDUP(ROUNDUP(SUM(ROUNDUP(AL64*AN64+0.1,1),ROUNDUP(V64*[1]Modelo!$H$29*AP64,1),ROUNDUP(W64*[1]Modelo!$H$36*AR64,1))*[1]Modelo!$H$62,1)*[1]Modelo!$H$63*[1]Modelo!$I$75,1)</f>
        <v>0.1</v>
      </c>
      <c r="BV64" s="139">
        <f>SUM(ROUNDUP(AL64*AN64+0.1,1),ROUNDUP(V64*[1]Modelo!$H$29*AP64,1),ROUNDUP(W64*[1]Modelo!$H$36*AR64,1))*[1]Modelo!$H$64*[1]Modelo!$I$75</f>
        <v>0.54</v>
      </c>
      <c r="BW64" s="139">
        <f>ROUNDUP(SUM(ROUNDUP(AL64*AN64+0.1,1),ROUNDUP(V64*[1]Modelo!$H$29*AP64,1),ROUNDUP(W64*[1]Modelo!$H$36*AR64,1))*[1]Modelo!$H$64*[1]Modelo!$H$65*[1]Modelo!$I$75,1)</f>
        <v>0.30000000000000004</v>
      </c>
      <c r="BX64" s="139">
        <f>[1]Modelo!$H$66</f>
        <v>0.04</v>
      </c>
      <c r="BY64" s="139">
        <f>ROUNDUP(SUM(ROUNDUP(AL64*AN64+0.1,1),ROUNDUP(V64*[1]Modelo!$H$29*AP64,1),ROUNDUP(W64*[1]Modelo!$H$36*AR64,1))*[1]Modelo!$H$69,1)</f>
        <v>0.6</v>
      </c>
      <c r="BZ64" s="139">
        <f>ROUNDUP(ROUNDUP(SUM(ROUNDUP(AL64*AN64+0.1,1),ROUNDUP(V64*[1]Modelo!$H$29*AP64,1),ROUNDUP(W64*[1]Modelo!$H$36*AR64,1))*[1]Modelo!$H$62,1)*[1]Modelo!$H$71,1)</f>
        <v>0.4</v>
      </c>
      <c r="CA64" s="142">
        <f t="shared" ref="CA64" si="298">SUM(AX64:BZ64)</f>
        <v>14.273</v>
      </c>
      <c r="CB64" s="27"/>
      <c r="CC64" s="27">
        <f t="shared" ref="CC64" si="299">CD64*0.85</f>
        <v>6.46</v>
      </c>
      <c r="CD64" s="109">
        <f t="shared" ref="CD64" si="300">O64</f>
        <v>7.6000000000000005</v>
      </c>
      <c r="CE64" s="27">
        <f t="shared" ref="CE64" si="301">IF(CD64=0,1,CD64*1.4)</f>
        <v>10.64</v>
      </c>
      <c r="CF64" s="27"/>
      <c r="CG64" s="126">
        <v>0</v>
      </c>
      <c r="CH64" s="27"/>
      <c r="CI64" s="27">
        <f t="shared" ref="CI64" si="302">IF(CF64&lt;&gt;"",CF64,CG64)</f>
        <v>0</v>
      </c>
      <c r="CJ64" s="27"/>
      <c r="CK64" s="27"/>
      <c r="CL64" s="27"/>
      <c r="CM64" s="27"/>
      <c r="CN64" s="27"/>
      <c r="CO64" s="27"/>
      <c r="CP64" s="27"/>
      <c r="CQ64" s="27"/>
      <c r="CR64" s="27"/>
      <c r="CS64" s="27"/>
      <c r="CT64" s="27"/>
      <c r="CU64" s="27"/>
      <c r="CV64" s="27"/>
      <c r="CW64" s="27"/>
      <c r="CX64" s="27"/>
      <c r="CY64" s="27"/>
      <c r="CZ64" s="27"/>
      <c r="DA64" s="27"/>
      <c r="DB64" s="27"/>
      <c r="DC64" s="27"/>
    </row>
    <row r="65" spans="3:107" s="20" customFormat="1" ht="45.5" customHeight="1" outlineLevel="2" thickBot="1" x14ac:dyDescent="0.35">
      <c r="C65" s="388" t="s">
        <v>103</v>
      </c>
      <c r="D65" s="461" t="s">
        <v>18</v>
      </c>
      <c r="E65" s="461" t="str">
        <f t="shared" ref="E65" si="303">IF(U65&gt;50,"A",IF(U65&gt;15,"M","B"))</f>
        <v>M</v>
      </c>
      <c r="F65" s="461" t="s">
        <v>423</v>
      </c>
      <c r="G65" s="461" t="s">
        <v>423</v>
      </c>
      <c r="H65" s="461" t="str">
        <f t="shared" ref="H65" si="304">IF(V65+W65&gt;20,"A",IF(V65+W65&gt;5,"M","B"))</f>
        <v>B</v>
      </c>
      <c r="I65" s="461" t="str">
        <f t="shared" ref="I65" si="305">IF(V65+W65&gt;15,"A",IF(V65+W65&gt;4,"M","B"))</f>
        <v>B</v>
      </c>
      <c r="J65" s="425">
        <f t="shared" ref="J65" si="306">V65+W65</f>
        <v>1</v>
      </c>
      <c r="K65" s="503" t="str">
        <f t="shared" ref="K65" si="307">AB65</f>
        <v>Mediana 1</v>
      </c>
      <c r="L65" s="543" t="s">
        <v>771</v>
      </c>
      <c r="M65" s="532">
        <f>BL65+BM65+BN65+BO65+BP65</f>
        <v>5.4</v>
      </c>
      <c r="N65" s="532">
        <f>BQ65</f>
        <v>2.2000000000000002</v>
      </c>
      <c r="O65" s="538">
        <f>SUM(M65,N65)</f>
        <v>7.6000000000000005</v>
      </c>
      <c r="P65" s="58"/>
      <c r="Q65" s="462"/>
      <c r="R65" s="462"/>
      <c r="S65" s="462"/>
      <c r="T65" s="109"/>
      <c r="U65" s="144">
        <v>30</v>
      </c>
      <c r="V65" s="144">
        <v>1</v>
      </c>
      <c r="W65" s="144">
        <v>0</v>
      </c>
      <c r="X65" s="463"/>
      <c r="Y65" s="463" t="str">
        <f t="shared" ref="Y65" si="308">CONCATENATE(C65,LEFT(K65,5),J65)</f>
        <v>ReporteMedia1</v>
      </c>
      <c r="Z65" s="135">
        <f>VLOOKUP(Y65,[1]Modelo!$G$82:$H$281,2,FALSE)</f>
        <v>186</v>
      </c>
      <c r="AA65" s="463"/>
      <c r="AB65" s="137" t="str">
        <f t="shared" ref="AB65" si="309">IF(AND(U65&gt;=0,U65&lt;=6),"Chica 1",IF(AND(U65&gt;=7,U65&lt;=12),"Chica 2",IF(AND(U65&gt;=13,U65&lt;=18),"Chica 3",IF(AND(U65&gt;=19,U65&lt;=24),"Chica 4",IF(AND(U65&gt;=25,U65&lt;=30),"Mediana 1",IF(AND(U65&gt;=31,U65&lt;=36),"Mediana 2",IF(AND(U65&gt;=37,U65&lt;=42),"Mediana 3",IF(AND(U65&gt;=43,U65&lt;=48),"Mediana 4",IF(AND(U65&gt;=49,U65&lt;=54),"Grande 1",IF(AND(U65&gt;=55,U65&lt;=60),"Grande 2",IF(AND(U65&gt;=61,U65&lt;=66),"Grande 3",IF(AND(U65&gt;=67,U65&lt;=72),"Grande 4",IF(AND(U65&gt;=73,U65&lt;=78),"M. grande 1",IF(AND(U65&gt;=79,U65&lt;=84),"M. grande 2",IF(AND(U65&gt;=85,U65&lt;=90),"M. grande 3",IF(AND(U65&gt;=91,U65&lt;=96),"M. grande 4","NO DEF"))))))))))))))))</f>
        <v>Mediana 1</v>
      </c>
      <c r="AC65" s="137" t="str">
        <f t="shared" ref="AC65" si="310">IF(E65="A","Alta",IF(E65="M","Media","Baja"))</f>
        <v>Media</v>
      </c>
      <c r="AD65" s="137" t="str">
        <f t="shared" ref="AD65" si="311">IF(E65="A","Alta",IF(E65="M","Media","Baja"))</f>
        <v>Media</v>
      </c>
      <c r="AE65" s="137" t="str">
        <f t="shared" ref="AE65" si="312">IF(F65="A","Alta",IF(F65="M","Media","Baja"))</f>
        <v>Baja</v>
      </c>
      <c r="AF65" s="137" t="str">
        <f t="shared" ref="AF65" si="313">IF(F65="A","Alta",IF(F65="M","Media","Baja"))</f>
        <v>Baja</v>
      </c>
      <c r="AG65" s="137" t="str">
        <f t="shared" ref="AG65" si="314">IF(G65="A","Alta",IF(G65="M","Media","Baja"))</f>
        <v>Baja</v>
      </c>
      <c r="AH65" s="137" t="str">
        <f t="shared" ref="AH65" si="315">IF(G65="A","Alta",IF(G65="M","Media","Baja"))</f>
        <v>Baja</v>
      </c>
      <c r="AI65" s="137" t="str">
        <f t="shared" ref="AI65" si="316">IF(H65="A","Alta",IF(H65="M","Media","Baja"))</f>
        <v>Baja</v>
      </c>
      <c r="AJ65" s="137" t="str">
        <f t="shared" ref="AJ65" si="317">IF(I65="A","Alta",IF(I65="M","Media","Baja"))</f>
        <v>Baja</v>
      </c>
      <c r="AK65" s="40"/>
      <c r="AL65" s="138">
        <f>IF(AB65=[1]Modelo!$F$7,[1]Modelo!$H$7,IF(AB65=[1]Modelo!$F$8,[1]Modelo!$H$8,IF(AB65=[1]Modelo!$F$9,[1]Modelo!$H$9,IF(AB65=[1]Modelo!$F$10,[1]Modelo!$H$10,IF(AB65=[1]Modelo!$F$11,[1]Modelo!$H$11,IF(AB65=[1]Modelo!$F$12,[1]Modelo!$H$12,IF(AB65=[1]Modelo!$F$13,[1]Modelo!$H$13,IF(AB65=[1]Modelo!$F$14,[1]Modelo!$H$14,IF(AB65=[1]Modelo!$F$15,[1]Modelo!$H$15,IF(AB65=[1]Modelo!$F$16,[1]Modelo!$H$16,IF(AB65=[1]Modelo!$F$17,[1]Modelo!$H$17,IF(AB65=[1]Modelo!$F$18,[1]Modelo!$H$18,IF(AB65=[1]Modelo!$F$19,[1]Modelo!$H$19,IF(AB65=[1]Modelo!$F$20,[1]Modelo!$H$20,IF(AB65=[1]Modelo!$F$21,[1]Modelo!$H$21,IF(AB65=[1]Modelo!$F$22,[1]Modelo!$H$22,0))))))))))))))))</f>
        <v>1.5</v>
      </c>
      <c r="AM65" s="138">
        <f>IF(AB65=[1]Modelo!$F$7,[1]Modelo!$I$7,IF(AB65=[1]Modelo!$F$8,[1]Modelo!$I$8,IF(AB65=[1]Modelo!$F$9,[1]Modelo!$I$9,IF(AB65=[1]Modelo!$F$10,[1]Modelo!$I$10,IF(AB65=[1]Modelo!$F$11,[1]Modelo!$I$11,IF(AB65=[1]Modelo!$F$12,[1]Modelo!$I$12,IF(AB65=[1]Modelo!$F$13,[1]Modelo!$I$13,IF(AB65=[1]Modelo!$F$14,[1]Modelo!$I$14,IF(AB65=[1]Modelo!$F$15,[1]Modelo!$I$15,IF(AB65=[1]Modelo!$F$16,[1]Modelo!$I$16,IF(AB65=[1]Modelo!$F$17,[1]Modelo!$I$17,IF(AB65=[1]Modelo!$F$18,[1]Modelo!$I$18,IF(AB65=[1]Modelo!$F$19,[1]Modelo!$I$19,IF(AB65=[1]Modelo!$F$20,[1]Modelo!$I$20,IF(AB65=[1]Modelo!$F$21,[1]Modelo!$I$21,IF(AB65=[1]Modelo!$F$22,[1]Modelo!$I$22,0))))))))))))))))</f>
        <v>0.5</v>
      </c>
      <c r="AN65" s="138">
        <f>IF(AC65=[1]Modelo!$F$23,[1]Modelo!$H$23,IF(AC65=[1]Modelo!$F$24,[1]Modelo!$H$24,IF(AC65=[1]Modelo!$F$25,[1]Modelo!$H$25,0)))</f>
        <v>1.2</v>
      </c>
      <c r="AO65" s="138">
        <f>IF(AD65=[1]Modelo!$F$26,[1]Modelo!$H$26,IF(AD65=[1]Modelo!$F$27,[1]Modelo!$H$27,IF(AD65=[1]Modelo!$F$28,[1]Modelo!$H$28,0)))</f>
        <v>0.2</v>
      </c>
      <c r="AP65" s="138">
        <f>IF(AE65=[1]Modelo!$F$30,[1]Modelo!$H$30,IF(AE65=[1]Modelo!$F$31,[1]Modelo!$H$31,IF(AE65=[1]Modelo!$F$32,[1]Modelo!$H$32,0)))</f>
        <v>0.8</v>
      </c>
      <c r="AQ65" s="138">
        <f>IF(AF65=[1]Modelo!$F$33,[1]Modelo!$H$33,IF(AF65=[1]Modelo!$F$34,[1]Modelo!$H$34,IF(AF65=[1]Modelo!$F$35,[1]Modelo!$H$35,0)))</f>
        <v>0.3</v>
      </c>
      <c r="AR65" s="138">
        <f>IF(AG65=[1]Modelo!$F$37,[1]Modelo!$H$37,IF(AG65=[1]Modelo!$F$38,[1]Modelo!$H$38,IF(AG65=[1]Modelo!$F$39,[1]Modelo!$H$39,0)))</f>
        <v>0.8</v>
      </c>
      <c r="AS65" s="138">
        <f>IF(AH65=[1]Modelo!$F$40,[1]Modelo!$H$40,IF(AH65=[1]Modelo!$F$41,[1]Modelo!$H$41,IF(AH65=[1]Modelo!$F$42,[1]Modelo!$H$42,0)))</f>
        <v>0.4</v>
      </c>
      <c r="AT65" s="137">
        <f>IF(C65=[1]Modelo!$F$44,[1]Modelo!$H$44,IF(C65=[1]Modelo!$F$45,[1]Modelo!$H$45,IF(C65=[1]Modelo!$F$46,[1]Modelo!$H$46,IF(C65=[1]Modelo!$F$47,[1]Modelo!$H$47,IF(C65=[1]Modelo!$F$48,[1]Modelo!$H$48,IF(C65=[1]Modelo!$F$49,[1]Modelo!$H$49,IF(C65=[1]Modelo!$F$50,[1]Modelo!$H$50,IF(C65=[1]Modelo!$F$51,[1]Modelo!$H$51,IF(C65=[1]Modelo!$F$52,[1]Modelo!$H$52,IF(C65=[1]Modelo!$F$53,[1]Modelo!$H$53,0))))))))))</f>
        <v>2</v>
      </c>
      <c r="AU65" s="138">
        <f>IF(AI65=[1]Modelo!$F$54,[1]Modelo!$H$54,IF(AI65=[1]Modelo!$F$55,[1]Modelo!$H$55,IF(AI65=[1]Modelo!$F$56,[1]Modelo!$H$56,0)))</f>
        <v>1</v>
      </c>
      <c r="AV65" s="138">
        <f>IF(AJ65=[1]Modelo!$F$58,[1]Modelo!$H$58,IF(AJ65=[1]Modelo!$F$59,[1]Modelo!$H$59,IF(AJ65=[1]Modelo!$F$60,[1]Modelo!$H$60,0)))</f>
        <v>0.9</v>
      </c>
      <c r="AW65" s="40"/>
      <c r="AX65" s="139">
        <f>[1]Modelo!$H$2</f>
        <v>0.05</v>
      </c>
      <c r="AY65" s="140">
        <f>ROUNDUP([1]Modelo!$I$2*[1]Modelo!$H$3*[1]Modelo!$I$75,2)</f>
        <v>0.02</v>
      </c>
      <c r="AZ65" s="141">
        <f>ROUNDUP([1]Modelo!$I$2*[1]Modelo!$H$3*[1]Modelo!$H$4*[1]Modelo!$I$75,3)</f>
        <v>3.0000000000000001E-3</v>
      </c>
      <c r="BA65" s="139">
        <f>[1]Modelo!$H$5</f>
        <v>0.04</v>
      </c>
      <c r="BB65" s="139">
        <f>ROUNDUP(SUM(BC65,BE65,BG65,BI65)*[1]Modelo!$H$6,1)</f>
        <v>1</v>
      </c>
      <c r="BC65" s="139">
        <f>ROUNDUP((AL65*AN65+0.1)*[1]Modelo!$I$75,1)</f>
        <v>1.9</v>
      </c>
      <c r="BD65" s="139">
        <f>ROUNDUP(AM65*AN65*AO65*[1]Modelo!$I$75,1)</f>
        <v>0.2</v>
      </c>
      <c r="BE65" s="139">
        <f>ROUNDUP(V65*[1]Modelo!$H$29*AP65*[1]Modelo!$I$75*2/3,1)</f>
        <v>0.6</v>
      </c>
      <c r="BF65" s="139">
        <f>ROUNDUP(V65*[1]Modelo!$H$29*AP65*AQ65*[1]Modelo!$I$75*2/3,1)</f>
        <v>0.2</v>
      </c>
      <c r="BG65" s="139">
        <f>ROUNDUP(V65*[1]Modelo!$H$29*AP65*[1]Modelo!$I$75/3,1)</f>
        <v>0.30000000000000004</v>
      </c>
      <c r="BH65" s="139">
        <f>ROUNDUP(V65*[1]Modelo!$H$29*AP65*AQ65*[1]Modelo!$I$75/3,1)</f>
        <v>0.1</v>
      </c>
      <c r="BI65" s="139">
        <f>ROUNDUP(W65*[1]Modelo!$H$36*AR65*[1]Modelo!$I$75,1)</f>
        <v>0</v>
      </c>
      <c r="BJ65" s="139">
        <f>ROUNDUP(W65*[1]Modelo!$H$36*AR65*AS65*[1]Modelo!$I$75,1)</f>
        <v>0</v>
      </c>
      <c r="BK65" s="139">
        <f>[1]Modelo!$H$43</f>
        <v>0.04</v>
      </c>
      <c r="BL65" s="139">
        <f>ROUNDUP(SUM(ROUNDUP(AL65*AN65+0.1,1),ROUNDUP(V65*[1]Modelo!$H$29*AP65,1),ROUNDUP(W65*[1]Modelo!$H$36*AR65,1))*AU65*AT65*[1]Modelo!$I$75,1)</f>
        <v>5.4</v>
      </c>
      <c r="BM65" s="139">
        <f t="shared" ref="BM65" si="318">IF(K$32="x",0, BL65*0.1*1.25)</f>
        <v>0</v>
      </c>
      <c r="BN65" s="139">
        <f t="shared" ref="BN65" si="319">IF(Q65="x",(BL65)*0.1,0)</f>
        <v>0</v>
      </c>
      <c r="BO65" s="139">
        <f t="shared" ref="BO65" si="320">IF(R65="x",(BL65)*0.12,0)</f>
        <v>0</v>
      </c>
      <c r="BP65" s="139">
        <f t="shared" ref="BP65" si="321">IF(S65="x",(BL65)*0.12,0)*4</f>
        <v>0</v>
      </c>
      <c r="BQ65" s="139">
        <f>ROUNDUP(SUM(ROUNDUP(AL65*AN65+0.1,1),ROUNDUP(V65*[1]Modelo!$H$29*AP65,1),ROUNDUP(W65*[1]Modelo!$H$36*AR65,1))*AT65*AV65*[1]Modelo!$H$57,1)</f>
        <v>2.2000000000000002</v>
      </c>
      <c r="BR65" s="409">
        <v>0</v>
      </c>
      <c r="BS65" s="139">
        <f>[1]Modelo!$H$61</f>
        <v>0.04</v>
      </c>
      <c r="BT65" s="139">
        <f>ROUNDUP(SUM(ROUNDUP(AL65*AN65+0.1,1),ROUNDUP(V65*[1]Modelo!$H$29*AP65,1),ROUNDUP(W65*[1]Modelo!$H$36*AR65,1))*[1]Modelo!$H$62*[1]Modelo!$I$75,1)</f>
        <v>0.2</v>
      </c>
      <c r="BU65" s="139">
        <f>ROUNDUP(ROUNDUP(SUM(ROUNDUP(AL65*AN65+0.1,1),ROUNDUP(V65*[1]Modelo!$H$29*AP65,1),ROUNDUP(W65*[1]Modelo!$H$36*AR65,1))*[1]Modelo!$H$62,1)*[1]Modelo!$H$63*[1]Modelo!$I$75,1)</f>
        <v>0.1</v>
      </c>
      <c r="BV65" s="139">
        <f>SUM(ROUNDUP(AL65*AN65+0.1,1),ROUNDUP(V65*[1]Modelo!$H$29*AP65,1),ROUNDUP(W65*[1]Modelo!$H$36*AR65,1))*[1]Modelo!$H$64*[1]Modelo!$I$75</f>
        <v>0.54</v>
      </c>
      <c r="BW65" s="139">
        <f>ROUNDUP(SUM(ROUNDUP(AL65*AN65+0.1,1),ROUNDUP(V65*[1]Modelo!$H$29*AP65,1),ROUNDUP(W65*[1]Modelo!$H$36*AR65,1))*[1]Modelo!$H$64*[1]Modelo!$H$65*[1]Modelo!$I$75,1)</f>
        <v>0.30000000000000004</v>
      </c>
      <c r="BX65" s="139">
        <f>[1]Modelo!$H$66</f>
        <v>0.04</v>
      </c>
      <c r="BY65" s="139">
        <f>ROUNDUP(SUM(ROUNDUP(AL65*AN65+0.1,1),ROUNDUP(V65*[1]Modelo!$H$29*AP65,1),ROUNDUP(W65*[1]Modelo!$H$36*AR65,1))*[1]Modelo!$H$69,1)</f>
        <v>0.6</v>
      </c>
      <c r="BZ65" s="139">
        <f>ROUNDUP(ROUNDUP(SUM(ROUNDUP(AL65*AN65+0.1,1),ROUNDUP(V65*[1]Modelo!$H$29*AP65,1),ROUNDUP(W65*[1]Modelo!$H$36*AR65,1))*[1]Modelo!$H$62,1)*[1]Modelo!$H$71,1)</f>
        <v>0.4</v>
      </c>
      <c r="CA65" s="142">
        <f t="shared" ref="CA65" si="322">SUM(AX65:BZ65)</f>
        <v>14.273</v>
      </c>
      <c r="CB65" s="27"/>
      <c r="CC65" s="27">
        <f t="shared" ref="CC65" si="323">CD65*0.85</f>
        <v>6.46</v>
      </c>
      <c r="CD65" s="109">
        <f t="shared" ref="CD65" si="324">O65</f>
        <v>7.6000000000000005</v>
      </c>
      <c r="CE65" s="27">
        <f t="shared" ref="CE65" si="325">IF(CD65=0,1,CD65*1.4)</f>
        <v>10.64</v>
      </c>
      <c r="CF65" s="27"/>
      <c r="CG65" s="126">
        <v>0</v>
      </c>
      <c r="CH65" s="27"/>
      <c r="CI65" s="27">
        <f t="shared" ref="CI65" si="326">IF(CF65&lt;&gt;"",CF65,CG65)</f>
        <v>0</v>
      </c>
      <c r="CJ65" s="27"/>
      <c r="CK65" s="27"/>
      <c r="CL65" s="27"/>
      <c r="CM65" s="27"/>
      <c r="CN65" s="27"/>
      <c r="CO65" s="27"/>
      <c r="CP65" s="27"/>
      <c r="CQ65" s="27"/>
      <c r="CR65" s="27"/>
      <c r="CS65" s="27"/>
      <c r="CT65" s="27"/>
      <c r="CU65" s="27"/>
      <c r="CV65" s="27"/>
      <c r="CW65" s="27"/>
      <c r="CX65" s="27"/>
      <c r="CY65" s="27"/>
      <c r="CZ65" s="27"/>
      <c r="DA65" s="27"/>
      <c r="DB65" s="27"/>
      <c r="DC65" s="27"/>
    </row>
    <row r="66" spans="3:107" s="20" customFormat="1" ht="40.5" customHeight="1" outlineLevel="2" thickBot="1" x14ac:dyDescent="0.35">
      <c r="C66" s="388" t="s">
        <v>103</v>
      </c>
      <c r="D66" s="461" t="s">
        <v>18</v>
      </c>
      <c r="E66" s="461" t="str">
        <f t="shared" ref="E66" si="327">IF(U66&gt;50,"A",IF(U66&gt;15,"M","B"))</f>
        <v>M</v>
      </c>
      <c r="F66" s="461" t="s">
        <v>423</v>
      </c>
      <c r="G66" s="461" t="s">
        <v>423</v>
      </c>
      <c r="H66" s="461" t="str">
        <f t="shared" ref="H66" si="328">IF(V66+W66&gt;20,"A",IF(V66+W66&gt;5,"M","B"))</f>
        <v>B</v>
      </c>
      <c r="I66" s="461" t="str">
        <f t="shared" ref="I66" si="329">IF(V66+W66&gt;15,"A",IF(V66+W66&gt;4,"M","B"))</f>
        <v>B</v>
      </c>
      <c r="J66" s="425">
        <f t="shared" ref="J66" si="330">V66+W66</f>
        <v>1</v>
      </c>
      <c r="K66" s="503" t="str">
        <f t="shared" ref="K66" si="331">AB66</f>
        <v>Mediana 1</v>
      </c>
      <c r="L66" s="543" t="s">
        <v>772</v>
      </c>
      <c r="M66" s="532">
        <f>BL66+BM66+BN66+BO66+BP66</f>
        <v>5.4</v>
      </c>
      <c r="N66" s="532">
        <f>BQ66</f>
        <v>2.2000000000000002</v>
      </c>
      <c r="O66" s="538">
        <f>SUM(M66,N66)</f>
        <v>7.6000000000000005</v>
      </c>
      <c r="P66" s="58"/>
      <c r="Q66" s="462"/>
      <c r="R66" s="462"/>
      <c r="S66" s="462"/>
      <c r="T66" s="109"/>
      <c r="U66" s="144">
        <v>30</v>
      </c>
      <c r="V66" s="144">
        <v>1</v>
      </c>
      <c r="W66" s="144">
        <v>0</v>
      </c>
      <c r="X66" s="463"/>
      <c r="Y66" s="463" t="str">
        <f t="shared" ref="Y66" si="332">CONCATENATE(C66,LEFT(K66,5),J66)</f>
        <v>ReporteMedia1</v>
      </c>
      <c r="Z66" s="135">
        <f>VLOOKUP(Y66,[1]Modelo!$G$82:$H$281,2,FALSE)</f>
        <v>186</v>
      </c>
      <c r="AA66" s="463"/>
      <c r="AB66" s="137" t="str">
        <f t="shared" ref="AB66" si="333">IF(AND(U66&gt;=0,U66&lt;=6),"Chica 1",IF(AND(U66&gt;=7,U66&lt;=12),"Chica 2",IF(AND(U66&gt;=13,U66&lt;=18),"Chica 3",IF(AND(U66&gt;=19,U66&lt;=24),"Chica 4",IF(AND(U66&gt;=25,U66&lt;=30),"Mediana 1",IF(AND(U66&gt;=31,U66&lt;=36),"Mediana 2",IF(AND(U66&gt;=37,U66&lt;=42),"Mediana 3",IF(AND(U66&gt;=43,U66&lt;=48),"Mediana 4",IF(AND(U66&gt;=49,U66&lt;=54),"Grande 1",IF(AND(U66&gt;=55,U66&lt;=60),"Grande 2",IF(AND(U66&gt;=61,U66&lt;=66),"Grande 3",IF(AND(U66&gt;=67,U66&lt;=72),"Grande 4",IF(AND(U66&gt;=73,U66&lt;=78),"M. grande 1",IF(AND(U66&gt;=79,U66&lt;=84),"M. grande 2",IF(AND(U66&gt;=85,U66&lt;=90),"M. grande 3",IF(AND(U66&gt;=91,U66&lt;=96),"M. grande 4","NO DEF"))))))))))))))))</f>
        <v>Mediana 1</v>
      </c>
      <c r="AC66" s="137" t="str">
        <f t="shared" ref="AC66" si="334">IF(E66="A","Alta",IF(E66="M","Media","Baja"))</f>
        <v>Media</v>
      </c>
      <c r="AD66" s="137" t="str">
        <f t="shared" ref="AD66" si="335">IF(E66="A","Alta",IF(E66="M","Media","Baja"))</f>
        <v>Media</v>
      </c>
      <c r="AE66" s="137" t="str">
        <f t="shared" ref="AE66" si="336">IF(F66="A","Alta",IF(F66="M","Media","Baja"))</f>
        <v>Baja</v>
      </c>
      <c r="AF66" s="137" t="str">
        <f t="shared" ref="AF66" si="337">IF(F66="A","Alta",IF(F66="M","Media","Baja"))</f>
        <v>Baja</v>
      </c>
      <c r="AG66" s="137" t="str">
        <f t="shared" ref="AG66" si="338">IF(G66="A","Alta",IF(G66="M","Media","Baja"))</f>
        <v>Baja</v>
      </c>
      <c r="AH66" s="137" t="str">
        <f t="shared" ref="AH66" si="339">IF(G66="A","Alta",IF(G66="M","Media","Baja"))</f>
        <v>Baja</v>
      </c>
      <c r="AI66" s="137" t="str">
        <f t="shared" ref="AI66" si="340">IF(H66="A","Alta",IF(H66="M","Media","Baja"))</f>
        <v>Baja</v>
      </c>
      <c r="AJ66" s="137" t="str">
        <f t="shared" ref="AJ66" si="341">IF(I66="A","Alta",IF(I66="M","Media","Baja"))</f>
        <v>Baja</v>
      </c>
      <c r="AK66" s="40"/>
      <c r="AL66" s="138">
        <f>IF(AB66=[1]Modelo!$F$7,[1]Modelo!$H$7,IF(AB66=[1]Modelo!$F$8,[1]Modelo!$H$8,IF(AB66=[1]Modelo!$F$9,[1]Modelo!$H$9,IF(AB66=[1]Modelo!$F$10,[1]Modelo!$H$10,IF(AB66=[1]Modelo!$F$11,[1]Modelo!$H$11,IF(AB66=[1]Modelo!$F$12,[1]Modelo!$H$12,IF(AB66=[1]Modelo!$F$13,[1]Modelo!$H$13,IF(AB66=[1]Modelo!$F$14,[1]Modelo!$H$14,IF(AB66=[1]Modelo!$F$15,[1]Modelo!$H$15,IF(AB66=[1]Modelo!$F$16,[1]Modelo!$H$16,IF(AB66=[1]Modelo!$F$17,[1]Modelo!$H$17,IF(AB66=[1]Modelo!$F$18,[1]Modelo!$H$18,IF(AB66=[1]Modelo!$F$19,[1]Modelo!$H$19,IF(AB66=[1]Modelo!$F$20,[1]Modelo!$H$20,IF(AB66=[1]Modelo!$F$21,[1]Modelo!$H$21,IF(AB66=[1]Modelo!$F$22,[1]Modelo!$H$22,0))))))))))))))))</f>
        <v>1.5</v>
      </c>
      <c r="AM66" s="138">
        <f>IF(AB66=[1]Modelo!$F$7,[1]Modelo!$I$7,IF(AB66=[1]Modelo!$F$8,[1]Modelo!$I$8,IF(AB66=[1]Modelo!$F$9,[1]Modelo!$I$9,IF(AB66=[1]Modelo!$F$10,[1]Modelo!$I$10,IF(AB66=[1]Modelo!$F$11,[1]Modelo!$I$11,IF(AB66=[1]Modelo!$F$12,[1]Modelo!$I$12,IF(AB66=[1]Modelo!$F$13,[1]Modelo!$I$13,IF(AB66=[1]Modelo!$F$14,[1]Modelo!$I$14,IF(AB66=[1]Modelo!$F$15,[1]Modelo!$I$15,IF(AB66=[1]Modelo!$F$16,[1]Modelo!$I$16,IF(AB66=[1]Modelo!$F$17,[1]Modelo!$I$17,IF(AB66=[1]Modelo!$F$18,[1]Modelo!$I$18,IF(AB66=[1]Modelo!$F$19,[1]Modelo!$I$19,IF(AB66=[1]Modelo!$F$20,[1]Modelo!$I$20,IF(AB66=[1]Modelo!$F$21,[1]Modelo!$I$21,IF(AB66=[1]Modelo!$F$22,[1]Modelo!$I$22,0))))))))))))))))</f>
        <v>0.5</v>
      </c>
      <c r="AN66" s="138">
        <f>IF(AC66=[1]Modelo!$F$23,[1]Modelo!$H$23,IF(AC66=[1]Modelo!$F$24,[1]Modelo!$H$24,IF(AC66=[1]Modelo!$F$25,[1]Modelo!$H$25,0)))</f>
        <v>1.2</v>
      </c>
      <c r="AO66" s="138">
        <f>IF(AD66=[1]Modelo!$F$26,[1]Modelo!$H$26,IF(AD66=[1]Modelo!$F$27,[1]Modelo!$H$27,IF(AD66=[1]Modelo!$F$28,[1]Modelo!$H$28,0)))</f>
        <v>0.2</v>
      </c>
      <c r="AP66" s="138">
        <f>IF(AE66=[1]Modelo!$F$30,[1]Modelo!$H$30,IF(AE66=[1]Modelo!$F$31,[1]Modelo!$H$31,IF(AE66=[1]Modelo!$F$32,[1]Modelo!$H$32,0)))</f>
        <v>0.8</v>
      </c>
      <c r="AQ66" s="138">
        <f>IF(AF66=[1]Modelo!$F$33,[1]Modelo!$H$33,IF(AF66=[1]Modelo!$F$34,[1]Modelo!$H$34,IF(AF66=[1]Modelo!$F$35,[1]Modelo!$H$35,0)))</f>
        <v>0.3</v>
      </c>
      <c r="AR66" s="138">
        <f>IF(AG66=[1]Modelo!$F$37,[1]Modelo!$H$37,IF(AG66=[1]Modelo!$F$38,[1]Modelo!$H$38,IF(AG66=[1]Modelo!$F$39,[1]Modelo!$H$39,0)))</f>
        <v>0.8</v>
      </c>
      <c r="AS66" s="138">
        <f>IF(AH66=[1]Modelo!$F$40,[1]Modelo!$H$40,IF(AH66=[1]Modelo!$F$41,[1]Modelo!$H$41,IF(AH66=[1]Modelo!$F$42,[1]Modelo!$H$42,0)))</f>
        <v>0.4</v>
      </c>
      <c r="AT66" s="137">
        <f>IF(C66=[1]Modelo!$F$44,[1]Modelo!$H$44,IF(C66=[1]Modelo!$F$45,[1]Modelo!$H$45,IF(C66=[1]Modelo!$F$46,[1]Modelo!$H$46,IF(C66=[1]Modelo!$F$47,[1]Modelo!$H$47,IF(C66=[1]Modelo!$F$48,[1]Modelo!$H$48,IF(C66=[1]Modelo!$F$49,[1]Modelo!$H$49,IF(C66=[1]Modelo!$F$50,[1]Modelo!$H$50,IF(C66=[1]Modelo!$F$51,[1]Modelo!$H$51,IF(C66=[1]Modelo!$F$52,[1]Modelo!$H$52,IF(C66=[1]Modelo!$F$53,[1]Modelo!$H$53,0))))))))))</f>
        <v>2</v>
      </c>
      <c r="AU66" s="138">
        <f>IF(AI66=[1]Modelo!$F$54,[1]Modelo!$H$54,IF(AI66=[1]Modelo!$F$55,[1]Modelo!$H$55,IF(AI66=[1]Modelo!$F$56,[1]Modelo!$H$56,0)))</f>
        <v>1</v>
      </c>
      <c r="AV66" s="138">
        <f>IF(AJ66=[1]Modelo!$F$58,[1]Modelo!$H$58,IF(AJ66=[1]Modelo!$F$59,[1]Modelo!$H$59,IF(AJ66=[1]Modelo!$F$60,[1]Modelo!$H$60,0)))</f>
        <v>0.9</v>
      </c>
      <c r="AW66" s="40"/>
      <c r="AX66" s="139">
        <f>[1]Modelo!$H$2</f>
        <v>0.05</v>
      </c>
      <c r="AY66" s="140">
        <f>ROUNDUP([1]Modelo!$I$2*[1]Modelo!$H$3*[1]Modelo!$I$75,2)</f>
        <v>0.02</v>
      </c>
      <c r="AZ66" s="141">
        <f>ROUNDUP([1]Modelo!$I$2*[1]Modelo!$H$3*[1]Modelo!$H$4*[1]Modelo!$I$75,3)</f>
        <v>3.0000000000000001E-3</v>
      </c>
      <c r="BA66" s="139">
        <f>[1]Modelo!$H$5</f>
        <v>0.04</v>
      </c>
      <c r="BB66" s="139">
        <f>ROUNDUP(SUM(BC66,BE66,BG66,BI66)*[1]Modelo!$H$6,1)</f>
        <v>1</v>
      </c>
      <c r="BC66" s="139">
        <f>ROUNDUP((AL66*AN66+0.1)*[1]Modelo!$I$75,1)</f>
        <v>1.9</v>
      </c>
      <c r="BD66" s="139">
        <f>ROUNDUP(AM66*AN66*AO66*[1]Modelo!$I$75,1)</f>
        <v>0.2</v>
      </c>
      <c r="BE66" s="139">
        <f>ROUNDUP(V66*[1]Modelo!$H$29*AP66*[1]Modelo!$I$75*2/3,1)</f>
        <v>0.6</v>
      </c>
      <c r="BF66" s="139">
        <f>ROUNDUP(V66*[1]Modelo!$H$29*AP66*AQ66*[1]Modelo!$I$75*2/3,1)</f>
        <v>0.2</v>
      </c>
      <c r="BG66" s="139">
        <f>ROUNDUP(V66*[1]Modelo!$H$29*AP66*[1]Modelo!$I$75/3,1)</f>
        <v>0.30000000000000004</v>
      </c>
      <c r="BH66" s="139">
        <f>ROUNDUP(V66*[1]Modelo!$H$29*AP66*AQ66*[1]Modelo!$I$75/3,1)</f>
        <v>0.1</v>
      </c>
      <c r="BI66" s="139">
        <f>ROUNDUP(W66*[1]Modelo!$H$36*AR66*[1]Modelo!$I$75,1)</f>
        <v>0</v>
      </c>
      <c r="BJ66" s="139">
        <f>ROUNDUP(W66*[1]Modelo!$H$36*AR66*AS66*[1]Modelo!$I$75,1)</f>
        <v>0</v>
      </c>
      <c r="BK66" s="139">
        <f>[1]Modelo!$H$43</f>
        <v>0.04</v>
      </c>
      <c r="BL66" s="139">
        <f>ROUNDUP(SUM(ROUNDUP(AL66*AN66+0.1,1),ROUNDUP(V66*[1]Modelo!$H$29*AP66,1),ROUNDUP(W66*[1]Modelo!$H$36*AR66,1))*AU66*AT66*[1]Modelo!$I$75,1)</f>
        <v>5.4</v>
      </c>
      <c r="BM66" s="139">
        <f t="shared" ref="BM66" si="342">IF(K$32="x",0, BL66*0.1*1.25)</f>
        <v>0</v>
      </c>
      <c r="BN66" s="139">
        <f t="shared" ref="BN66" si="343">IF(Q66="x",(BL66)*0.1,0)</f>
        <v>0</v>
      </c>
      <c r="BO66" s="139">
        <f t="shared" ref="BO66" si="344">IF(R66="x",(BL66)*0.12,0)</f>
        <v>0</v>
      </c>
      <c r="BP66" s="139">
        <f t="shared" ref="BP66" si="345">IF(S66="x",(BL66)*0.12,0)*4</f>
        <v>0</v>
      </c>
      <c r="BQ66" s="139">
        <f>ROUNDUP(SUM(ROUNDUP(AL66*AN66+0.1,1),ROUNDUP(V66*[1]Modelo!$H$29*AP66,1),ROUNDUP(W66*[1]Modelo!$H$36*AR66,1))*AT66*AV66*[1]Modelo!$H$57,1)</f>
        <v>2.2000000000000002</v>
      </c>
      <c r="BR66" s="409">
        <v>0</v>
      </c>
      <c r="BS66" s="139">
        <f>[1]Modelo!$H$61</f>
        <v>0.04</v>
      </c>
      <c r="BT66" s="139">
        <f>ROUNDUP(SUM(ROUNDUP(AL66*AN66+0.1,1),ROUNDUP(V66*[1]Modelo!$H$29*AP66,1),ROUNDUP(W66*[1]Modelo!$H$36*AR66,1))*[1]Modelo!$H$62*[1]Modelo!$I$75,1)</f>
        <v>0.2</v>
      </c>
      <c r="BU66" s="139">
        <f>ROUNDUP(ROUNDUP(SUM(ROUNDUP(AL66*AN66+0.1,1),ROUNDUP(V66*[1]Modelo!$H$29*AP66,1),ROUNDUP(W66*[1]Modelo!$H$36*AR66,1))*[1]Modelo!$H$62,1)*[1]Modelo!$H$63*[1]Modelo!$I$75,1)</f>
        <v>0.1</v>
      </c>
      <c r="BV66" s="139">
        <f>SUM(ROUNDUP(AL66*AN66+0.1,1),ROUNDUP(V66*[1]Modelo!$H$29*AP66,1),ROUNDUP(W66*[1]Modelo!$H$36*AR66,1))*[1]Modelo!$H$64*[1]Modelo!$I$75</f>
        <v>0.54</v>
      </c>
      <c r="BW66" s="139">
        <f>ROUNDUP(SUM(ROUNDUP(AL66*AN66+0.1,1),ROUNDUP(V66*[1]Modelo!$H$29*AP66,1),ROUNDUP(W66*[1]Modelo!$H$36*AR66,1))*[1]Modelo!$H$64*[1]Modelo!$H$65*[1]Modelo!$I$75,1)</f>
        <v>0.30000000000000004</v>
      </c>
      <c r="BX66" s="139">
        <f>[1]Modelo!$H$66</f>
        <v>0.04</v>
      </c>
      <c r="BY66" s="139">
        <f>ROUNDUP(SUM(ROUNDUP(AL66*AN66+0.1,1),ROUNDUP(V66*[1]Modelo!$H$29*AP66,1),ROUNDUP(W66*[1]Modelo!$H$36*AR66,1))*[1]Modelo!$H$69,1)</f>
        <v>0.6</v>
      </c>
      <c r="BZ66" s="139">
        <f>ROUNDUP(ROUNDUP(SUM(ROUNDUP(AL66*AN66+0.1,1),ROUNDUP(V66*[1]Modelo!$H$29*AP66,1),ROUNDUP(W66*[1]Modelo!$H$36*AR66,1))*[1]Modelo!$H$62,1)*[1]Modelo!$H$71,1)</f>
        <v>0.4</v>
      </c>
      <c r="CA66" s="142">
        <f t="shared" ref="CA66" si="346">SUM(AX66:BZ66)</f>
        <v>14.273</v>
      </c>
      <c r="CB66" s="27"/>
      <c r="CC66" s="27">
        <f t="shared" ref="CC66" si="347">CD66*0.85</f>
        <v>6.46</v>
      </c>
      <c r="CD66" s="109">
        <f t="shared" ref="CD66" si="348">O66</f>
        <v>7.6000000000000005</v>
      </c>
      <c r="CE66" s="27">
        <f t="shared" ref="CE66" si="349">IF(CD66=0,1,CD66*1.4)</f>
        <v>10.64</v>
      </c>
      <c r="CF66" s="27"/>
      <c r="CG66" s="126">
        <v>0</v>
      </c>
      <c r="CH66" s="27"/>
      <c r="CI66" s="27">
        <f t="shared" ref="CI66" si="350">IF(CF66&lt;&gt;"",CF66,CG66)</f>
        <v>0</v>
      </c>
      <c r="CJ66" s="27"/>
      <c r="CK66" s="27"/>
      <c r="CL66" s="27"/>
      <c r="CM66" s="27"/>
      <c r="CN66" s="27"/>
      <c r="CO66" s="27"/>
      <c r="CP66" s="27"/>
      <c r="CQ66" s="27"/>
      <c r="CR66" s="27"/>
      <c r="CS66" s="27"/>
      <c r="CT66" s="27"/>
      <c r="CU66" s="27"/>
      <c r="CV66" s="27"/>
      <c r="CW66" s="27"/>
      <c r="CX66" s="27"/>
      <c r="CY66" s="27"/>
      <c r="CZ66" s="27"/>
      <c r="DA66" s="27"/>
      <c r="DB66" s="27"/>
      <c r="DC66" s="27"/>
    </row>
    <row r="67" spans="3:107" s="20" customFormat="1" ht="24.5" customHeight="1" outlineLevel="2" thickBot="1" x14ac:dyDescent="0.35">
      <c r="C67" s="388"/>
      <c r="D67" s="461"/>
      <c r="E67" s="461"/>
      <c r="F67" s="461"/>
      <c r="G67" s="461"/>
      <c r="H67" s="461"/>
      <c r="I67" s="461"/>
      <c r="J67" s="425">
        <f t="shared" si="259"/>
        <v>1</v>
      </c>
      <c r="K67" s="506"/>
      <c r="L67" s="542" t="s">
        <v>741</v>
      </c>
      <c r="M67" s="526"/>
      <c r="N67" s="526"/>
      <c r="O67" s="530"/>
      <c r="P67" s="58"/>
      <c r="Q67" s="143"/>
      <c r="R67" s="143"/>
      <c r="S67" s="143"/>
      <c r="T67" s="109"/>
      <c r="U67" s="144">
        <v>30</v>
      </c>
      <c r="V67" s="144">
        <v>1</v>
      </c>
      <c r="W67" s="144">
        <v>0</v>
      </c>
      <c r="X67" s="136"/>
      <c r="Y67" s="136" t="str">
        <f t="shared" si="260"/>
        <v>1</v>
      </c>
      <c r="Z67" s="135" t="e">
        <f>VLOOKUP(Y67,Modelo!$G$82:$H$281,2,FALSE)</f>
        <v>#N/A</v>
      </c>
      <c r="AA67" s="136"/>
      <c r="AB67" s="137" t="str">
        <f t="shared" si="261"/>
        <v>Mediana 1</v>
      </c>
      <c r="AC67" s="137" t="str">
        <f t="shared" si="262"/>
        <v>Baja</v>
      </c>
      <c r="AD67" s="137" t="str">
        <f t="shared" si="263"/>
        <v>Baja</v>
      </c>
      <c r="AE67" s="137" t="str">
        <f t="shared" si="264"/>
        <v>Baja</v>
      </c>
      <c r="AF67" s="137" t="str">
        <f t="shared" si="265"/>
        <v>Baja</v>
      </c>
      <c r="AG67" s="137" t="str">
        <f t="shared" si="266"/>
        <v>Baja</v>
      </c>
      <c r="AH67" s="137" t="str">
        <f t="shared" si="267"/>
        <v>Baja</v>
      </c>
      <c r="AI67" s="137" t="str">
        <f t="shared" si="268"/>
        <v>Baja</v>
      </c>
      <c r="AJ67" s="137" t="str">
        <f t="shared" si="269"/>
        <v>Baja</v>
      </c>
      <c r="AK67" s="40"/>
      <c r="AL67" s="138">
        <f>IF(AB67=Modelo!$F$7,Modelo!$H$7,IF(AB67=Modelo!$F$8,Modelo!$H$8,IF(AB67=Modelo!$F$9,Modelo!$H$9,IF(AB67=Modelo!$F$10,Modelo!$H$10,IF(AB67=Modelo!$F$11,Modelo!$H$11,IF(AB67=Modelo!$F$12,Modelo!$H$12,IF(AB67=Modelo!$F$13,Modelo!$H$13,IF(AB67=Modelo!$F$14,Modelo!$H$14,IF(AB67=Modelo!$F$15,Modelo!$H$15,IF(AB67=Modelo!$F$16,Modelo!$H$16,IF(AB67=Modelo!$F$17,Modelo!$H$17,IF(AB67=Modelo!$F$18,Modelo!$H$18,IF(AB67=Modelo!$F$19,Modelo!$H$19,IF(AB67=Modelo!$F$20,Modelo!$H$20,IF(AB67=Modelo!$F$21,Modelo!$H$21,IF(AB67=Modelo!$F$22,Modelo!$H$22,0))))))))))))))))</f>
        <v>1.5</v>
      </c>
      <c r="AM67" s="138">
        <f>IF(AB67=Modelo!$F$7,Modelo!$I$7,IF(AB67=Modelo!$F$8,Modelo!$I$8,IF(AB67=Modelo!$F$9,Modelo!$I$9,IF(AB67=Modelo!$F$10,Modelo!$I$10,IF(AB67=Modelo!$F$11,Modelo!$I$11,IF(AB67=Modelo!$F$12,Modelo!$I$12,IF(AB67=Modelo!$F$13,Modelo!$I$13,IF(AB67=Modelo!$F$14,Modelo!$I$14,IF(AB67=Modelo!$F$15,Modelo!$I$15,IF(AB67=Modelo!$F$16,Modelo!$I$16,IF(AB67=Modelo!$F$17,Modelo!$I$17,IF(AB67=Modelo!$F$18,Modelo!$I$18,IF(AB67=Modelo!$F$19,Modelo!$I$19,IF(AB67=Modelo!$F$20,Modelo!$I$20,IF(AB67=Modelo!$F$21,Modelo!$I$21,IF(AB67=Modelo!$F$22,Modelo!$I$22,0))))))))))))))))</f>
        <v>0.5</v>
      </c>
      <c r="AN67" s="138">
        <f>IF(AC67=Modelo!$F$23,Modelo!$H$23,IF(AC67=Modelo!$F$24,Modelo!$H$24,IF(AC67=Modelo!$F$25,Modelo!$H$25,0)))</f>
        <v>1</v>
      </c>
      <c r="AO67" s="138">
        <f>IF(AD67=Modelo!$F$26,Modelo!$H$26,IF(AD67=Modelo!$F$27,Modelo!$H$27,IF(AD67=Modelo!$F$28,Modelo!$H$28,0)))</f>
        <v>0.1</v>
      </c>
      <c r="AP67" s="138">
        <f>IF(AE67=Modelo!$F$30,Modelo!$H$30,IF(AE67=Modelo!$F$31,Modelo!$H$31,IF(AE67=Modelo!$F$32,Modelo!$H$32,0)))</f>
        <v>0.8</v>
      </c>
      <c r="AQ67" s="138">
        <f>IF(AF67=Modelo!$F$33,Modelo!$H$33,IF(AF67=Modelo!$F$34,Modelo!$H$34,IF(AF67=Modelo!$F$35,Modelo!$H$35,0)))</f>
        <v>0.3</v>
      </c>
      <c r="AR67" s="138">
        <f>IF(AG67=Modelo!$F$37,Modelo!$H$37,IF(AG67=Modelo!$F$38,Modelo!$H$38,IF(AG67=Modelo!$F$39,Modelo!$H$39,0)))</f>
        <v>0.8</v>
      </c>
      <c r="AS67" s="138">
        <f>IF(AH67=Modelo!$F$40,Modelo!$H$40,IF(AH67=Modelo!$F$41,Modelo!$H$41,IF(AH67=Modelo!$F$42,Modelo!$H$42,0)))</f>
        <v>0.4</v>
      </c>
      <c r="AT67" s="137">
        <f>IF(C67=Modelo!$F$44,Modelo!$H$44,IF(C67=Modelo!$F$45,Modelo!$H$45,IF(C67=Modelo!$F$46,Modelo!$H$46,IF(C67=Modelo!$F$47,Modelo!$H$47,IF(C67=Modelo!$F$48,Modelo!$H$48,IF(C67=Modelo!$F$49,Modelo!$H$49,IF(C67=Modelo!$F$50,Modelo!$H$50,IF(C67=Modelo!$F$51,Modelo!$H$51,IF(C67=Modelo!$F$52,Modelo!$H$52,IF(C67=Modelo!$F$53,Modelo!$H$53,0))))))))))</f>
        <v>0</v>
      </c>
      <c r="AU67" s="138">
        <f>IF(AI67=Modelo!$F$54,Modelo!$H$54,IF(AI67=Modelo!$F$55,Modelo!$H$55,IF(AI67=Modelo!$F$56,Modelo!$H$56,0)))</f>
        <v>1</v>
      </c>
      <c r="AV67" s="138">
        <f>IF(AJ67=Modelo!$F$58,Modelo!$H$58,IF(AJ67=Modelo!$F$59,Modelo!$H$59,IF(AJ67=Modelo!$F$60,Modelo!$H$60,0)))</f>
        <v>0.9</v>
      </c>
      <c r="AW67" s="40"/>
      <c r="AX67" s="139">
        <f>Modelo!$H$2</f>
        <v>0.05</v>
      </c>
      <c r="AY67" s="140">
        <f>ROUNDUP(Modelo!$I$2*Modelo!$H$3*Modelo!$I$75,2)</f>
        <v>0.02</v>
      </c>
      <c r="AZ67" s="141">
        <f>ROUNDUP(Modelo!$I$2*Modelo!$H$3*Modelo!$H$4*Modelo!$I$75,3)</f>
        <v>4.0000000000000001E-3</v>
      </c>
      <c r="BA67" s="139">
        <f>Modelo!$H$5</f>
        <v>0.04</v>
      </c>
      <c r="BB67" s="139">
        <f>ROUNDUP(SUM(BC67,BE67,BG67,BI67)*Modelo!$H$6,1)</f>
        <v>0.9</v>
      </c>
      <c r="BC67" s="139">
        <f>ROUNDUP((AL67*AN67+0.1)*Modelo!$I$75,1)</f>
        <v>1.6</v>
      </c>
      <c r="BD67" s="139">
        <f>ROUNDUP(AM67*AN67*AO67*Modelo!$I$75,1)</f>
        <v>0.1</v>
      </c>
      <c r="BE67" s="139">
        <f>ROUNDUP(V67*Modelo!$H$29*AP67*Modelo!$I$75*2/3,1)</f>
        <v>0.6</v>
      </c>
      <c r="BF67" s="139">
        <f>ROUNDUP(V67*Modelo!$H$29*AP67*AQ67*Modelo!$I$75*2/3,1)</f>
        <v>0.2</v>
      </c>
      <c r="BG67" s="139">
        <f>ROUNDUP(V67*Modelo!$H$29*AP67*Modelo!$I$75/3,1)</f>
        <v>0.30000000000000004</v>
      </c>
      <c r="BH67" s="139">
        <f>ROUNDUP(V67*Modelo!$H$29*AP67*AQ67*Modelo!$I$75/3,1)</f>
        <v>0.1</v>
      </c>
      <c r="BI67" s="139">
        <f>ROUNDUP(W67*Modelo!$H$36*AR67*Modelo!$I$75,1)</f>
        <v>0</v>
      </c>
      <c r="BJ67" s="139">
        <f>ROUNDUP(W67*Modelo!$H$36*AR67*AS67*Modelo!$I$75,1)</f>
        <v>0</v>
      </c>
      <c r="BK67" s="139">
        <f>Modelo!$H$43</f>
        <v>0.04</v>
      </c>
      <c r="BL67" s="139">
        <f>ROUNDUP(SUM(ROUNDUP(AL67*AN67+0.1,1),ROUNDUP(V67*Modelo!$H$29*AP67,1),ROUNDUP(W67*Modelo!$H$36*AR67,1))*AU67*AT67*Modelo!$I$75,1)</f>
        <v>0</v>
      </c>
      <c r="BM67" s="139">
        <f t="shared" si="270"/>
        <v>0</v>
      </c>
      <c r="BN67" s="139">
        <f t="shared" si="271"/>
        <v>0</v>
      </c>
      <c r="BO67" s="139">
        <f t="shared" si="272"/>
        <v>0</v>
      </c>
      <c r="BP67" s="139">
        <f t="shared" si="273"/>
        <v>0</v>
      </c>
      <c r="BQ67" s="139">
        <f>ROUNDUP(SUM(ROUNDUP(AL67*AN67+0.1,1),ROUNDUP(V67*Modelo!$H$29*AP67,1),ROUNDUP(W67*Modelo!$H$36*AR67,1))*AT67*AV67*Modelo!$H$57,1)</f>
        <v>0</v>
      </c>
      <c r="BR67" s="409">
        <f>BL67*0.1
+IF(K$16="x",0,BL67*0.05)
+IF(K$28="x",0,BL67*0.2)
+IF(K$29="x",0,BL67*0.5)
+IF(OR(K$30="x",K$31="x"),0,BL67*0.05)
+IF(K$32="x",0,BL67*0.3)
+IF(Q67="x",0,BL67*0.5)
+IF(OR(R67="x",S67="x"),0,BL67*0.15)</f>
        <v>0</v>
      </c>
      <c r="BS67" s="139">
        <f>Modelo!$H$61</f>
        <v>0.04</v>
      </c>
      <c r="BT67" s="139">
        <f>ROUNDUP(SUM(ROUNDUP(AL67*AN67+0.1,1),ROUNDUP(V67*Modelo!$H$29*AP67,1),ROUNDUP(W67*Modelo!$H$36*AR67,1))*Modelo!$H$62*Modelo!$I$75,1)</f>
        <v>0.2</v>
      </c>
      <c r="BU67" s="139">
        <f>ROUNDUP(ROUNDUP(SUM(ROUNDUP(AL67*AN67+0.1,1),ROUNDUP(V67*Modelo!$H$29*AP67,1),ROUNDUP(W67*Modelo!$H$36*AR67,1))*Modelo!$H$62,1)*Modelo!$H$63*Modelo!$I$75,1)</f>
        <v>0.1</v>
      </c>
      <c r="BV67" s="139">
        <f>SUM(ROUNDUP(AL67*AN67+0.1,1),ROUNDUP(V67*Modelo!$H$29*AP67,1),ROUNDUP(W67*Modelo!$H$36*AR67,1))*Modelo!$H$64*Modelo!$I$75</f>
        <v>0.48000000000000009</v>
      </c>
      <c r="BW67" s="139">
        <f>ROUNDUP(SUM(ROUNDUP(AL67*AN67+0.1,1),ROUNDUP(V67*Modelo!$H$29*AP67,1),ROUNDUP(W67*Modelo!$H$36*AR67,1))*Modelo!$H$64*Modelo!$H$65*Modelo!$I$75,1)</f>
        <v>0.30000000000000004</v>
      </c>
      <c r="BX67" s="139">
        <f>Modelo!$H$66</f>
        <v>0.04</v>
      </c>
      <c r="BY67" s="139">
        <f>ROUNDUP(SUM(ROUNDUP(AL67*AN67+0.1,1),ROUNDUP(V67*Modelo!$H$29*AP67,1),ROUNDUP(W67*Modelo!$H$36*AR67,1))*Modelo!$H$69,1)</f>
        <v>0.6</v>
      </c>
      <c r="BZ67" s="139">
        <f>ROUNDUP(ROUNDUP(SUM(ROUNDUP(AL67*AN67+0.1,1),ROUNDUP(V67*Modelo!$H$29*AP67,1),ROUNDUP(W67*Modelo!$H$36*AR67,1))*Modelo!$H$62,1)*Modelo!$H$71,1)</f>
        <v>0.4</v>
      </c>
      <c r="CA67" s="142">
        <f t="shared" si="274"/>
        <v>6.1139999999999999</v>
      </c>
      <c r="CB67" s="27"/>
      <c r="CC67" s="27">
        <f t="shared" si="275"/>
        <v>0</v>
      </c>
      <c r="CD67" s="109">
        <f t="shared" si="276"/>
        <v>0</v>
      </c>
      <c r="CE67" s="27">
        <f t="shared" si="277"/>
        <v>1</v>
      </c>
      <c r="CF67" s="27"/>
      <c r="CG67" s="126">
        <v>0</v>
      </c>
      <c r="CH67" s="27"/>
      <c r="CI67" s="27">
        <f t="shared" si="278"/>
        <v>0</v>
      </c>
      <c r="CJ67" s="27"/>
      <c r="CK67" s="27"/>
      <c r="CL67" s="27"/>
      <c r="CM67" s="27"/>
      <c r="CN67" s="27"/>
      <c r="CO67" s="27"/>
      <c r="CP67" s="27"/>
      <c r="CQ67" s="27"/>
      <c r="CR67" s="27"/>
      <c r="CS67" s="27"/>
      <c r="CT67" s="27"/>
      <c r="CU67" s="27"/>
      <c r="CV67" s="27"/>
      <c r="CW67" s="27"/>
      <c r="CX67" s="27"/>
      <c r="CY67" s="27"/>
      <c r="CZ67" s="27"/>
      <c r="DA67" s="27"/>
      <c r="DB67" s="27"/>
      <c r="DC67" s="27"/>
    </row>
    <row r="68" spans="3:107" s="20" customFormat="1" ht="41" customHeight="1" outlineLevel="2" thickBot="1" x14ac:dyDescent="0.35">
      <c r="C68" s="388" t="s">
        <v>101</v>
      </c>
      <c r="D68" s="461" t="s">
        <v>18</v>
      </c>
      <c r="E68" s="461" t="str">
        <f t="shared" ref="E68:E71" si="351">IF(U68&gt;50,"A",IF(U68&gt;15,"M","B"))</f>
        <v>B</v>
      </c>
      <c r="F68" s="461" t="s">
        <v>423</v>
      </c>
      <c r="G68" s="461" t="s">
        <v>423</v>
      </c>
      <c r="H68" s="461" t="str">
        <f t="shared" ref="H68:H71" si="352">IF(V68+W68&gt;20,"A",IF(V68+W68&gt;5,"M","B"))</f>
        <v>B</v>
      </c>
      <c r="I68" s="461" t="str">
        <f t="shared" ref="I68:I71" si="353">IF(V68+W68&gt;15,"A",IF(V68+W68&gt;4,"M","B"))</f>
        <v>B</v>
      </c>
      <c r="J68" s="425">
        <f t="shared" si="259"/>
        <v>1</v>
      </c>
      <c r="K68" s="503" t="str">
        <f t="shared" ref="K68:K71" si="354">AB68</f>
        <v>Chica 1</v>
      </c>
      <c r="L68" s="543" t="s">
        <v>773</v>
      </c>
      <c r="M68" s="532">
        <f t="shared" ref="M68:M74" si="355">BL68+BM68+BN68+BO68+BP68</f>
        <v>3</v>
      </c>
      <c r="N68" s="532">
        <f t="shared" ref="N68:N74" si="356">BQ68</f>
        <v>1.3</v>
      </c>
      <c r="O68" s="538">
        <f t="shared" ref="O68:O74" si="357">SUM(M68,N68)</f>
        <v>4.3</v>
      </c>
      <c r="P68" s="58"/>
      <c r="Q68" s="462"/>
      <c r="R68" s="462"/>
      <c r="S68" s="462"/>
      <c r="T68" s="109"/>
      <c r="U68" s="144">
        <v>5</v>
      </c>
      <c r="V68" s="144">
        <v>1</v>
      </c>
      <c r="W68" s="144">
        <v>0</v>
      </c>
      <c r="X68" s="463"/>
      <c r="Y68" s="463" t="str">
        <f t="shared" si="260"/>
        <v>ProcedimientoChica1</v>
      </c>
      <c r="Z68" s="135">
        <f>VLOOKUP(Y68,[1]Modelo!$G$82:$H$281,2,FALSE)</f>
        <v>141</v>
      </c>
      <c r="AA68" s="463"/>
      <c r="AB68" s="137" t="str">
        <f t="shared" si="261"/>
        <v>Chica 1</v>
      </c>
      <c r="AC68" s="137" t="str">
        <f t="shared" si="262"/>
        <v>Baja</v>
      </c>
      <c r="AD68" s="137" t="str">
        <f t="shared" si="263"/>
        <v>Baja</v>
      </c>
      <c r="AE68" s="137" t="str">
        <f t="shared" si="264"/>
        <v>Baja</v>
      </c>
      <c r="AF68" s="137" t="str">
        <f t="shared" si="265"/>
        <v>Baja</v>
      </c>
      <c r="AG68" s="137" t="str">
        <f t="shared" si="266"/>
        <v>Baja</v>
      </c>
      <c r="AH68" s="137" t="str">
        <f t="shared" si="267"/>
        <v>Baja</v>
      </c>
      <c r="AI68" s="137" t="str">
        <f t="shared" si="268"/>
        <v>Baja</v>
      </c>
      <c r="AJ68" s="137" t="str">
        <f t="shared" si="269"/>
        <v>Baja</v>
      </c>
      <c r="AK68" s="40"/>
      <c r="AL68" s="138">
        <f>IF(AB68=[1]Modelo!$F$7,[1]Modelo!$H$7,IF(AB68=[1]Modelo!$F$8,[1]Modelo!$H$8,IF(AB68=[1]Modelo!$F$9,[1]Modelo!$H$9,IF(AB68=[1]Modelo!$F$10,[1]Modelo!$H$10,IF(AB68=[1]Modelo!$F$11,[1]Modelo!$H$11,IF(AB68=[1]Modelo!$F$12,[1]Modelo!$H$12,IF(AB68=[1]Modelo!$F$13,[1]Modelo!$H$13,IF(AB68=[1]Modelo!$F$14,[1]Modelo!$H$14,IF(AB68=[1]Modelo!$F$15,[1]Modelo!$H$15,IF(AB68=[1]Modelo!$F$16,[1]Modelo!$H$16,IF(AB68=[1]Modelo!$F$17,[1]Modelo!$H$17,IF(AB68=[1]Modelo!$F$18,[1]Modelo!$H$18,IF(AB68=[1]Modelo!$F$19,[1]Modelo!$H$19,IF(AB68=[1]Modelo!$F$20,[1]Modelo!$H$20,IF(AB68=[1]Modelo!$F$21,[1]Modelo!$H$21,IF(AB68=[1]Modelo!$F$22,[1]Modelo!$H$22,0))))))))))))))))</f>
        <v>0.30000000000000004</v>
      </c>
      <c r="AM68" s="138">
        <f>IF(AB68=[1]Modelo!$F$7,[1]Modelo!$I$7,IF(AB68=[1]Modelo!$F$8,[1]Modelo!$I$8,IF(AB68=[1]Modelo!$F$9,[1]Modelo!$I$9,IF(AB68=[1]Modelo!$F$10,[1]Modelo!$I$10,IF(AB68=[1]Modelo!$F$11,[1]Modelo!$I$11,IF(AB68=[1]Modelo!$F$12,[1]Modelo!$I$12,IF(AB68=[1]Modelo!$F$13,[1]Modelo!$I$13,IF(AB68=[1]Modelo!$F$14,[1]Modelo!$I$14,IF(AB68=[1]Modelo!$F$15,[1]Modelo!$I$15,IF(AB68=[1]Modelo!$F$16,[1]Modelo!$I$16,IF(AB68=[1]Modelo!$F$17,[1]Modelo!$I$17,IF(AB68=[1]Modelo!$F$18,[1]Modelo!$I$18,IF(AB68=[1]Modelo!$F$19,[1]Modelo!$I$19,IF(AB68=[1]Modelo!$F$20,[1]Modelo!$I$20,IF(AB68=[1]Modelo!$F$21,[1]Modelo!$I$21,IF(AB68=[1]Modelo!$F$22,[1]Modelo!$I$22,0))))))))))))))))</f>
        <v>0.1</v>
      </c>
      <c r="AN68" s="138">
        <f>IF(AC68=[1]Modelo!$F$23,[1]Modelo!$H$23,IF(AC68=[1]Modelo!$F$24,[1]Modelo!$H$24,IF(AC68=[1]Modelo!$F$25,[1]Modelo!$H$25,0)))</f>
        <v>1</v>
      </c>
      <c r="AO68" s="138">
        <f>IF(AD68=[1]Modelo!$F$26,[1]Modelo!$H$26,IF(AD68=[1]Modelo!$F$27,[1]Modelo!$H$27,IF(AD68=[1]Modelo!$F$28,[1]Modelo!$H$28,0)))</f>
        <v>0.1</v>
      </c>
      <c r="AP68" s="138">
        <f>IF(AE68=[1]Modelo!$F$30,[1]Modelo!$H$30,IF(AE68=[1]Modelo!$F$31,[1]Modelo!$H$31,IF(AE68=[1]Modelo!$F$32,[1]Modelo!$H$32,0)))</f>
        <v>0.8</v>
      </c>
      <c r="AQ68" s="138">
        <f>IF(AF68=[1]Modelo!$F$33,[1]Modelo!$H$33,IF(AF68=[1]Modelo!$F$34,[1]Modelo!$H$34,IF(AF68=[1]Modelo!$F$35,[1]Modelo!$H$35,0)))</f>
        <v>0.3</v>
      </c>
      <c r="AR68" s="138">
        <f>IF(AG68=[1]Modelo!$F$37,[1]Modelo!$H$37,IF(AG68=[1]Modelo!$F$38,[1]Modelo!$H$38,IF(AG68=[1]Modelo!$F$39,[1]Modelo!$H$39,0)))</f>
        <v>0.8</v>
      </c>
      <c r="AS68" s="138">
        <f>IF(AH68=[1]Modelo!$F$40,[1]Modelo!$H$40,IF(AH68=[1]Modelo!$F$41,[1]Modelo!$H$41,IF(AH68=[1]Modelo!$F$42,[1]Modelo!$H$42,0)))</f>
        <v>0.4</v>
      </c>
      <c r="AT68" s="137">
        <f>IF(C68=[1]Modelo!$F$44,[1]Modelo!$H$44,IF(C68=[1]Modelo!$F$45,[1]Modelo!$H$45,IF(C68=[1]Modelo!$F$46,[1]Modelo!$H$46,IF(C68=[1]Modelo!$F$47,[1]Modelo!$H$47,IF(C68=[1]Modelo!$F$48,[1]Modelo!$H$48,IF(C68=[1]Modelo!$F$49,[1]Modelo!$H$49,IF(C68=[1]Modelo!$F$50,[1]Modelo!$H$50,IF(C68=[1]Modelo!$F$51,[1]Modelo!$H$51,IF(C68=[1]Modelo!$F$52,[1]Modelo!$H$52,IF(C68=[1]Modelo!$F$53,[1]Modelo!$H$53,0))))))))))</f>
        <v>2.5</v>
      </c>
      <c r="AU68" s="138">
        <f>IF(AI68=[1]Modelo!$F$54,[1]Modelo!$H$54,IF(AI68=[1]Modelo!$F$55,[1]Modelo!$H$55,IF(AI68=[1]Modelo!$F$56,[1]Modelo!$H$56,0)))</f>
        <v>1</v>
      </c>
      <c r="AV68" s="138">
        <f>IF(AJ68=[1]Modelo!$F$58,[1]Modelo!$H$58,IF(AJ68=[1]Modelo!$F$59,[1]Modelo!$H$59,IF(AJ68=[1]Modelo!$F$60,[1]Modelo!$H$60,0)))</f>
        <v>0.9</v>
      </c>
      <c r="AW68" s="40"/>
      <c r="AX68" s="139">
        <f>[1]Modelo!$H$2</f>
        <v>0.05</v>
      </c>
      <c r="AY68" s="140">
        <f>ROUNDUP([1]Modelo!$I$2*[1]Modelo!$H$3*[1]Modelo!$I$75,2)</f>
        <v>0.02</v>
      </c>
      <c r="AZ68" s="141">
        <f>ROUNDUP([1]Modelo!$I$2*[1]Modelo!$H$3*[1]Modelo!$H$4*[1]Modelo!$I$75,3)</f>
        <v>3.0000000000000001E-3</v>
      </c>
      <c r="BA68" s="139">
        <f>[1]Modelo!$H$5</f>
        <v>0.04</v>
      </c>
      <c r="BB68" s="139">
        <f>ROUNDUP(SUM(BC68,BE68,BG68,BI68)*[1]Modelo!$H$6,1)</f>
        <v>0.5</v>
      </c>
      <c r="BC68" s="139">
        <f>ROUNDUP((AL68*AN68+0.1)*[1]Modelo!$I$75,1)</f>
        <v>0.4</v>
      </c>
      <c r="BD68" s="139">
        <f>ROUNDUP(AM68*AN68*AO68*[1]Modelo!$I$75,1)</f>
        <v>0.1</v>
      </c>
      <c r="BE68" s="139">
        <f>ROUNDUP(V68*[1]Modelo!$H$29*AP68*[1]Modelo!$I$75*2/3,1)</f>
        <v>0.6</v>
      </c>
      <c r="BF68" s="139">
        <f>ROUNDUP(V68*[1]Modelo!$H$29*AP68*AQ68*[1]Modelo!$I$75*2/3,1)</f>
        <v>0.2</v>
      </c>
      <c r="BG68" s="139">
        <f>ROUNDUP(V68*[1]Modelo!$H$29*AP68*[1]Modelo!$I$75/3,1)</f>
        <v>0.30000000000000004</v>
      </c>
      <c r="BH68" s="139">
        <f>ROUNDUP(V68*[1]Modelo!$H$29*AP68*AQ68*[1]Modelo!$I$75/3,1)</f>
        <v>0.1</v>
      </c>
      <c r="BI68" s="139">
        <f>ROUNDUP(W68*[1]Modelo!$H$36*AR68*[1]Modelo!$I$75,1)</f>
        <v>0</v>
      </c>
      <c r="BJ68" s="139">
        <f>ROUNDUP(W68*[1]Modelo!$H$36*AR68*AS68*[1]Modelo!$I$75,1)</f>
        <v>0</v>
      </c>
      <c r="BK68" s="139">
        <f>[1]Modelo!$H$43</f>
        <v>0.04</v>
      </c>
      <c r="BL68" s="139">
        <f>ROUNDUP(SUM(ROUNDUP(AL68*AN68+0.1,1),ROUNDUP(V68*[1]Modelo!$H$29*AP68,1),ROUNDUP(W68*[1]Modelo!$H$36*AR68,1))*AU68*AT68*[1]Modelo!$I$75,1)</f>
        <v>3</v>
      </c>
      <c r="BM68" s="139">
        <f t="shared" si="270"/>
        <v>0</v>
      </c>
      <c r="BN68" s="139">
        <f t="shared" si="271"/>
        <v>0</v>
      </c>
      <c r="BO68" s="139">
        <f t="shared" si="272"/>
        <v>0</v>
      </c>
      <c r="BP68" s="139">
        <f t="shared" si="273"/>
        <v>0</v>
      </c>
      <c r="BQ68" s="139">
        <f>ROUNDUP(SUM(ROUNDUP(AL68*AN68+0.1,1),ROUNDUP(V68*[1]Modelo!$H$29*AP68,1),ROUNDUP(W68*[1]Modelo!$H$36*AR68,1))*AT68*AV68*[1]Modelo!$H$57,1)</f>
        <v>1.3</v>
      </c>
      <c r="BR68" s="409">
        <v>0</v>
      </c>
      <c r="BS68" s="139">
        <f>[1]Modelo!$H$61</f>
        <v>0.04</v>
      </c>
      <c r="BT68" s="139">
        <f>ROUNDUP(SUM(ROUNDUP(AL68*AN68+0.1,1),ROUNDUP(V68*[1]Modelo!$H$29*AP68,1),ROUNDUP(W68*[1]Modelo!$H$36*AR68,1))*[1]Modelo!$H$62*[1]Modelo!$I$75,1)</f>
        <v>0.1</v>
      </c>
      <c r="BU68" s="139">
        <f>ROUNDUP(ROUNDUP(SUM(ROUNDUP(AL68*AN68+0.1,1),ROUNDUP(V68*[1]Modelo!$H$29*AP68,1),ROUNDUP(W68*[1]Modelo!$H$36*AR68,1))*[1]Modelo!$H$62,1)*[1]Modelo!$H$63*[1]Modelo!$I$75,1)</f>
        <v>0.1</v>
      </c>
      <c r="BV68" s="139">
        <f>SUM(ROUNDUP(AL68*AN68+0.1,1),ROUNDUP(V68*[1]Modelo!$H$29*AP68,1),ROUNDUP(W68*[1]Modelo!$H$36*AR68,1))*[1]Modelo!$H$64*[1]Modelo!$I$75</f>
        <v>0.24000000000000005</v>
      </c>
      <c r="BW68" s="139">
        <f>ROUNDUP(SUM(ROUNDUP(AL68*AN68+0.1,1),ROUNDUP(V68*[1]Modelo!$H$29*AP68,1),ROUNDUP(W68*[1]Modelo!$H$36*AR68,1))*[1]Modelo!$H$64*[1]Modelo!$H$65*[1]Modelo!$I$75,1)</f>
        <v>0.2</v>
      </c>
      <c r="BX68" s="139">
        <f>[1]Modelo!$H$66</f>
        <v>0.04</v>
      </c>
      <c r="BY68" s="139">
        <f>ROUNDUP(SUM(ROUNDUP(AL68*AN68+0.1,1),ROUNDUP(V68*[1]Modelo!$H$29*AP68,1),ROUNDUP(W68*[1]Modelo!$H$36*AR68,1))*[1]Modelo!$H$69,1)</f>
        <v>0.30000000000000004</v>
      </c>
      <c r="BZ68" s="139">
        <f>ROUNDUP(ROUNDUP(SUM(ROUNDUP(AL68*AN68+0.1,1),ROUNDUP(V68*[1]Modelo!$H$29*AP68,1),ROUNDUP(W68*[1]Modelo!$H$36*AR68,1))*[1]Modelo!$H$62,1)*[1]Modelo!$H$71,1)</f>
        <v>0.2</v>
      </c>
      <c r="CA68" s="142">
        <f t="shared" si="274"/>
        <v>7.8729999999999993</v>
      </c>
      <c r="CB68" s="27"/>
      <c r="CC68" s="27">
        <f t="shared" si="275"/>
        <v>3.6549999999999998</v>
      </c>
      <c r="CD68" s="109">
        <f t="shared" si="276"/>
        <v>4.3</v>
      </c>
      <c r="CE68" s="27">
        <f t="shared" si="277"/>
        <v>6.02</v>
      </c>
      <c r="CF68" s="27"/>
      <c r="CG68" s="126">
        <v>0</v>
      </c>
      <c r="CH68" s="27"/>
      <c r="CI68" s="27">
        <f t="shared" si="278"/>
        <v>0</v>
      </c>
      <c r="CJ68" s="27"/>
      <c r="CK68" s="27"/>
      <c r="CL68" s="27"/>
      <c r="CM68" s="27"/>
      <c r="CN68" s="27"/>
      <c r="CO68" s="27"/>
      <c r="CP68" s="27"/>
      <c r="CQ68" s="27"/>
      <c r="CR68" s="27"/>
      <c r="CS68" s="27"/>
      <c r="CT68" s="27"/>
      <c r="CU68" s="27"/>
      <c r="CV68" s="27"/>
      <c r="CW68" s="27"/>
      <c r="CX68" s="27"/>
      <c r="CY68" s="27"/>
      <c r="CZ68" s="27"/>
      <c r="DA68" s="27"/>
      <c r="DB68" s="27"/>
      <c r="DC68" s="27"/>
    </row>
    <row r="69" spans="3:107" s="20" customFormat="1" ht="28.5" customHeight="1" outlineLevel="2" thickBot="1" x14ac:dyDescent="0.35">
      <c r="C69" s="388" t="s">
        <v>101</v>
      </c>
      <c r="D69" s="461" t="s">
        <v>18</v>
      </c>
      <c r="E69" s="461" t="str">
        <f t="shared" si="351"/>
        <v>B</v>
      </c>
      <c r="F69" s="461" t="s">
        <v>423</v>
      </c>
      <c r="G69" s="461" t="s">
        <v>423</v>
      </c>
      <c r="H69" s="461" t="str">
        <f t="shared" si="352"/>
        <v>B</v>
      </c>
      <c r="I69" s="461" t="str">
        <f t="shared" si="353"/>
        <v>B</v>
      </c>
      <c r="J69" s="425">
        <f t="shared" si="259"/>
        <v>1</v>
      </c>
      <c r="K69" s="503" t="str">
        <f t="shared" si="354"/>
        <v>Chica 1</v>
      </c>
      <c r="L69" s="544" t="s">
        <v>742</v>
      </c>
      <c r="M69" s="532">
        <f t="shared" si="355"/>
        <v>3</v>
      </c>
      <c r="N69" s="532">
        <f t="shared" si="356"/>
        <v>1.3</v>
      </c>
      <c r="O69" s="538">
        <f t="shared" si="357"/>
        <v>4.3</v>
      </c>
      <c r="P69" s="58"/>
      <c r="Q69" s="462"/>
      <c r="R69" s="462"/>
      <c r="S69" s="462"/>
      <c r="T69" s="109"/>
      <c r="U69" s="144">
        <v>5</v>
      </c>
      <c r="V69" s="144">
        <v>1</v>
      </c>
      <c r="W69" s="144">
        <v>0</v>
      </c>
      <c r="X69" s="463"/>
      <c r="Y69" s="463" t="str">
        <f t="shared" si="260"/>
        <v>ProcedimientoChica1</v>
      </c>
      <c r="Z69" s="135">
        <f>VLOOKUP(Y69,[1]Modelo!$G$82:$H$281,2,FALSE)</f>
        <v>141</v>
      </c>
      <c r="AA69" s="463"/>
      <c r="AB69" s="137" t="str">
        <f t="shared" si="261"/>
        <v>Chica 1</v>
      </c>
      <c r="AC69" s="137" t="str">
        <f t="shared" si="262"/>
        <v>Baja</v>
      </c>
      <c r="AD69" s="137" t="str">
        <f t="shared" si="263"/>
        <v>Baja</v>
      </c>
      <c r="AE69" s="137" t="str">
        <f t="shared" si="264"/>
        <v>Baja</v>
      </c>
      <c r="AF69" s="137" t="str">
        <f t="shared" si="265"/>
        <v>Baja</v>
      </c>
      <c r="AG69" s="137" t="str">
        <f t="shared" si="266"/>
        <v>Baja</v>
      </c>
      <c r="AH69" s="137" t="str">
        <f t="shared" si="267"/>
        <v>Baja</v>
      </c>
      <c r="AI69" s="137" t="str">
        <f t="shared" si="268"/>
        <v>Baja</v>
      </c>
      <c r="AJ69" s="137" t="str">
        <f t="shared" si="269"/>
        <v>Baja</v>
      </c>
      <c r="AK69" s="40"/>
      <c r="AL69" s="138">
        <f>IF(AB69=[1]Modelo!$F$7,[1]Modelo!$H$7,IF(AB69=[1]Modelo!$F$8,[1]Modelo!$H$8,IF(AB69=[1]Modelo!$F$9,[1]Modelo!$H$9,IF(AB69=[1]Modelo!$F$10,[1]Modelo!$H$10,IF(AB69=[1]Modelo!$F$11,[1]Modelo!$H$11,IF(AB69=[1]Modelo!$F$12,[1]Modelo!$H$12,IF(AB69=[1]Modelo!$F$13,[1]Modelo!$H$13,IF(AB69=[1]Modelo!$F$14,[1]Modelo!$H$14,IF(AB69=[1]Modelo!$F$15,[1]Modelo!$H$15,IF(AB69=[1]Modelo!$F$16,[1]Modelo!$H$16,IF(AB69=[1]Modelo!$F$17,[1]Modelo!$H$17,IF(AB69=[1]Modelo!$F$18,[1]Modelo!$H$18,IF(AB69=[1]Modelo!$F$19,[1]Modelo!$H$19,IF(AB69=[1]Modelo!$F$20,[1]Modelo!$H$20,IF(AB69=[1]Modelo!$F$21,[1]Modelo!$H$21,IF(AB69=[1]Modelo!$F$22,[1]Modelo!$H$22,0))))))))))))))))</f>
        <v>0.30000000000000004</v>
      </c>
      <c r="AM69" s="138">
        <f>IF(AB69=[1]Modelo!$F$7,[1]Modelo!$I$7,IF(AB69=[1]Modelo!$F$8,[1]Modelo!$I$8,IF(AB69=[1]Modelo!$F$9,[1]Modelo!$I$9,IF(AB69=[1]Modelo!$F$10,[1]Modelo!$I$10,IF(AB69=[1]Modelo!$F$11,[1]Modelo!$I$11,IF(AB69=[1]Modelo!$F$12,[1]Modelo!$I$12,IF(AB69=[1]Modelo!$F$13,[1]Modelo!$I$13,IF(AB69=[1]Modelo!$F$14,[1]Modelo!$I$14,IF(AB69=[1]Modelo!$F$15,[1]Modelo!$I$15,IF(AB69=[1]Modelo!$F$16,[1]Modelo!$I$16,IF(AB69=[1]Modelo!$F$17,[1]Modelo!$I$17,IF(AB69=[1]Modelo!$F$18,[1]Modelo!$I$18,IF(AB69=[1]Modelo!$F$19,[1]Modelo!$I$19,IF(AB69=[1]Modelo!$F$20,[1]Modelo!$I$20,IF(AB69=[1]Modelo!$F$21,[1]Modelo!$I$21,IF(AB69=[1]Modelo!$F$22,[1]Modelo!$I$22,0))))))))))))))))</f>
        <v>0.1</v>
      </c>
      <c r="AN69" s="138">
        <f>IF(AC69=[1]Modelo!$F$23,[1]Modelo!$H$23,IF(AC69=[1]Modelo!$F$24,[1]Modelo!$H$24,IF(AC69=[1]Modelo!$F$25,[1]Modelo!$H$25,0)))</f>
        <v>1</v>
      </c>
      <c r="AO69" s="138">
        <f>IF(AD69=[1]Modelo!$F$26,[1]Modelo!$H$26,IF(AD69=[1]Modelo!$F$27,[1]Modelo!$H$27,IF(AD69=[1]Modelo!$F$28,[1]Modelo!$H$28,0)))</f>
        <v>0.1</v>
      </c>
      <c r="AP69" s="138">
        <f>IF(AE69=[1]Modelo!$F$30,[1]Modelo!$H$30,IF(AE69=[1]Modelo!$F$31,[1]Modelo!$H$31,IF(AE69=[1]Modelo!$F$32,[1]Modelo!$H$32,0)))</f>
        <v>0.8</v>
      </c>
      <c r="AQ69" s="138">
        <f>IF(AF69=[1]Modelo!$F$33,[1]Modelo!$H$33,IF(AF69=[1]Modelo!$F$34,[1]Modelo!$H$34,IF(AF69=[1]Modelo!$F$35,[1]Modelo!$H$35,0)))</f>
        <v>0.3</v>
      </c>
      <c r="AR69" s="138">
        <f>IF(AG69=[1]Modelo!$F$37,[1]Modelo!$H$37,IF(AG69=[1]Modelo!$F$38,[1]Modelo!$H$38,IF(AG69=[1]Modelo!$F$39,[1]Modelo!$H$39,0)))</f>
        <v>0.8</v>
      </c>
      <c r="AS69" s="138">
        <f>IF(AH69=[1]Modelo!$F$40,[1]Modelo!$H$40,IF(AH69=[1]Modelo!$F$41,[1]Modelo!$H$41,IF(AH69=[1]Modelo!$F$42,[1]Modelo!$H$42,0)))</f>
        <v>0.4</v>
      </c>
      <c r="AT69" s="137">
        <f>IF(C69=[1]Modelo!$F$44,[1]Modelo!$H$44,IF(C69=[1]Modelo!$F$45,[1]Modelo!$H$45,IF(C69=[1]Modelo!$F$46,[1]Modelo!$H$46,IF(C69=[1]Modelo!$F$47,[1]Modelo!$H$47,IF(C69=[1]Modelo!$F$48,[1]Modelo!$H$48,IF(C69=[1]Modelo!$F$49,[1]Modelo!$H$49,IF(C69=[1]Modelo!$F$50,[1]Modelo!$H$50,IF(C69=[1]Modelo!$F$51,[1]Modelo!$H$51,IF(C69=[1]Modelo!$F$52,[1]Modelo!$H$52,IF(C69=[1]Modelo!$F$53,[1]Modelo!$H$53,0))))))))))</f>
        <v>2.5</v>
      </c>
      <c r="AU69" s="138">
        <f>IF(AI69=[1]Modelo!$F$54,[1]Modelo!$H$54,IF(AI69=[1]Modelo!$F$55,[1]Modelo!$H$55,IF(AI69=[1]Modelo!$F$56,[1]Modelo!$H$56,0)))</f>
        <v>1</v>
      </c>
      <c r="AV69" s="138">
        <f>IF(AJ69=[1]Modelo!$F$58,[1]Modelo!$H$58,IF(AJ69=[1]Modelo!$F$59,[1]Modelo!$H$59,IF(AJ69=[1]Modelo!$F$60,[1]Modelo!$H$60,0)))</f>
        <v>0.9</v>
      </c>
      <c r="AW69" s="40"/>
      <c r="AX69" s="139">
        <f>[1]Modelo!$H$2</f>
        <v>0.05</v>
      </c>
      <c r="AY69" s="140">
        <f>ROUNDUP([1]Modelo!$I$2*[1]Modelo!$H$3*[1]Modelo!$I$75,2)</f>
        <v>0.02</v>
      </c>
      <c r="AZ69" s="141">
        <f>ROUNDUP([1]Modelo!$I$2*[1]Modelo!$H$3*[1]Modelo!$H$4*[1]Modelo!$I$75,3)</f>
        <v>3.0000000000000001E-3</v>
      </c>
      <c r="BA69" s="139">
        <f>[1]Modelo!$H$5</f>
        <v>0.04</v>
      </c>
      <c r="BB69" s="139">
        <f>ROUNDUP(SUM(BC69,BE69,BG69,BI69)*[1]Modelo!$H$6,1)</f>
        <v>0.5</v>
      </c>
      <c r="BC69" s="139">
        <f>ROUNDUP((AL69*AN69+0.1)*[1]Modelo!$I$75,1)</f>
        <v>0.4</v>
      </c>
      <c r="BD69" s="139">
        <f>ROUNDUP(AM69*AN69*AO69*[1]Modelo!$I$75,1)</f>
        <v>0.1</v>
      </c>
      <c r="BE69" s="139">
        <f>ROUNDUP(V69*[1]Modelo!$H$29*AP69*[1]Modelo!$I$75*2/3,1)</f>
        <v>0.6</v>
      </c>
      <c r="BF69" s="139">
        <f>ROUNDUP(V69*[1]Modelo!$H$29*AP69*AQ69*[1]Modelo!$I$75*2/3,1)</f>
        <v>0.2</v>
      </c>
      <c r="BG69" s="139">
        <f>ROUNDUP(V69*[1]Modelo!$H$29*AP69*[1]Modelo!$I$75/3,1)</f>
        <v>0.30000000000000004</v>
      </c>
      <c r="BH69" s="139">
        <f>ROUNDUP(V69*[1]Modelo!$H$29*AP69*AQ69*[1]Modelo!$I$75/3,1)</f>
        <v>0.1</v>
      </c>
      <c r="BI69" s="139">
        <f>ROUNDUP(W69*[1]Modelo!$H$36*AR69*[1]Modelo!$I$75,1)</f>
        <v>0</v>
      </c>
      <c r="BJ69" s="139">
        <f>ROUNDUP(W69*[1]Modelo!$H$36*AR69*AS69*[1]Modelo!$I$75,1)</f>
        <v>0</v>
      </c>
      <c r="BK69" s="139">
        <f>[1]Modelo!$H$43</f>
        <v>0.04</v>
      </c>
      <c r="BL69" s="139">
        <f>ROUNDUP(SUM(ROUNDUP(AL69*AN69+0.1,1),ROUNDUP(V69*[1]Modelo!$H$29*AP69,1),ROUNDUP(W69*[1]Modelo!$H$36*AR69,1))*AU69*AT69*[1]Modelo!$I$75,1)</f>
        <v>3</v>
      </c>
      <c r="BM69" s="139">
        <f t="shared" si="270"/>
        <v>0</v>
      </c>
      <c r="BN69" s="139">
        <f t="shared" si="271"/>
        <v>0</v>
      </c>
      <c r="BO69" s="139">
        <f t="shared" si="272"/>
        <v>0</v>
      </c>
      <c r="BP69" s="139">
        <f t="shared" si="273"/>
        <v>0</v>
      </c>
      <c r="BQ69" s="139">
        <f>ROUNDUP(SUM(ROUNDUP(AL69*AN69+0.1,1),ROUNDUP(V69*[1]Modelo!$H$29*AP69,1),ROUNDUP(W69*[1]Modelo!$H$36*AR69,1))*AT69*AV69*[1]Modelo!$H$57,1)</f>
        <v>1.3</v>
      </c>
      <c r="BR69" s="409">
        <v>0</v>
      </c>
      <c r="BS69" s="139">
        <f>[1]Modelo!$H$61</f>
        <v>0.04</v>
      </c>
      <c r="BT69" s="139">
        <f>ROUNDUP(SUM(ROUNDUP(AL69*AN69+0.1,1),ROUNDUP(V69*[1]Modelo!$H$29*AP69,1),ROUNDUP(W69*[1]Modelo!$H$36*AR69,1))*[1]Modelo!$H$62*[1]Modelo!$I$75,1)</f>
        <v>0.1</v>
      </c>
      <c r="BU69" s="139">
        <f>ROUNDUP(ROUNDUP(SUM(ROUNDUP(AL69*AN69+0.1,1),ROUNDUP(V69*[1]Modelo!$H$29*AP69,1),ROUNDUP(W69*[1]Modelo!$H$36*AR69,1))*[1]Modelo!$H$62,1)*[1]Modelo!$H$63*[1]Modelo!$I$75,1)</f>
        <v>0.1</v>
      </c>
      <c r="BV69" s="139">
        <f>SUM(ROUNDUP(AL69*AN69+0.1,1),ROUNDUP(V69*[1]Modelo!$H$29*AP69,1),ROUNDUP(W69*[1]Modelo!$H$36*AR69,1))*[1]Modelo!$H$64*[1]Modelo!$I$75</f>
        <v>0.24000000000000005</v>
      </c>
      <c r="BW69" s="139">
        <f>ROUNDUP(SUM(ROUNDUP(AL69*AN69+0.1,1),ROUNDUP(V69*[1]Modelo!$H$29*AP69,1),ROUNDUP(W69*[1]Modelo!$H$36*AR69,1))*[1]Modelo!$H$64*[1]Modelo!$H$65*[1]Modelo!$I$75,1)</f>
        <v>0.2</v>
      </c>
      <c r="BX69" s="139">
        <f>[1]Modelo!$H$66</f>
        <v>0.04</v>
      </c>
      <c r="BY69" s="139">
        <f>ROUNDUP(SUM(ROUNDUP(AL69*AN69+0.1,1),ROUNDUP(V69*[1]Modelo!$H$29*AP69,1),ROUNDUP(W69*[1]Modelo!$H$36*AR69,1))*[1]Modelo!$H$69,1)</f>
        <v>0.30000000000000004</v>
      </c>
      <c r="BZ69" s="139">
        <f>ROUNDUP(ROUNDUP(SUM(ROUNDUP(AL69*AN69+0.1,1),ROUNDUP(V69*[1]Modelo!$H$29*AP69,1),ROUNDUP(W69*[1]Modelo!$H$36*AR69,1))*[1]Modelo!$H$62,1)*[1]Modelo!$H$71,1)</f>
        <v>0.2</v>
      </c>
      <c r="CA69" s="142">
        <f t="shared" si="274"/>
        <v>7.8729999999999993</v>
      </c>
      <c r="CB69" s="27"/>
      <c r="CC69" s="27">
        <f t="shared" si="275"/>
        <v>3.6549999999999998</v>
      </c>
      <c r="CD69" s="109">
        <f t="shared" si="276"/>
        <v>4.3</v>
      </c>
      <c r="CE69" s="27">
        <f t="shared" si="277"/>
        <v>6.02</v>
      </c>
      <c r="CF69" s="27"/>
      <c r="CG69" s="126">
        <v>0</v>
      </c>
      <c r="CH69" s="27"/>
      <c r="CI69" s="27">
        <f t="shared" si="278"/>
        <v>0</v>
      </c>
      <c r="CJ69" s="27"/>
      <c r="CK69" s="27"/>
      <c r="CL69" s="27"/>
      <c r="CM69" s="27"/>
      <c r="CN69" s="27"/>
      <c r="CO69" s="27"/>
      <c r="CP69" s="27"/>
      <c r="CQ69" s="27"/>
      <c r="CR69" s="27"/>
      <c r="CS69" s="27"/>
      <c r="CT69" s="27"/>
      <c r="CU69" s="27"/>
      <c r="CV69" s="27"/>
      <c r="CW69" s="27"/>
      <c r="CX69" s="27"/>
      <c r="CY69" s="27"/>
      <c r="CZ69" s="27"/>
      <c r="DA69" s="27"/>
      <c r="DB69" s="27"/>
      <c r="DC69" s="27"/>
    </row>
    <row r="70" spans="3:107" s="20" customFormat="1" ht="26.5" customHeight="1" outlineLevel="2" thickBot="1" x14ac:dyDescent="0.35">
      <c r="C70" s="388" t="s">
        <v>101</v>
      </c>
      <c r="D70" s="461" t="s">
        <v>18</v>
      </c>
      <c r="E70" s="461" t="str">
        <f t="shared" ref="E70" si="358">IF(U70&gt;50,"A",IF(U70&gt;15,"M","B"))</f>
        <v>B</v>
      </c>
      <c r="F70" s="461" t="s">
        <v>423</v>
      </c>
      <c r="G70" s="461" t="s">
        <v>423</v>
      </c>
      <c r="H70" s="461" t="str">
        <f t="shared" ref="H70" si="359">IF(V70+W70&gt;20,"A",IF(V70+W70&gt;5,"M","B"))</f>
        <v>B</v>
      </c>
      <c r="I70" s="461" t="str">
        <f t="shared" ref="I70" si="360">IF(V70+W70&gt;15,"A",IF(V70+W70&gt;4,"M","B"))</f>
        <v>B</v>
      </c>
      <c r="J70" s="425">
        <f t="shared" ref="J70" si="361">V70+W70</f>
        <v>1</v>
      </c>
      <c r="K70" s="503" t="str">
        <f t="shared" ref="K70" si="362">AB70</f>
        <v>Chica 1</v>
      </c>
      <c r="L70" s="544" t="s">
        <v>752</v>
      </c>
      <c r="M70" s="532">
        <f t="shared" si="355"/>
        <v>3</v>
      </c>
      <c r="N70" s="532">
        <f t="shared" si="356"/>
        <v>1.3</v>
      </c>
      <c r="O70" s="538">
        <f t="shared" si="357"/>
        <v>4.3</v>
      </c>
      <c r="P70" s="58"/>
      <c r="Q70" s="462"/>
      <c r="R70" s="462"/>
      <c r="S70" s="462"/>
      <c r="T70" s="109"/>
      <c r="U70" s="144">
        <v>5</v>
      </c>
      <c r="V70" s="144">
        <v>1</v>
      </c>
      <c r="W70" s="144">
        <v>0</v>
      </c>
      <c r="X70" s="463"/>
      <c r="Y70" s="463" t="str">
        <f t="shared" ref="Y70" si="363">CONCATENATE(C70,LEFT(K70,5),J70)</f>
        <v>ProcedimientoChica1</v>
      </c>
      <c r="Z70" s="135">
        <f>VLOOKUP(Y70,[1]Modelo!$G$82:$H$281,2,FALSE)</f>
        <v>141</v>
      </c>
      <c r="AA70" s="463"/>
      <c r="AB70" s="137" t="str">
        <f t="shared" ref="AB70" si="364">IF(AND(U70&gt;=0,U70&lt;=6),"Chica 1",IF(AND(U70&gt;=7,U70&lt;=12),"Chica 2",IF(AND(U70&gt;=13,U70&lt;=18),"Chica 3",IF(AND(U70&gt;=19,U70&lt;=24),"Chica 4",IF(AND(U70&gt;=25,U70&lt;=30),"Mediana 1",IF(AND(U70&gt;=31,U70&lt;=36),"Mediana 2",IF(AND(U70&gt;=37,U70&lt;=42),"Mediana 3",IF(AND(U70&gt;=43,U70&lt;=48),"Mediana 4",IF(AND(U70&gt;=49,U70&lt;=54),"Grande 1",IF(AND(U70&gt;=55,U70&lt;=60),"Grande 2",IF(AND(U70&gt;=61,U70&lt;=66),"Grande 3",IF(AND(U70&gt;=67,U70&lt;=72),"Grande 4",IF(AND(U70&gt;=73,U70&lt;=78),"M. grande 1",IF(AND(U70&gt;=79,U70&lt;=84),"M. grande 2",IF(AND(U70&gt;=85,U70&lt;=90),"M. grande 3",IF(AND(U70&gt;=91,U70&lt;=96),"M. grande 4","NO DEF"))))))))))))))))</f>
        <v>Chica 1</v>
      </c>
      <c r="AC70" s="137" t="str">
        <f t="shared" ref="AC70" si="365">IF(E70="A","Alta",IF(E70="M","Media","Baja"))</f>
        <v>Baja</v>
      </c>
      <c r="AD70" s="137" t="str">
        <f t="shared" ref="AD70" si="366">IF(E70="A","Alta",IF(E70="M","Media","Baja"))</f>
        <v>Baja</v>
      </c>
      <c r="AE70" s="137" t="str">
        <f t="shared" ref="AE70" si="367">IF(F70="A","Alta",IF(F70="M","Media","Baja"))</f>
        <v>Baja</v>
      </c>
      <c r="AF70" s="137" t="str">
        <f t="shared" ref="AF70" si="368">IF(F70="A","Alta",IF(F70="M","Media","Baja"))</f>
        <v>Baja</v>
      </c>
      <c r="AG70" s="137" t="str">
        <f t="shared" ref="AG70" si="369">IF(G70="A","Alta",IF(G70="M","Media","Baja"))</f>
        <v>Baja</v>
      </c>
      <c r="AH70" s="137" t="str">
        <f t="shared" ref="AH70" si="370">IF(G70="A","Alta",IF(G70="M","Media","Baja"))</f>
        <v>Baja</v>
      </c>
      <c r="AI70" s="137" t="str">
        <f t="shared" ref="AI70" si="371">IF(H70="A","Alta",IF(H70="M","Media","Baja"))</f>
        <v>Baja</v>
      </c>
      <c r="AJ70" s="137" t="str">
        <f t="shared" ref="AJ70" si="372">IF(I70="A","Alta",IF(I70="M","Media","Baja"))</f>
        <v>Baja</v>
      </c>
      <c r="AK70" s="40"/>
      <c r="AL70" s="138">
        <f>IF(AB70=[1]Modelo!$F$7,[1]Modelo!$H$7,IF(AB70=[1]Modelo!$F$8,[1]Modelo!$H$8,IF(AB70=[1]Modelo!$F$9,[1]Modelo!$H$9,IF(AB70=[1]Modelo!$F$10,[1]Modelo!$H$10,IF(AB70=[1]Modelo!$F$11,[1]Modelo!$H$11,IF(AB70=[1]Modelo!$F$12,[1]Modelo!$H$12,IF(AB70=[1]Modelo!$F$13,[1]Modelo!$H$13,IF(AB70=[1]Modelo!$F$14,[1]Modelo!$H$14,IF(AB70=[1]Modelo!$F$15,[1]Modelo!$H$15,IF(AB70=[1]Modelo!$F$16,[1]Modelo!$H$16,IF(AB70=[1]Modelo!$F$17,[1]Modelo!$H$17,IF(AB70=[1]Modelo!$F$18,[1]Modelo!$H$18,IF(AB70=[1]Modelo!$F$19,[1]Modelo!$H$19,IF(AB70=[1]Modelo!$F$20,[1]Modelo!$H$20,IF(AB70=[1]Modelo!$F$21,[1]Modelo!$H$21,IF(AB70=[1]Modelo!$F$22,[1]Modelo!$H$22,0))))))))))))))))</f>
        <v>0.30000000000000004</v>
      </c>
      <c r="AM70" s="138">
        <f>IF(AB70=[1]Modelo!$F$7,[1]Modelo!$I$7,IF(AB70=[1]Modelo!$F$8,[1]Modelo!$I$8,IF(AB70=[1]Modelo!$F$9,[1]Modelo!$I$9,IF(AB70=[1]Modelo!$F$10,[1]Modelo!$I$10,IF(AB70=[1]Modelo!$F$11,[1]Modelo!$I$11,IF(AB70=[1]Modelo!$F$12,[1]Modelo!$I$12,IF(AB70=[1]Modelo!$F$13,[1]Modelo!$I$13,IF(AB70=[1]Modelo!$F$14,[1]Modelo!$I$14,IF(AB70=[1]Modelo!$F$15,[1]Modelo!$I$15,IF(AB70=[1]Modelo!$F$16,[1]Modelo!$I$16,IF(AB70=[1]Modelo!$F$17,[1]Modelo!$I$17,IF(AB70=[1]Modelo!$F$18,[1]Modelo!$I$18,IF(AB70=[1]Modelo!$F$19,[1]Modelo!$I$19,IF(AB70=[1]Modelo!$F$20,[1]Modelo!$I$20,IF(AB70=[1]Modelo!$F$21,[1]Modelo!$I$21,IF(AB70=[1]Modelo!$F$22,[1]Modelo!$I$22,0))))))))))))))))</f>
        <v>0.1</v>
      </c>
      <c r="AN70" s="138">
        <f>IF(AC70=[1]Modelo!$F$23,[1]Modelo!$H$23,IF(AC70=[1]Modelo!$F$24,[1]Modelo!$H$24,IF(AC70=[1]Modelo!$F$25,[1]Modelo!$H$25,0)))</f>
        <v>1</v>
      </c>
      <c r="AO70" s="138">
        <f>IF(AD70=[1]Modelo!$F$26,[1]Modelo!$H$26,IF(AD70=[1]Modelo!$F$27,[1]Modelo!$H$27,IF(AD70=[1]Modelo!$F$28,[1]Modelo!$H$28,0)))</f>
        <v>0.1</v>
      </c>
      <c r="AP70" s="138">
        <f>IF(AE70=[1]Modelo!$F$30,[1]Modelo!$H$30,IF(AE70=[1]Modelo!$F$31,[1]Modelo!$H$31,IF(AE70=[1]Modelo!$F$32,[1]Modelo!$H$32,0)))</f>
        <v>0.8</v>
      </c>
      <c r="AQ70" s="138">
        <f>IF(AF70=[1]Modelo!$F$33,[1]Modelo!$H$33,IF(AF70=[1]Modelo!$F$34,[1]Modelo!$H$34,IF(AF70=[1]Modelo!$F$35,[1]Modelo!$H$35,0)))</f>
        <v>0.3</v>
      </c>
      <c r="AR70" s="138">
        <f>IF(AG70=[1]Modelo!$F$37,[1]Modelo!$H$37,IF(AG70=[1]Modelo!$F$38,[1]Modelo!$H$38,IF(AG70=[1]Modelo!$F$39,[1]Modelo!$H$39,0)))</f>
        <v>0.8</v>
      </c>
      <c r="AS70" s="138">
        <f>IF(AH70=[1]Modelo!$F$40,[1]Modelo!$H$40,IF(AH70=[1]Modelo!$F$41,[1]Modelo!$H$41,IF(AH70=[1]Modelo!$F$42,[1]Modelo!$H$42,0)))</f>
        <v>0.4</v>
      </c>
      <c r="AT70" s="137">
        <f>IF(C70=[1]Modelo!$F$44,[1]Modelo!$H$44,IF(C70=[1]Modelo!$F$45,[1]Modelo!$H$45,IF(C70=[1]Modelo!$F$46,[1]Modelo!$H$46,IF(C70=[1]Modelo!$F$47,[1]Modelo!$H$47,IF(C70=[1]Modelo!$F$48,[1]Modelo!$H$48,IF(C70=[1]Modelo!$F$49,[1]Modelo!$H$49,IF(C70=[1]Modelo!$F$50,[1]Modelo!$H$50,IF(C70=[1]Modelo!$F$51,[1]Modelo!$H$51,IF(C70=[1]Modelo!$F$52,[1]Modelo!$H$52,IF(C70=[1]Modelo!$F$53,[1]Modelo!$H$53,0))))))))))</f>
        <v>2.5</v>
      </c>
      <c r="AU70" s="138">
        <f>IF(AI70=[1]Modelo!$F$54,[1]Modelo!$H$54,IF(AI70=[1]Modelo!$F$55,[1]Modelo!$H$55,IF(AI70=[1]Modelo!$F$56,[1]Modelo!$H$56,0)))</f>
        <v>1</v>
      </c>
      <c r="AV70" s="138">
        <f>IF(AJ70=[1]Modelo!$F$58,[1]Modelo!$H$58,IF(AJ70=[1]Modelo!$F$59,[1]Modelo!$H$59,IF(AJ70=[1]Modelo!$F$60,[1]Modelo!$H$60,0)))</f>
        <v>0.9</v>
      </c>
      <c r="AW70" s="40"/>
      <c r="AX70" s="139">
        <f>[1]Modelo!$H$2</f>
        <v>0.05</v>
      </c>
      <c r="AY70" s="140">
        <f>ROUNDUP([1]Modelo!$I$2*[1]Modelo!$H$3*[1]Modelo!$I$75,2)</f>
        <v>0.02</v>
      </c>
      <c r="AZ70" s="141">
        <f>ROUNDUP([1]Modelo!$I$2*[1]Modelo!$H$3*[1]Modelo!$H$4*[1]Modelo!$I$75,3)</f>
        <v>3.0000000000000001E-3</v>
      </c>
      <c r="BA70" s="139">
        <f>[1]Modelo!$H$5</f>
        <v>0.04</v>
      </c>
      <c r="BB70" s="139">
        <f>ROUNDUP(SUM(BC70,BE70,BG70,BI70)*[1]Modelo!$H$6,1)</f>
        <v>0.5</v>
      </c>
      <c r="BC70" s="139">
        <f>ROUNDUP((AL70*AN70+0.1)*[1]Modelo!$I$75,1)</f>
        <v>0.4</v>
      </c>
      <c r="BD70" s="139">
        <f>ROUNDUP(AM70*AN70*AO70*[1]Modelo!$I$75,1)</f>
        <v>0.1</v>
      </c>
      <c r="BE70" s="139">
        <f>ROUNDUP(V70*[1]Modelo!$H$29*AP70*[1]Modelo!$I$75*2/3,1)</f>
        <v>0.6</v>
      </c>
      <c r="BF70" s="139">
        <f>ROUNDUP(V70*[1]Modelo!$H$29*AP70*AQ70*[1]Modelo!$I$75*2/3,1)</f>
        <v>0.2</v>
      </c>
      <c r="BG70" s="139">
        <f>ROUNDUP(V70*[1]Modelo!$H$29*AP70*[1]Modelo!$I$75/3,1)</f>
        <v>0.30000000000000004</v>
      </c>
      <c r="BH70" s="139">
        <f>ROUNDUP(V70*[1]Modelo!$H$29*AP70*AQ70*[1]Modelo!$I$75/3,1)</f>
        <v>0.1</v>
      </c>
      <c r="BI70" s="139">
        <f>ROUNDUP(W70*[1]Modelo!$H$36*AR70*[1]Modelo!$I$75,1)</f>
        <v>0</v>
      </c>
      <c r="BJ70" s="139">
        <f>ROUNDUP(W70*[1]Modelo!$H$36*AR70*AS70*[1]Modelo!$I$75,1)</f>
        <v>0</v>
      </c>
      <c r="BK70" s="139">
        <f>[1]Modelo!$H$43</f>
        <v>0.04</v>
      </c>
      <c r="BL70" s="139">
        <f>ROUNDUP(SUM(ROUNDUP(AL70*AN70+0.1,1),ROUNDUP(V70*[1]Modelo!$H$29*AP70,1),ROUNDUP(W70*[1]Modelo!$H$36*AR70,1))*AU70*AT70*[1]Modelo!$I$75,1)</f>
        <v>3</v>
      </c>
      <c r="BM70" s="139">
        <f t="shared" ref="BM70" si="373">IF(K$32="x",0, BL70*0.1*1.25)</f>
        <v>0</v>
      </c>
      <c r="BN70" s="139">
        <f t="shared" ref="BN70" si="374">IF(Q70="x",(BL70)*0.1,0)</f>
        <v>0</v>
      </c>
      <c r="BO70" s="139">
        <f t="shared" ref="BO70" si="375">IF(R70="x",(BL70)*0.12,0)</f>
        <v>0</v>
      </c>
      <c r="BP70" s="139">
        <f t="shared" ref="BP70" si="376">IF(S70="x",(BL70)*0.12,0)*4</f>
        <v>0</v>
      </c>
      <c r="BQ70" s="139">
        <f>ROUNDUP(SUM(ROUNDUP(AL70*AN70+0.1,1),ROUNDUP(V70*[1]Modelo!$H$29*AP70,1),ROUNDUP(W70*[1]Modelo!$H$36*AR70,1))*AT70*AV70*[1]Modelo!$H$57,1)</f>
        <v>1.3</v>
      </c>
      <c r="BR70" s="409">
        <v>0</v>
      </c>
      <c r="BS70" s="139">
        <f>[1]Modelo!$H$61</f>
        <v>0.04</v>
      </c>
      <c r="BT70" s="139">
        <f>ROUNDUP(SUM(ROUNDUP(AL70*AN70+0.1,1),ROUNDUP(V70*[1]Modelo!$H$29*AP70,1),ROUNDUP(W70*[1]Modelo!$H$36*AR70,1))*[1]Modelo!$H$62*[1]Modelo!$I$75,1)</f>
        <v>0.1</v>
      </c>
      <c r="BU70" s="139">
        <f>ROUNDUP(ROUNDUP(SUM(ROUNDUP(AL70*AN70+0.1,1),ROUNDUP(V70*[1]Modelo!$H$29*AP70,1),ROUNDUP(W70*[1]Modelo!$H$36*AR70,1))*[1]Modelo!$H$62,1)*[1]Modelo!$H$63*[1]Modelo!$I$75,1)</f>
        <v>0.1</v>
      </c>
      <c r="BV70" s="139">
        <f>SUM(ROUNDUP(AL70*AN70+0.1,1),ROUNDUP(V70*[1]Modelo!$H$29*AP70,1),ROUNDUP(W70*[1]Modelo!$H$36*AR70,1))*[1]Modelo!$H$64*[1]Modelo!$I$75</f>
        <v>0.24000000000000005</v>
      </c>
      <c r="BW70" s="139">
        <f>ROUNDUP(SUM(ROUNDUP(AL70*AN70+0.1,1),ROUNDUP(V70*[1]Modelo!$H$29*AP70,1),ROUNDUP(W70*[1]Modelo!$H$36*AR70,1))*[1]Modelo!$H$64*[1]Modelo!$H$65*[1]Modelo!$I$75,1)</f>
        <v>0.2</v>
      </c>
      <c r="BX70" s="139">
        <f>[1]Modelo!$H$66</f>
        <v>0.04</v>
      </c>
      <c r="BY70" s="139">
        <f>ROUNDUP(SUM(ROUNDUP(AL70*AN70+0.1,1),ROUNDUP(V70*[1]Modelo!$H$29*AP70,1),ROUNDUP(W70*[1]Modelo!$H$36*AR70,1))*[1]Modelo!$H$69,1)</f>
        <v>0.30000000000000004</v>
      </c>
      <c r="BZ70" s="139">
        <f>ROUNDUP(ROUNDUP(SUM(ROUNDUP(AL70*AN70+0.1,1),ROUNDUP(V70*[1]Modelo!$H$29*AP70,1),ROUNDUP(W70*[1]Modelo!$H$36*AR70,1))*[1]Modelo!$H$62,1)*[1]Modelo!$H$71,1)</f>
        <v>0.2</v>
      </c>
      <c r="CA70" s="142">
        <f t="shared" ref="CA70" si="377">SUM(AX70:BZ70)</f>
        <v>7.8729999999999993</v>
      </c>
      <c r="CB70" s="27"/>
      <c r="CC70" s="27">
        <f t="shared" ref="CC70" si="378">CD70*0.85</f>
        <v>3.6549999999999998</v>
      </c>
      <c r="CD70" s="109">
        <f t="shared" ref="CD70" si="379">O70</f>
        <v>4.3</v>
      </c>
      <c r="CE70" s="27">
        <f t="shared" ref="CE70" si="380">IF(CD70=0,1,CD70*1.4)</f>
        <v>6.02</v>
      </c>
      <c r="CF70" s="27"/>
      <c r="CG70" s="126">
        <v>0</v>
      </c>
      <c r="CH70" s="27"/>
      <c r="CI70" s="27">
        <f t="shared" ref="CI70" si="381">IF(CF70&lt;&gt;"",CF70,CG70)</f>
        <v>0</v>
      </c>
      <c r="CJ70" s="27"/>
      <c r="CK70" s="27"/>
      <c r="CL70" s="27"/>
      <c r="CM70" s="27"/>
      <c r="CN70" s="27"/>
      <c r="CO70" s="27"/>
      <c r="CP70" s="27"/>
      <c r="CQ70" s="27"/>
      <c r="CR70" s="27"/>
      <c r="CS70" s="27"/>
      <c r="CT70" s="27"/>
      <c r="CU70" s="27"/>
      <c r="CV70" s="27"/>
      <c r="CW70" s="27"/>
      <c r="CX70" s="27"/>
      <c r="CY70" s="27"/>
      <c r="CZ70" s="27"/>
      <c r="DA70" s="27"/>
      <c r="DB70" s="27"/>
      <c r="DC70" s="27"/>
    </row>
    <row r="71" spans="3:107" s="20" customFormat="1" ht="39.5" customHeight="1" outlineLevel="2" thickBot="1" x14ac:dyDescent="0.35">
      <c r="C71" s="388" t="s">
        <v>101</v>
      </c>
      <c r="D71" s="461" t="s">
        <v>18</v>
      </c>
      <c r="E71" s="461" t="str">
        <f t="shared" si="351"/>
        <v>B</v>
      </c>
      <c r="F71" s="461" t="s">
        <v>423</v>
      </c>
      <c r="G71" s="461" t="s">
        <v>423</v>
      </c>
      <c r="H71" s="461" t="str">
        <f t="shared" si="352"/>
        <v>B</v>
      </c>
      <c r="I71" s="461" t="str">
        <f t="shared" si="353"/>
        <v>B</v>
      </c>
      <c r="J71" s="425">
        <f t="shared" si="259"/>
        <v>1</v>
      </c>
      <c r="K71" s="503" t="str">
        <f t="shared" si="354"/>
        <v>Chica 1</v>
      </c>
      <c r="L71" s="543" t="s">
        <v>774</v>
      </c>
      <c r="M71" s="532">
        <f t="shared" si="355"/>
        <v>3</v>
      </c>
      <c r="N71" s="532">
        <f t="shared" si="356"/>
        <v>1.3</v>
      </c>
      <c r="O71" s="538">
        <f t="shared" si="357"/>
        <v>4.3</v>
      </c>
      <c r="P71" s="58"/>
      <c r="Q71" s="462"/>
      <c r="R71" s="462"/>
      <c r="S71" s="462"/>
      <c r="T71" s="109"/>
      <c r="U71" s="144">
        <v>5</v>
      </c>
      <c r="V71" s="144">
        <v>1</v>
      </c>
      <c r="W71" s="144">
        <v>0</v>
      </c>
      <c r="X71" s="463"/>
      <c r="Y71" s="463" t="str">
        <f t="shared" si="260"/>
        <v>ProcedimientoChica1</v>
      </c>
      <c r="Z71" s="135">
        <f>VLOOKUP(Y71,[1]Modelo!$G$82:$H$281,2,FALSE)</f>
        <v>141</v>
      </c>
      <c r="AA71" s="463"/>
      <c r="AB71" s="137" t="str">
        <f t="shared" si="261"/>
        <v>Chica 1</v>
      </c>
      <c r="AC71" s="137" t="str">
        <f t="shared" si="262"/>
        <v>Baja</v>
      </c>
      <c r="AD71" s="137" t="str">
        <f t="shared" si="263"/>
        <v>Baja</v>
      </c>
      <c r="AE71" s="137" t="str">
        <f t="shared" si="264"/>
        <v>Baja</v>
      </c>
      <c r="AF71" s="137" t="str">
        <f t="shared" si="265"/>
        <v>Baja</v>
      </c>
      <c r="AG71" s="137" t="str">
        <f t="shared" si="266"/>
        <v>Baja</v>
      </c>
      <c r="AH71" s="137" t="str">
        <f t="shared" si="267"/>
        <v>Baja</v>
      </c>
      <c r="AI71" s="137" t="str">
        <f t="shared" si="268"/>
        <v>Baja</v>
      </c>
      <c r="AJ71" s="137" t="str">
        <f t="shared" si="269"/>
        <v>Baja</v>
      </c>
      <c r="AK71" s="40"/>
      <c r="AL71" s="138">
        <f>IF(AB71=[1]Modelo!$F$7,[1]Modelo!$H$7,IF(AB71=[1]Modelo!$F$8,[1]Modelo!$H$8,IF(AB71=[1]Modelo!$F$9,[1]Modelo!$H$9,IF(AB71=[1]Modelo!$F$10,[1]Modelo!$H$10,IF(AB71=[1]Modelo!$F$11,[1]Modelo!$H$11,IF(AB71=[1]Modelo!$F$12,[1]Modelo!$H$12,IF(AB71=[1]Modelo!$F$13,[1]Modelo!$H$13,IF(AB71=[1]Modelo!$F$14,[1]Modelo!$H$14,IF(AB71=[1]Modelo!$F$15,[1]Modelo!$H$15,IF(AB71=[1]Modelo!$F$16,[1]Modelo!$H$16,IF(AB71=[1]Modelo!$F$17,[1]Modelo!$H$17,IF(AB71=[1]Modelo!$F$18,[1]Modelo!$H$18,IF(AB71=[1]Modelo!$F$19,[1]Modelo!$H$19,IF(AB71=[1]Modelo!$F$20,[1]Modelo!$H$20,IF(AB71=[1]Modelo!$F$21,[1]Modelo!$H$21,IF(AB71=[1]Modelo!$F$22,[1]Modelo!$H$22,0))))))))))))))))</f>
        <v>0.30000000000000004</v>
      </c>
      <c r="AM71" s="138">
        <f>IF(AB71=[1]Modelo!$F$7,[1]Modelo!$I$7,IF(AB71=[1]Modelo!$F$8,[1]Modelo!$I$8,IF(AB71=[1]Modelo!$F$9,[1]Modelo!$I$9,IF(AB71=[1]Modelo!$F$10,[1]Modelo!$I$10,IF(AB71=[1]Modelo!$F$11,[1]Modelo!$I$11,IF(AB71=[1]Modelo!$F$12,[1]Modelo!$I$12,IF(AB71=[1]Modelo!$F$13,[1]Modelo!$I$13,IF(AB71=[1]Modelo!$F$14,[1]Modelo!$I$14,IF(AB71=[1]Modelo!$F$15,[1]Modelo!$I$15,IF(AB71=[1]Modelo!$F$16,[1]Modelo!$I$16,IF(AB71=[1]Modelo!$F$17,[1]Modelo!$I$17,IF(AB71=[1]Modelo!$F$18,[1]Modelo!$I$18,IF(AB71=[1]Modelo!$F$19,[1]Modelo!$I$19,IF(AB71=[1]Modelo!$F$20,[1]Modelo!$I$20,IF(AB71=[1]Modelo!$F$21,[1]Modelo!$I$21,IF(AB71=[1]Modelo!$F$22,[1]Modelo!$I$22,0))))))))))))))))</f>
        <v>0.1</v>
      </c>
      <c r="AN71" s="138">
        <f>IF(AC71=[1]Modelo!$F$23,[1]Modelo!$H$23,IF(AC71=[1]Modelo!$F$24,[1]Modelo!$H$24,IF(AC71=[1]Modelo!$F$25,[1]Modelo!$H$25,0)))</f>
        <v>1</v>
      </c>
      <c r="AO71" s="138">
        <f>IF(AD71=[1]Modelo!$F$26,[1]Modelo!$H$26,IF(AD71=[1]Modelo!$F$27,[1]Modelo!$H$27,IF(AD71=[1]Modelo!$F$28,[1]Modelo!$H$28,0)))</f>
        <v>0.1</v>
      </c>
      <c r="AP71" s="138">
        <f>IF(AE71=[1]Modelo!$F$30,[1]Modelo!$H$30,IF(AE71=[1]Modelo!$F$31,[1]Modelo!$H$31,IF(AE71=[1]Modelo!$F$32,[1]Modelo!$H$32,0)))</f>
        <v>0.8</v>
      </c>
      <c r="AQ71" s="138">
        <f>IF(AF71=[1]Modelo!$F$33,[1]Modelo!$H$33,IF(AF71=[1]Modelo!$F$34,[1]Modelo!$H$34,IF(AF71=[1]Modelo!$F$35,[1]Modelo!$H$35,0)))</f>
        <v>0.3</v>
      </c>
      <c r="AR71" s="138">
        <f>IF(AG71=[1]Modelo!$F$37,[1]Modelo!$H$37,IF(AG71=[1]Modelo!$F$38,[1]Modelo!$H$38,IF(AG71=[1]Modelo!$F$39,[1]Modelo!$H$39,0)))</f>
        <v>0.8</v>
      </c>
      <c r="AS71" s="138">
        <f>IF(AH71=[1]Modelo!$F$40,[1]Modelo!$H$40,IF(AH71=[1]Modelo!$F$41,[1]Modelo!$H$41,IF(AH71=[1]Modelo!$F$42,[1]Modelo!$H$42,0)))</f>
        <v>0.4</v>
      </c>
      <c r="AT71" s="137">
        <f>IF(C71=[1]Modelo!$F$44,[1]Modelo!$H$44,IF(C71=[1]Modelo!$F$45,[1]Modelo!$H$45,IF(C71=[1]Modelo!$F$46,[1]Modelo!$H$46,IF(C71=[1]Modelo!$F$47,[1]Modelo!$H$47,IF(C71=[1]Modelo!$F$48,[1]Modelo!$H$48,IF(C71=[1]Modelo!$F$49,[1]Modelo!$H$49,IF(C71=[1]Modelo!$F$50,[1]Modelo!$H$50,IF(C71=[1]Modelo!$F$51,[1]Modelo!$H$51,IF(C71=[1]Modelo!$F$52,[1]Modelo!$H$52,IF(C71=[1]Modelo!$F$53,[1]Modelo!$H$53,0))))))))))</f>
        <v>2.5</v>
      </c>
      <c r="AU71" s="138">
        <f>IF(AI71=[1]Modelo!$F$54,[1]Modelo!$H$54,IF(AI71=[1]Modelo!$F$55,[1]Modelo!$H$55,IF(AI71=[1]Modelo!$F$56,[1]Modelo!$H$56,0)))</f>
        <v>1</v>
      </c>
      <c r="AV71" s="138">
        <f>IF(AJ71=[1]Modelo!$F$58,[1]Modelo!$H$58,IF(AJ71=[1]Modelo!$F$59,[1]Modelo!$H$59,IF(AJ71=[1]Modelo!$F$60,[1]Modelo!$H$60,0)))</f>
        <v>0.9</v>
      </c>
      <c r="AW71" s="40"/>
      <c r="AX71" s="139">
        <f>[1]Modelo!$H$2</f>
        <v>0.05</v>
      </c>
      <c r="AY71" s="140">
        <f>ROUNDUP([1]Modelo!$I$2*[1]Modelo!$H$3*[1]Modelo!$I$75,2)</f>
        <v>0.02</v>
      </c>
      <c r="AZ71" s="141">
        <f>ROUNDUP([1]Modelo!$I$2*[1]Modelo!$H$3*[1]Modelo!$H$4*[1]Modelo!$I$75,3)</f>
        <v>3.0000000000000001E-3</v>
      </c>
      <c r="BA71" s="139">
        <f>[1]Modelo!$H$5</f>
        <v>0.04</v>
      </c>
      <c r="BB71" s="139">
        <f>ROUNDUP(SUM(BC71,BE71,BG71,BI71)*[1]Modelo!$H$6,1)</f>
        <v>0.5</v>
      </c>
      <c r="BC71" s="139">
        <f>ROUNDUP((AL71*AN71+0.1)*[1]Modelo!$I$75,1)</f>
        <v>0.4</v>
      </c>
      <c r="BD71" s="139">
        <f>ROUNDUP(AM71*AN71*AO71*[1]Modelo!$I$75,1)</f>
        <v>0.1</v>
      </c>
      <c r="BE71" s="139">
        <f>ROUNDUP(V71*[1]Modelo!$H$29*AP71*[1]Modelo!$I$75*2/3,1)</f>
        <v>0.6</v>
      </c>
      <c r="BF71" s="139">
        <f>ROUNDUP(V71*[1]Modelo!$H$29*AP71*AQ71*[1]Modelo!$I$75*2/3,1)</f>
        <v>0.2</v>
      </c>
      <c r="BG71" s="139">
        <f>ROUNDUP(V71*[1]Modelo!$H$29*AP71*[1]Modelo!$I$75/3,1)</f>
        <v>0.30000000000000004</v>
      </c>
      <c r="BH71" s="139">
        <f>ROUNDUP(V71*[1]Modelo!$H$29*AP71*AQ71*[1]Modelo!$I$75/3,1)</f>
        <v>0.1</v>
      </c>
      <c r="BI71" s="139">
        <f>ROUNDUP(W71*[1]Modelo!$H$36*AR71*[1]Modelo!$I$75,1)</f>
        <v>0</v>
      </c>
      <c r="BJ71" s="139">
        <f>ROUNDUP(W71*[1]Modelo!$H$36*AR71*AS71*[1]Modelo!$I$75,1)</f>
        <v>0</v>
      </c>
      <c r="BK71" s="139">
        <f>[1]Modelo!$H$43</f>
        <v>0.04</v>
      </c>
      <c r="BL71" s="139">
        <f>ROUNDUP(SUM(ROUNDUP(AL71*AN71+0.1,1),ROUNDUP(V71*[1]Modelo!$H$29*AP71,1),ROUNDUP(W71*[1]Modelo!$H$36*AR71,1))*AU71*AT71*[1]Modelo!$I$75,1)</f>
        <v>3</v>
      </c>
      <c r="BM71" s="139">
        <f t="shared" si="270"/>
        <v>0</v>
      </c>
      <c r="BN71" s="139">
        <f t="shared" si="271"/>
        <v>0</v>
      </c>
      <c r="BO71" s="139">
        <f t="shared" si="272"/>
        <v>0</v>
      </c>
      <c r="BP71" s="139">
        <f t="shared" si="273"/>
        <v>0</v>
      </c>
      <c r="BQ71" s="139">
        <f>ROUNDUP(SUM(ROUNDUP(AL71*AN71+0.1,1),ROUNDUP(V71*[1]Modelo!$H$29*AP71,1),ROUNDUP(W71*[1]Modelo!$H$36*AR71,1))*AT71*AV71*[1]Modelo!$H$57,1)</f>
        <v>1.3</v>
      </c>
      <c r="BR71" s="409">
        <v>0</v>
      </c>
      <c r="BS71" s="139">
        <f>[1]Modelo!$H$61</f>
        <v>0.04</v>
      </c>
      <c r="BT71" s="139">
        <f>ROUNDUP(SUM(ROUNDUP(AL71*AN71+0.1,1),ROUNDUP(V71*[1]Modelo!$H$29*AP71,1),ROUNDUP(W71*[1]Modelo!$H$36*AR71,1))*[1]Modelo!$H$62*[1]Modelo!$I$75,1)</f>
        <v>0.1</v>
      </c>
      <c r="BU71" s="139">
        <f>ROUNDUP(ROUNDUP(SUM(ROUNDUP(AL71*AN71+0.1,1),ROUNDUP(V71*[1]Modelo!$H$29*AP71,1),ROUNDUP(W71*[1]Modelo!$H$36*AR71,1))*[1]Modelo!$H$62,1)*[1]Modelo!$H$63*[1]Modelo!$I$75,1)</f>
        <v>0.1</v>
      </c>
      <c r="BV71" s="139">
        <f>SUM(ROUNDUP(AL71*AN71+0.1,1),ROUNDUP(V71*[1]Modelo!$H$29*AP71,1),ROUNDUP(W71*[1]Modelo!$H$36*AR71,1))*[1]Modelo!$H$64*[1]Modelo!$I$75</f>
        <v>0.24000000000000005</v>
      </c>
      <c r="BW71" s="139">
        <f>ROUNDUP(SUM(ROUNDUP(AL71*AN71+0.1,1),ROUNDUP(V71*[1]Modelo!$H$29*AP71,1),ROUNDUP(W71*[1]Modelo!$H$36*AR71,1))*[1]Modelo!$H$64*[1]Modelo!$H$65*[1]Modelo!$I$75,1)</f>
        <v>0.2</v>
      </c>
      <c r="BX71" s="139">
        <f>[1]Modelo!$H$66</f>
        <v>0.04</v>
      </c>
      <c r="BY71" s="139">
        <f>ROUNDUP(SUM(ROUNDUP(AL71*AN71+0.1,1),ROUNDUP(V71*[1]Modelo!$H$29*AP71,1),ROUNDUP(W71*[1]Modelo!$H$36*AR71,1))*[1]Modelo!$H$69,1)</f>
        <v>0.30000000000000004</v>
      </c>
      <c r="BZ71" s="139">
        <f>ROUNDUP(ROUNDUP(SUM(ROUNDUP(AL71*AN71+0.1,1),ROUNDUP(V71*[1]Modelo!$H$29*AP71,1),ROUNDUP(W71*[1]Modelo!$H$36*AR71,1))*[1]Modelo!$H$62,1)*[1]Modelo!$H$71,1)</f>
        <v>0.2</v>
      </c>
      <c r="CA71" s="142">
        <f t="shared" si="274"/>
        <v>7.8729999999999993</v>
      </c>
      <c r="CB71" s="27"/>
      <c r="CC71" s="27">
        <f t="shared" si="275"/>
        <v>3.6549999999999998</v>
      </c>
      <c r="CD71" s="109">
        <f t="shared" si="276"/>
        <v>4.3</v>
      </c>
      <c r="CE71" s="27">
        <f t="shared" si="277"/>
        <v>6.02</v>
      </c>
      <c r="CF71" s="27"/>
      <c r="CG71" s="126">
        <v>0</v>
      </c>
      <c r="CH71" s="27"/>
      <c r="CI71" s="27">
        <f t="shared" si="278"/>
        <v>0</v>
      </c>
      <c r="CJ71" s="27"/>
      <c r="CK71" s="27"/>
      <c r="CL71" s="27"/>
      <c r="CM71" s="27"/>
      <c r="CN71" s="27"/>
      <c r="CO71" s="27"/>
      <c r="CP71" s="27"/>
      <c r="CQ71" s="27"/>
      <c r="CR71" s="27"/>
      <c r="CS71" s="27"/>
      <c r="CT71" s="27"/>
      <c r="CU71" s="27"/>
      <c r="CV71" s="27"/>
      <c r="CW71" s="27"/>
      <c r="CX71" s="27"/>
      <c r="CY71" s="27"/>
      <c r="CZ71" s="27"/>
      <c r="DA71" s="27"/>
      <c r="DB71" s="27"/>
      <c r="DC71" s="27"/>
    </row>
    <row r="72" spans="3:107" s="20" customFormat="1" ht="39" customHeight="1" outlineLevel="2" thickBot="1" x14ac:dyDescent="0.35">
      <c r="C72" s="388" t="s">
        <v>101</v>
      </c>
      <c r="D72" s="461" t="s">
        <v>18</v>
      </c>
      <c r="E72" s="461" t="str">
        <f t="shared" ref="E72" si="382">IF(U72&gt;50,"A",IF(U72&gt;15,"M","B"))</f>
        <v>M</v>
      </c>
      <c r="F72" s="461" t="s">
        <v>423</v>
      </c>
      <c r="G72" s="461" t="s">
        <v>423</v>
      </c>
      <c r="H72" s="461" t="str">
        <f t="shared" ref="H72" si="383">IF(V72+W72&gt;20,"A",IF(V72+W72&gt;5,"M","B"))</f>
        <v>B</v>
      </c>
      <c r="I72" s="461" t="str">
        <f t="shared" ref="I72" si="384">IF(V72+W72&gt;15,"A",IF(V72+W72&gt;4,"M","B"))</f>
        <v>B</v>
      </c>
      <c r="J72" s="425">
        <f t="shared" ref="J72" si="385">V72+W72</f>
        <v>2</v>
      </c>
      <c r="K72" s="503" t="str">
        <f t="shared" ref="K72" si="386">AB72</f>
        <v>Chica 4</v>
      </c>
      <c r="L72" s="543" t="s">
        <v>775</v>
      </c>
      <c r="M72" s="532">
        <f t="shared" si="355"/>
        <v>8</v>
      </c>
      <c r="N72" s="532">
        <f t="shared" si="356"/>
        <v>3.3000000000000003</v>
      </c>
      <c r="O72" s="538">
        <f t="shared" si="357"/>
        <v>11.3</v>
      </c>
      <c r="P72" s="58"/>
      <c r="Q72" s="462"/>
      <c r="R72" s="462"/>
      <c r="S72" s="462"/>
      <c r="T72" s="109"/>
      <c r="U72" s="144">
        <v>20</v>
      </c>
      <c r="V72" s="144">
        <v>2</v>
      </c>
      <c r="W72" s="144">
        <v>0</v>
      </c>
      <c r="X72" s="463"/>
      <c r="Y72" s="463" t="str">
        <f t="shared" ref="Y72" si="387">CONCATENATE(C72,LEFT(K72,5),J72)</f>
        <v>ProcedimientoChica2</v>
      </c>
      <c r="Z72" s="135">
        <f>VLOOKUP(Y72,[1]Modelo!$G$82:$H$281,2,FALSE)</f>
        <v>142</v>
      </c>
      <c r="AA72" s="463"/>
      <c r="AB72" s="137" t="str">
        <f t="shared" ref="AB72" si="388">IF(AND(U72&gt;=0,U72&lt;=6),"Chica 1",IF(AND(U72&gt;=7,U72&lt;=12),"Chica 2",IF(AND(U72&gt;=13,U72&lt;=18),"Chica 3",IF(AND(U72&gt;=19,U72&lt;=24),"Chica 4",IF(AND(U72&gt;=25,U72&lt;=30),"Mediana 1",IF(AND(U72&gt;=31,U72&lt;=36),"Mediana 2",IF(AND(U72&gt;=37,U72&lt;=42),"Mediana 3",IF(AND(U72&gt;=43,U72&lt;=48),"Mediana 4",IF(AND(U72&gt;=49,U72&lt;=54),"Grande 1",IF(AND(U72&gt;=55,U72&lt;=60),"Grande 2",IF(AND(U72&gt;=61,U72&lt;=66),"Grande 3",IF(AND(U72&gt;=67,U72&lt;=72),"Grande 4",IF(AND(U72&gt;=73,U72&lt;=78),"M. grande 1",IF(AND(U72&gt;=79,U72&lt;=84),"M. grande 2",IF(AND(U72&gt;=85,U72&lt;=90),"M. grande 3",IF(AND(U72&gt;=91,U72&lt;=96),"M. grande 4","NO DEF"))))))))))))))))</f>
        <v>Chica 4</v>
      </c>
      <c r="AC72" s="137" t="str">
        <f t="shared" ref="AC72" si="389">IF(E72="A","Alta",IF(E72="M","Media","Baja"))</f>
        <v>Media</v>
      </c>
      <c r="AD72" s="137" t="str">
        <f t="shared" ref="AD72" si="390">IF(E72="A","Alta",IF(E72="M","Media","Baja"))</f>
        <v>Media</v>
      </c>
      <c r="AE72" s="137" t="str">
        <f t="shared" ref="AE72" si="391">IF(F72="A","Alta",IF(F72="M","Media","Baja"))</f>
        <v>Baja</v>
      </c>
      <c r="AF72" s="137" t="str">
        <f t="shared" ref="AF72" si="392">IF(F72="A","Alta",IF(F72="M","Media","Baja"))</f>
        <v>Baja</v>
      </c>
      <c r="AG72" s="137" t="str">
        <f t="shared" ref="AG72" si="393">IF(G72="A","Alta",IF(G72="M","Media","Baja"))</f>
        <v>Baja</v>
      </c>
      <c r="AH72" s="137" t="str">
        <f t="shared" ref="AH72" si="394">IF(G72="A","Alta",IF(G72="M","Media","Baja"))</f>
        <v>Baja</v>
      </c>
      <c r="AI72" s="137" t="str">
        <f t="shared" ref="AI72" si="395">IF(H72="A","Alta",IF(H72="M","Media","Baja"))</f>
        <v>Baja</v>
      </c>
      <c r="AJ72" s="137" t="str">
        <f t="shared" ref="AJ72" si="396">IF(I72="A","Alta",IF(I72="M","Media","Baja"))</f>
        <v>Baja</v>
      </c>
      <c r="AK72" s="40"/>
      <c r="AL72" s="138">
        <f>IF(AB72=[1]Modelo!$F$7,[1]Modelo!$H$7,IF(AB72=[1]Modelo!$F$8,[1]Modelo!$H$8,IF(AB72=[1]Modelo!$F$9,[1]Modelo!$H$9,IF(AB72=[1]Modelo!$F$10,[1]Modelo!$H$10,IF(AB72=[1]Modelo!$F$11,[1]Modelo!$H$11,IF(AB72=[1]Modelo!$F$12,[1]Modelo!$H$12,IF(AB72=[1]Modelo!$F$13,[1]Modelo!$H$13,IF(AB72=[1]Modelo!$F$14,[1]Modelo!$H$14,IF(AB72=[1]Modelo!$F$15,[1]Modelo!$H$15,IF(AB72=[1]Modelo!$F$16,[1]Modelo!$H$16,IF(AB72=[1]Modelo!$F$17,[1]Modelo!$H$17,IF(AB72=[1]Modelo!$F$18,[1]Modelo!$H$18,IF(AB72=[1]Modelo!$F$19,[1]Modelo!$H$19,IF(AB72=[1]Modelo!$F$20,[1]Modelo!$H$20,IF(AB72=[1]Modelo!$F$21,[1]Modelo!$H$21,IF(AB72=[1]Modelo!$F$22,[1]Modelo!$H$22,0))))))))))))))))</f>
        <v>1.2000000000000002</v>
      </c>
      <c r="AM72" s="138">
        <f>IF(AB72=[1]Modelo!$F$7,[1]Modelo!$I$7,IF(AB72=[1]Modelo!$F$8,[1]Modelo!$I$8,IF(AB72=[1]Modelo!$F$9,[1]Modelo!$I$9,IF(AB72=[1]Modelo!$F$10,[1]Modelo!$I$10,IF(AB72=[1]Modelo!$F$11,[1]Modelo!$I$11,IF(AB72=[1]Modelo!$F$12,[1]Modelo!$I$12,IF(AB72=[1]Modelo!$F$13,[1]Modelo!$I$13,IF(AB72=[1]Modelo!$F$14,[1]Modelo!$I$14,IF(AB72=[1]Modelo!$F$15,[1]Modelo!$I$15,IF(AB72=[1]Modelo!$F$16,[1]Modelo!$I$16,IF(AB72=[1]Modelo!$F$17,[1]Modelo!$I$17,IF(AB72=[1]Modelo!$F$18,[1]Modelo!$I$18,IF(AB72=[1]Modelo!$F$19,[1]Modelo!$I$19,IF(AB72=[1]Modelo!$F$20,[1]Modelo!$I$20,IF(AB72=[1]Modelo!$F$21,[1]Modelo!$I$21,IF(AB72=[1]Modelo!$F$22,[1]Modelo!$I$22,0))))))))))))))))</f>
        <v>0.4</v>
      </c>
      <c r="AN72" s="138">
        <f>IF(AC72=[1]Modelo!$F$23,[1]Modelo!$H$23,IF(AC72=[1]Modelo!$F$24,[1]Modelo!$H$24,IF(AC72=[1]Modelo!$F$25,[1]Modelo!$H$25,0)))</f>
        <v>1.2</v>
      </c>
      <c r="AO72" s="138">
        <f>IF(AD72=[1]Modelo!$F$26,[1]Modelo!$H$26,IF(AD72=[1]Modelo!$F$27,[1]Modelo!$H$27,IF(AD72=[1]Modelo!$F$28,[1]Modelo!$H$28,0)))</f>
        <v>0.2</v>
      </c>
      <c r="AP72" s="138">
        <f>IF(AE72=[1]Modelo!$F$30,[1]Modelo!$H$30,IF(AE72=[1]Modelo!$F$31,[1]Modelo!$H$31,IF(AE72=[1]Modelo!$F$32,[1]Modelo!$H$32,0)))</f>
        <v>0.8</v>
      </c>
      <c r="AQ72" s="138">
        <f>IF(AF72=[1]Modelo!$F$33,[1]Modelo!$H$33,IF(AF72=[1]Modelo!$F$34,[1]Modelo!$H$34,IF(AF72=[1]Modelo!$F$35,[1]Modelo!$H$35,0)))</f>
        <v>0.3</v>
      </c>
      <c r="AR72" s="138">
        <f>IF(AG72=[1]Modelo!$F$37,[1]Modelo!$H$37,IF(AG72=[1]Modelo!$F$38,[1]Modelo!$H$38,IF(AG72=[1]Modelo!$F$39,[1]Modelo!$H$39,0)))</f>
        <v>0.8</v>
      </c>
      <c r="AS72" s="138">
        <f>IF(AH72=[1]Modelo!$F$40,[1]Modelo!$H$40,IF(AH72=[1]Modelo!$F$41,[1]Modelo!$H$41,IF(AH72=[1]Modelo!$F$42,[1]Modelo!$H$42,0)))</f>
        <v>0.4</v>
      </c>
      <c r="AT72" s="137">
        <f>IF(C72=[1]Modelo!$F$44,[1]Modelo!$H$44,IF(C72=[1]Modelo!$F$45,[1]Modelo!$H$45,IF(C72=[1]Modelo!$F$46,[1]Modelo!$H$46,IF(C72=[1]Modelo!$F$47,[1]Modelo!$H$47,IF(C72=[1]Modelo!$F$48,[1]Modelo!$H$48,IF(C72=[1]Modelo!$F$49,[1]Modelo!$H$49,IF(C72=[1]Modelo!$F$50,[1]Modelo!$H$50,IF(C72=[1]Modelo!$F$51,[1]Modelo!$H$51,IF(C72=[1]Modelo!$F$52,[1]Modelo!$H$52,IF(C72=[1]Modelo!$F$53,[1]Modelo!$H$53,0))))))))))</f>
        <v>2.5</v>
      </c>
      <c r="AU72" s="138">
        <f>IF(AI72=[1]Modelo!$F$54,[1]Modelo!$H$54,IF(AI72=[1]Modelo!$F$55,[1]Modelo!$H$55,IF(AI72=[1]Modelo!$F$56,[1]Modelo!$H$56,0)))</f>
        <v>1</v>
      </c>
      <c r="AV72" s="138">
        <f>IF(AJ72=[1]Modelo!$F$58,[1]Modelo!$H$58,IF(AJ72=[1]Modelo!$F$59,[1]Modelo!$H$59,IF(AJ72=[1]Modelo!$F$60,[1]Modelo!$H$60,0)))</f>
        <v>0.9</v>
      </c>
      <c r="AW72" s="40"/>
      <c r="AX72" s="139">
        <f>[1]Modelo!$H$2</f>
        <v>0.05</v>
      </c>
      <c r="AY72" s="140">
        <f>ROUNDUP([1]Modelo!$I$2*[1]Modelo!$H$3*[1]Modelo!$I$75,2)</f>
        <v>0.02</v>
      </c>
      <c r="AZ72" s="141">
        <f>ROUNDUP([1]Modelo!$I$2*[1]Modelo!$H$3*[1]Modelo!$H$4*[1]Modelo!$I$75,3)</f>
        <v>3.0000000000000001E-3</v>
      </c>
      <c r="BA72" s="139">
        <f>[1]Modelo!$H$5</f>
        <v>0.04</v>
      </c>
      <c r="BB72" s="139">
        <f>ROUNDUP(SUM(BC72,BE72,BG72,BI72)*[1]Modelo!$H$6,1)</f>
        <v>1.1000000000000001</v>
      </c>
      <c r="BC72" s="139">
        <f>ROUNDUP((AL72*AN72+0.1)*[1]Modelo!$I$75,1)</f>
        <v>1.6</v>
      </c>
      <c r="BD72" s="139">
        <f>ROUNDUP(AM72*AN72*AO72*[1]Modelo!$I$75,1)</f>
        <v>0.1</v>
      </c>
      <c r="BE72" s="139">
        <f>ROUNDUP(V72*[1]Modelo!$H$29*AP72*[1]Modelo!$I$75*2/3,1)</f>
        <v>1.1000000000000001</v>
      </c>
      <c r="BF72" s="139">
        <f>ROUNDUP(V72*[1]Modelo!$H$29*AP72*AQ72*[1]Modelo!$I$75*2/3,1)</f>
        <v>0.4</v>
      </c>
      <c r="BG72" s="139">
        <f>ROUNDUP(V72*[1]Modelo!$H$29*AP72*[1]Modelo!$I$75/3,1)</f>
        <v>0.6</v>
      </c>
      <c r="BH72" s="139">
        <f>ROUNDUP(V72*[1]Modelo!$H$29*AP72*AQ72*[1]Modelo!$I$75/3,1)</f>
        <v>0.2</v>
      </c>
      <c r="BI72" s="139">
        <f>ROUNDUP(W72*[1]Modelo!$H$36*AR72*[1]Modelo!$I$75,1)</f>
        <v>0</v>
      </c>
      <c r="BJ72" s="139">
        <f>ROUNDUP(W72*[1]Modelo!$H$36*AR72*AS72*[1]Modelo!$I$75,1)</f>
        <v>0</v>
      </c>
      <c r="BK72" s="139">
        <f>[1]Modelo!$H$43</f>
        <v>0.04</v>
      </c>
      <c r="BL72" s="139">
        <f>ROUNDUP(SUM(ROUNDUP(AL72*AN72+0.1,1),ROUNDUP(V72*[1]Modelo!$H$29*AP72,1),ROUNDUP(W72*[1]Modelo!$H$36*AR72,1))*AU72*AT72*[1]Modelo!$I$75,1)</f>
        <v>8</v>
      </c>
      <c r="BM72" s="139">
        <f t="shared" ref="BM72" si="397">IF(K$32="x",0, BL72*0.1*1.25)</f>
        <v>0</v>
      </c>
      <c r="BN72" s="139">
        <f t="shared" ref="BN72" si="398">IF(Q72="x",(BL72)*0.1,0)</f>
        <v>0</v>
      </c>
      <c r="BO72" s="139">
        <f t="shared" ref="BO72" si="399">IF(R72="x",(BL72)*0.12,0)</f>
        <v>0</v>
      </c>
      <c r="BP72" s="139">
        <f t="shared" ref="BP72" si="400">IF(S72="x",(BL72)*0.12,0)*4</f>
        <v>0</v>
      </c>
      <c r="BQ72" s="139">
        <f>ROUNDUP(SUM(ROUNDUP(AL72*AN72+0.1,1),ROUNDUP(V72*[1]Modelo!$H$29*AP72,1),ROUNDUP(W72*[1]Modelo!$H$36*AR72,1))*AT72*AV72*[1]Modelo!$H$57,1)</f>
        <v>3.3000000000000003</v>
      </c>
      <c r="BR72" s="409">
        <v>0</v>
      </c>
      <c r="BS72" s="139">
        <f>[1]Modelo!$H$61</f>
        <v>0.04</v>
      </c>
      <c r="BT72" s="139">
        <f>ROUNDUP(SUM(ROUNDUP(AL72*AN72+0.1,1),ROUNDUP(V72*[1]Modelo!$H$29*AP72,1),ROUNDUP(W72*[1]Modelo!$H$36*AR72,1))*[1]Modelo!$H$62*[1]Modelo!$I$75,1)</f>
        <v>0.30000000000000004</v>
      </c>
      <c r="BU72" s="139">
        <f>ROUNDUP(ROUNDUP(SUM(ROUNDUP(AL72*AN72+0.1,1),ROUNDUP(V72*[1]Modelo!$H$29*AP72,1),ROUNDUP(W72*[1]Modelo!$H$36*AR72,1))*[1]Modelo!$H$62,1)*[1]Modelo!$H$63*[1]Modelo!$I$75,1)</f>
        <v>0.1</v>
      </c>
      <c r="BV72" s="139">
        <f>SUM(ROUNDUP(AL72*AN72+0.1,1),ROUNDUP(V72*[1]Modelo!$H$29*AP72,1),ROUNDUP(W72*[1]Modelo!$H$36*AR72,1))*[1]Modelo!$H$64*[1]Modelo!$I$75</f>
        <v>0.64000000000000012</v>
      </c>
      <c r="BW72" s="139">
        <f>ROUNDUP(SUM(ROUNDUP(AL72*AN72+0.1,1),ROUNDUP(V72*[1]Modelo!$H$29*AP72,1),ROUNDUP(W72*[1]Modelo!$H$36*AR72,1))*[1]Modelo!$H$64*[1]Modelo!$H$65*[1]Modelo!$I$75,1)</f>
        <v>0.4</v>
      </c>
      <c r="BX72" s="139">
        <f>[1]Modelo!$H$66</f>
        <v>0.04</v>
      </c>
      <c r="BY72" s="139">
        <f>ROUNDUP(SUM(ROUNDUP(AL72*AN72+0.1,1),ROUNDUP(V72*[1]Modelo!$H$29*AP72,1),ROUNDUP(W72*[1]Modelo!$H$36*AR72,1))*[1]Modelo!$H$69,1)</f>
        <v>0.7</v>
      </c>
      <c r="BZ72" s="139">
        <f>ROUNDUP(ROUNDUP(SUM(ROUNDUP(AL72*AN72+0.1,1),ROUNDUP(V72*[1]Modelo!$H$29*AP72,1),ROUNDUP(W72*[1]Modelo!$H$36*AR72,1))*[1]Modelo!$H$62,1)*[1]Modelo!$H$71,1)</f>
        <v>0.6</v>
      </c>
      <c r="CA72" s="142">
        <f t="shared" ref="CA72" si="401">SUM(AX72:BZ72)</f>
        <v>19.373000000000001</v>
      </c>
      <c r="CB72" s="27"/>
      <c r="CC72" s="27">
        <f t="shared" ref="CC72" si="402">CD72*0.85</f>
        <v>9.6050000000000004</v>
      </c>
      <c r="CD72" s="109">
        <f t="shared" ref="CD72" si="403">O72</f>
        <v>11.3</v>
      </c>
      <c r="CE72" s="27">
        <f t="shared" ref="CE72" si="404">IF(CD72=0,1,CD72*1.4)</f>
        <v>15.82</v>
      </c>
      <c r="CF72" s="27"/>
      <c r="CG72" s="126">
        <v>0</v>
      </c>
      <c r="CH72" s="27"/>
      <c r="CI72" s="27">
        <f t="shared" ref="CI72" si="405">IF(CF72&lt;&gt;"",CF72,CG72)</f>
        <v>0</v>
      </c>
      <c r="CJ72" s="27"/>
      <c r="CK72" s="27"/>
      <c r="CL72" s="27"/>
      <c r="CM72" s="27"/>
      <c r="CN72" s="27"/>
      <c r="CO72" s="27"/>
      <c r="CP72" s="27"/>
      <c r="CQ72" s="27"/>
      <c r="CR72" s="27"/>
      <c r="CS72" s="27"/>
      <c r="CT72" s="27"/>
      <c r="CU72" s="27"/>
      <c r="CV72" s="27"/>
      <c r="CW72" s="27"/>
      <c r="CX72" s="27"/>
      <c r="CY72" s="27"/>
      <c r="CZ72" s="27"/>
      <c r="DA72" s="27"/>
      <c r="DB72" s="27"/>
      <c r="DC72" s="27"/>
    </row>
    <row r="73" spans="3:107" s="20" customFormat="1" ht="39" customHeight="1" outlineLevel="2" thickBot="1" x14ac:dyDescent="0.35">
      <c r="C73" s="388" t="s">
        <v>101</v>
      </c>
      <c r="D73" s="461" t="s">
        <v>18</v>
      </c>
      <c r="E73" s="461" t="str">
        <f t="shared" ref="E73" si="406">IF(U73&gt;50,"A",IF(U73&gt;15,"M","B"))</f>
        <v>B</v>
      </c>
      <c r="F73" s="461" t="s">
        <v>423</v>
      </c>
      <c r="G73" s="461" t="s">
        <v>423</v>
      </c>
      <c r="H73" s="461" t="str">
        <f t="shared" ref="H73" si="407">IF(V73+W73&gt;20,"A",IF(V73+W73&gt;5,"M","B"))</f>
        <v>B</v>
      </c>
      <c r="I73" s="461" t="str">
        <f t="shared" ref="I73" si="408">IF(V73+W73&gt;15,"A",IF(V73+W73&gt;4,"M","B"))</f>
        <v>B</v>
      </c>
      <c r="J73" s="425">
        <f t="shared" ref="J73:J84" si="409">V73+W73</f>
        <v>1</v>
      </c>
      <c r="K73" s="503" t="str">
        <f t="shared" ref="K73" si="410">AB73</f>
        <v>Chica 1</v>
      </c>
      <c r="L73" s="543" t="s">
        <v>776</v>
      </c>
      <c r="M73" s="532">
        <f t="shared" si="355"/>
        <v>3</v>
      </c>
      <c r="N73" s="532">
        <f t="shared" si="356"/>
        <v>1.3</v>
      </c>
      <c r="O73" s="538">
        <f t="shared" si="357"/>
        <v>4.3</v>
      </c>
      <c r="P73" s="58"/>
      <c r="Q73" s="462"/>
      <c r="R73" s="462"/>
      <c r="S73" s="462"/>
      <c r="T73" s="109"/>
      <c r="U73" s="144">
        <v>5</v>
      </c>
      <c r="V73" s="144">
        <v>1</v>
      </c>
      <c r="W73" s="144">
        <v>0</v>
      </c>
      <c r="X73" s="463"/>
      <c r="Y73" s="463" t="str">
        <f t="shared" ref="Y73:Y84" si="411">CONCATENATE(C73,LEFT(K73,5),J73)</f>
        <v>ProcedimientoChica1</v>
      </c>
      <c r="Z73" s="135">
        <f>VLOOKUP(Y73,[1]Modelo!$G$82:$H$281,2,FALSE)</f>
        <v>141</v>
      </c>
      <c r="AA73" s="463"/>
      <c r="AB73" s="137" t="str">
        <f t="shared" ref="AB73:AB84" si="412">IF(AND(U73&gt;=0,U73&lt;=6),"Chica 1",IF(AND(U73&gt;=7,U73&lt;=12),"Chica 2",IF(AND(U73&gt;=13,U73&lt;=18),"Chica 3",IF(AND(U73&gt;=19,U73&lt;=24),"Chica 4",IF(AND(U73&gt;=25,U73&lt;=30),"Mediana 1",IF(AND(U73&gt;=31,U73&lt;=36),"Mediana 2",IF(AND(U73&gt;=37,U73&lt;=42),"Mediana 3",IF(AND(U73&gt;=43,U73&lt;=48),"Mediana 4",IF(AND(U73&gt;=49,U73&lt;=54),"Grande 1",IF(AND(U73&gt;=55,U73&lt;=60),"Grande 2",IF(AND(U73&gt;=61,U73&lt;=66),"Grande 3",IF(AND(U73&gt;=67,U73&lt;=72),"Grande 4",IF(AND(U73&gt;=73,U73&lt;=78),"M. grande 1",IF(AND(U73&gt;=79,U73&lt;=84),"M. grande 2",IF(AND(U73&gt;=85,U73&lt;=90),"M. grande 3",IF(AND(U73&gt;=91,U73&lt;=96),"M. grande 4","NO DEF"))))))))))))))))</f>
        <v>Chica 1</v>
      </c>
      <c r="AC73" s="137" t="str">
        <f t="shared" ref="AC73:AC84" si="413">IF(E73="A","Alta",IF(E73="M","Media","Baja"))</f>
        <v>Baja</v>
      </c>
      <c r="AD73" s="137" t="str">
        <f t="shared" ref="AD73:AD84" si="414">IF(E73="A","Alta",IF(E73="M","Media","Baja"))</f>
        <v>Baja</v>
      </c>
      <c r="AE73" s="137" t="str">
        <f t="shared" ref="AE73:AE84" si="415">IF(F73="A","Alta",IF(F73="M","Media","Baja"))</f>
        <v>Baja</v>
      </c>
      <c r="AF73" s="137" t="str">
        <f t="shared" ref="AF73:AF84" si="416">IF(F73="A","Alta",IF(F73="M","Media","Baja"))</f>
        <v>Baja</v>
      </c>
      <c r="AG73" s="137" t="str">
        <f t="shared" ref="AG73:AG84" si="417">IF(G73="A","Alta",IF(G73="M","Media","Baja"))</f>
        <v>Baja</v>
      </c>
      <c r="AH73" s="137" t="str">
        <f t="shared" ref="AH73:AH84" si="418">IF(G73="A","Alta",IF(G73="M","Media","Baja"))</f>
        <v>Baja</v>
      </c>
      <c r="AI73" s="137" t="str">
        <f t="shared" ref="AI73:AI84" si="419">IF(H73="A","Alta",IF(H73="M","Media","Baja"))</f>
        <v>Baja</v>
      </c>
      <c r="AJ73" s="137" t="str">
        <f t="shared" ref="AJ73:AJ84" si="420">IF(I73="A","Alta",IF(I73="M","Media","Baja"))</f>
        <v>Baja</v>
      </c>
      <c r="AK73" s="40"/>
      <c r="AL73" s="138">
        <f>IF(AB73=[1]Modelo!$F$7,[1]Modelo!$H$7,IF(AB73=[1]Modelo!$F$8,[1]Modelo!$H$8,IF(AB73=[1]Modelo!$F$9,[1]Modelo!$H$9,IF(AB73=[1]Modelo!$F$10,[1]Modelo!$H$10,IF(AB73=[1]Modelo!$F$11,[1]Modelo!$H$11,IF(AB73=[1]Modelo!$F$12,[1]Modelo!$H$12,IF(AB73=[1]Modelo!$F$13,[1]Modelo!$H$13,IF(AB73=[1]Modelo!$F$14,[1]Modelo!$H$14,IF(AB73=[1]Modelo!$F$15,[1]Modelo!$H$15,IF(AB73=[1]Modelo!$F$16,[1]Modelo!$H$16,IF(AB73=[1]Modelo!$F$17,[1]Modelo!$H$17,IF(AB73=[1]Modelo!$F$18,[1]Modelo!$H$18,IF(AB73=[1]Modelo!$F$19,[1]Modelo!$H$19,IF(AB73=[1]Modelo!$F$20,[1]Modelo!$H$20,IF(AB73=[1]Modelo!$F$21,[1]Modelo!$H$21,IF(AB73=[1]Modelo!$F$22,[1]Modelo!$H$22,0))))))))))))))))</f>
        <v>0.30000000000000004</v>
      </c>
      <c r="AM73" s="138">
        <f>IF(AB73=[1]Modelo!$F$7,[1]Modelo!$I$7,IF(AB73=[1]Modelo!$F$8,[1]Modelo!$I$8,IF(AB73=[1]Modelo!$F$9,[1]Modelo!$I$9,IF(AB73=[1]Modelo!$F$10,[1]Modelo!$I$10,IF(AB73=[1]Modelo!$F$11,[1]Modelo!$I$11,IF(AB73=[1]Modelo!$F$12,[1]Modelo!$I$12,IF(AB73=[1]Modelo!$F$13,[1]Modelo!$I$13,IF(AB73=[1]Modelo!$F$14,[1]Modelo!$I$14,IF(AB73=[1]Modelo!$F$15,[1]Modelo!$I$15,IF(AB73=[1]Modelo!$F$16,[1]Modelo!$I$16,IF(AB73=[1]Modelo!$F$17,[1]Modelo!$I$17,IF(AB73=[1]Modelo!$F$18,[1]Modelo!$I$18,IF(AB73=[1]Modelo!$F$19,[1]Modelo!$I$19,IF(AB73=[1]Modelo!$F$20,[1]Modelo!$I$20,IF(AB73=[1]Modelo!$F$21,[1]Modelo!$I$21,IF(AB73=[1]Modelo!$F$22,[1]Modelo!$I$22,0))))))))))))))))</f>
        <v>0.1</v>
      </c>
      <c r="AN73" s="138">
        <f>IF(AC73=[1]Modelo!$F$23,[1]Modelo!$H$23,IF(AC73=[1]Modelo!$F$24,[1]Modelo!$H$24,IF(AC73=[1]Modelo!$F$25,[1]Modelo!$H$25,0)))</f>
        <v>1</v>
      </c>
      <c r="AO73" s="138">
        <f>IF(AD73=[1]Modelo!$F$26,[1]Modelo!$H$26,IF(AD73=[1]Modelo!$F$27,[1]Modelo!$H$27,IF(AD73=[1]Modelo!$F$28,[1]Modelo!$H$28,0)))</f>
        <v>0.1</v>
      </c>
      <c r="AP73" s="138">
        <f>IF(AE73=[1]Modelo!$F$30,[1]Modelo!$H$30,IF(AE73=[1]Modelo!$F$31,[1]Modelo!$H$31,IF(AE73=[1]Modelo!$F$32,[1]Modelo!$H$32,0)))</f>
        <v>0.8</v>
      </c>
      <c r="AQ73" s="138">
        <f>IF(AF73=[1]Modelo!$F$33,[1]Modelo!$H$33,IF(AF73=[1]Modelo!$F$34,[1]Modelo!$H$34,IF(AF73=[1]Modelo!$F$35,[1]Modelo!$H$35,0)))</f>
        <v>0.3</v>
      </c>
      <c r="AR73" s="138">
        <f>IF(AG73=[1]Modelo!$F$37,[1]Modelo!$H$37,IF(AG73=[1]Modelo!$F$38,[1]Modelo!$H$38,IF(AG73=[1]Modelo!$F$39,[1]Modelo!$H$39,0)))</f>
        <v>0.8</v>
      </c>
      <c r="AS73" s="138">
        <f>IF(AH73=[1]Modelo!$F$40,[1]Modelo!$H$40,IF(AH73=[1]Modelo!$F$41,[1]Modelo!$H$41,IF(AH73=[1]Modelo!$F$42,[1]Modelo!$H$42,0)))</f>
        <v>0.4</v>
      </c>
      <c r="AT73" s="137">
        <f>IF(C73=[1]Modelo!$F$44,[1]Modelo!$H$44,IF(C73=[1]Modelo!$F$45,[1]Modelo!$H$45,IF(C73=[1]Modelo!$F$46,[1]Modelo!$H$46,IF(C73=[1]Modelo!$F$47,[1]Modelo!$H$47,IF(C73=[1]Modelo!$F$48,[1]Modelo!$H$48,IF(C73=[1]Modelo!$F$49,[1]Modelo!$H$49,IF(C73=[1]Modelo!$F$50,[1]Modelo!$H$50,IF(C73=[1]Modelo!$F$51,[1]Modelo!$H$51,IF(C73=[1]Modelo!$F$52,[1]Modelo!$H$52,IF(C73=[1]Modelo!$F$53,[1]Modelo!$H$53,0))))))))))</f>
        <v>2.5</v>
      </c>
      <c r="AU73" s="138">
        <f>IF(AI73=[1]Modelo!$F$54,[1]Modelo!$H$54,IF(AI73=[1]Modelo!$F$55,[1]Modelo!$H$55,IF(AI73=[1]Modelo!$F$56,[1]Modelo!$H$56,0)))</f>
        <v>1</v>
      </c>
      <c r="AV73" s="138">
        <f>IF(AJ73=[1]Modelo!$F$58,[1]Modelo!$H$58,IF(AJ73=[1]Modelo!$F$59,[1]Modelo!$H$59,IF(AJ73=[1]Modelo!$F$60,[1]Modelo!$H$60,0)))</f>
        <v>0.9</v>
      </c>
      <c r="AW73" s="40"/>
      <c r="AX73" s="139">
        <f>[1]Modelo!$H$2</f>
        <v>0.05</v>
      </c>
      <c r="AY73" s="140">
        <f>ROUNDUP([1]Modelo!$I$2*[1]Modelo!$H$3*[1]Modelo!$I$75,2)</f>
        <v>0.02</v>
      </c>
      <c r="AZ73" s="141">
        <f>ROUNDUP([1]Modelo!$I$2*[1]Modelo!$H$3*[1]Modelo!$H$4*[1]Modelo!$I$75,3)</f>
        <v>3.0000000000000001E-3</v>
      </c>
      <c r="BA73" s="139">
        <f>[1]Modelo!$H$5</f>
        <v>0.04</v>
      </c>
      <c r="BB73" s="139">
        <f>ROUNDUP(SUM(BC73,BE73,BG73,BI73)*[1]Modelo!$H$6,1)</f>
        <v>0.5</v>
      </c>
      <c r="BC73" s="139">
        <f>ROUNDUP((AL73*AN73+0.1)*[1]Modelo!$I$75,1)</f>
        <v>0.4</v>
      </c>
      <c r="BD73" s="139">
        <f>ROUNDUP(AM73*AN73*AO73*[1]Modelo!$I$75,1)</f>
        <v>0.1</v>
      </c>
      <c r="BE73" s="139">
        <f>ROUNDUP(V73*[1]Modelo!$H$29*AP73*[1]Modelo!$I$75*2/3,1)</f>
        <v>0.6</v>
      </c>
      <c r="BF73" s="139">
        <f>ROUNDUP(V73*[1]Modelo!$H$29*AP73*AQ73*[1]Modelo!$I$75*2/3,1)</f>
        <v>0.2</v>
      </c>
      <c r="BG73" s="139">
        <f>ROUNDUP(V73*[1]Modelo!$H$29*AP73*[1]Modelo!$I$75/3,1)</f>
        <v>0.30000000000000004</v>
      </c>
      <c r="BH73" s="139">
        <f>ROUNDUP(V73*[1]Modelo!$H$29*AP73*AQ73*[1]Modelo!$I$75/3,1)</f>
        <v>0.1</v>
      </c>
      <c r="BI73" s="139">
        <f>ROUNDUP(W73*[1]Modelo!$H$36*AR73*[1]Modelo!$I$75,1)</f>
        <v>0</v>
      </c>
      <c r="BJ73" s="139">
        <f>ROUNDUP(W73*[1]Modelo!$H$36*AR73*AS73*[1]Modelo!$I$75,1)</f>
        <v>0</v>
      </c>
      <c r="BK73" s="139">
        <f>[1]Modelo!$H$43</f>
        <v>0.04</v>
      </c>
      <c r="BL73" s="139">
        <f>ROUNDUP(SUM(ROUNDUP(AL73*AN73+0.1,1),ROUNDUP(V73*[1]Modelo!$H$29*AP73,1),ROUNDUP(W73*[1]Modelo!$H$36*AR73,1))*AU73*AT73*[1]Modelo!$I$75,1)</f>
        <v>3</v>
      </c>
      <c r="BM73" s="139">
        <f t="shared" ref="BM73:BM84" si="421">IF(K$32="x",0, BL73*0.1*1.25)</f>
        <v>0</v>
      </c>
      <c r="BN73" s="139">
        <f t="shared" ref="BN73:BN84" si="422">IF(Q73="x",(BL73)*0.1,0)</f>
        <v>0</v>
      </c>
      <c r="BO73" s="139">
        <f t="shared" ref="BO73:BO84" si="423">IF(R73="x",(BL73)*0.12,0)</f>
        <v>0</v>
      </c>
      <c r="BP73" s="139">
        <f t="shared" ref="BP73:BP84" si="424">IF(S73="x",(BL73)*0.12,0)*4</f>
        <v>0</v>
      </c>
      <c r="BQ73" s="139">
        <f>ROUNDUP(SUM(ROUNDUP(AL73*AN73+0.1,1),ROUNDUP(V73*[1]Modelo!$H$29*AP73,1),ROUNDUP(W73*[1]Modelo!$H$36*AR73,1))*AT73*AV73*[1]Modelo!$H$57,1)</f>
        <v>1.3</v>
      </c>
      <c r="BR73" s="409">
        <v>0</v>
      </c>
      <c r="BS73" s="139">
        <f>[1]Modelo!$H$61</f>
        <v>0.04</v>
      </c>
      <c r="BT73" s="139">
        <f>ROUNDUP(SUM(ROUNDUP(AL73*AN73+0.1,1),ROUNDUP(V73*[1]Modelo!$H$29*AP73,1),ROUNDUP(W73*[1]Modelo!$H$36*AR73,1))*[1]Modelo!$H$62*[1]Modelo!$I$75,1)</f>
        <v>0.1</v>
      </c>
      <c r="BU73" s="139">
        <f>ROUNDUP(ROUNDUP(SUM(ROUNDUP(AL73*AN73+0.1,1),ROUNDUP(V73*[1]Modelo!$H$29*AP73,1),ROUNDUP(W73*[1]Modelo!$H$36*AR73,1))*[1]Modelo!$H$62,1)*[1]Modelo!$H$63*[1]Modelo!$I$75,1)</f>
        <v>0.1</v>
      </c>
      <c r="BV73" s="139">
        <f>SUM(ROUNDUP(AL73*AN73+0.1,1),ROUNDUP(V73*[1]Modelo!$H$29*AP73,1),ROUNDUP(W73*[1]Modelo!$H$36*AR73,1))*[1]Modelo!$H$64*[1]Modelo!$I$75</f>
        <v>0.24000000000000005</v>
      </c>
      <c r="BW73" s="139">
        <f>ROUNDUP(SUM(ROUNDUP(AL73*AN73+0.1,1),ROUNDUP(V73*[1]Modelo!$H$29*AP73,1),ROUNDUP(W73*[1]Modelo!$H$36*AR73,1))*[1]Modelo!$H$64*[1]Modelo!$H$65*[1]Modelo!$I$75,1)</f>
        <v>0.2</v>
      </c>
      <c r="BX73" s="139">
        <f>[1]Modelo!$H$66</f>
        <v>0.04</v>
      </c>
      <c r="BY73" s="139">
        <f>ROUNDUP(SUM(ROUNDUP(AL73*AN73+0.1,1),ROUNDUP(V73*[1]Modelo!$H$29*AP73,1),ROUNDUP(W73*[1]Modelo!$H$36*AR73,1))*[1]Modelo!$H$69,1)</f>
        <v>0.30000000000000004</v>
      </c>
      <c r="BZ73" s="139">
        <f>ROUNDUP(ROUNDUP(SUM(ROUNDUP(AL73*AN73+0.1,1),ROUNDUP(V73*[1]Modelo!$H$29*AP73,1),ROUNDUP(W73*[1]Modelo!$H$36*AR73,1))*[1]Modelo!$H$62,1)*[1]Modelo!$H$71,1)</f>
        <v>0.2</v>
      </c>
      <c r="CA73" s="142">
        <f t="shared" ref="CA73:CA84" si="425">SUM(AX73:BZ73)</f>
        <v>7.8729999999999993</v>
      </c>
      <c r="CB73" s="27"/>
      <c r="CC73" s="27">
        <f t="shared" ref="CC73:CC84" si="426">CD73*0.85</f>
        <v>3.6549999999999998</v>
      </c>
      <c r="CD73" s="109">
        <f t="shared" ref="CD73:CD84" si="427">O73</f>
        <v>4.3</v>
      </c>
      <c r="CE73" s="27">
        <f t="shared" ref="CE73:CE84" si="428">IF(CD73=0,1,CD73*1.4)</f>
        <v>6.02</v>
      </c>
      <c r="CF73" s="27"/>
      <c r="CG73" s="126">
        <v>0</v>
      </c>
      <c r="CH73" s="27"/>
      <c r="CI73" s="27">
        <f t="shared" ref="CI73:CI84" si="429">IF(CF73&lt;&gt;"",CF73,CG73)</f>
        <v>0</v>
      </c>
      <c r="CJ73" s="27"/>
      <c r="CK73" s="27"/>
      <c r="CL73" s="27"/>
      <c r="CM73" s="27"/>
      <c r="CN73" s="27"/>
      <c r="CO73" s="27"/>
      <c r="CP73" s="27"/>
      <c r="CQ73" s="27"/>
      <c r="CR73" s="27"/>
      <c r="CS73" s="27"/>
      <c r="CT73" s="27"/>
      <c r="CU73" s="27"/>
      <c r="CV73" s="27"/>
      <c r="CW73" s="27"/>
      <c r="CX73" s="27"/>
      <c r="CY73" s="27"/>
      <c r="CZ73" s="27"/>
      <c r="DA73" s="27"/>
      <c r="DB73" s="27"/>
      <c r="DC73" s="27"/>
    </row>
    <row r="74" spans="3:107" s="20" customFormat="1" ht="37" customHeight="1" outlineLevel="2" thickBot="1" x14ac:dyDescent="0.35">
      <c r="C74" s="388" t="s">
        <v>101</v>
      </c>
      <c r="D74" s="461" t="s">
        <v>18</v>
      </c>
      <c r="E74" s="461" t="str">
        <f>IF(U74&gt;50,"A",IF(U74&gt;15,"M","B"))</f>
        <v>B</v>
      </c>
      <c r="F74" s="461" t="s">
        <v>423</v>
      </c>
      <c r="G74" s="461" t="s">
        <v>423</v>
      </c>
      <c r="H74" s="461" t="str">
        <f>IF(V74+W74&gt;20,"A",IF(V74+W74&gt;5,"M","B"))</f>
        <v>B</v>
      </c>
      <c r="I74" s="461" t="str">
        <f>IF(V74+W74&gt;15,"A",IF(V74+W74&gt;4,"M","B"))</f>
        <v>B</v>
      </c>
      <c r="J74" s="425">
        <f>V74+W74</f>
        <v>1</v>
      </c>
      <c r="K74" s="503" t="str">
        <f>AB74</f>
        <v>Chica 2</v>
      </c>
      <c r="L74" s="541" t="s">
        <v>777</v>
      </c>
      <c r="M74" s="532">
        <f t="shared" si="355"/>
        <v>3.8000000000000003</v>
      </c>
      <c r="N74" s="532">
        <f t="shared" si="356"/>
        <v>1.6</v>
      </c>
      <c r="O74" s="538">
        <f t="shared" si="357"/>
        <v>5.4</v>
      </c>
      <c r="P74" s="58"/>
      <c r="Q74" s="462"/>
      <c r="R74" s="462"/>
      <c r="S74" s="462"/>
      <c r="T74" s="109"/>
      <c r="U74" s="144">
        <v>10</v>
      </c>
      <c r="V74" s="144">
        <v>1</v>
      </c>
      <c r="W74" s="144">
        <v>0</v>
      </c>
      <c r="X74" s="463"/>
      <c r="Y74" s="463" t="str">
        <f>CONCATENATE(C74,LEFT(K74,5),J74)</f>
        <v>ProcedimientoChica1</v>
      </c>
      <c r="Z74" s="135">
        <f>VLOOKUP(Y74,[1]Modelo!$G$82:$H$281,2,FALSE)</f>
        <v>141</v>
      </c>
      <c r="AA74" s="463"/>
      <c r="AB74" s="137" t="str">
        <f>IF(AND(U74&gt;=0,U74&lt;=6),"Chica 1",IF(AND(U74&gt;=7,U74&lt;=12),"Chica 2",IF(AND(U74&gt;=13,U74&lt;=18),"Chica 3",IF(AND(U74&gt;=19,U74&lt;=24),"Chica 4",IF(AND(U74&gt;=25,U74&lt;=30),"Mediana 1",IF(AND(U74&gt;=31,U74&lt;=36),"Mediana 2",IF(AND(U74&gt;=37,U74&lt;=42),"Mediana 3",IF(AND(U74&gt;=43,U74&lt;=48),"Mediana 4",IF(AND(U74&gt;=49,U74&lt;=54),"Grande 1",IF(AND(U74&gt;=55,U74&lt;=60),"Grande 2",IF(AND(U74&gt;=61,U74&lt;=66),"Grande 3",IF(AND(U74&gt;=67,U74&lt;=72),"Grande 4",IF(AND(U74&gt;=73,U74&lt;=78),"M. grande 1",IF(AND(U74&gt;=79,U74&lt;=84),"M. grande 2",IF(AND(U74&gt;=85,U74&lt;=90),"M. grande 3",IF(AND(U74&gt;=91,U74&lt;=96),"M. grande 4","NO DEF"))))))))))))))))</f>
        <v>Chica 2</v>
      </c>
      <c r="AC74" s="137" t="str">
        <f>IF(E74="A","Alta",IF(E74="M","Media","Baja"))</f>
        <v>Baja</v>
      </c>
      <c r="AD74" s="137" t="str">
        <f>IF(E74="A","Alta",IF(E74="M","Media","Baja"))</f>
        <v>Baja</v>
      </c>
      <c r="AE74" s="137" t="str">
        <f>IF(F74="A","Alta",IF(F74="M","Media","Baja"))</f>
        <v>Baja</v>
      </c>
      <c r="AF74" s="137" t="str">
        <f>IF(F74="A","Alta",IF(F74="M","Media","Baja"))</f>
        <v>Baja</v>
      </c>
      <c r="AG74" s="137" t="str">
        <f>IF(G74="A","Alta",IF(G74="M","Media","Baja"))</f>
        <v>Baja</v>
      </c>
      <c r="AH74" s="137" t="str">
        <f>IF(G74="A","Alta",IF(G74="M","Media","Baja"))</f>
        <v>Baja</v>
      </c>
      <c r="AI74" s="137" t="str">
        <f>IF(H74="A","Alta",IF(H74="M","Media","Baja"))</f>
        <v>Baja</v>
      </c>
      <c r="AJ74" s="137" t="str">
        <f>IF(I74="A","Alta",IF(I74="M","Media","Baja"))</f>
        <v>Baja</v>
      </c>
      <c r="AK74" s="40"/>
      <c r="AL74" s="138">
        <f>IF(AB74=[1]Modelo!$F$7,[1]Modelo!$H$7,IF(AB74=[1]Modelo!$F$8,[1]Modelo!$H$8,IF(AB74=[1]Modelo!$F$9,[1]Modelo!$H$9,IF(AB74=[1]Modelo!$F$10,[1]Modelo!$H$10,IF(AB74=[1]Modelo!$F$11,[1]Modelo!$H$11,IF(AB74=[1]Modelo!$F$12,[1]Modelo!$H$12,IF(AB74=[1]Modelo!$F$13,[1]Modelo!$H$13,IF(AB74=[1]Modelo!$F$14,[1]Modelo!$H$14,IF(AB74=[1]Modelo!$F$15,[1]Modelo!$H$15,IF(AB74=[1]Modelo!$F$16,[1]Modelo!$H$16,IF(AB74=[1]Modelo!$F$17,[1]Modelo!$H$17,IF(AB74=[1]Modelo!$F$18,[1]Modelo!$H$18,IF(AB74=[1]Modelo!$F$19,[1]Modelo!$H$19,IF(AB74=[1]Modelo!$F$20,[1]Modelo!$H$20,IF(AB74=[1]Modelo!$F$21,[1]Modelo!$H$21,IF(AB74=[1]Modelo!$F$22,[1]Modelo!$H$22,0))))))))))))))))</f>
        <v>0.60000000000000009</v>
      </c>
      <c r="AM74" s="138">
        <f>IF(AB74=[1]Modelo!$F$7,[1]Modelo!$I$7,IF(AB74=[1]Modelo!$F$8,[1]Modelo!$I$8,IF(AB74=[1]Modelo!$F$9,[1]Modelo!$I$9,IF(AB74=[1]Modelo!$F$10,[1]Modelo!$I$10,IF(AB74=[1]Modelo!$F$11,[1]Modelo!$I$11,IF(AB74=[1]Modelo!$F$12,[1]Modelo!$I$12,IF(AB74=[1]Modelo!$F$13,[1]Modelo!$I$13,IF(AB74=[1]Modelo!$F$14,[1]Modelo!$I$14,IF(AB74=[1]Modelo!$F$15,[1]Modelo!$I$15,IF(AB74=[1]Modelo!$F$16,[1]Modelo!$I$16,IF(AB74=[1]Modelo!$F$17,[1]Modelo!$I$17,IF(AB74=[1]Modelo!$F$18,[1]Modelo!$I$18,IF(AB74=[1]Modelo!$F$19,[1]Modelo!$I$19,IF(AB74=[1]Modelo!$F$20,[1]Modelo!$I$20,IF(AB74=[1]Modelo!$F$21,[1]Modelo!$I$21,IF(AB74=[1]Modelo!$F$22,[1]Modelo!$I$22,0))))))))))))))))</f>
        <v>0.2</v>
      </c>
      <c r="AN74" s="138">
        <f>IF(AC74=[1]Modelo!$F$23,[1]Modelo!$H$23,IF(AC74=[1]Modelo!$F$24,[1]Modelo!$H$24,IF(AC74=[1]Modelo!$F$25,[1]Modelo!$H$25,0)))</f>
        <v>1</v>
      </c>
      <c r="AO74" s="138">
        <f>IF(AD74=[1]Modelo!$F$26,[1]Modelo!$H$26,IF(AD74=[1]Modelo!$F$27,[1]Modelo!$H$27,IF(AD74=[1]Modelo!$F$28,[1]Modelo!$H$28,0)))</f>
        <v>0.1</v>
      </c>
      <c r="AP74" s="138">
        <f>IF(AE74=[1]Modelo!$F$30,[1]Modelo!$H$30,IF(AE74=[1]Modelo!$F$31,[1]Modelo!$H$31,IF(AE74=[1]Modelo!$F$32,[1]Modelo!$H$32,0)))</f>
        <v>0.8</v>
      </c>
      <c r="AQ74" s="138">
        <f>IF(AF74=[1]Modelo!$F$33,[1]Modelo!$H$33,IF(AF74=[1]Modelo!$F$34,[1]Modelo!$H$34,IF(AF74=[1]Modelo!$F$35,[1]Modelo!$H$35,0)))</f>
        <v>0.3</v>
      </c>
      <c r="AR74" s="138">
        <f>IF(AG74=[1]Modelo!$F$37,[1]Modelo!$H$37,IF(AG74=[1]Modelo!$F$38,[1]Modelo!$H$38,IF(AG74=[1]Modelo!$F$39,[1]Modelo!$H$39,0)))</f>
        <v>0.8</v>
      </c>
      <c r="AS74" s="138">
        <f>IF(AH74=[1]Modelo!$F$40,[1]Modelo!$H$40,IF(AH74=[1]Modelo!$F$41,[1]Modelo!$H$41,IF(AH74=[1]Modelo!$F$42,[1]Modelo!$H$42,0)))</f>
        <v>0.4</v>
      </c>
      <c r="AT74" s="137">
        <f>IF(C74=[1]Modelo!$F$44,[1]Modelo!$H$44,IF(C74=[1]Modelo!$F$45,[1]Modelo!$H$45,IF(C74=[1]Modelo!$F$46,[1]Modelo!$H$46,IF(C74=[1]Modelo!$F$47,[1]Modelo!$H$47,IF(C74=[1]Modelo!$F$48,[1]Modelo!$H$48,IF(C74=[1]Modelo!$F$49,[1]Modelo!$H$49,IF(C74=[1]Modelo!$F$50,[1]Modelo!$H$50,IF(C74=[1]Modelo!$F$51,[1]Modelo!$H$51,IF(C74=[1]Modelo!$F$52,[1]Modelo!$H$52,IF(C74=[1]Modelo!$F$53,[1]Modelo!$H$53,0))))))))))</f>
        <v>2.5</v>
      </c>
      <c r="AU74" s="138">
        <f>IF(AI74=[1]Modelo!$F$54,[1]Modelo!$H$54,IF(AI74=[1]Modelo!$F$55,[1]Modelo!$H$55,IF(AI74=[1]Modelo!$F$56,[1]Modelo!$H$56,0)))</f>
        <v>1</v>
      </c>
      <c r="AV74" s="138">
        <f>IF(AJ74=[1]Modelo!$F$58,[1]Modelo!$H$58,IF(AJ74=[1]Modelo!$F$59,[1]Modelo!$H$59,IF(AJ74=[1]Modelo!$F$60,[1]Modelo!$H$60,0)))</f>
        <v>0.9</v>
      </c>
      <c r="AW74" s="40"/>
      <c r="AX74" s="139">
        <f>[1]Modelo!$H$2</f>
        <v>0.05</v>
      </c>
      <c r="AY74" s="140">
        <f>ROUNDUP([1]Modelo!$I$2*[1]Modelo!$H$3*[1]Modelo!$I$75,2)</f>
        <v>0.02</v>
      </c>
      <c r="AZ74" s="141">
        <f>ROUNDUP([1]Modelo!$I$2*[1]Modelo!$H$3*[1]Modelo!$H$4*[1]Modelo!$I$75,3)</f>
        <v>3.0000000000000001E-3</v>
      </c>
      <c r="BA74" s="139">
        <f>[1]Modelo!$H$5</f>
        <v>0.04</v>
      </c>
      <c r="BB74" s="139">
        <f>ROUNDUP(SUM(BC74,BE74,BG74,BI74)*[1]Modelo!$H$6,1)</f>
        <v>0.6</v>
      </c>
      <c r="BC74" s="139">
        <f>ROUNDUP((AL74*AN74+0.1)*[1]Modelo!$I$75,1)</f>
        <v>0.7</v>
      </c>
      <c r="BD74" s="139">
        <f>ROUNDUP(AM74*AN74*AO74*[1]Modelo!$I$75,1)</f>
        <v>0.1</v>
      </c>
      <c r="BE74" s="139">
        <f>ROUNDUP(V74*[1]Modelo!$H$29*AP74*[1]Modelo!$I$75*2/3,1)</f>
        <v>0.6</v>
      </c>
      <c r="BF74" s="139">
        <f>ROUNDUP(V74*[1]Modelo!$H$29*AP74*AQ74*[1]Modelo!$I$75*2/3,1)</f>
        <v>0.2</v>
      </c>
      <c r="BG74" s="139">
        <f>ROUNDUP(V74*[1]Modelo!$H$29*AP74*[1]Modelo!$I$75/3,1)</f>
        <v>0.30000000000000004</v>
      </c>
      <c r="BH74" s="139">
        <f>ROUNDUP(V74*[1]Modelo!$H$29*AP74*AQ74*[1]Modelo!$I$75/3,1)</f>
        <v>0.1</v>
      </c>
      <c r="BI74" s="139">
        <f>ROUNDUP(W74*[1]Modelo!$H$36*AR74*[1]Modelo!$I$75,1)</f>
        <v>0</v>
      </c>
      <c r="BJ74" s="139">
        <f>ROUNDUP(W74*[1]Modelo!$H$36*AR74*AS74*[1]Modelo!$I$75,1)</f>
        <v>0</v>
      </c>
      <c r="BK74" s="139">
        <f>[1]Modelo!$H$43</f>
        <v>0.04</v>
      </c>
      <c r="BL74" s="139">
        <f>ROUNDUP(SUM(ROUNDUP(AL74*AN74+0.1,1),ROUNDUP(V74*[1]Modelo!$H$29*AP74,1),ROUNDUP(W74*[1]Modelo!$H$36*AR74,1))*AU74*AT74*[1]Modelo!$I$75,1)</f>
        <v>3.8000000000000003</v>
      </c>
      <c r="BM74" s="139">
        <f>IF(K$32="x",0, BL74*0.1*1.25)</f>
        <v>0</v>
      </c>
      <c r="BN74" s="139">
        <f>IF(Q74="x",(BL74)*0.1,0)</f>
        <v>0</v>
      </c>
      <c r="BO74" s="139">
        <f>IF(R74="x",(BL74)*0.12,0)</f>
        <v>0</v>
      </c>
      <c r="BP74" s="139">
        <f>IF(S74="x",(BL74)*0.12,0)*4</f>
        <v>0</v>
      </c>
      <c r="BQ74" s="139">
        <f>ROUNDUP(SUM(ROUNDUP(AL74*AN74+0.1,1),ROUNDUP(V74*[1]Modelo!$H$29*AP74,1),ROUNDUP(W74*[1]Modelo!$H$36*AR74,1))*AT74*AV74*[1]Modelo!$H$57,1)</f>
        <v>1.6</v>
      </c>
      <c r="BR74" s="409">
        <v>0</v>
      </c>
      <c r="BS74" s="139">
        <f>[1]Modelo!$H$61</f>
        <v>0.04</v>
      </c>
      <c r="BT74" s="139">
        <f>ROUNDUP(SUM(ROUNDUP(AL74*AN74+0.1,1),ROUNDUP(V74*[1]Modelo!$H$29*AP74,1),ROUNDUP(W74*[1]Modelo!$H$36*AR74,1))*[1]Modelo!$H$62*[1]Modelo!$I$75,1)</f>
        <v>0.1</v>
      </c>
      <c r="BU74" s="139">
        <f>ROUNDUP(ROUNDUP(SUM(ROUNDUP(AL74*AN74+0.1,1),ROUNDUP(V74*[1]Modelo!$H$29*AP74,1),ROUNDUP(W74*[1]Modelo!$H$36*AR74,1))*[1]Modelo!$H$62,1)*[1]Modelo!$H$63*[1]Modelo!$I$75,1)</f>
        <v>0.1</v>
      </c>
      <c r="BV74" s="139">
        <f>SUM(ROUNDUP(AL74*AN74+0.1,1),ROUNDUP(V74*[1]Modelo!$H$29*AP74,1),ROUNDUP(W74*[1]Modelo!$H$36*AR74,1))*[1]Modelo!$H$64*[1]Modelo!$I$75</f>
        <v>0.30000000000000004</v>
      </c>
      <c r="BW74" s="139">
        <f>ROUNDUP(SUM(ROUNDUP(AL74*AN74+0.1,1),ROUNDUP(V74*[1]Modelo!$H$29*AP74,1),ROUNDUP(W74*[1]Modelo!$H$36*AR74,1))*[1]Modelo!$H$64*[1]Modelo!$H$65*[1]Modelo!$I$75,1)</f>
        <v>0.2</v>
      </c>
      <c r="BX74" s="139">
        <f>[1]Modelo!$H$66</f>
        <v>0.04</v>
      </c>
      <c r="BY74" s="139">
        <f>ROUNDUP(SUM(ROUNDUP(AL74*AN74+0.1,1),ROUNDUP(V74*[1]Modelo!$H$29*AP74,1),ROUNDUP(W74*[1]Modelo!$H$36*AR74,1))*[1]Modelo!$H$69,1)</f>
        <v>0.4</v>
      </c>
      <c r="BZ74" s="139">
        <f>ROUNDUP(ROUNDUP(SUM(ROUNDUP(AL74*AN74+0.1,1),ROUNDUP(V74*[1]Modelo!$H$29*AP74,1),ROUNDUP(W74*[1]Modelo!$H$36*AR74,1))*[1]Modelo!$H$62,1)*[1]Modelo!$H$71,1)</f>
        <v>0.2</v>
      </c>
      <c r="CA74" s="142">
        <f>SUM(AX74:BZ74)</f>
        <v>9.5329999999999977</v>
      </c>
      <c r="CB74" s="27"/>
      <c r="CC74" s="27">
        <f>CD74*0.85</f>
        <v>4.59</v>
      </c>
      <c r="CD74" s="109">
        <f>O74</f>
        <v>5.4</v>
      </c>
      <c r="CE74" s="27">
        <f>IF(CD74=0,1,CD74*1.4)</f>
        <v>7.56</v>
      </c>
      <c r="CF74" s="27"/>
      <c r="CG74" s="126">
        <v>0</v>
      </c>
      <c r="CH74" s="27"/>
      <c r="CI74" s="27">
        <f>IF(CF74&lt;&gt;"",CF74,CG74)</f>
        <v>0</v>
      </c>
      <c r="CJ74" s="27"/>
      <c r="CK74" s="27"/>
      <c r="CL74" s="27"/>
      <c r="CM74" s="27"/>
      <c r="CN74" s="27"/>
      <c r="CO74" s="27"/>
      <c r="CP74" s="27"/>
      <c r="CQ74" s="27"/>
      <c r="CR74" s="27"/>
      <c r="CS74" s="27"/>
      <c r="CT74" s="27"/>
      <c r="CU74" s="27"/>
      <c r="CV74" s="27"/>
      <c r="CW74" s="27"/>
      <c r="CX74" s="27"/>
      <c r="CY74" s="27"/>
      <c r="CZ74" s="27"/>
      <c r="DA74" s="27"/>
      <c r="DB74" s="27"/>
      <c r="DC74" s="27"/>
    </row>
    <row r="75" spans="3:107" s="20" customFormat="1" ht="28.5" customHeight="1" outlineLevel="1" thickBot="1" x14ac:dyDescent="0.35">
      <c r="C75" s="388"/>
      <c r="D75" s="461"/>
      <c r="E75" s="461"/>
      <c r="F75" s="461"/>
      <c r="G75" s="461"/>
      <c r="H75" s="461"/>
      <c r="I75" s="461"/>
      <c r="J75" s="425">
        <f t="shared" si="409"/>
        <v>1</v>
      </c>
      <c r="K75" s="506"/>
      <c r="L75" s="545" t="s">
        <v>706</v>
      </c>
      <c r="M75" s="526"/>
      <c r="N75" s="526"/>
      <c r="O75" s="530"/>
      <c r="P75" s="58"/>
      <c r="Q75" s="143"/>
      <c r="R75" s="143"/>
      <c r="S75" s="143"/>
      <c r="T75" s="109"/>
      <c r="U75" s="144">
        <v>30</v>
      </c>
      <c r="V75" s="144">
        <v>1</v>
      </c>
      <c r="W75" s="144">
        <v>0</v>
      </c>
      <c r="X75" s="136"/>
      <c r="Y75" s="136" t="str">
        <f t="shared" si="411"/>
        <v>1</v>
      </c>
      <c r="Z75" s="135" t="e">
        <f>VLOOKUP(Y75,Modelo!$G$82:$H$281,2,FALSE)</f>
        <v>#N/A</v>
      </c>
      <c r="AA75" s="136"/>
      <c r="AB75" s="137" t="str">
        <f t="shared" si="412"/>
        <v>Mediana 1</v>
      </c>
      <c r="AC75" s="137" t="str">
        <f t="shared" si="413"/>
        <v>Baja</v>
      </c>
      <c r="AD75" s="137" t="str">
        <f t="shared" si="414"/>
        <v>Baja</v>
      </c>
      <c r="AE75" s="137" t="str">
        <f t="shared" si="415"/>
        <v>Baja</v>
      </c>
      <c r="AF75" s="137" t="str">
        <f t="shared" si="416"/>
        <v>Baja</v>
      </c>
      <c r="AG75" s="137" t="str">
        <f t="shared" si="417"/>
        <v>Baja</v>
      </c>
      <c r="AH75" s="137" t="str">
        <f t="shared" si="418"/>
        <v>Baja</v>
      </c>
      <c r="AI75" s="137" t="str">
        <f t="shared" si="419"/>
        <v>Baja</v>
      </c>
      <c r="AJ75" s="137" t="str">
        <f t="shared" si="420"/>
        <v>Baja</v>
      </c>
      <c r="AK75" s="40"/>
      <c r="AL75" s="138">
        <f>IF(AB75=Modelo!$F$7,Modelo!$H$7,IF(AB75=Modelo!$F$8,Modelo!$H$8,IF(AB75=Modelo!$F$9,Modelo!$H$9,IF(AB75=Modelo!$F$10,Modelo!$H$10,IF(AB75=Modelo!$F$11,Modelo!$H$11,IF(AB75=Modelo!$F$12,Modelo!$H$12,IF(AB75=Modelo!$F$13,Modelo!$H$13,IF(AB75=Modelo!$F$14,Modelo!$H$14,IF(AB75=Modelo!$F$15,Modelo!$H$15,IF(AB75=Modelo!$F$16,Modelo!$H$16,IF(AB75=Modelo!$F$17,Modelo!$H$17,IF(AB75=Modelo!$F$18,Modelo!$H$18,IF(AB75=Modelo!$F$19,Modelo!$H$19,IF(AB75=Modelo!$F$20,Modelo!$H$20,IF(AB75=Modelo!$F$21,Modelo!$H$21,IF(AB75=Modelo!$F$22,Modelo!$H$22,0))))))))))))))))</f>
        <v>1.5</v>
      </c>
      <c r="AM75" s="138">
        <f>IF(AB75=Modelo!$F$7,Modelo!$I$7,IF(AB75=Modelo!$F$8,Modelo!$I$8,IF(AB75=Modelo!$F$9,Modelo!$I$9,IF(AB75=Modelo!$F$10,Modelo!$I$10,IF(AB75=Modelo!$F$11,Modelo!$I$11,IF(AB75=Modelo!$F$12,Modelo!$I$12,IF(AB75=Modelo!$F$13,Modelo!$I$13,IF(AB75=Modelo!$F$14,Modelo!$I$14,IF(AB75=Modelo!$F$15,Modelo!$I$15,IF(AB75=Modelo!$F$16,Modelo!$I$16,IF(AB75=Modelo!$F$17,Modelo!$I$17,IF(AB75=Modelo!$F$18,Modelo!$I$18,IF(AB75=Modelo!$F$19,Modelo!$I$19,IF(AB75=Modelo!$F$20,Modelo!$I$20,IF(AB75=Modelo!$F$21,Modelo!$I$21,IF(AB75=Modelo!$F$22,Modelo!$I$22,0))))))))))))))))</f>
        <v>0.5</v>
      </c>
      <c r="AN75" s="138">
        <f>IF(AC75=Modelo!$F$23,Modelo!$H$23,IF(AC75=Modelo!$F$24,Modelo!$H$24,IF(AC75=Modelo!$F$25,Modelo!$H$25,0)))</f>
        <v>1</v>
      </c>
      <c r="AO75" s="138">
        <f>IF(AD75=Modelo!$F$26,Modelo!$H$26,IF(AD75=Modelo!$F$27,Modelo!$H$27,IF(AD75=Modelo!$F$28,Modelo!$H$28,0)))</f>
        <v>0.1</v>
      </c>
      <c r="AP75" s="138">
        <f>IF(AE75=Modelo!$F$30,Modelo!$H$30,IF(AE75=Modelo!$F$31,Modelo!$H$31,IF(AE75=Modelo!$F$32,Modelo!$H$32,0)))</f>
        <v>0.8</v>
      </c>
      <c r="AQ75" s="138">
        <f>IF(AF75=Modelo!$F$33,Modelo!$H$33,IF(AF75=Modelo!$F$34,Modelo!$H$34,IF(AF75=Modelo!$F$35,Modelo!$H$35,0)))</f>
        <v>0.3</v>
      </c>
      <c r="AR75" s="138">
        <f>IF(AG75=Modelo!$F$37,Modelo!$H$37,IF(AG75=Modelo!$F$38,Modelo!$H$38,IF(AG75=Modelo!$F$39,Modelo!$H$39,0)))</f>
        <v>0.8</v>
      </c>
      <c r="AS75" s="138">
        <f>IF(AH75=Modelo!$F$40,Modelo!$H$40,IF(AH75=Modelo!$F$41,Modelo!$H$41,IF(AH75=Modelo!$F$42,Modelo!$H$42,0)))</f>
        <v>0.4</v>
      </c>
      <c r="AT75" s="137">
        <f>IF(C75=Modelo!$F$44,Modelo!$H$44,IF(C75=Modelo!$F$45,Modelo!$H$45,IF(C75=Modelo!$F$46,Modelo!$H$46,IF(C75=Modelo!$F$47,Modelo!$H$47,IF(C75=Modelo!$F$48,Modelo!$H$48,IF(C75=Modelo!$F$49,Modelo!$H$49,IF(C75=Modelo!$F$50,Modelo!$H$50,IF(C75=Modelo!$F$51,Modelo!$H$51,IF(C75=Modelo!$F$52,Modelo!$H$52,IF(C75=Modelo!$F$53,Modelo!$H$53,0))))))))))</f>
        <v>0</v>
      </c>
      <c r="AU75" s="138">
        <f>IF(AI75=Modelo!$F$54,Modelo!$H$54,IF(AI75=Modelo!$F$55,Modelo!$H$55,IF(AI75=Modelo!$F$56,Modelo!$H$56,0)))</f>
        <v>1</v>
      </c>
      <c r="AV75" s="138">
        <f>IF(AJ75=Modelo!$F$58,Modelo!$H$58,IF(AJ75=Modelo!$F$59,Modelo!$H$59,IF(AJ75=Modelo!$F$60,Modelo!$H$60,0)))</f>
        <v>0.9</v>
      </c>
      <c r="AW75" s="40"/>
      <c r="AX75" s="139">
        <f>Modelo!$H$2</f>
        <v>0.05</v>
      </c>
      <c r="AY75" s="140">
        <f>ROUNDUP(Modelo!$I$2*Modelo!$H$3*Modelo!$I$75,2)</f>
        <v>0.02</v>
      </c>
      <c r="AZ75" s="141">
        <f>ROUNDUP(Modelo!$I$2*Modelo!$H$3*Modelo!$H$4*Modelo!$I$75,3)</f>
        <v>4.0000000000000001E-3</v>
      </c>
      <c r="BA75" s="139">
        <f>Modelo!$H$5</f>
        <v>0.04</v>
      </c>
      <c r="BB75" s="139">
        <f>ROUNDUP(SUM(BC75,BE75,BG75,BI75)*Modelo!$H$6,1)</f>
        <v>0.9</v>
      </c>
      <c r="BC75" s="139">
        <f>ROUNDUP((AL75*AN75+0.1)*Modelo!$I$75,1)</f>
        <v>1.6</v>
      </c>
      <c r="BD75" s="139">
        <f>ROUNDUP(AM75*AN75*AO75*Modelo!$I$75,1)</f>
        <v>0.1</v>
      </c>
      <c r="BE75" s="139">
        <f>ROUNDUP(V75*Modelo!$H$29*AP75*Modelo!$I$75*2/3,1)</f>
        <v>0.6</v>
      </c>
      <c r="BF75" s="139">
        <f>ROUNDUP(V75*Modelo!$H$29*AP75*AQ75*Modelo!$I$75*2/3,1)</f>
        <v>0.2</v>
      </c>
      <c r="BG75" s="139">
        <f>ROUNDUP(V75*Modelo!$H$29*AP75*Modelo!$I$75/3,1)</f>
        <v>0.30000000000000004</v>
      </c>
      <c r="BH75" s="139">
        <f>ROUNDUP(V75*Modelo!$H$29*AP75*AQ75*Modelo!$I$75/3,1)</f>
        <v>0.1</v>
      </c>
      <c r="BI75" s="139">
        <f>ROUNDUP(W75*Modelo!$H$36*AR75*Modelo!$I$75,1)</f>
        <v>0</v>
      </c>
      <c r="BJ75" s="139">
        <f>ROUNDUP(W75*Modelo!$H$36*AR75*AS75*Modelo!$I$75,1)</f>
        <v>0</v>
      </c>
      <c r="BK75" s="139">
        <f>Modelo!$H$43</f>
        <v>0.04</v>
      </c>
      <c r="BL75" s="139">
        <f>ROUNDUP(SUM(ROUNDUP(AL75*AN75+0.1,1),ROUNDUP(V75*Modelo!$H$29*AP75,1),ROUNDUP(W75*Modelo!$H$36*AR75,1))*AU75*AT75*Modelo!$I$75,1)</f>
        <v>0</v>
      </c>
      <c r="BM75" s="139">
        <f t="shared" si="421"/>
        <v>0</v>
      </c>
      <c r="BN75" s="139">
        <f t="shared" si="422"/>
        <v>0</v>
      </c>
      <c r="BO75" s="139">
        <f t="shared" si="423"/>
        <v>0</v>
      </c>
      <c r="BP75" s="139">
        <f t="shared" si="424"/>
        <v>0</v>
      </c>
      <c r="BQ75" s="139">
        <f>ROUNDUP(SUM(ROUNDUP(AL75*AN75+0.1,1),ROUNDUP(V75*Modelo!$H$29*AP75,1),ROUNDUP(W75*Modelo!$H$36*AR75,1))*AT75*AV75*Modelo!$H$57,1)</f>
        <v>0</v>
      </c>
      <c r="BR75" s="409">
        <f>BL75*0.1
+IF(K$16="x",0,BL75*0.05)
+IF(K$28="x",0,BL75*0.2)
+IF(K$29="x",0,BL75*0.5)
+IF(OR(K$30="x",K$31="x"),0,BL75*0.05)
+IF(K$32="x",0,BL75*0.3)
+IF(Q75="x",0,BL75*0.5)
+IF(OR(R75="x",S75="x"),0,BL75*0.15)</f>
        <v>0</v>
      </c>
      <c r="BS75" s="139">
        <f>Modelo!$H$61</f>
        <v>0.04</v>
      </c>
      <c r="BT75" s="139">
        <f>ROUNDUP(SUM(ROUNDUP(AL75*AN75+0.1,1),ROUNDUP(V75*Modelo!$H$29*AP75,1),ROUNDUP(W75*Modelo!$H$36*AR75,1))*Modelo!$H$62*Modelo!$I$75,1)</f>
        <v>0.2</v>
      </c>
      <c r="BU75" s="139">
        <f>ROUNDUP(ROUNDUP(SUM(ROUNDUP(AL75*AN75+0.1,1),ROUNDUP(V75*Modelo!$H$29*AP75,1),ROUNDUP(W75*Modelo!$H$36*AR75,1))*Modelo!$H$62,1)*Modelo!$H$63*Modelo!$I$75,1)</f>
        <v>0.1</v>
      </c>
      <c r="BV75" s="139">
        <f>SUM(ROUNDUP(AL75*AN75+0.1,1),ROUNDUP(V75*Modelo!$H$29*AP75,1),ROUNDUP(W75*Modelo!$H$36*AR75,1))*Modelo!$H$64*Modelo!$I$75</f>
        <v>0.48000000000000009</v>
      </c>
      <c r="BW75" s="139">
        <f>ROUNDUP(SUM(ROUNDUP(AL75*AN75+0.1,1),ROUNDUP(V75*Modelo!$H$29*AP75,1),ROUNDUP(W75*Modelo!$H$36*AR75,1))*Modelo!$H$64*Modelo!$H$65*Modelo!$I$75,1)</f>
        <v>0.30000000000000004</v>
      </c>
      <c r="BX75" s="139">
        <f>Modelo!$H$66</f>
        <v>0.04</v>
      </c>
      <c r="BY75" s="139">
        <f>ROUNDUP(SUM(ROUNDUP(AL75*AN75+0.1,1),ROUNDUP(V75*Modelo!$H$29*AP75,1),ROUNDUP(W75*Modelo!$H$36*AR75,1))*Modelo!$H$69,1)</f>
        <v>0.6</v>
      </c>
      <c r="BZ75" s="139">
        <f>ROUNDUP(ROUNDUP(SUM(ROUNDUP(AL75*AN75+0.1,1),ROUNDUP(V75*Modelo!$H$29*AP75,1),ROUNDUP(W75*Modelo!$H$36*AR75,1))*Modelo!$H$62,1)*Modelo!$H$71,1)</f>
        <v>0.4</v>
      </c>
      <c r="CA75" s="142">
        <f t="shared" si="425"/>
        <v>6.1139999999999999</v>
      </c>
      <c r="CB75" s="27"/>
      <c r="CC75" s="27">
        <f t="shared" si="426"/>
        <v>0</v>
      </c>
      <c r="CD75" s="109">
        <f t="shared" si="427"/>
        <v>0</v>
      </c>
      <c r="CE75" s="27">
        <f t="shared" si="428"/>
        <v>1</v>
      </c>
      <c r="CF75" s="27"/>
      <c r="CG75" s="126">
        <v>0</v>
      </c>
      <c r="CH75" s="27"/>
      <c r="CI75" s="27">
        <f t="shared" si="429"/>
        <v>0</v>
      </c>
      <c r="CJ75" s="27"/>
      <c r="CK75" s="27"/>
      <c r="CL75" s="27"/>
      <c r="CM75" s="27"/>
      <c r="CN75" s="27"/>
      <c r="CO75" s="27"/>
      <c r="CP75" s="27"/>
      <c r="CQ75" s="27"/>
      <c r="CR75" s="27"/>
      <c r="CS75" s="27"/>
      <c r="CT75" s="27"/>
      <c r="CU75" s="27"/>
      <c r="CV75" s="27"/>
      <c r="CW75" s="27"/>
      <c r="CX75" s="27"/>
      <c r="CY75" s="27"/>
      <c r="CZ75" s="27"/>
      <c r="DA75" s="27"/>
      <c r="DB75" s="27"/>
      <c r="DC75" s="27"/>
    </row>
    <row r="76" spans="3:107" s="20" customFormat="1" ht="39.5" customHeight="1" outlineLevel="2" thickBot="1" x14ac:dyDescent="0.35">
      <c r="C76" s="388" t="s">
        <v>95</v>
      </c>
      <c r="D76" s="378" t="s">
        <v>76</v>
      </c>
      <c r="E76" s="378" t="str">
        <f t="shared" ref="E76:E83" si="430">IF(U76&gt;50,"A",IF(U76&gt;15,"M","B"))</f>
        <v>M</v>
      </c>
      <c r="F76" s="378" t="s">
        <v>423</v>
      </c>
      <c r="G76" s="378" t="s">
        <v>423</v>
      </c>
      <c r="H76" s="378" t="str">
        <f t="shared" ref="H76:H83" si="431">IF(V76+W76&gt;20,"A",IF(V76+W76&gt;5,"M","B"))</f>
        <v>B</v>
      </c>
      <c r="I76" s="378" t="str">
        <f t="shared" ref="I76:I83" si="432">IF(V76+W76&gt;15,"A",IF(V76+W76&gt;4,"M","B"))</f>
        <v>B</v>
      </c>
      <c r="J76" s="379">
        <f t="shared" si="409"/>
        <v>1</v>
      </c>
      <c r="K76" s="509" t="str">
        <f t="shared" ref="K76:K83" si="433">AB76</f>
        <v>Chica 4</v>
      </c>
      <c r="L76" s="546" t="s">
        <v>778</v>
      </c>
      <c r="M76" s="526">
        <f t="shared" ref="M76:M83" si="434">BL76+BM76+BN76+BO76+BP76</f>
        <v>4.0999999999999996</v>
      </c>
      <c r="N76" s="526">
        <f t="shared" ref="N76:N83" si="435">BQ76</f>
        <v>1.7000000000000002</v>
      </c>
      <c r="O76" s="530">
        <f t="shared" ref="O76:O83" si="436">SUM(M76,N76)</f>
        <v>5.8</v>
      </c>
      <c r="P76" s="58"/>
      <c r="Q76" s="143"/>
      <c r="R76" s="143"/>
      <c r="S76" s="143"/>
      <c r="T76" s="109"/>
      <c r="U76" s="144">
        <v>20</v>
      </c>
      <c r="V76" s="144">
        <v>1</v>
      </c>
      <c r="W76" s="144">
        <v>0</v>
      </c>
      <c r="X76" s="136"/>
      <c r="Y76" s="136" t="str">
        <f t="shared" si="411"/>
        <v>ConfiguraciónChica1</v>
      </c>
      <c r="Z76" s="135">
        <f>VLOOKUP(Y76,Modelo!$G$82:$H$281,2,FALSE)</f>
        <v>61</v>
      </c>
      <c r="AA76" s="136"/>
      <c r="AB76" s="137" t="str">
        <f t="shared" si="412"/>
        <v>Chica 4</v>
      </c>
      <c r="AC76" s="137" t="str">
        <f t="shared" si="413"/>
        <v>Media</v>
      </c>
      <c r="AD76" s="137" t="str">
        <f t="shared" si="414"/>
        <v>Media</v>
      </c>
      <c r="AE76" s="137" t="str">
        <f t="shared" si="415"/>
        <v>Baja</v>
      </c>
      <c r="AF76" s="137" t="str">
        <f t="shared" si="416"/>
        <v>Baja</v>
      </c>
      <c r="AG76" s="137" t="str">
        <f t="shared" si="417"/>
        <v>Baja</v>
      </c>
      <c r="AH76" s="137" t="str">
        <f t="shared" si="418"/>
        <v>Baja</v>
      </c>
      <c r="AI76" s="137" t="str">
        <f t="shared" si="419"/>
        <v>Baja</v>
      </c>
      <c r="AJ76" s="137" t="str">
        <f t="shared" si="420"/>
        <v>Baja</v>
      </c>
      <c r="AK76" s="40"/>
      <c r="AL76" s="138">
        <f>IF(AB76=Modelo!$F$7,Modelo!$H$7,IF(AB76=Modelo!$F$8,Modelo!$H$8,IF(AB76=Modelo!$F$9,Modelo!$H$9,IF(AB76=Modelo!$F$10,Modelo!$H$10,IF(AB76=Modelo!$F$11,Modelo!$H$11,IF(AB76=Modelo!$F$12,Modelo!$H$12,IF(AB76=Modelo!$F$13,Modelo!$H$13,IF(AB76=Modelo!$F$14,Modelo!$H$14,IF(AB76=Modelo!$F$15,Modelo!$H$15,IF(AB76=Modelo!$F$16,Modelo!$H$16,IF(AB76=Modelo!$F$17,Modelo!$H$17,IF(AB76=Modelo!$F$18,Modelo!$H$18,IF(AB76=Modelo!$F$19,Modelo!$H$19,IF(AB76=Modelo!$F$20,Modelo!$H$20,IF(AB76=Modelo!$F$21,Modelo!$H$21,IF(AB76=Modelo!$F$22,Modelo!$H$22,0))))))))))))))))</f>
        <v>1.2000000000000002</v>
      </c>
      <c r="AM76" s="138">
        <f>IF(AB76=Modelo!$F$7,Modelo!$I$7,IF(AB76=Modelo!$F$8,Modelo!$I$8,IF(AB76=Modelo!$F$9,Modelo!$I$9,IF(AB76=Modelo!$F$10,Modelo!$I$10,IF(AB76=Modelo!$F$11,Modelo!$I$11,IF(AB76=Modelo!$F$12,Modelo!$I$12,IF(AB76=Modelo!$F$13,Modelo!$I$13,IF(AB76=Modelo!$F$14,Modelo!$I$14,IF(AB76=Modelo!$F$15,Modelo!$I$15,IF(AB76=Modelo!$F$16,Modelo!$I$16,IF(AB76=Modelo!$F$17,Modelo!$I$17,IF(AB76=Modelo!$F$18,Modelo!$I$18,IF(AB76=Modelo!$F$19,Modelo!$I$19,IF(AB76=Modelo!$F$20,Modelo!$I$20,IF(AB76=Modelo!$F$21,Modelo!$I$21,IF(AB76=Modelo!$F$22,Modelo!$I$22,0))))))))))))))))</f>
        <v>0.4</v>
      </c>
      <c r="AN76" s="138">
        <f>IF(AC76=Modelo!$F$23,Modelo!$H$23,IF(AC76=Modelo!$F$24,Modelo!$H$24,IF(AC76=Modelo!$F$25,Modelo!$H$25,0)))</f>
        <v>1.2</v>
      </c>
      <c r="AO76" s="138">
        <f>IF(AD76=Modelo!$F$26,Modelo!$H$26,IF(AD76=Modelo!$F$27,Modelo!$H$27,IF(AD76=Modelo!$F$28,Modelo!$H$28,0)))</f>
        <v>0.2</v>
      </c>
      <c r="AP76" s="138">
        <f>IF(AE76=Modelo!$F$30,Modelo!$H$30,IF(AE76=Modelo!$F$31,Modelo!$H$31,IF(AE76=Modelo!$F$32,Modelo!$H$32,0)))</f>
        <v>0.8</v>
      </c>
      <c r="AQ76" s="138">
        <f>IF(AF76=Modelo!$F$33,Modelo!$H$33,IF(AF76=Modelo!$F$34,Modelo!$H$34,IF(AF76=Modelo!$F$35,Modelo!$H$35,0)))</f>
        <v>0.3</v>
      </c>
      <c r="AR76" s="138">
        <f>IF(AG76=Modelo!$F$37,Modelo!$H$37,IF(AG76=Modelo!$F$38,Modelo!$H$38,IF(AG76=Modelo!$F$39,Modelo!$H$39,0)))</f>
        <v>0.8</v>
      </c>
      <c r="AS76" s="138">
        <f>IF(AH76=Modelo!$F$40,Modelo!$H$40,IF(AH76=Modelo!$F$41,Modelo!$H$41,IF(AH76=Modelo!$F$42,Modelo!$H$42,0)))</f>
        <v>0.4</v>
      </c>
      <c r="AT76" s="137">
        <f>IF(C76=Modelo!$F$44,Modelo!$H$44,IF(C76=Modelo!$F$45,Modelo!$H$45,IF(C76=Modelo!$F$46,Modelo!$H$46,IF(C76=Modelo!$F$47,Modelo!$H$47,IF(C76=Modelo!$F$48,Modelo!$H$48,IF(C76=Modelo!$F$49,Modelo!$H$49,IF(C76=Modelo!$F$50,Modelo!$H$50,IF(C76=Modelo!$F$51,Modelo!$H$51,IF(C76=Modelo!$F$52,Modelo!$H$52,IF(C76=Modelo!$F$53,Modelo!$H$53,0))))))))))</f>
        <v>1.7</v>
      </c>
      <c r="AU76" s="138">
        <f>IF(AI76=Modelo!$F$54,Modelo!$H$54,IF(AI76=Modelo!$F$55,Modelo!$H$55,IF(AI76=Modelo!$F$56,Modelo!$H$56,0)))</f>
        <v>1</v>
      </c>
      <c r="AV76" s="138">
        <f>IF(AJ76=Modelo!$F$58,Modelo!$H$58,IF(AJ76=Modelo!$F$59,Modelo!$H$59,IF(AJ76=Modelo!$F$60,Modelo!$H$60,0)))</f>
        <v>0.9</v>
      </c>
      <c r="AW76" s="40"/>
      <c r="AX76" s="139">
        <f>Modelo!$H$2</f>
        <v>0.05</v>
      </c>
      <c r="AY76" s="140">
        <f>ROUNDUP(Modelo!$I$2*Modelo!$H$3*Modelo!$I$75,2)</f>
        <v>0.02</v>
      </c>
      <c r="AZ76" s="141">
        <f>ROUNDUP(Modelo!$I$2*Modelo!$H$3*Modelo!$H$4*Modelo!$I$75,3)</f>
        <v>4.0000000000000001E-3</v>
      </c>
      <c r="BA76" s="139">
        <f>Modelo!$H$5</f>
        <v>0.04</v>
      </c>
      <c r="BB76" s="139">
        <f>ROUNDUP(SUM(BC76,BE76,BG76,BI76)*Modelo!$H$6,1)</f>
        <v>0.9</v>
      </c>
      <c r="BC76" s="139">
        <f>ROUNDUP((AL76*AN76+0.1)*Modelo!$I$75,1)</f>
        <v>1.6</v>
      </c>
      <c r="BD76" s="139">
        <f>ROUNDUP(AM76*AN76*AO76*Modelo!$I$75,1)</f>
        <v>0.1</v>
      </c>
      <c r="BE76" s="139">
        <f>ROUNDUP(V76*Modelo!$H$29*AP76*Modelo!$I$75*2/3,1)</f>
        <v>0.6</v>
      </c>
      <c r="BF76" s="139">
        <f>ROUNDUP(V76*Modelo!$H$29*AP76*AQ76*Modelo!$I$75*2/3,1)</f>
        <v>0.2</v>
      </c>
      <c r="BG76" s="139">
        <f>ROUNDUP(V76*Modelo!$H$29*AP76*Modelo!$I$75/3,1)</f>
        <v>0.30000000000000004</v>
      </c>
      <c r="BH76" s="139">
        <f>ROUNDUP(V76*Modelo!$H$29*AP76*AQ76*Modelo!$I$75/3,1)</f>
        <v>0.1</v>
      </c>
      <c r="BI76" s="139">
        <f>ROUNDUP(W76*Modelo!$H$36*AR76*Modelo!$I$75,1)</f>
        <v>0</v>
      </c>
      <c r="BJ76" s="139">
        <f>ROUNDUP(W76*Modelo!$H$36*AR76*AS76*Modelo!$I$75,1)</f>
        <v>0</v>
      </c>
      <c r="BK76" s="139">
        <f>Modelo!$H$43</f>
        <v>0.04</v>
      </c>
      <c r="BL76" s="139">
        <f>ROUNDUP(SUM(ROUNDUP(AL76*AN76+0.1,1),ROUNDUP(V76*Modelo!$H$29*AP76,1),ROUNDUP(W76*Modelo!$H$36*AR76,1))*AU76*AT76*Modelo!$I$75,1)</f>
        <v>4.0999999999999996</v>
      </c>
      <c r="BM76" s="139">
        <f t="shared" si="421"/>
        <v>0</v>
      </c>
      <c r="BN76" s="139">
        <f t="shared" si="422"/>
        <v>0</v>
      </c>
      <c r="BO76" s="139">
        <f t="shared" si="423"/>
        <v>0</v>
      </c>
      <c r="BP76" s="139">
        <f t="shared" si="424"/>
        <v>0</v>
      </c>
      <c r="BQ76" s="139">
        <f>ROUNDUP(SUM(ROUNDUP(AL76*AN76+0.1,1),ROUNDUP(V76*Modelo!$H$29*AP76,1),ROUNDUP(W76*Modelo!$H$36*AR76,1))*AT76*AV76*Modelo!$H$57,1)</f>
        <v>1.7000000000000002</v>
      </c>
      <c r="BR76" s="409">
        <f t="shared" ref="BR76:BR83" si="437">BL76*0.1
+IF(K$16="x",0,BL76*0.05)
+IF(K$28="x",0,BL76*0.2)
+IF(K$29="x",0,BL76*0.5)
+IF(OR(K$30="x",K$31="x"),0,BL76*0.05)
+IF(K$32="x",0,BL76*0.3)
+IF(Q76="x",0,BL76*0.5)
+IF(OR(R76="x",S76="x"),0,BL76*0.15)</f>
        <v>3.8949999999999996</v>
      </c>
      <c r="BS76" s="139">
        <f>Modelo!$H$61</f>
        <v>0.04</v>
      </c>
      <c r="BT76" s="139">
        <f>ROUNDUP(SUM(ROUNDUP(AL76*AN76+0.1,1),ROUNDUP(V76*Modelo!$H$29*AP76,1),ROUNDUP(W76*Modelo!$H$36*AR76,1))*Modelo!$H$62*Modelo!$I$75,1)</f>
        <v>0.2</v>
      </c>
      <c r="BU76" s="139">
        <f>ROUNDUP(ROUNDUP(SUM(ROUNDUP(AL76*AN76+0.1,1),ROUNDUP(V76*Modelo!$H$29*AP76,1),ROUNDUP(W76*Modelo!$H$36*AR76,1))*Modelo!$H$62,1)*Modelo!$H$63*Modelo!$I$75,1)</f>
        <v>0.1</v>
      </c>
      <c r="BV76" s="139">
        <f>SUM(ROUNDUP(AL76*AN76+0.1,1),ROUNDUP(V76*Modelo!$H$29*AP76,1),ROUNDUP(W76*Modelo!$H$36*AR76,1))*Modelo!$H$64*Modelo!$I$75</f>
        <v>0.48000000000000009</v>
      </c>
      <c r="BW76" s="139">
        <f>ROUNDUP(SUM(ROUNDUP(AL76*AN76+0.1,1),ROUNDUP(V76*Modelo!$H$29*AP76,1),ROUNDUP(W76*Modelo!$H$36*AR76,1))*Modelo!$H$64*Modelo!$H$65*Modelo!$I$75,1)</f>
        <v>0.30000000000000004</v>
      </c>
      <c r="BX76" s="139">
        <f>Modelo!$H$66</f>
        <v>0.04</v>
      </c>
      <c r="BY76" s="139">
        <f>ROUNDUP(SUM(ROUNDUP(AL76*AN76+0.1,1),ROUNDUP(V76*Modelo!$H$29*AP76,1),ROUNDUP(W76*Modelo!$H$36*AR76,1))*Modelo!$H$69,1)</f>
        <v>0.6</v>
      </c>
      <c r="BZ76" s="139">
        <f>ROUNDUP(ROUNDUP(SUM(ROUNDUP(AL76*AN76+0.1,1),ROUNDUP(V76*Modelo!$H$29*AP76,1),ROUNDUP(W76*Modelo!$H$36*AR76,1))*Modelo!$H$62,1)*Modelo!$H$71,1)</f>
        <v>0.4</v>
      </c>
      <c r="CA76" s="142">
        <f t="shared" si="425"/>
        <v>15.808999999999999</v>
      </c>
      <c r="CB76" s="27"/>
      <c r="CC76" s="27">
        <f t="shared" si="426"/>
        <v>4.93</v>
      </c>
      <c r="CD76" s="109">
        <f t="shared" si="427"/>
        <v>5.8</v>
      </c>
      <c r="CE76" s="27">
        <f t="shared" si="428"/>
        <v>8.1199999999999992</v>
      </c>
      <c r="CF76" s="27"/>
      <c r="CG76" s="126">
        <v>0</v>
      </c>
      <c r="CH76" s="27"/>
      <c r="CI76" s="27">
        <f t="shared" si="429"/>
        <v>0</v>
      </c>
      <c r="CJ76" s="27"/>
      <c r="CK76" s="27"/>
      <c r="CL76" s="27"/>
      <c r="CM76" s="27"/>
      <c r="CN76" s="27"/>
      <c r="CO76" s="27"/>
      <c r="CP76" s="27"/>
      <c r="CQ76" s="27"/>
      <c r="CR76" s="27"/>
      <c r="CS76" s="27"/>
      <c r="CT76" s="27"/>
      <c r="CU76" s="27"/>
      <c r="CV76" s="27"/>
      <c r="CW76" s="27"/>
      <c r="CX76" s="27"/>
      <c r="CY76" s="27"/>
      <c r="CZ76" s="27"/>
      <c r="DA76" s="27"/>
      <c r="DB76" s="27"/>
      <c r="DC76" s="27"/>
    </row>
    <row r="77" spans="3:107" s="20" customFormat="1" ht="42.5" customHeight="1" outlineLevel="2" thickBot="1" x14ac:dyDescent="0.35">
      <c r="C77" s="388" t="s">
        <v>95</v>
      </c>
      <c r="D77" s="378" t="s">
        <v>76</v>
      </c>
      <c r="E77" s="378" t="str">
        <f t="shared" si="430"/>
        <v>M</v>
      </c>
      <c r="F77" s="378" t="s">
        <v>423</v>
      </c>
      <c r="G77" s="378" t="s">
        <v>423</v>
      </c>
      <c r="H77" s="378" t="str">
        <f t="shared" si="431"/>
        <v>B</v>
      </c>
      <c r="I77" s="378" t="str">
        <f t="shared" si="432"/>
        <v>B</v>
      </c>
      <c r="J77" s="379">
        <f t="shared" si="409"/>
        <v>1</v>
      </c>
      <c r="K77" s="509" t="str">
        <f t="shared" si="433"/>
        <v>Chica 4</v>
      </c>
      <c r="L77" s="547" t="s">
        <v>731</v>
      </c>
      <c r="M77" s="526">
        <f t="shared" si="434"/>
        <v>4.0999999999999996</v>
      </c>
      <c r="N77" s="526">
        <f t="shared" si="435"/>
        <v>1.7000000000000002</v>
      </c>
      <c r="O77" s="530">
        <f t="shared" si="436"/>
        <v>5.8</v>
      </c>
      <c r="P77" s="58"/>
      <c r="Q77" s="143"/>
      <c r="R77" s="143"/>
      <c r="S77" s="143"/>
      <c r="T77" s="109"/>
      <c r="U77" s="144">
        <v>20</v>
      </c>
      <c r="V77" s="144">
        <v>1</v>
      </c>
      <c r="W77" s="144">
        <v>0</v>
      </c>
      <c r="X77" s="136"/>
      <c r="Y77" s="136" t="str">
        <f t="shared" si="411"/>
        <v>ConfiguraciónChica1</v>
      </c>
      <c r="Z77" s="135">
        <f>VLOOKUP(Y77,Modelo!$G$82:$H$281,2,FALSE)</f>
        <v>61</v>
      </c>
      <c r="AA77" s="136"/>
      <c r="AB77" s="137" t="str">
        <f t="shared" si="412"/>
        <v>Chica 4</v>
      </c>
      <c r="AC77" s="137" t="str">
        <f t="shared" si="413"/>
        <v>Media</v>
      </c>
      <c r="AD77" s="137" t="str">
        <f t="shared" si="414"/>
        <v>Media</v>
      </c>
      <c r="AE77" s="137" t="str">
        <f t="shared" si="415"/>
        <v>Baja</v>
      </c>
      <c r="AF77" s="137" t="str">
        <f t="shared" si="416"/>
        <v>Baja</v>
      </c>
      <c r="AG77" s="137" t="str">
        <f t="shared" si="417"/>
        <v>Baja</v>
      </c>
      <c r="AH77" s="137" t="str">
        <f t="shared" si="418"/>
        <v>Baja</v>
      </c>
      <c r="AI77" s="137" t="str">
        <f t="shared" si="419"/>
        <v>Baja</v>
      </c>
      <c r="AJ77" s="137" t="str">
        <f t="shared" si="420"/>
        <v>Baja</v>
      </c>
      <c r="AK77" s="40"/>
      <c r="AL77" s="138">
        <f>IF(AB77=Modelo!$F$7,Modelo!$H$7,IF(AB77=Modelo!$F$8,Modelo!$H$8,IF(AB77=Modelo!$F$9,Modelo!$H$9,IF(AB77=Modelo!$F$10,Modelo!$H$10,IF(AB77=Modelo!$F$11,Modelo!$H$11,IF(AB77=Modelo!$F$12,Modelo!$H$12,IF(AB77=Modelo!$F$13,Modelo!$H$13,IF(AB77=Modelo!$F$14,Modelo!$H$14,IF(AB77=Modelo!$F$15,Modelo!$H$15,IF(AB77=Modelo!$F$16,Modelo!$H$16,IF(AB77=Modelo!$F$17,Modelo!$H$17,IF(AB77=Modelo!$F$18,Modelo!$H$18,IF(AB77=Modelo!$F$19,Modelo!$H$19,IF(AB77=Modelo!$F$20,Modelo!$H$20,IF(AB77=Modelo!$F$21,Modelo!$H$21,IF(AB77=Modelo!$F$22,Modelo!$H$22,0))))))))))))))))</f>
        <v>1.2000000000000002</v>
      </c>
      <c r="AM77" s="138">
        <f>IF(AB77=Modelo!$F$7,Modelo!$I$7,IF(AB77=Modelo!$F$8,Modelo!$I$8,IF(AB77=Modelo!$F$9,Modelo!$I$9,IF(AB77=Modelo!$F$10,Modelo!$I$10,IF(AB77=Modelo!$F$11,Modelo!$I$11,IF(AB77=Modelo!$F$12,Modelo!$I$12,IF(AB77=Modelo!$F$13,Modelo!$I$13,IF(AB77=Modelo!$F$14,Modelo!$I$14,IF(AB77=Modelo!$F$15,Modelo!$I$15,IF(AB77=Modelo!$F$16,Modelo!$I$16,IF(AB77=Modelo!$F$17,Modelo!$I$17,IF(AB77=Modelo!$F$18,Modelo!$I$18,IF(AB77=Modelo!$F$19,Modelo!$I$19,IF(AB77=Modelo!$F$20,Modelo!$I$20,IF(AB77=Modelo!$F$21,Modelo!$I$21,IF(AB77=Modelo!$F$22,Modelo!$I$22,0))))))))))))))))</f>
        <v>0.4</v>
      </c>
      <c r="AN77" s="138">
        <f>IF(AC77=Modelo!$F$23,Modelo!$H$23,IF(AC77=Modelo!$F$24,Modelo!$H$24,IF(AC77=Modelo!$F$25,Modelo!$H$25,0)))</f>
        <v>1.2</v>
      </c>
      <c r="AO77" s="138">
        <f>IF(AD77=Modelo!$F$26,Modelo!$H$26,IF(AD77=Modelo!$F$27,Modelo!$H$27,IF(AD77=Modelo!$F$28,Modelo!$H$28,0)))</f>
        <v>0.2</v>
      </c>
      <c r="AP77" s="138">
        <f>IF(AE77=Modelo!$F$30,Modelo!$H$30,IF(AE77=Modelo!$F$31,Modelo!$H$31,IF(AE77=Modelo!$F$32,Modelo!$H$32,0)))</f>
        <v>0.8</v>
      </c>
      <c r="AQ77" s="138">
        <f>IF(AF77=Modelo!$F$33,Modelo!$H$33,IF(AF77=Modelo!$F$34,Modelo!$H$34,IF(AF77=Modelo!$F$35,Modelo!$H$35,0)))</f>
        <v>0.3</v>
      </c>
      <c r="AR77" s="138">
        <f>IF(AG77=Modelo!$F$37,Modelo!$H$37,IF(AG77=Modelo!$F$38,Modelo!$H$38,IF(AG77=Modelo!$F$39,Modelo!$H$39,0)))</f>
        <v>0.8</v>
      </c>
      <c r="AS77" s="138">
        <f>IF(AH77=Modelo!$F$40,Modelo!$H$40,IF(AH77=Modelo!$F$41,Modelo!$H$41,IF(AH77=Modelo!$F$42,Modelo!$H$42,0)))</f>
        <v>0.4</v>
      </c>
      <c r="AT77" s="137">
        <f>IF(C77=Modelo!$F$44,Modelo!$H$44,IF(C77=Modelo!$F$45,Modelo!$H$45,IF(C77=Modelo!$F$46,Modelo!$H$46,IF(C77=Modelo!$F$47,Modelo!$H$47,IF(C77=Modelo!$F$48,Modelo!$H$48,IF(C77=Modelo!$F$49,Modelo!$H$49,IF(C77=Modelo!$F$50,Modelo!$H$50,IF(C77=Modelo!$F$51,Modelo!$H$51,IF(C77=Modelo!$F$52,Modelo!$H$52,IF(C77=Modelo!$F$53,Modelo!$H$53,0))))))))))</f>
        <v>1.7</v>
      </c>
      <c r="AU77" s="138">
        <f>IF(AI77=Modelo!$F$54,Modelo!$H$54,IF(AI77=Modelo!$F$55,Modelo!$H$55,IF(AI77=Modelo!$F$56,Modelo!$H$56,0)))</f>
        <v>1</v>
      </c>
      <c r="AV77" s="138">
        <f>IF(AJ77=Modelo!$F$58,Modelo!$H$58,IF(AJ77=Modelo!$F$59,Modelo!$H$59,IF(AJ77=Modelo!$F$60,Modelo!$H$60,0)))</f>
        <v>0.9</v>
      </c>
      <c r="AW77" s="40"/>
      <c r="AX77" s="139">
        <f>Modelo!$H$2</f>
        <v>0.05</v>
      </c>
      <c r="AY77" s="140">
        <f>ROUNDUP(Modelo!$I$2*Modelo!$H$3*Modelo!$I$75,2)</f>
        <v>0.02</v>
      </c>
      <c r="AZ77" s="141">
        <f>ROUNDUP(Modelo!$I$2*Modelo!$H$3*Modelo!$H$4*Modelo!$I$75,3)</f>
        <v>4.0000000000000001E-3</v>
      </c>
      <c r="BA77" s="139">
        <f>Modelo!$H$5</f>
        <v>0.04</v>
      </c>
      <c r="BB77" s="139">
        <f>ROUNDUP(SUM(BC77,BE77,BG77,BI77)*Modelo!$H$6,1)</f>
        <v>0.9</v>
      </c>
      <c r="BC77" s="139">
        <f>ROUNDUP((AL77*AN77+0.1)*Modelo!$I$75,1)</f>
        <v>1.6</v>
      </c>
      <c r="BD77" s="139">
        <f>ROUNDUP(AM77*AN77*AO77*Modelo!$I$75,1)</f>
        <v>0.1</v>
      </c>
      <c r="BE77" s="139">
        <f>ROUNDUP(V77*Modelo!$H$29*AP77*Modelo!$I$75*2/3,1)</f>
        <v>0.6</v>
      </c>
      <c r="BF77" s="139">
        <f>ROUNDUP(V77*Modelo!$H$29*AP77*AQ77*Modelo!$I$75*2/3,1)</f>
        <v>0.2</v>
      </c>
      <c r="BG77" s="139">
        <f>ROUNDUP(V77*Modelo!$H$29*AP77*Modelo!$I$75/3,1)</f>
        <v>0.30000000000000004</v>
      </c>
      <c r="BH77" s="139">
        <f>ROUNDUP(V77*Modelo!$H$29*AP77*AQ77*Modelo!$I$75/3,1)</f>
        <v>0.1</v>
      </c>
      <c r="BI77" s="139">
        <f>ROUNDUP(W77*Modelo!$H$36*AR77*Modelo!$I$75,1)</f>
        <v>0</v>
      </c>
      <c r="BJ77" s="139">
        <f>ROUNDUP(W77*Modelo!$H$36*AR77*AS77*Modelo!$I$75,1)</f>
        <v>0</v>
      </c>
      <c r="BK77" s="139">
        <f>Modelo!$H$43</f>
        <v>0.04</v>
      </c>
      <c r="BL77" s="139">
        <f>ROUNDUP(SUM(ROUNDUP(AL77*AN77+0.1,1),ROUNDUP(V77*Modelo!$H$29*AP77,1),ROUNDUP(W77*Modelo!$H$36*AR77,1))*AU77*AT77*Modelo!$I$75,1)</f>
        <v>4.0999999999999996</v>
      </c>
      <c r="BM77" s="139">
        <f t="shared" si="421"/>
        <v>0</v>
      </c>
      <c r="BN77" s="139">
        <f t="shared" si="422"/>
        <v>0</v>
      </c>
      <c r="BO77" s="139">
        <f t="shared" si="423"/>
        <v>0</v>
      </c>
      <c r="BP77" s="139">
        <f t="shared" si="424"/>
        <v>0</v>
      </c>
      <c r="BQ77" s="139">
        <f>ROUNDUP(SUM(ROUNDUP(AL77*AN77+0.1,1),ROUNDUP(V77*Modelo!$H$29*AP77,1),ROUNDUP(W77*Modelo!$H$36*AR77,1))*AT77*AV77*Modelo!$H$57,1)</f>
        <v>1.7000000000000002</v>
      </c>
      <c r="BR77" s="409">
        <f t="shared" si="437"/>
        <v>3.8949999999999996</v>
      </c>
      <c r="BS77" s="139">
        <f>Modelo!$H$61</f>
        <v>0.04</v>
      </c>
      <c r="BT77" s="139">
        <f>ROUNDUP(SUM(ROUNDUP(AL77*AN77+0.1,1),ROUNDUP(V77*Modelo!$H$29*AP77,1),ROUNDUP(W77*Modelo!$H$36*AR77,1))*Modelo!$H$62*Modelo!$I$75,1)</f>
        <v>0.2</v>
      </c>
      <c r="BU77" s="139">
        <f>ROUNDUP(ROUNDUP(SUM(ROUNDUP(AL77*AN77+0.1,1),ROUNDUP(V77*Modelo!$H$29*AP77,1),ROUNDUP(W77*Modelo!$H$36*AR77,1))*Modelo!$H$62,1)*Modelo!$H$63*Modelo!$I$75,1)</f>
        <v>0.1</v>
      </c>
      <c r="BV77" s="139">
        <f>SUM(ROUNDUP(AL77*AN77+0.1,1),ROUNDUP(V77*Modelo!$H$29*AP77,1),ROUNDUP(W77*Modelo!$H$36*AR77,1))*Modelo!$H$64*Modelo!$I$75</f>
        <v>0.48000000000000009</v>
      </c>
      <c r="BW77" s="139">
        <f>ROUNDUP(SUM(ROUNDUP(AL77*AN77+0.1,1),ROUNDUP(V77*Modelo!$H$29*AP77,1),ROUNDUP(W77*Modelo!$H$36*AR77,1))*Modelo!$H$64*Modelo!$H$65*Modelo!$I$75,1)</f>
        <v>0.30000000000000004</v>
      </c>
      <c r="BX77" s="139">
        <f>Modelo!$H$66</f>
        <v>0.04</v>
      </c>
      <c r="BY77" s="139">
        <f>ROUNDUP(SUM(ROUNDUP(AL77*AN77+0.1,1),ROUNDUP(V77*Modelo!$H$29*AP77,1),ROUNDUP(W77*Modelo!$H$36*AR77,1))*Modelo!$H$69,1)</f>
        <v>0.6</v>
      </c>
      <c r="BZ77" s="139">
        <f>ROUNDUP(ROUNDUP(SUM(ROUNDUP(AL77*AN77+0.1,1),ROUNDUP(V77*Modelo!$H$29*AP77,1),ROUNDUP(W77*Modelo!$H$36*AR77,1))*Modelo!$H$62,1)*Modelo!$H$71,1)</f>
        <v>0.4</v>
      </c>
      <c r="CA77" s="142">
        <f t="shared" si="425"/>
        <v>15.808999999999999</v>
      </c>
      <c r="CB77" s="27"/>
      <c r="CC77" s="27">
        <f t="shared" si="426"/>
        <v>4.93</v>
      </c>
      <c r="CD77" s="109">
        <f t="shared" si="427"/>
        <v>5.8</v>
      </c>
      <c r="CE77" s="27">
        <f t="shared" si="428"/>
        <v>8.1199999999999992</v>
      </c>
      <c r="CF77" s="27"/>
      <c r="CG77" s="126">
        <v>0</v>
      </c>
      <c r="CH77" s="27"/>
      <c r="CI77" s="27">
        <f t="shared" si="429"/>
        <v>0</v>
      </c>
      <c r="CJ77" s="27"/>
      <c r="CK77" s="27"/>
      <c r="CL77" s="27"/>
      <c r="CM77" s="27"/>
      <c r="CN77" s="27"/>
      <c r="CO77" s="27"/>
      <c r="CP77" s="27"/>
      <c r="CQ77" s="27"/>
      <c r="CR77" s="27"/>
      <c r="CS77" s="27"/>
      <c r="CT77" s="27"/>
      <c r="CU77" s="27"/>
      <c r="CV77" s="27"/>
      <c r="CW77" s="27"/>
      <c r="CX77" s="27"/>
      <c r="CY77" s="27"/>
      <c r="CZ77" s="27"/>
      <c r="DA77" s="27"/>
      <c r="DB77" s="27"/>
      <c r="DC77" s="27"/>
    </row>
    <row r="78" spans="3:107" s="20" customFormat="1" ht="36" customHeight="1" outlineLevel="2" thickBot="1" x14ac:dyDescent="0.35">
      <c r="C78" s="388" t="s">
        <v>95</v>
      </c>
      <c r="D78" s="378" t="s">
        <v>76</v>
      </c>
      <c r="E78" s="378" t="str">
        <f t="shared" si="430"/>
        <v>M</v>
      </c>
      <c r="F78" s="378" t="s">
        <v>423</v>
      </c>
      <c r="G78" s="378" t="s">
        <v>423</v>
      </c>
      <c r="H78" s="378" t="str">
        <f t="shared" si="431"/>
        <v>B</v>
      </c>
      <c r="I78" s="378" t="str">
        <f t="shared" si="432"/>
        <v>B</v>
      </c>
      <c r="J78" s="379">
        <f t="shared" si="409"/>
        <v>1</v>
      </c>
      <c r="K78" s="509" t="str">
        <f t="shared" si="433"/>
        <v>Chica 4</v>
      </c>
      <c r="L78" s="546" t="s">
        <v>779</v>
      </c>
      <c r="M78" s="526">
        <f t="shared" si="434"/>
        <v>4.0999999999999996</v>
      </c>
      <c r="N78" s="526">
        <f t="shared" si="435"/>
        <v>1.7000000000000002</v>
      </c>
      <c r="O78" s="530">
        <f t="shared" si="436"/>
        <v>5.8</v>
      </c>
      <c r="P78" s="58"/>
      <c r="Q78" s="143"/>
      <c r="R78" s="143"/>
      <c r="S78" s="143"/>
      <c r="T78" s="109"/>
      <c r="U78" s="144">
        <v>20</v>
      </c>
      <c r="V78" s="144">
        <v>1</v>
      </c>
      <c r="W78" s="144">
        <v>0</v>
      </c>
      <c r="X78" s="136"/>
      <c r="Y78" s="136" t="str">
        <f t="shared" si="411"/>
        <v>ConfiguraciónChica1</v>
      </c>
      <c r="Z78" s="135">
        <f>VLOOKUP(Y78,Modelo!$G$82:$H$281,2,FALSE)</f>
        <v>61</v>
      </c>
      <c r="AA78" s="136"/>
      <c r="AB78" s="137" t="str">
        <f t="shared" si="412"/>
        <v>Chica 4</v>
      </c>
      <c r="AC78" s="137" t="str">
        <f t="shared" si="413"/>
        <v>Media</v>
      </c>
      <c r="AD78" s="137" t="str">
        <f t="shared" si="414"/>
        <v>Media</v>
      </c>
      <c r="AE78" s="137" t="str">
        <f t="shared" si="415"/>
        <v>Baja</v>
      </c>
      <c r="AF78" s="137" t="str">
        <f t="shared" si="416"/>
        <v>Baja</v>
      </c>
      <c r="AG78" s="137" t="str">
        <f t="shared" si="417"/>
        <v>Baja</v>
      </c>
      <c r="AH78" s="137" t="str">
        <f t="shared" si="418"/>
        <v>Baja</v>
      </c>
      <c r="AI78" s="137" t="str">
        <f t="shared" si="419"/>
        <v>Baja</v>
      </c>
      <c r="AJ78" s="137" t="str">
        <f t="shared" si="420"/>
        <v>Baja</v>
      </c>
      <c r="AK78" s="40"/>
      <c r="AL78" s="138">
        <f>IF(AB78=Modelo!$F$7,Modelo!$H$7,IF(AB78=Modelo!$F$8,Modelo!$H$8,IF(AB78=Modelo!$F$9,Modelo!$H$9,IF(AB78=Modelo!$F$10,Modelo!$H$10,IF(AB78=Modelo!$F$11,Modelo!$H$11,IF(AB78=Modelo!$F$12,Modelo!$H$12,IF(AB78=Modelo!$F$13,Modelo!$H$13,IF(AB78=Modelo!$F$14,Modelo!$H$14,IF(AB78=Modelo!$F$15,Modelo!$H$15,IF(AB78=Modelo!$F$16,Modelo!$H$16,IF(AB78=Modelo!$F$17,Modelo!$H$17,IF(AB78=Modelo!$F$18,Modelo!$H$18,IF(AB78=Modelo!$F$19,Modelo!$H$19,IF(AB78=Modelo!$F$20,Modelo!$H$20,IF(AB78=Modelo!$F$21,Modelo!$H$21,IF(AB78=Modelo!$F$22,Modelo!$H$22,0))))))))))))))))</f>
        <v>1.2000000000000002</v>
      </c>
      <c r="AM78" s="138">
        <f>IF(AB78=Modelo!$F$7,Modelo!$I$7,IF(AB78=Modelo!$F$8,Modelo!$I$8,IF(AB78=Modelo!$F$9,Modelo!$I$9,IF(AB78=Modelo!$F$10,Modelo!$I$10,IF(AB78=Modelo!$F$11,Modelo!$I$11,IF(AB78=Modelo!$F$12,Modelo!$I$12,IF(AB78=Modelo!$F$13,Modelo!$I$13,IF(AB78=Modelo!$F$14,Modelo!$I$14,IF(AB78=Modelo!$F$15,Modelo!$I$15,IF(AB78=Modelo!$F$16,Modelo!$I$16,IF(AB78=Modelo!$F$17,Modelo!$I$17,IF(AB78=Modelo!$F$18,Modelo!$I$18,IF(AB78=Modelo!$F$19,Modelo!$I$19,IF(AB78=Modelo!$F$20,Modelo!$I$20,IF(AB78=Modelo!$F$21,Modelo!$I$21,IF(AB78=Modelo!$F$22,Modelo!$I$22,0))))))))))))))))</f>
        <v>0.4</v>
      </c>
      <c r="AN78" s="138">
        <f>IF(AC78=Modelo!$F$23,Modelo!$H$23,IF(AC78=Modelo!$F$24,Modelo!$H$24,IF(AC78=Modelo!$F$25,Modelo!$H$25,0)))</f>
        <v>1.2</v>
      </c>
      <c r="AO78" s="138">
        <f>IF(AD78=Modelo!$F$26,Modelo!$H$26,IF(AD78=Modelo!$F$27,Modelo!$H$27,IF(AD78=Modelo!$F$28,Modelo!$H$28,0)))</f>
        <v>0.2</v>
      </c>
      <c r="AP78" s="138">
        <f>IF(AE78=Modelo!$F$30,Modelo!$H$30,IF(AE78=Modelo!$F$31,Modelo!$H$31,IF(AE78=Modelo!$F$32,Modelo!$H$32,0)))</f>
        <v>0.8</v>
      </c>
      <c r="AQ78" s="138">
        <f>IF(AF78=Modelo!$F$33,Modelo!$H$33,IF(AF78=Modelo!$F$34,Modelo!$H$34,IF(AF78=Modelo!$F$35,Modelo!$H$35,0)))</f>
        <v>0.3</v>
      </c>
      <c r="AR78" s="138">
        <f>IF(AG78=Modelo!$F$37,Modelo!$H$37,IF(AG78=Modelo!$F$38,Modelo!$H$38,IF(AG78=Modelo!$F$39,Modelo!$H$39,0)))</f>
        <v>0.8</v>
      </c>
      <c r="AS78" s="138">
        <f>IF(AH78=Modelo!$F$40,Modelo!$H$40,IF(AH78=Modelo!$F$41,Modelo!$H$41,IF(AH78=Modelo!$F$42,Modelo!$H$42,0)))</f>
        <v>0.4</v>
      </c>
      <c r="AT78" s="137">
        <f>IF(C78=Modelo!$F$44,Modelo!$H$44,IF(C78=Modelo!$F$45,Modelo!$H$45,IF(C78=Modelo!$F$46,Modelo!$H$46,IF(C78=Modelo!$F$47,Modelo!$H$47,IF(C78=Modelo!$F$48,Modelo!$H$48,IF(C78=Modelo!$F$49,Modelo!$H$49,IF(C78=Modelo!$F$50,Modelo!$H$50,IF(C78=Modelo!$F$51,Modelo!$H$51,IF(C78=Modelo!$F$52,Modelo!$H$52,IF(C78=Modelo!$F$53,Modelo!$H$53,0))))))))))</f>
        <v>1.7</v>
      </c>
      <c r="AU78" s="138">
        <f>IF(AI78=Modelo!$F$54,Modelo!$H$54,IF(AI78=Modelo!$F$55,Modelo!$H$55,IF(AI78=Modelo!$F$56,Modelo!$H$56,0)))</f>
        <v>1</v>
      </c>
      <c r="AV78" s="138">
        <f>IF(AJ78=Modelo!$F$58,Modelo!$H$58,IF(AJ78=Modelo!$F$59,Modelo!$H$59,IF(AJ78=Modelo!$F$60,Modelo!$H$60,0)))</f>
        <v>0.9</v>
      </c>
      <c r="AW78" s="40"/>
      <c r="AX78" s="139">
        <f>Modelo!$H$2</f>
        <v>0.05</v>
      </c>
      <c r="AY78" s="140">
        <f>ROUNDUP(Modelo!$I$2*Modelo!$H$3*Modelo!$I$75,2)</f>
        <v>0.02</v>
      </c>
      <c r="AZ78" s="141">
        <f>ROUNDUP(Modelo!$I$2*Modelo!$H$3*Modelo!$H$4*Modelo!$I$75,3)</f>
        <v>4.0000000000000001E-3</v>
      </c>
      <c r="BA78" s="139">
        <f>Modelo!$H$5</f>
        <v>0.04</v>
      </c>
      <c r="BB78" s="139">
        <f>ROUNDUP(SUM(BC78,BE78,BG78,BI78)*Modelo!$H$6,1)</f>
        <v>0.9</v>
      </c>
      <c r="BC78" s="139">
        <f>ROUNDUP((AL78*AN78+0.1)*Modelo!$I$75,1)</f>
        <v>1.6</v>
      </c>
      <c r="BD78" s="139">
        <f>ROUNDUP(AM78*AN78*AO78*Modelo!$I$75,1)</f>
        <v>0.1</v>
      </c>
      <c r="BE78" s="139">
        <f>ROUNDUP(V78*Modelo!$H$29*AP78*Modelo!$I$75*2/3,1)</f>
        <v>0.6</v>
      </c>
      <c r="BF78" s="139">
        <f>ROUNDUP(V78*Modelo!$H$29*AP78*AQ78*Modelo!$I$75*2/3,1)</f>
        <v>0.2</v>
      </c>
      <c r="BG78" s="139">
        <f>ROUNDUP(V78*Modelo!$H$29*AP78*Modelo!$I$75/3,1)</f>
        <v>0.30000000000000004</v>
      </c>
      <c r="BH78" s="139">
        <f>ROUNDUP(V78*Modelo!$H$29*AP78*AQ78*Modelo!$I$75/3,1)</f>
        <v>0.1</v>
      </c>
      <c r="BI78" s="139">
        <f>ROUNDUP(W78*Modelo!$H$36*AR78*Modelo!$I$75,1)</f>
        <v>0</v>
      </c>
      <c r="BJ78" s="139">
        <f>ROUNDUP(W78*Modelo!$H$36*AR78*AS78*Modelo!$I$75,1)</f>
        <v>0</v>
      </c>
      <c r="BK78" s="139">
        <f>Modelo!$H$43</f>
        <v>0.04</v>
      </c>
      <c r="BL78" s="139">
        <f>ROUNDUP(SUM(ROUNDUP(AL78*AN78+0.1,1),ROUNDUP(V78*Modelo!$H$29*AP78,1),ROUNDUP(W78*Modelo!$H$36*AR78,1))*AU78*AT78*Modelo!$I$75,1)</f>
        <v>4.0999999999999996</v>
      </c>
      <c r="BM78" s="139">
        <f t="shared" si="421"/>
        <v>0</v>
      </c>
      <c r="BN78" s="139">
        <f t="shared" si="422"/>
        <v>0</v>
      </c>
      <c r="BO78" s="139">
        <f t="shared" si="423"/>
        <v>0</v>
      </c>
      <c r="BP78" s="139">
        <f t="shared" si="424"/>
        <v>0</v>
      </c>
      <c r="BQ78" s="139">
        <f>ROUNDUP(SUM(ROUNDUP(AL78*AN78+0.1,1),ROUNDUP(V78*Modelo!$H$29*AP78,1),ROUNDUP(W78*Modelo!$H$36*AR78,1))*AT78*AV78*Modelo!$H$57,1)</f>
        <v>1.7000000000000002</v>
      </c>
      <c r="BR78" s="409">
        <f t="shared" si="437"/>
        <v>3.8949999999999996</v>
      </c>
      <c r="BS78" s="139">
        <f>Modelo!$H$61</f>
        <v>0.04</v>
      </c>
      <c r="BT78" s="139">
        <f>ROUNDUP(SUM(ROUNDUP(AL78*AN78+0.1,1),ROUNDUP(V78*Modelo!$H$29*AP78,1),ROUNDUP(W78*Modelo!$H$36*AR78,1))*Modelo!$H$62*Modelo!$I$75,1)</f>
        <v>0.2</v>
      </c>
      <c r="BU78" s="139">
        <f>ROUNDUP(ROUNDUP(SUM(ROUNDUP(AL78*AN78+0.1,1),ROUNDUP(V78*Modelo!$H$29*AP78,1),ROUNDUP(W78*Modelo!$H$36*AR78,1))*Modelo!$H$62,1)*Modelo!$H$63*Modelo!$I$75,1)</f>
        <v>0.1</v>
      </c>
      <c r="BV78" s="139">
        <f>SUM(ROUNDUP(AL78*AN78+0.1,1),ROUNDUP(V78*Modelo!$H$29*AP78,1),ROUNDUP(W78*Modelo!$H$36*AR78,1))*Modelo!$H$64*Modelo!$I$75</f>
        <v>0.48000000000000009</v>
      </c>
      <c r="BW78" s="139">
        <f>ROUNDUP(SUM(ROUNDUP(AL78*AN78+0.1,1),ROUNDUP(V78*Modelo!$H$29*AP78,1),ROUNDUP(W78*Modelo!$H$36*AR78,1))*Modelo!$H$64*Modelo!$H$65*Modelo!$I$75,1)</f>
        <v>0.30000000000000004</v>
      </c>
      <c r="BX78" s="139">
        <f>Modelo!$H$66</f>
        <v>0.04</v>
      </c>
      <c r="BY78" s="139">
        <f>ROUNDUP(SUM(ROUNDUP(AL78*AN78+0.1,1),ROUNDUP(V78*Modelo!$H$29*AP78,1),ROUNDUP(W78*Modelo!$H$36*AR78,1))*Modelo!$H$69,1)</f>
        <v>0.6</v>
      </c>
      <c r="BZ78" s="139">
        <f>ROUNDUP(ROUNDUP(SUM(ROUNDUP(AL78*AN78+0.1,1),ROUNDUP(V78*Modelo!$H$29*AP78,1),ROUNDUP(W78*Modelo!$H$36*AR78,1))*Modelo!$H$62,1)*Modelo!$H$71,1)</f>
        <v>0.4</v>
      </c>
      <c r="CA78" s="142">
        <f t="shared" si="425"/>
        <v>15.808999999999999</v>
      </c>
      <c r="CB78" s="27"/>
      <c r="CC78" s="27">
        <f t="shared" si="426"/>
        <v>4.93</v>
      </c>
      <c r="CD78" s="109">
        <f t="shared" si="427"/>
        <v>5.8</v>
      </c>
      <c r="CE78" s="27">
        <f t="shared" si="428"/>
        <v>8.1199999999999992</v>
      </c>
      <c r="CF78" s="27"/>
      <c r="CG78" s="126">
        <v>0</v>
      </c>
      <c r="CH78" s="27"/>
      <c r="CI78" s="27">
        <f t="shared" si="429"/>
        <v>0</v>
      </c>
      <c r="CJ78" s="27"/>
      <c r="CK78" s="27"/>
      <c r="CL78" s="27"/>
      <c r="CM78" s="27"/>
      <c r="CN78" s="27"/>
      <c r="CO78" s="27"/>
      <c r="CP78" s="27"/>
      <c r="CQ78" s="27"/>
      <c r="CR78" s="27"/>
      <c r="CS78" s="27"/>
      <c r="CT78" s="27"/>
      <c r="CU78" s="27"/>
      <c r="CV78" s="27"/>
      <c r="CW78" s="27"/>
      <c r="CX78" s="27"/>
      <c r="CY78" s="27"/>
      <c r="CZ78" s="27"/>
      <c r="DA78" s="27"/>
      <c r="DB78" s="27"/>
      <c r="DC78" s="27"/>
    </row>
    <row r="79" spans="3:107" s="20" customFormat="1" ht="41" customHeight="1" outlineLevel="2" thickBot="1" x14ac:dyDescent="0.35">
      <c r="C79" s="388" t="s">
        <v>95</v>
      </c>
      <c r="D79" s="378" t="s">
        <v>76</v>
      </c>
      <c r="E79" s="378" t="str">
        <f t="shared" si="430"/>
        <v>M</v>
      </c>
      <c r="F79" s="378" t="s">
        <v>423</v>
      </c>
      <c r="G79" s="378" t="s">
        <v>423</v>
      </c>
      <c r="H79" s="378" t="str">
        <f t="shared" si="431"/>
        <v>B</v>
      </c>
      <c r="I79" s="378" t="str">
        <f t="shared" si="432"/>
        <v>B</v>
      </c>
      <c r="J79" s="379">
        <f t="shared" si="409"/>
        <v>1</v>
      </c>
      <c r="K79" s="509" t="str">
        <f t="shared" si="433"/>
        <v>Chica 4</v>
      </c>
      <c r="L79" s="546" t="s">
        <v>780</v>
      </c>
      <c r="M79" s="526">
        <f t="shared" si="434"/>
        <v>4.0999999999999996</v>
      </c>
      <c r="N79" s="526">
        <f t="shared" si="435"/>
        <v>1.7000000000000002</v>
      </c>
      <c r="O79" s="530">
        <f t="shared" si="436"/>
        <v>5.8</v>
      </c>
      <c r="P79" s="58"/>
      <c r="Q79" s="143"/>
      <c r="R79" s="143"/>
      <c r="S79" s="143"/>
      <c r="T79" s="109"/>
      <c r="U79" s="144">
        <v>20</v>
      </c>
      <c r="V79" s="144">
        <v>1</v>
      </c>
      <c r="W79" s="144">
        <v>0</v>
      </c>
      <c r="X79" s="136"/>
      <c r="Y79" s="136" t="str">
        <f t="shared" si="411"/>
        <v>ConfiguraciónChica1</v>
      </c>
      <c r="Z79" s="135">
        <f>VLOOKUP(Y79,Modelo!$G$82:$H$281,2,FALSE)</f>
        <v>61</v>
      </c>
      <c r="AA79" s="136"/>
      <c r="AB79" s="137" t="str">
        <f t="shared" si="412"/>
        <v>Chica 4</v>
      </c>
      <c r="AC79" s="137" t="str">
        <f t="shared" si="413"/>
        <v>Media</v>
      </c>
      <c r="AD79" s="137" t="str">
        <f t="shared" si="414"/>
        <v>Media</v>
      </c>
      <c r="AE79" s="137" t="str">
        <f t="shared" si="415"/>
        <v>Baja</v>
      </c>
      <c r="AF79" s="137" t="str">
        <f t="shared" si="416"/>
        <v>Baja</v>
      </c>
      <c r="AG79" s="137" t="str">
        <f t="shared" si="417"/>
        <v>Baja</v>
      </c>
      <c r="AH79" s="137" t="str">
        <f t="shared" si="418"/>
        <v>Baja</v>
      </c>
      <c r="AI79" s="137" t="str">
        <f t="shared" si="419"/>
        <v>Baja</v>
      </c>
      <c r="AJ79" s="137" t="str">
        <f t="shared" si="420"/>
        <v>Baja</v>
      </c>
      <c r="AK79" s="40"/>
      <c r="AL79" s="138">
        <f>IF(AB79=Modelo!$F$7,Modelo!$H$7,IF(AB79=Modelo!$F$8,Modelo!$H$8,IF(AB79=Modelo!$F$9,Modelo!$H$9,IF(AB79=Modelo!$F$10,Modelo!$H$10,IF(AB79=Modelo!$F$11,Modelo!$H$11,IF(AB79=Modelo!$F$12,Modelo!$H$12,IF(AB79=Modelo!$F$13,Modelo!$H$13,IF(AB79=Modelo!$F$14,Modelo!$H$14,IF(AB79=Modelo!$F$15,Modelo!$H$15,IF(AB79=Modelo!$F$16,Modelo!$H$16,IF(AB79=Modelo!$F$17,Modelo!$H$17,IF(AB79=Modelo!$F$18,Modelo!$H$18,IF(AB79=Modelo!$F$19,Modelo!$H$19,IF(AB79=Modelo!$F$20,Modelo!$H$20,IF(AB79=Modelo!$F$21,Modelo!$H$21,IF(AB79=Modelo!$F$22,Modelo!$H$22,0))))))))))))))))</f>
        <v>1.2000000000000002</v>
      </c>
      <c r="AM79" s="138">
        <f>IF(AB79=Modelo!$F$7,Modelo!$I$7,IF(AB79=Modelo!$F$8,Modelo!$I$8,IF(AB79=Modelo!$F$9,Modelo!$I$9,IF(AB79=Modelo!$F$10,Modelo!$I$10,IF(AB79=Modelo!$F$11,Modelo!$I$11,IF(AB79=Modelo!$F$12,Modelo!$I$12,IF(AB79=Modelo!$F$13,Modelo!$I$13,IF(AB79=Modelo!$F$14,Modelo!$I$14,IF(AB79=Modelo!$F$15,Modelo!$I$15,IF(AB79=Modelo!$F$16,Modelo!$I$16,IF(AB79=Modelo!$F$17,Modelo!$I$17,IF(AB79=Modelo!$F$18,Modelo!$I$18,IF(AB79=Modelo!$F$19,Modelo!$I$19,IF(AB79=Modelo!$F$20,Modelo!$I$20,IF(AB79=Modelo!$F$21,Modelo!$I$21,IF(AB79=Modelo!$F$22,Modelo!$I$22,0))))))))))))))))</f>
        <v>0.4</v>
      </c>
      <c r="AN79" s="138">
        <f>IF(AC79=Modelo!$F$23,Modelo!$H$23,IF(AC79=Modelo!$F$24,Modelo!$H$24,IF(AC79=Modelo!$F$25,Modelo!$H$25,0)))</f>
        <v>1.2</v>
      </c>
      <c r="AO79" s="138">
        <f>IF(AD79=Modelo!$F$26,Modelo!$H$26,IF(AD79=Modelo!$F$27,Modelo!$H$27,IF(AD79=Modelo!$F$28,Modelo!$H$28,0)))</f>
        <v>0.2</v>
      </c>
      <c r="AP79" s="138">
        <f>IF(AE79=Modelo!$F$30,Modelo!$H$30,IF(AE79=Modelo!$F$31,Modelo!$H$31,IF(AE79=Modelo!$F$32,Modelo!$H$32,0)))</f>
        <v>0.8</v>
      </c>
      <c r="AQ79" s="138">
        <f>IF(AF79=Modelo!$F$33,Modelo!$H$33,IF(AF79=Modelo!$F$34,Modelo!$H$34,IF(AF79=Modelo!$F$35,Modelo!$H$35,0)))</f>
        <v>0.3</v>
      </c>
      <c r="AR79" s="138">
        <f>IF(AG79=Modelo!$F$37,Modelo!$H$37,IF(AG79=Modelo!$F$38,Modelo!$H$38,IF(AG79=Modelo!$F$39,Modelo!$H$39,0)))</f>
        <v>0.8</v>
      </c>
      <c r="AS79" s="138">
        <f>IF(AH79=Modelo!$F$40,Modelo!$H$40,IF(AH79=Modelo!$F$41,Modelo!$H$41,IF(AH79=Modelo!$F$42,Modelo!$H$42,0)))</f>
        <v>0.4</v>
      </c>
      <c r="AT79" s="137">
        <f>IF(C79=Modelo!$F$44,Modelo!$H$44,IF(C79=Modelo!$F$45,Modelo!$H$45,IF(C79=Modelo!$F$46,Modelo!$H$46,IF(C79=Modelo!$F$47,Modelo!$H$47,IF(C79=Modelo!$F$48,Modelo!$H$48,IF(C79=Modelo!$F$49,Modelo!$H$49,IF(C79=Modelo!$F$50,Modelo!$H$50,IF(C79=Modelo!$F$51,Modelo!$H$51,IF(C79=Modelo!$F$52,Modelo!$H$52,IF(C79=Modelo!$F$53,Modelo!$H$53,0))))))))))</f>
        <v>1.7</v>
      </c>
      <c r="AU79" s="138">
        <f>IF(AI79=Modelo!$F$54,Modelo!$H$54,IF(AI79=Modelo!$F$55,Modelo!$H$55,IF(AI79=Modelo!$F$56,Modelo!$H$56,0)))</f>
        <v>1</v>
      </c>
      <c r="AV79" s="138">
        <f>IF(AJ79=Modelo!$F$58,Modelo!$H$58,IF(AJ79=Modelo!$F$59,Modelo!$H$59,IF(AJ79=Modelo!$F$60,Modelo!$H$60,0)))</f>
        <v>0.9</v>
      </c>
      <c r="AW79" s="40"/>
      <c r="AX79" s="139">
        <f>Modelo!$H$2</f>
        <v>0.05</v>
      </c>
      <c r="AY79" s="140">
        <f>ROUNDUP(Modelo!$I$2*Modelo!$H$3*Modelo!$I$75,2)</f>
        <v>0.02</v>
      </c>
      <c r="AZ79" s="141">
        <f>ROUNDUP(Modelo!$I$2*Modelo!$H$3*Modelo!$H$4*Modelo!$I$75,3)</f>
        <v>4.0000000000000001E-3</v>
      </c>
      <c r="BA79" s="139">
        <f>Modelo!$H$5</f>
        <v>0.04</v>
      </c>
      <c r="BB79" s="139">
        <f>ROUNDUP(SUM(BC79,BE79,BG79,BI79)*Modelo!$H$6,1)</f>
        <v>0.9</v>
      </c>
      <c r="BC79" s="139">
        <f>ROUNDUP((AL79*AN79+0.1)*Modelo!$I$75,1)</f>
        <v>1.6</v>
      </c>
      <c r="BD79" s="139">
        <f>ROUNDUP(AM79*AN79*AO79*Modelo!$I$75,1)</f>
        <v>0.1</v>
      </c>
      <c r="BE79" s="139">
        <f>ROUNDUP(V79*Modelo!$H$29*AP79*Modelo!$I$75*2/3,1)</f>
        <v>0.6</v>
      </c>
      <c r="BF79" s="139">
        <f>ROUNDUP(V79*Modelo!$H$29*AP79*AQ79*Modelo!$I$75*2/3,1)</f>
        <v>0.2</v>
      </c>
      <c r="BG79" s="139">
        <f>ROUNDUP(V79*Modelo!$H$29*AP79*Modelo!$I$75/3,1)</f>
        <v>0.30000000000000004</v>
      </c>
      <c r="BH79" s="139">
        <f>ROUNDUP(V79*Modelo!$H$29*AP79*AQ79*Modelo!$I$75/3,1)</f>
        <v>0.1</v>
      </c>
      <c r="BI79" s="139">
        <f>ROUNDUP(W79*Modelo!$H$36*AR79*Modelo!$I$75,1)</f>
        <v>0</v>
      </c>
      <c r="BJ79" s="139">
        <f>ROUNDUP(W79*Modelo!$H$36*AR79*AS79*Modelo!$I$75,1)</f>
        <v>0</v>
      </c>
      <c r="BK79" s="139">
        <f>Modelo!$H$43</f>
        <v>0.04</v>
      </c>
      <c r="BL79" s="139">
        <f>ROUNDUP(SUM(ROUNDUP(AL79*AN79+0.1,1),ROUNDUP(V79*Modelo!$H$29*AP79,1),ROUNDUP(W79*Modelo!$H$36*AR79,1))*AU79*AT79*Modelo!$I$75,1)</f>
        <v>4.0999999999999996</v>
      </c>
      <c r="BM79" s="139">
        <f t="shared" si="421"/>
        <v>0</v>
      </c>
      <c r="BN79" s="139">
        <f t="shared" si="422"/>
        <v>0</v>
      </c>
      <c r="BO79" s="139">
        <f t="shared" si="423"/>
        <v>0</v>
      </c>
      <c r="BP79" s="139">
        <f t="shared" si="424"/>
        <v>0</v>
      </c>
      <c r="BQ79" s="139">
        <f>ROUNDUP(SUM(ROUNDUP(AL79*AN79+0.1,1),ROUNDUP(V79*Modelo!$H$29*AP79,1),ROUNDUP(W79*Modelo!$H$36*AR79,1))*AT79*AV79*Modelo!$H$57,1)</f>
        <v>1.7000000000000002</v>
      </c>
      <c r="BR79" s="409">
        <f t="shared" si="437"/>
        <v>3.8949999999999996</v>
      </c>
      <c r="BS79" s="139">
        <f>Modelo!$H$61</f>
        <v>0.04</v>
      </c>
      <c r="BT79" s="139">
        <f>ROUNDUP(SUM(ROUNDUP(AL79*AN79+0.1,1),ROUNDUP(V79*Modelo!$H$29*AP79,1),ROUNDUP(W79*Modelo!$H$36*AR79,1))*Modelo!$H$62*Modelo!$I$75,1)</f>
        <v>0.2</v>
      </c>
      <c r="BU79" s="139">
        <f>ROUNDUP(ROUNDUP(SUM(ROUNDUP(AL79*AN79+0.1,1),ROUNDUP(V79*Modelo!$H$29*AP79,1),ROUNDUP(W79*Modelo!$H$36*AR79,1))*Modelo!$H$62,1)*Modelo!$H$63*Modelo!$I$75,1)</f>
        <v>0.1</v>
      </c>
      <c r="BV79" s="139">
        <f>SUM(ROUNDUP(AL79*AN79+0.1,1),ROUNDUP(V79*Modelo!$H$29*AP79,1),ROUNDUP(W79*Modelo!$H$36*AR79,1))*Modelo!$H$64*Modelo!$I$75</f>
        <v>0.48000000000000009</v>
      </c>
      <c r="BW79" s="139">
        <f>ROUNDUP(SUM(ROUNDUP(AL79*AN79+0.1,1),ROUNDUP(V79*Modelo!$H$29*AP79,1),ROUNDUP(W79*Modelo!$H$36*AR79,1))*Modelo!$H$64*Modelo!$H$65*Modelo!$I$75,1)</f>
        <v>0.30000000000000004</v>
      </c>
      <c r="BX79" s="139">
        <f>Modelo!$H$66</f>
        <v>0.04</v>
      </c>
      <c r="BY79" s="139">
        <f>ROUNDUP(SUM(ROUNDUP(AL79*AN79+0.1,1),ROUNDUP(V79*Modelo!$H$29*AP79,1),ROUNDUP(W79*Modelo!$H$36*AR79,1))*Modelo!$H$69,1)</f>
        <v>0.6</v>
      </c>
      <c r="BZ79" s="139">
        <f>ROUNDUP(ROUNDUP(SUM(ROUNDUP(AL79*AN79+0.1,1),ROUNDUP(V79*Modelo!$H$29*AP79,1),ROUNDUP(W79*Modelo!$H$36*AR79,1))*Modelo!$H$62,1)*Modelo!$H$71,1)</f>
        <v>0.4</v>
      </c>
      <c r="CA79" s="142">
        <f t="shared" si="425"/>
        <v>15.808999999999999</v>
      </c>
      <c r="CB79" s="27"/>
      <c r="CC79" s="27">
        <f t="shared" si="426"/>
        <v>4.93</v>
      </c>
      <c r="CD79" s="109">
        <f t="shared" si="427"/>
        <v>5.8</v>
      </c>
      <c r="CE79" s="27">
        <f t="shared" si="428"/>
        <v>8.1199999999999992</v>
      </c>
      <c r="CF79" s="27"/>
      <c r="CG79" s="126">
        <v>0</v>
      </c>
      <c r="CH79" s="27"/>
      <c r="CI79" s="27">
        <f t="shared" si="429"/>
        <v>0</v>
      </c>
      <c r="CJ79" s="27"/>
      <c r="CK79" s="27"/>
      <c r="CL79" s="27"/>
      <c r="CM79" s="27"/>
      <c r="CN79" s="27"/>
      <c r="CO79" s="27"/>
      <c r="CP79" s="27"/>
      <c r="CQ79" s="27"/>
      <c r="CR79" s="27"/>
      <c r="CS79" s="27"/>
      <c r="CT79" s="27"/>
      <c r="CU79" s="27"/>
      <c r="CV79" s="27"/>
      <c r="CW79" s="27"/>
      <c r="CX79" s="27"/>
      <c r="CY79" s="27"/>
      <c r="CZ79" s="27"/>
      <c r="DA79" s="27"/>
      <c r="DB79" s="27"/>
      <c r="DC79" s="27"/>
    </row>
    <row r="80" spans="3:107" s="20" customFormat="1" ht="29.5" customHeight="1" outlineLevel="2" thickBot="1" x14ac:dyDescent="0.35">
      <c r="C80" s="388" t="s">
        <v>95</v>
      </c>
      <c r="D80" s="378" t="s">
        <v>76</v>
      </c>
      <c r="E80" s="378" t="str">
        <f t="shared" si="430"/>
        <v>M</v>
      </c>
      <c r="F80" s="378" t="s">
        <v>423</v>
      </c>
      <c r="G80" s="378" t="s">
        <v>423</v>
      </c>
      <c r="H80" s="378" t="str">
        <f t="shared" si="431"/>
        <v>B</v>
      </c>
      <c r="I80" s="378" t="str">
        <f t="shared" si="432"/>
        <v>B</v>
      </c>
      <c r="J80" s="379">
        <f t="shared" si="409"/>
        <v>1</v>
      </c>
      <c r="K80" s="509" t="str">
        <f t="shared" si="433"/>
        <v>Chica 4</v>
      </c>
      <c r="L80" s="546" t="s">
        <v>781</v>
      </c>
      <c r="M80" s="526">
        <f t="shared" si="434"/>
        <v>4.0999999999999996</v>
      </c>
      <c r="N80" s="526">
        <f t="shared" si="435"/>
        <v>1.7000000000000002</v>
      </c>
      <c r="O80" s="530">
        <f t="shared" si="436"/>
        <v>5.8</v>
      </c>
      <c r="P80" s="58"/>
      <c r="Q80" s="143"/>
      <c r="R80" s="143"/>
      <c r="S80" s="143"/>
      <c r="T80" s="109"/>
      <c r="U80" s="144">
        <v>20</v>
      </c>
      <c r="V80" s="144">
        <v>1</v>
      </c>
      <c r="W80" s="144">
        <v>0</v>
      </c>
      <c r="X80" s="136"/>
      <c r="Y80" s="136" t="str">
        <f t="shared" si="411"/>
        <v>ConfiguraciónChica1</v>
      </c>
      <c r="Z80" s="135">
        <f>VLOOKUP(Y80,Modelo!$G$82:$H$281,2,FALSE)</f>
        <v>61</v>
      </c>
      <c r="AA80" s="136"/>
      <c r="AB80" s="137" t="str">
        <f t="shared" si="412"/>
        <v>Chica 4</v>
      </c>
      <c r="AC80" s="137" t="str">
        <f t="shared" si="413"/>
        <v>Media</v>
      </c>
      <c r="AD80" s="137" t="str">
        <f t="shared" si="414"/>
        <v>Media</v>
      </c>
      <c r="AE80" s="137" t="str">
        <f t="shared" si="415"/>
        <v>Baja</v>
      </c>
      <c r="AF80" s="137" t="str">
        <f t="shared" si="416"/>
        <v>Baja</v>
      </c>
      <c r="AG80" s="137" t="str">
        <f t="shared" si="417"/>
        <v>Baja</v>
      </c>
      <c r="AH80" s="137" t="str">
        <f t="shared" si="418"/>
        <v>Baja</v>
      </c>
      <c r="AI80" s="137" t="str">
        <f t="shared" si="419"/>
        <v>Baja</v>
      </c>
      <c r="AJ80" s="137" t="str">
        <f t="shared" si="420"/>
        <v>Baja</v>
      </c>
      <c r="AK80" s="40"/>
      <c r="AL80" s="138">
        <f>IF(AB80=Modelo!$F$7,Modelo!$H$7,IF(AB80=Modelo!$F$8,Modelo!$H$8,IF(AB80=Modelo!$F$9,Modelo!$H$9,IF(AB80=Modelo!$F$10,Modelo!$H$10,IF(AB80=Modelo!$F$11,Modelo!$H$11,IF(AB80=Modelo!$F$12,Modelo!$H$12,IF(AB80=Modelo!$F$13,Modelo!$H$13,IF(AB80=Modelo!$F$14,Modelo!$H$14,IF(AB80=Modelo!$F$15,Modelo!$H$15,IF(AB80=Modelo!$F$16,Modelo!$H$16,IF(AB80=Modelo!$F$17,Modelo!$H$17,IF(AB80=Modelo!$F$18,Modelo!$H$18,IF(AB80=Modelo!$F$19,Modelo!$H$19,IF(AB80=Modelo!$F$20,Modelo!$H$20,IF(AB80=Modelo!$F$21,Modelo!$H$21,IF(AB80=Modelo!$F$22,Modelo!$H$22,0))))))))))))))))</f>
        <v>1.2000000000000002</v>
      </c>
      <c r="AM80" s="138">
        <f>IF(AB80=Modelo!$F$7,Modelo!$I$7,IF(AB80=Modelo!$F$8,Modelo!$I$8,IF(AB80=Modelo!$F$9,Modelo!$I$9,IF(AB80=Modelo!$F$10,Modelo!$I$10,IF(AB80=Modelo!$F$11,Modelo!$I$11,IF(AB80=Modelo!$F$12,Modelo!$I$12,IF(AB80=Modelo!$F$13,Modelo!$I$13,IF(AB80=Modelo!$F$14,Modelo!$I$14,IF(AB80=Modelo!$F$15,Modelo!$I$15,IF(AB80=Modelo!$F$16,Modelo!$I$16,IF(AB80=Modelo!$F$17,Modelo!$I$17,IF(AB80=Modelo!$F$18,Modelo!$I$18,IF(AB80=Modelo!$F$19,Modelo!$I$19,IF(AB80=Modelo!$F$20,Modelo!$I$20,IF(AB80=Modelo!$F$21,Modelo!$I$21,IF(AB80=Modelo!$F$22,Modelo!$I$22,0))))))))))))))))</f>
        <v>0.4</v>
      </c>
      <c r="AN80" s="138">
        <f>IF(AC80=Modelo!$F$23,Modelo!$H$23,IF(AC80=Modelo!$F$24,Modelo!$H$24,IF(AC80=Modelo!$F$25,Modelo!$H$25,0)))</f>
        <v>1.2</v>
      </c>
      <c r="AO80" s="138">
        <f>IF(AD80=Modelo!$F$26,Modelo!$H$26,IF(AD80=Modelo!$F$27,Modelo!$H$27,IF(AD80=Modelo!$F$28,Modelo!$H$28,0)))</f>
        <v>0.2</v>
      </c>
      <c r="AP80" s="138">
        <f>IF(AE80=Modelo!$F$30,Modelo!$H$30,IF(AE80=Modelo!$F$31,Modelo!$H$31,IF(AE80=Modelo!$F$32,Modelo!$H$32,0)))</f>
        <v>0.8</v>
      </c>
      <c r="AQ80" s="138">
        <f>IF(AF80=Modelo!$F$33,Modelo!$H$33,IF(AF80=Modelo!$F$34,Modelo!$H$34,IF(AF80=Modelo!$F$35,Modelo!$H$35,0)))</f>
        <v>0.3</v>
      </c>
      <c r="AR80" s="138">
        <f>IF(AG80=Modelo!$F$37,Modelo!$H$37,IF(AG80=Modelo!$F$38,Modelo!$H$38,IF(AG80=Modelo!$F$39,Modelo!$H$39,0)))</f>
        <v>0.8</v>
      </c>
      <c r="AS80" s="138">
        <f>IF(AH80=Modelo!$F$40,Modelo!$H$40,IF(AH80=Modelo!$F$41,Modelo!$H$41,IF(AH80=Modelo!$F$42,Modelo!$H$42,0)))</f>
        <v>0.4</v>
      </c>
      <c r="AT80" s="137">
        <f>IF(C80=Modelo!$F$44,Modelo!$H$44,IF(C80=Modelo!$F$45,Modelo!$H$45,IF(C80=Modelo!$F$46,Modelo!$H$46,IF(C80=Modelo!$F$47,Modelo!$H$47,IF(C80=Modelo!$F$48,Modelo!$H$48,IF(C80=Modelo!$F$49,Modelo!$H$49,IF(C80=Modelo!$F$50,Modelo!$H$50,IF(C80=Modelo!$F$51,Modelo!$H$51,IF(C80=Modelo!$F$52,Modelo!$H$52,IF(C80=Modelo!$F$53,Modelo!$H$53,0))))))))))</f>
        <v>1.7</v>
      </c>
      <c r="AU80" s="138">
        <f>IF(AI80=Modelo!$F$54,Modelo!$H$54,IF(AI80=Modelo!$F$55,Modelo!$H$55,IF(AI80=Modelo!$F$56,Modelo!$H$56,0)))</f>
        <v>1</v>
      </c>
      <c r="AV80" s="138">
        <f>IF(AJ80=Modelo!$F$58,Modelo!$H$58,IF(AJ80=Modelo!$F$59,Modelo!$H$59,IF(AJ80=Modelo!$F$60,Modelo!$H$60,0)))</f>
        <v>0.9</v>
      </c>
      <c r="AW80" s="40"/>
      <c r="AX80" s="139">
        <f>Modelo!$H$2</f>
        <v>0.05</v>
      </c>
      <c r="AY80" s="140">
        <f>ROUNDUP(Modelo!$I$2*Modelo!$H$3*Modelo!$I$75,2)</f>
        <v>0.02</v>
      </c>
      <c r="AZ80" s="141">
        <f>ROUNDUP(Modelo!$I$2*Modelo!$H$3*Modelo!$H$4*Modelo!$I$75,3)</f>
        <v>4.0000000000000001E-3</v>
      </c>
      <c r="BA80" s="139">
        <f>Modelo!$H$5</f>
        <v>0.04</v>
      </c>
      <c r="BB80" s="139">
        <f>ROUNDUP(SUM(BC80,BE80,BG80,BI80)*Modelo!$H$6,1)</f>
        <v>0.9</v>
      </c>
      <c r="BC80" s="139">
        <f>ROUNDUP((AL80*AN80+0.1)*Modelo!$I$75,1)</f>
        <v>1.6</v>
      </c>
      <c r="BD80" s="139">
        <f>ROUNDUP(AM80*AN80*AO80*Modelo!$I$75,1)</f>
        <v>0.1</v>
      </c>
      <c r="BE80" s="139">
        <f>ROUNDUP(V80*Modelo!$H$29*AP80*Modelo!$I$75*2/3,1)</f>
        <v>0.6</v>
      </c>
      <c r="BF80" s="139">
        <f>ROUNDUP(V80*Modelo!$H$29*AP80*AQ80*Modelo!$I$75*2/3,1)</f>
        <v>0.2</v>
      </c>
      <c r="BG80" s="139">
        <f>ROUNDUP(V80*Modelo!$H$29*AP80*Modelo!$I$75/3,1)</f>
        <v>0.30000000000000004</v>
      </c>
      <c r="BH80" s="139">
        <f>ROUNDUP(V80*Modelo!$H$29*AP80*AQ80*Modelo!$I$75/3,1)</f>
        <v>0.1</v>
      </c>
      <c r="BI80" s="139">
        <f>ROUNDUP(W80*Modelo!$H$36*AR80*Modelo!$I$75,1)</f>
        <v>0</v>
      </c>
      <c r="BJ80" s="139">
        <f>ROUNDUP(W80*Modelo!$H$36*AR80*AS80*Modelo!$I$75,1)</f>
        <v>0</v>
      </c>
      <c r="BK80" s="139">
        <f>Modelo!$H$43</f>
        <v>0.04</v>
      </c>
      <c r="BL80" s="139">
        <f>ROUNDUP(SUM(ROUNDUP(AL80*AN80+0.1,1),ROUNDUP(V80*Modelo!$H$29*AP80,1),ROUNDUP(W80*Modelo!$H$36*AR80,1))*AU80*AT80*Modelo!$I$75,1)</f>
        <v>4.0999999999999996</v>
      </c>
      <c r="BM80" s="139">
        <f t="shared" si="421"/>
        <v>0</v>
      </c>
      <c r="BN80" s="139">
        <f t="shared" si="422"/>
        <v>0</v>
      </c>
      <c r="BO80" s="139">
        <f t="shared" si="423"/>
        <v>0</v>
      </c>
      <c r="BP80" s="139">
        <f t="shared" si="424"/>
        <v>0</v>
      </c>
      <c r="BQ80" s="139">
        <f>ROUNDUP(SUM(ROUNDUP(AL80*AN80+0.1,1),ROUNDUP(V80*Modelo!$H$29*AP80,1),ROUNDUP(W80*Modelo!$H$36*AR80,1))*AT80*AV80*Modelo!$H$57,1)</f>
        <v>1.7000000000000002</v>
      </c>
      <c r="BR80" s="409">
        <f t="shared" si="437"/>
        <v>3.8949999999999996</v>
      </c>
      <c r="BS80" s="139">
        <f>Modelo!$H$61</f>
        <v>0.04</v>
      </c>
      <c r="BT80" s="139">
        <f>ROUNDUP(SUM(ROUNDUP(AL80*AN80+0.1,1),ROUNDUP(V80*Modelo!$H$29*AP80,1),ROUNDUP(W80*Modelo!$H$36*AR80,1))*Modelo!$H$62*Modelo!$I$75,1)</f>
        <v>0.2</v>
      </c>
      <c r="BU80" s="139">
        <f>ROUNDUP(ROUNDUP(SUM(ROUNDUP(AL80*AN80+0.1,1),ROUNDUP(V80*Modelo!$H$29*AP80,1),ROUNDUP(W80*Modelo!$H$36*AR80,1))*Modelo!$H$62,1)*Modelo!$H$63*Modelo!$I$75,1)</f>
        <v>0.1</v>
      </c>
      <c r="BV80" s="139">
        <f>SUM(ROUNDUP(AL80*AN80+0.1,1),ROUNDUP(V80*Modelo!$H$29*AP80,1),ROUNDUP(W80*Modelo!$H$36*AR80,1))*Modelo!$H$64*Modelo!$I$75</f>
        <v>0.48000000000000009</v>
      </c>
      <c r="BW80" s="139">
        <f>ROUNDUP(SUM(ROUNDUP(AL80*AN80+0.1,1),ROUNDUP(V80*Modelo!$H$29*AP80,1),ROUNDUP(W80*Modelo!$H$36*AR80,1))*Modelo!$H$64*Modelo!$H$65*Modelo!$I$75,1)</f>
        <v>0.30000000000000004</v>
      </c>
      <c r="BX80" s="139">
        <f>Modelo!$H$66</f>
        <v>0.04</v>
      </c>
      <c r="BY80" s="139">
        <f>ROUNDUP(SUM(ROUNDUP(AL80*AN80+0.1,1),ROUNDUP(V80*Modelo!$H$29*AP80,1),ROUNDUP(W80*Modelo!$H$36*AR80,1))*Modelo!$H$69,1)</f>
        <v>0.6</v>
      </c>
      <c r="BZ80" s="139">
        <f>ROUNDUP(ROUNDUP(SUM(ROUNDUP(AL80*AN80+0.1,1),ROUNDUP(V80*Modelo!$H$29*AP80,1),ROUNDUP(W80*Modelo!$H$36*AR80,1))*Modelo!$H$62,1)*Modelo!$H$71,1)</f>
        <v>0.4</v>
      </c>
      <c r="CA80" s="142">
        <f t="shared" si="425"/>
        <v>15.808999999999999</v>
      </c>
      <c r="CB80" s="27"/>
      <c r="CC80" s="27">
        <f t="shared" si="426"/>
        <v>4.93</v>
      </c>
      <c r="CD80" s="109">
        <f t="shared" si="427"/>
        <v>5.8</v>
      </c>
      <c r="CE80" s="27">
        <f t="shared" si="428"/>
        <v>8.1199999999999992</v>
      </c>
      <c r="CF80" s="27"/>
      <c r="CG80" s="126">
        <v>0</v>
      </c>
      <c r="CH80" s="27"/>
      <c r="CI80" s="27">
        <f t="shared" si="429"/>
        <v>0</v>
      </c>
      <c r="CJ80" s="27"/>
      <c r="CK80" s="27"/>
      <c r="CL80" s="27"/>
      <c r="CM80" s="27"/>
      <c r="CN80" s="27"/>
      <c r="CO80" s="27"/>
      <c r="CP80" s="27"/>
      <c r="CQ80" s="27"/>
      <c r="CR80" s="27"/>
      <c r="CS80" s="27"/>
      <c r="CT80" s="27"/>
      <c r="CU80" s="27"/>
      <c r="CV80" s="27"/>
      <c r="CW80" s="27"/>
      <c r="CX80" s="27"/>
      <c r="CY80" s="27"/>
      <c r="CZ80" s="27"/>
      <c r="DA80" s="27"/>
      <c r="DB80" s="27"/>
      <c r="DC80" s="27"/>
    </row>
    <row r="81" spans="3:107" s="20" customFormat="1" ht="68" customHeight="1" outlineLevel="2" thickBot="1" x14ac:dyDescent="0.35">
      <c r="C81" s="388" t="s">
        <v>95</v>
      </c>
      <c r="D81" s="378" t="s">
        <v>76</v>
      </c>
      <c r="E81" s="378" t="str">
        <f t="shared" si="430"/>
        <v>M</v>
      </c>
      <c r="F81" s="378" t="s">
        <v>423</v>
      </c>
      <c r="G81" s="378" t="s">
        <v>423</v>
      </c>
      <c r="H81" s="378" t="str">
        <f t="shared" si="431"/>
        <v>B</v>
      </c>
      <c r="I81" s="378" t="str">
        <f t="shared" si="432"/>
        <v>B</v>
      </c>
      <c r="J81" s="379">
        <f t="shared" si="409"/>
        <v>1</v>
      </c>
      <c r="K81" s="509" t="str">
        <f t="shared" si="433"/>
        <v>Chica 4</v>
      </c>
      <c r="L81" s="546" t="s">
        <v>782</v>
      </c>
      <c r="M81" s="526">
        <f t="shared" si="434"/>
        <v>4.0999999999999996</v>
      </c>
      <c r="N81" s="526">
        <f t="shared" si="435"/>
        <v>1.7000000000000002</v>
      </c>
      <c r="O81" s="530">
        <f t="shared" si="436"/>
        <v>5.8</v>
      </c>
      <c r="P81" s="58"/>
      <c r="Q81" s="143"/>
      <c r="R81" s="143"/>
      <c r="S81" s="143"/>
      <c r="T81" s="109"/>
      <c r="U81" s="144">
        <v>20</v>
      </c>
      <c r="V81" s="144">
        <v>1</v>
      </c>
      <c r="W81" s="144">
        <v>0</v>
      </c>
      <c r="X81" s="136"/>
      <c r="Y81" s="136" t="str">
        <f t="shared" si="411"/>
        <v>ConfiguraciónChica1</v>
      </c>
      <c r="Z81" s="135">
        <f>VLOOKUP(Y81,Modelo!$G$82:$H$281,2,FALSE)</f>
        <v>61</v>
      </c>
      <c r="AA81" s="136"/>
      <c r="AB81" s="137" t="str">
        <f t="shared" si="412"/>
        <v>Chica 4</v>
      </c>
      <c r="AC81" s="137" t="str">
        <f t="shared" si="413"/>
        <v>Media</v>
      </c>
      <c r="AD81" s="137" t="str">
        <f t="shared" si="414"/>
        <v>Media</v>
      </c>
      <c r="AE81" s="137" t="str">
        <f t="shared" si="415"/>
        <v>Baja</v>
      </c>
      <c r="AF81" s="137" t="str">
        <f t="shared" si="416"/>
        <v>Baja</v>
      </c>
      <c r="AG81" s="137" t="str">
        <f t="shared" si="417"/>
        <v>Baja</v>
      </c>
      <c r="AH81" s="137" t="str">
        <f t="shared" si="418"/>
        <v>Baja</v>
      </c>
      <c r="AI81" s="137" t="str">
        <f t="shared" si="419"/>
        <v>Baja</v>
      </c>
      <c r="AJ81" s="137" t="str">
        <f t="shared" si="420"/>
        <v>Baja</v>
      </c>
      <c r="AK81" s="40"/>
      <c r="AL81" s="138">
        <f>IF(AB81=Modelo!$F$7,Modelo!$H$7,IF(AB81=Modelo!$F$8,Modelo!$H$8,IF(AB81=Modelo!$F$9,Modelo!$H$9,IF(AB81=Modelo!$F$10,Modelo!$H$10,IF(AB81=Modelo!$F$11,Modelo!$H$11,IF(AB81=Modelo!$F$12,Modelo!$H$12,IF(AB81=Modelo!$F$13,Modelo!$H$13,IF(AB81=Modelo!$F$14,Modelo!$H$14,IF(AB81=Modelo!$F$15,Modelo!$H$15,IF(AB81=Modelo!$F$16,Modelo!$H$16,IF(AB81=Modelo!$F$17,Modelo!$H$17,IF(AB81=Modelo!$F$18,Modelo!$H$18,IF(AB81=Modelo!$F$19,Modelo!$H$19,IF(AB81=Modelo!$F$20,Modelo!$H$20,IF(AB81=Modelo!$F$21,Modelo!$H$21,IF(AB81=Modelo!$F$22,Modelo!$H$22,0))))))))))))))))</f>
        <v>1.2000000000000002</v>
      </c>
      <c r="AM81" s="138">
        <f>IF(AB81=Modelo!$F$7,Modelo!$I$7,IF(AB81=Modelo!$F$8,Modelo!$I$8,IF(AB81=Modelo!$F$9,Modelo!$I$9,IF(AB81=Modelo!$F$10,Modelo!$I$10,IF(AB81=Modelo!$F$11,Modelo!$I$11,IF(AB81=Modelo!$F$12,Modelo!$I$12,IF(AB81=Modelo!$F$13,Modelo!$I$13,IF(AB81=Modelo!$F$14,Modelo!$I$14,IF(AB81=Modelo!$F$15,Modelo!$I$15,IF(AB81=Modelo!$F$16,Modelo!$I$16,IF(AB81=Modelo!$F$17,Modelo!$I$17,IF(AB81=Modelo!$F$18,Modelo!$I$18,IF(AB81=Modelo!$F$19,Modelo!$I$19,IF(AB81=Modelo!$F$20,Modelo!$I$20,IF(AB81=Modelo!$F$21,Modelo!$I$21,IF(AB81=Modelo!$F$22,Modelo!$I$22,0))))))))))))))))</f>
        <v>0.4</v>
      </c>
      <c r="AN81" s="138">
        <f>IF(AC81=Modelo!$F$23,Modelo!$H$23,IF(AC81=Modelo!$F$24,Modelo!$H$24,IF(AC81=Modelo!$F$25,Modelo!$H$25,0)))</f>
        <v>1.2</v>
      </c>
      <c r="AO81" s="138">
        <f>IF(AD81=Modelo!$F$26,Modelo!$H$26,IF(AD81=Modelo!$F$27,Modelo!$H$27,IF(AD81=Modelo!$F$28,Modelo!$H$28,0)))</f>
        <v>0.2</v>
      </c>
      <c r="AP81" s="138">
        <f>IF(AE81=Modelo!$F$30,Modelo!$H$30,IF(AE81=Modelo!$F$31,Modelo!$H$31,IF(AE81=Modelo!$F$32,Modelo!$H$32,0)))</f>
        <v>0.8</v>
      </c>
      <c r="AQ81" s="138">
        <f>IF(AF81=Modelo!$F$33,Modelo!$H$33,IF(AF81=Modelo!$F$34,Modelo!$H$34,IF(AF81=Modelo!$F$35,Modelo!$H$35,0)))</f>
        <v>0.3</v>
      </c>
      <c r="AR81" s="138">
        <f>IF(AG81=Modelo!$F$37,Modelo!$H$37,IF(AG81=Modelo!$F$38,Modelo!$H$38,IF(AG81=Modelo!$F$39,Modelo!$H$39,0)))</f>
        <v>0.8</v>
      </c>
      <c r="AS81" s="138">
        <f>IF(AH81=Modelo!$F$40,Modelo!$H$40,IF(AH81=Modelo!$F$41,Modelo!$H$41,IF(AH81=Modelo!$F$42,Modelo!$H$42,0)))</f>
        <v>0.4</v>
      </c>
      <c r="AT81" s="137">
        <f>IF(C81=Modelo!$F$44,Modelo!$H$44,IF(C81=Modelo!$F$45,Modelo!$H$45,IF(C81=Modelo!$F$46,Modelo!$H$46,IF(C81=Modelo!$F$47,Modelo!$H$47,IF(C81=Modelo!$F$48,Modelo!$H$48,IF(C81=Modelo!$F$49,Modelo!$H$49,IF(C81=Modelo!$F$50,Modelo!$H$50,IF(C81=Modelo!$F$51,Modelo!$H$51,IF(C81=Modelo!$F$52,Modelo!$H$52,IF(C81=Modelo!$F$53,Modelo!$H$53,0))))))))))</f>
        <v>1.7</v>
      </c>
      <c r="AU81" s="138">
        <f>IF(AI81=Modelo!$F$54,Modelo!$H$54,IF(AI81=Modelo!$F$55,Modelo!$H$55,IF(AI81=Modelo!$F$56,Modelo!$H$56,0)))</f>
        <v>1</v>
      </c>
      <c r="AV81" s="138">
        <f>IF(AJ81=Modelo!$F$58,Modelo!$H$58,IF(AJ81=Modelo!$F$59,Modelo!$H$59,IF(AJ81=Modelo!$F$60,Modelo!$H$60,0)))</f>
        <v>0.9</v>
      </c>
      <c r="AW81" s="40"/>
      <c r="AX81" s="139">
        <f>Modelo!$H$2</f>
        <v>0.05</v>
      </c>
      <c r="AY81" s="140">
        <f>ROUNDUP(Modelo!$I$2*Modelo!$H$3*Modelo!$I$75,2)</f>
        <v>0.02</v>
      </c>
      <c r="AZ81" s="141">
        <f>ROUNDUP(Modelo!$I$2*Modelo!$H$3*Modelo!$H$4*Modelo!$I$75,3)</f>
        <v>4.0000000000000001E-3</v>
      </c>
      <c r="BA81" s="139">
        <f>Modelo!$H$5</f>
        <v>0.04</v>
      </c>
      <c r="BB81" s="139">
        <f>ROUNDUP(SUM(BC81,BE81,BG81,BI81)*Modelo!$H$6,1)</f>
        <v>0.9</v>
      </c>
      <c r="BC81" s="139">
        <f>ROUNDUP((AL81*AN81+0.1)*Modelo!$I$75,1)</f>
        <v>1.6</v>
      </c>
      <c r="BD81" s="139">
        <f>ROUNDUP(AM81*AN81*AO81*Modelo!$I$75,1)</f>
        <v>0.1</v>
      </c>
      <c r="BE81" s="139">
        <f>ROUNDUP(V81*Modelo!$H$29*AP81*Modelo!$I$75*2/3,1)</f>
        <v>0.6</v>
      </c>
      <c r="BF81" s="139">
        <f>ROUNDUP(V81*Modelo!$H$29*AP81*AQ81*Modelo!$I$75*2/3,1)</f>
        <v>0.2</v>
      </c>
      <c r="BG81" s="139">
        <f>ROUNDUP(V81*Modelo!$H$29*AP81*Modelo!$I$75/3,1)</f>
        <v>0.30000000000000004</v>
      </c>
      <c r="BH81" s="139">
        <f>ROUNDUP(V81*Modelo!$H$29*AP81*AQ81*Modelo!$I$75/3,1)</f>
        <v>0.1</v>
      </c>
      <c r="BI81" s="139">
        <f>ROUNDUP(W81*Modelo!$H$36*AR81*Modelo!$I$75,1)</f>
        <v>0</v>
      </c>
      <c r="BJ81" s="139">
        <f>ROUNDUP(W81*Modelo!$H$36*AR81*AS81*Modelo!$I$75,1)</f>
        <v>0</v>
      </c>
      <c r="BK81" s="139">
        <f>Modelo!$H$43</f>
        <v>0.04</v>
      </c>
      <c r="BL81" s="139">
        <f>ROUNDUP(SUM(ROUNDUP(AL81*AN81+0.1,1),ROUNDUP(V81*Modelo!$H$29*AP81,1),ROUNDUP(W81*Modelo!$H$36*AR81,1))*AU81*AT81*Modelo!$I$75,1)</f>
        <v>4.0999999999999996</v>
      </c>
      <c r="BM81" s="139">
        <f t="shared" si="421"/>
        <v>0</v>
      </c>
      <c r="BN81" s="139">
        <f t="shared" si="422"/>
        <v>0</v>
      </c>
      <c r="BO81" s="139">
        <f t="shared" si="423"/>
        <v>0</v>
      </c>
      <c r="BP81" s="139">
        <f t="shared" si="424"/>
        <v>0</v>
      </c>
      <c r="BQ81" s="139">
        <f>ROUNDUP(SUM(ROUNDUP(AL81*AN81+0.1,1),ROUNDUP(V81*Modelo!$H$29*AP81,1),ROUNDUP(W81*Modelo!$H$36*AR81,1))*AT81*AV81*Modelo!$H$57,1)</f>
        <v>1.7000000000000002</v>
      </c>
      <c r="BR81" s="409">
        <f t="shared" si="437"/>
        <v>3.8949999999999996</v>
      </c>
      <c r="BS81" s="139">
        <f>Modelo!$H$61</f>
        <v>0.04</v>
      </c>
      <c r="BT81" s="139">
        <f>ROUNDUP(SUM(ROUNDUP(AL81*AN81+0.1,1),ROUNDUP(V81*Modelo!$H$29*AP81,1),ROUNDUP(W81*Modelo!$H$36*AR81,1))*Modelo!$H$62*Modelo!$I$75,1)</f>
        <v>0.2</v>
      </c>
      <c r="BU81" s="139">
        <f>ROUNDUP(ROUNDUP(SUM(ROUNDUP(AL81*AN81+0.1,1),ROUNDUP(V81*Modelo!$H$29*AP81,1),ROUNDUP(W81*Modelo!$H$36*AR81,1))*Modelo!$H$62,1)*Modelo!$H$63*Modelo!$I$75,1)</f>
        <v>0.1</v>
      </c>
      <c r="BV81" s="139">
        <f>SUM(ROUNDUP(AL81*AN81+0.1,1),ROUNDUP(V81*Modelo!$H$29*AP81,1),ROUNDUP(W81*Modelo!$H$36*AR81,1))*Modelo!$H$64*Modelo!$I$75</f>
        <v>0.48000000000000009</v>
      </c>
      <c r="BW81" s="139">
        <f>ROUNDUP(SUM(ROUNDUP(AL81*AN81+0.1,1),ROUNDUP(V81*Modelo!$H$29*AP81,1),ROUNDUP(W81*Modelo!$H$36*AR81,1))*Modelo!$H$64*Modelo!$H$65*Modelo!$I$75,1)</f>
        <v>0.30000000000000004</v>
      </c>
      <c r="BX81" s="139">
        <f>Modelo!$H$66</f>
        <v>0.04</v>
      </c>
      <c r="BY81" s="139">
        <f>ROUNDUP(SUM(ROUNDUP(AL81*AN81+0.1,1),ROUNDUP(V81*Modelo!$H$29*AP81,1),ROUNDUP(W81*Modelo!$H$36*AR81,1))*Modelo!$H$69,1)</f>
        <v>0.6</v>
      </c>
      <c r="BZ81" s="139">
        <f>ROUNDUP(ROUNDUP(SUM(ROUNDUP(AL81*AN81+0.1,1),ROUNDUP(V81*Modelo!$H$29*AP81,1),ROUNDUP(W81*Modelo!$H$36*AR81,1))*Modelo!$H$62,1)*Modelo!$H$71,1)</f>
        <v>0.4</v>
      </c>
      <c r="CA81" s="142">
        <f t="shared" si="425"/>
        <v>15.808999999999999</v>
      </c>
      <c r="CB81" s="27"/>
      <c r="CC81" s="27">
        <f t="shared" si="426"/>
        <v>4.93</v>
      </c>
      <c r="CD81" s="109">
        <f t="shared" si="427"/>
        <v>5.8</v>
      </c>
      <c r="CE81" s="27">
        <f t="shared" si="428"/>
        <v>8.1199999999999992</v>
      </c>
      <c r="CF81" s="27"/>
      <c r="CG81" s="126">
        <v>0</v>
      </c>
      <c r="CH81" s="27"/>
      <c r="CI81" s="27">
        <f t="shared" si="429"/>
        <v>0</v>
      </c>
      <c r="CJ81" s="27"/>
      <c r="CK81" s="27"/>
      <c r="CL81" s="27"/>
      <c r="CM81" s="27"/>
      <c r="CN81" s="27"/>
      <c r="CO81" s="27"/>
      <c r="CP81" s="27"/>
      <c r="CQ81" s="27"/>
      <c r="CR81" s="27"/>
      <c r="CS81" s="27"/>
      <c r="CT81" s="27"/>
      <c r="CU81" s="27"/>
      <c r="CV81" s="27"/>
      <c r="CW81" s="27"/>
      <c r="CX81" s="27"/>
      <c r="CY81" s="27"/>
      <c r="CZ81" s="27"/>
      <c r="DA81" s="27"/>
      <c r="DB81" s="27"/>
      <c r="DC81" s="27"/>
    </row>
    <row r="82" spans="3:107" s="20" customFormat="1" ht="41.5" customHeight="1" outlineLevel="2" thickBot="1" x14ac:dyDescent="0.35">
      <c r="C82" s="388" t="s">
        <v>95</v>
      </c>
      <c r="D82" s="378" t="s">
        <v>76</v>
      </c>
      <c r="E82" s="378" t="str">
        <f t="shared" si="430"/>
        <v>M</v>
      </c>
      <c r="F82" s="378" t="s">
        <v>423</v>
      </c>
      <c r="G82" s="378" t="s">
        <v>423</v>
      </c>
      <c r="H82" s="378" t="str">
        <f t="shared" si="431"/>
        <v>B</v>
      </c>
      <c r="I82" s="378" t="str">
        <f t="shared" si="432"/>
        <v>B</v>
      </c>
      <c r="J82" s="379">
        <f t="shared" si="409"/>
        <v>1</v>
      </c>
      <c r="K82" s="509" t="str">
        <f t="shared" si="433"/>
        <v>Mediana 1</v>
      </c>
      <c r="L82" s="546" t="s">
        <v>783</v>
      </c>
      <c r="M82" s="526">
        <f t="shared" si="434"/>
        <v>4.5999999999999996</v>
      </c>
      <c r="N82" s="526">
        <f t="shared" si="435"/>
        <v>1.9000000000000001</v>
      </c>
      <c r="O82" s="530">
        <f t="shared" si="436"/>
        <v>6.5</v>
      </c>
      <c r="P82" s="58"/>
      <c r="Q82" s="143"/>
      <c r="R82" s="143"/>
      <c r="S82" s="143"/>
      <c r="T82" s="109"/>
      <c r="U82" s="144">
        <v>30</v>
      </c>
      <c r="V82" s="144">
        <v>1</v>
      </c>
      <c r="W82" s="144">
        <v>0</v>
      </c>
      <c r="X82" s="136"/>
      <c r="Y82" s="136" t="str">
        <f t="shared" si="411"/>
        <v>ConfiguraciónMedia1</v>
      </c>
      <c r="Z82" s="135">
        <f>VLOOKUP(Y82,Modelo!$G$82:$H$281,2,FALSE)</f>
        <v>66</v>
      </c>
      <c r="AA82" s="136"/>
      <c r="AB82" s="137" t="str">
        <f t="shared" si="412"/>
        <v>Mediana 1</v>
      </c>
      <c r="AC82" s="137" t="str">
        <f t="shared" si="413"/>
        <v>Media</v>
      </c>
      <c r="AD82" s="137" t="str">
        <f t="shared" si="414"/>
        <v>Media</v>
      </c>
      <c r="AE82" s="137" t="str">
        <f t="shared" si="415"/>
        <v>Baja</v>
      </c>
      <c r="AF82" s="137" t="str">
        <f t="shared" si="416"/>
        <v>Baja</v>
      </c>
      <c r="AG82" s="137" t="str">
        <f t="shared" si="417"/>
        <v>Baja</v>
      </c>
      <c r="AH82" s="137" t="str">
        <f t="shared" si="418"/>
        <v>Baja</v>
      </c>
      <c r="AI82" s="137" t="str">
        <f t="shared" si="419"/>
        <v>Baja</v>
      </c>
      <c r="AJ82" s="137" t="str">
        <f t="shared" si="420"/>
        <v>Baja</v>
      </c>
      <c r="AK82" s="40"/>
      <c r="AL82" s="138">
        <f>IF(AB82=Modelo!$F$7,Modelo!$H$7,IF(AB82=Modelo!$F$8,Modelo!$H$8,IF(AB82=Modelo!$F$9,Modelo!$H$9,IF(AB82=Modelo!$F$10,Modelo!$H$10,IF(AB82=Modelo!$F$11,Modelo!$H$11,IF(AB82=Modelo!$F$12,Modelo!$H$12,IF(AB82=Modelo!$F$13,Modelo!$H$13,IF(AB82=Modelo!$F$14,Modelo!$H$14,IF(AB82=Modelo!$F$15,Modelo!$H$15,IF(AB82=Modelo!$F$16,Modelo!$H$16,IF(AB82=Modelo!$F$17,Modelo!$H$17,IF(AB82=Modelo!$F$18,Modelo!$H$18,IF(AB82=Modelo!$F$19,Modelo!$H$19,IF(AB82=Modelo!$F$20,Modelo!$H$20,IF(AB82=Modelo!$F$21,Modelo!$H$21,IF(AB82=Modelo!$F$22,Modelo!$H$22,0))))))))))))))))</f>
        <v>1.5</v>
      </c>
      <c r="AM82" s="138">
        <f>IF(AB82=Modelo!$F$7,Modelo!$I$7,IF(AB82=Modelo!$F$8,Modelo!$I$8,IF(AB82=Modelo!$F$9,Modelo!$I$9,IF(AB82=Modelo!$F$10,Modelo!$I$10,IF(AB82=Modelo!$F$11,Modelo!$I$11,IF(AB82=Modelo!$F$12,Modelo!$I$12,IF(AB82=Modelo!$F$13,Modelo!$I$13,IF(AB82=Modelo!$F$14,Modelo!$I$14,IF(AB82=Modelo!$F$15,Modelo!$I$15,IF(AB82=Modelo!$F$16,Modelo!$I$16,IF(AB82=Modelo!$F$17,Modelo!$I$17,IF(AB82=Modelo!$F$18,Modelo!$I$18,IF(AB82=Modelo!$F$19,Modelo!$I$19,IF(AB82=Modelo!$F$20,Modelo!$I$20,IF(AB82=Modelo!$F$21,Modelo!$I$21,IF(AB82=Modelo!$F$22,Modelo!$I$22,0))))))))))))))))</f>
        <v>0.5</v>
      </c>
      <c r="AN82" s="138">
        <f>IF(AC82=Modelo!$F$23,Modelo!$H$23,IF(AC82=Modelo!$F$24,Modelo!$H$24,IF(AC82=Modelo!$F$25,Modelo!$H$25,0)))</f>
        <v>1.2</v>
      </c>
      <c r="AO82" s="138">
        <f>IF(AD82=Modelo!$F$26,Modelo!$H$26,IF(AD82=Modelo!$F$27,Modelo!$H$27,IF(AD82=Modelo!$F$28,Modelo!$H$28,0)))</f>
        <v>0.2</v>
      </c>
      <c r="AP82" s="138">
        <f>IF(AE82=Modelo!$F$30,Modelo!$H$30,IF(AE82=Modelo!$F$31,Modelo!$H$31,IF(AE82=Modelo!$F$32,Modelo!$H$32,0)))</f>
        <v>0.8</v>
      </c>
      <c r="AQ82" s="138">
        <f>IF(AF82=Modelo!$F$33,Modelo!$H$33,IF(AF82=Modelo!$F$34,Modelo!$H$34,IF(AF82=Modelo!$F$35,Modelo!$H$35,0)))</f>
        <v>0.3</v>
      </c>
      <c r="AR82" s="138">
        <f>IF(AG82=Modelo!$F$37,Modelo!$H$37,IF(AG82=Modelo!$F$38,Modelo!$H$38,IF(AG82=Modelo!$F$39,Modelo!$H$39,0)))</f>
        <v>0.8</v>
      </c>
      <c r="AS82" s="138">
        <f>IF(AH82=Modelo!$F$40,Modelo!$H$40,IF(AH82=Modelo!$F$41,Modelo!$H$41,IF(AH82=Modelo!$F$42,Modelo!$H$42,0)))</f>
        <v>0.4</v>
      </c>
      <c r="AT82" s="137">
        <f>IF(C82=Modelo!$F$44,Modelo!$H$44,IF(C82=Modelo!$F$45,Modelo!$H$45,IF(C82=Modelo!$F$46,Modelo!$H$46,IF(C82=Modelo!$F$47,Modelo!$H$47,IF(C82=Modelo!$F$48,Modelo!$H$48,IF(C82=Modelo!$F$49,Modelo!$H$49,IF(C82=Modelo!$F$50,Modelo!$H$50,IF(C82=Modelo!$F$51,Modelo!$H$51,IF(C82=Modelo!$F$52,Modelo!$H$52,IF(C82=Modelo!$F$53,Modelo!$H$53,0))))))))))</f>
        <v>1.7</v>
      </c>
      <c r="AU82" s="138">
        <f>IF(AI82=Modelo!$F$54,Modelo!$H$54,IF(AI82=Modelo!$F$55,Modelo!$H$55,IF(AI82=Modelo!$F$56,Modelo!$H$56,0)))</f>
        <v>1</v>
      </c>
      <c r="AV82" s="138">
        <f>IF(AJ82=Modelo!$F$58,Modelo!$H$58,IF(AJ82=Modelo!$F$59,Modelo!$H$59,IF(AJ82=Modelo!$F$60,Modelo!$H$60,0)))</f>
        <v>0.9</v>
      </c>
      <c r="AW82" s="40"/>
      <c r="AX82" s="139">
        <f>Modelo!$H$2</f>
        <v>0.05</v>
      </c>
      <c r="AY82" s="140">
        <f>ROUNDUP(Modelo!$I$2*Modelo!$H$3*Modelo!$I$75,2)</f>
        <v>0.02</v>
      </c>
      <c r="AZ82" s="141">
        <f>ROUNDUP(Modelo!$I$2*Modelo!$H$3*Modelo!$H$4*Modelo!$I$75,3)</f>
        <v>4.0000000000000001E-3</v>
      </c>
      <c r="BA82" s="139">
        <f>Modelo!$H$5</f>
        <v>0.04</v>
      </c>
      <c r="BB82" s="139">
        <f>ROUNDUP(SUM(BC82,BE82,BG82,BI82)*Modelo!$H$6,1)</f>
        <v>1</v>
      </c>
      <c r="BC82" s="139">
        <f>ROUNDUP((AL82*AN82+0.1)*Modelo!$I$75,1)</f>
        <v>1.9</v>
      </c>
      <c r="BD82" s="139">
        <f>ROUNDUP(AM82*AN82*AO82*Modelo!$I$75,1)</f>
        <v>0.2</v>
      </c>
      <c r="BE82" s="139">
        <f>ROUNDUP(V82*Modelo!$H$29*AP82*Modelo!$I$75*2/3,1)</f>
        <v>0.6</v>
      </c>
      <c r="BF82" s="139">
        <f>ROUNDUP(V82*Modelo!$H$29*AP82*AQ82*Modelo!$I$75*2/3,1)</f>
        <v>0.2</v>
      </c>
      <c r="BG82" s="139">
        <f>ROUNDUP(V82*Modelo!$H$29*AP82*Modelo!$I$75/3,1)</f>
        <v>0.30000000000000004</v>
      </c>
      <c r="BH82" s="139">
        <f>ROUNDUP(V82*Modelo!$H$29*AP82*AQ82*Modelo!$I$75/3,1)</f>
        <v>0.1</v>
      </c>
      <c r="BI82" s="139">
        <f>ROUNDUP(W82*Modelo!$H$36*AR82*Modelo!$I$75,1)</f>
        <v>0</v>
      </c>
      <c r="BJ82" s="139">
        <f>ROUNDUP(W82*Modelo!$H$36*AR82*AS82*Modelo!$I$75,1)</f>
        <v>0</v>
      </c>
      <c r="BK82" s="139">
        <f>Modelo!$H$43</f>
        <v>0.04</v>
      </c>
      <c r="BL82" s="139">
        <f>ROUNDUP(SUM(ROUNDUP(AL82*AN82+0.1,1),ROUNDUP(V82*Modelo!$H$29*AP82,1),ROUNDUP(W82*Modelo!$H$36*AR82,1))*AU82*AT82*Modelo!$I$75,1)</f>
        <v>4.5999999999999996</v>
      </c>
      <c r="BM82" s="139">
        <f t="shared" si="421"/>
        <v>0</v>
      </c>
      <c r="BN82" s="139">
        <f t="shared" si="422"/>
        <v>0</v>
      </c>
      <c r="BO82" s="139">
        <f t="shared" si="423"/>
        <v>0</v>
      </c>
      <c r="BP82" s="139">
        <f t="shared" si="424"/>
        <v>0</v>
      </c>
      <c r="BQ82" s="139">
        <f>ROUNDUP(SUM(ROUNDUP(AL82*AN82+0.1,1),ROUNDUP(V82*Modelo!$H$29*AP82,1),ROUNDUP(W82*Modelo!$H$36*AR82,1))*AT82*AV82*Modelo!$H$57,1)</f>
        <v>1.9000000000000001</v>
      </c>
      <c r="BR82" s="409">
        <f t="shared" si="437"/>
        <v>4.3699999999999992</v>
      </c>
      <c r="BS82" s="139">
        <f>Modelo!$H$61</f>
        <v>0.04</v>
      </c>
      <c r="BT82" s="139">
        <f>ROUNDUP(SUM(ROUNDUP(AL82*AN82+0.1,1),ROUNDUP(V82*Modelo!$H$29*AP82,1),ROUNDUP(W82*Modelo!$H$36*AR82,1))*Modelo!$H$62*Modelo!$I$75,1)</f>
        <v>0.2</v>
      </c>
      <c r="BU82" s="139">
        <f>ROUNDUP(ROUNDUP(SUM(ROUNDUP(AL82*AN82+0.1,1),ROUNDUP(V82*Modelo!$H$29*AP82,1),ROUNDUP(W82*Modelo!$H$36*AR82,1))*Modelo!$H$62,1)*Modelo!$H$63*Modelo!$I$75,1)</f>
        <v>0.1</v>
      </c>
      <c r="BV82" s="139">
        <f>SUM(ROUNDUP(AL82*AN82+0.1,1),ROUNDUP(V82*Modelo!$H$29*AP82,1),ROUNDUP(W82*Modelo!$H$36*AR82,1))*Modelo!$H$64*Modelo!$I$75</f>
        <v>0.54</v>
      </c>
      <c r="BW82" s="139">
        <f>ROUNDUP(SUM(ROUNDUP(AL82*AN82+0.1,1),ROUNDUP(V82*Modelo!$H$29*AP82,1),ROUNDUP(W82*Modelo!$H$36*AR82,1))*Modelo!$H$64*Modelo!$H$65*Modelo!$I$75,1)</f>
        <v>0.30000000000000004</v>
      </c>
      <c r="BX82" s="139">
        <f>Modelo!$H$66</f>
        <v>0.04</v>
      </c>
      <c r="BY82" s="139">
        <f>ROUNDUP(SUM(ROUNDUP(AL82*AN82+0.1,1),ROUNDUP(V82*Modelo!$H$29*AP82,1),ROUNDUP(W82*Modelo!$H$36*AR82,1))*Modelo!$H$69,1)</f>
        <v>0.6</v>
      </c>
      <c r="BZ82" s="139">
        <f>ROUNDUP(ROUNDUP(SUM(ROUNDUP(AL82*AN82+0.1,1),ROUNDUP(V82*Modelo!$H$29*AP82,1),ROUNDUP(W82*Modelo!$H$36*AR82,1))*Modelo!$H$62,1)*Modelo!$H$71,1)</f>
        <v>0.4</v>
      </c>
      <c r="CA82" s="142">
        <f t="shared" si="425"/>
        <v>17.543999999999997</v>
      </c>
      <c r="CB82" s="27"/>
      <c r="CC82" s="27">
        <f t="shared" si="426"/>
        <v>5.5249999999999995</v>
      </c>
      <c r="CD82" s="109">
        <f t="shared" si="427"/>
        <v>6.5</v>
      </c>
      <c r="CE82" s="27">
        <f t="shared" si="428"/>
        <v>9.1</v>
      </c>
      <c r="CF82" s="27"/>
      <c r="CG82" s="126">
        <v>0</v>
      </c>
      <c r="CH82" s="27"/>
      <c r="CI82" s="27">
        <f t="shared" si="429"/>
        <v>0</v>
      </c>
      <c r="CJ82" s="27"/>
      <c r="CK82" s="27"/>
      <c r="CL82" s="27"/>
      <c r="CM82" s="27"/>
      <c r="CN82" s="27"/>
      <c r="CO82" s="27"/>
      <c r="CP82" s="27"/>
      <c r="CQ82" s="27"/>
      <c r="CR82" s="27"/>
      <c r="CS82" s="27"/>
      <c r="CT82" s="27"/>
      <c r="CU82" s="27"/>
      <c r="CV82" s="27"/>
      <c r="CW82" s="27"/>
      <c r="CX82" s="27"/>
      <c r="CY82" s="27"/>
      <c r="CZ82" s="27"/>
      <c r="DA82" s="27"/>
      <c r="DB82" s="27"/>
      <c r="DC82" s="27"/>
    </row>
    <row r="83" spans="3:107" s="20" customFormat="1" ht="26" customHeight="1" outlineLevel="2" thickBot="1" x14ac:dyDescent="0.35">
      <c r="C83" s="388" t="s">
        <v>91</v>
      </c>
      <c r="D83" s="378" t="s">
        <v>76</v>
      </c>
      <c r="E83" s="378" t="str">
        <f t="shared" si="430"/>
        <v>M</v>
      </c>
      <c r="F83" s="378" t="s">
        <v>423</v>
      </c>
      <c r="G83" s="378" t="s">
        <v>423</v>
      </c>
      <c r="H83" s="378" t="str">
        <f t="shared" si="431"/>
        <v>B</v>
      </c>
      <c r="I83" s="378" t="str">
        <f t="shared" si="432"/>
        <v>B</v>
      </c>
      <c r="J83" s="379">
        <f t="shared" si="409"/>
        <v>2</v>
      </c>
      <c r="K83" s="509" t="str">
        <f t="shared" si="433"/>
        <v>Chica 4</v>
      </c>
      <c r="L83" s="546" t="s">
        <v>747</v>
      </c>
      <c r="M83" s="526">
        <f t="shared" si="434"/>
        <v>4.8</v>
      </c>
      <c r="N83" s="526">
        <f t="shared" si="435"/>
        <v>2</v>
      </c>
      <c r="O83" s="530">
        <f t="shared" si="436"/>
        <v>6.8</v>
      </c>
      <c r="P83" s="58"/>
      <c r="Q83" s="143"/>
      <c r="R83" s="143"/>
      <c r="S83" s="143"/>
      <c r="T83" s="109"/>
      <c r="U83" s="144">
        <v>20</v>
      </c>
      <c r="V83" s="144">
        <v>2</v>
      </c>
      <c r="W83" s="144">
        <v>0</v>
      </c>
      <c r="X83" s="136"/>
      <c r="Y83" s="136" t="str">
        <f t="shared" si="411"/>
        <v>CatálogoChica2</v>
      </c>
      <c r="Z83" s="135">
        <f>VLOOKUP(Y83,Modelo!$G$82:$H$281,2,FALSE)</f>
        <v>22</v>
      </c>
      <c r="AA83" s="136"/>
      <c r="AB83" s="137" t="str">
        <f t="shared" si="412"/>
        <v>Chica 4</v>
      </c>
      <c r="AC83" s="137" t="str">
        <f t="shared" si="413"/>
        <v>Media</v>
      </c>
      <c r="AD83" s="137" t="str">
        <f t="shared" si="414"/>
        <v>Media</v>
      </c>
      <c r="AE83" s="137" t="str">
        <f t="shared" si="415"/>
        <v>Baja</v>
      </c>
      <c r="AF83" s="137" t="str">
        <f t="shared" si="416"/>
        <v>Baja</v>
      </c>
      <c r="AG83" s="137" t="str">
        <f t="shared" si="417"/>
        <v>Baja</v>
      </c>
      <c r="AH83" s="137" t="str">
        <f t="shared" si="418"/>
        <v>Baja</v>
      </c>
      <c r="AI83" s="137" t="str">
        <f t="shared" si="419"/>
        <v>Baja</v>
      </c>
      <c r="AJ83" s="137" t="str">
        <f t="shared" si="420"/>
        <v>Baja</v>
      </c>
      <c r="AK83" s="40"/>
      <c r="AL83" s="138">
        <f>IF(AB83=Modelo!$F$7,Modelo!$H$7,IF(AB83=Modelo!$F$8,Modelo!$H$8,IF(AB83=Modelo!$F$9,Modelo!$H$9,IF(AB83=Modelo!$F$10,Modelo!$H$10,IF(AB83=Modelo!$F$11,Modelo!$H$11,IF(AB83=Modelo!$F$12,Modelo!$H$12,IF(AB83=Modelo!$F$13,Modelo!$H$13,IF(AB83=Modelo!$F$14,Modelo!$H$14,IF(AB83=Modelo!$F$15,Modelo!$H$15,IF(AB83=Modelo!$F$16,Modelo!$H$16,IF(AB83=Modelo!$F$17,Modelo!$H$17,IF(AB83=Modelo!$F$18,Modelo!$H$18,IF(AB83=Modelo!$F$19,Modelo!$H$19,IF(AB83=Modelo!$F$20,Modelo!$H$20,IF(AB83=Modelo!$F$21,Modelo!$H$21,IF(AB83=Modelo!$F$22,Modelo!$H$22,0))))))))))))))))</f>
        <v>1.2000000000000002</v>
      </c>
      <c r="AM83" s="138">
        <f>IF(AB83=Modelo!$F$7,Modelo!$I$7,IF(AB83=Modelo!$F$8,Modelo!$I$8,IF(AB83=Modelo!$F$9,Modelo!$I$9,IF(AB83=Modelo!$F$10,Modelo!$I$10,IF(AB83=Modelo!$F$11,Modelo!$I$11,IF(AB83=Modelo!$F$12,Modelo!$I$12,IF(AB83=Modelo!$F$13,Modelo!$I$13,IF(AB83=Modelo!$F$14,Modelo!$I$14,IF(AB83=Modelo!$F$15,Modelo!$I$15,IF(AB83=Modelo!$F$16,Modelo!$I$16,IF(AB83=Modelo!$F$17,Modelo!$I$17,IF(AB83=Modelo!$F$18,Modelo!$I$18,IF(AB83=Modelo!$F$19,Modelo!$I$19,IF(AB83=Modelo!$F$20,Modelo!$I$20,IF(AB83=Modelo!$F$21,Modelo!$I$21,IF(AB83=Modelo!$F$22,Modelo!$I$22,0))))))))))))))))</f>
        <v>0.4</v>
      </c>
      <c r="AN83" s="138">
        <f>IF(AC83=Modelo!$F$23,Modelo!$H$23,IF(AC83=Modelo!$F$24,Modelo!$H$24,IF(AC83=Modelo!$F$25,Modelo!$H$25,0)))</f>
        <v>1.2</v>
      </c>
      <c r="AO83" s="138">
        <f>IF(AD83=Modelo!$F$26,Modelo!$H$26,IF(AD83=Modelo!$F$27,Modelo!$H$27,IF(AD83=Modelo!$F$28,Modelo!$H$28,0)))</f>
        <v>0.2</v>
      </c>
      <c r="AP83" s="138">
        <f>IF(AE83=Modelo!$F$30,Modelo!$H$30,IF(AE83=Modelo!$F$31,Modelo!$H$31,IF(AE83=Modelo!$F$32,Modelo!$H$32,0)))</f>
        <v>0.8</v>
      </c>
      <c r="AQ83" s="138">
        <f>IF(AF83=Modelo!$F$33,Modelo!$H$33,IF(AF83=Modelo!$F$34,Modelo!$H$34,IF(AF83=Modelo!$F$35,Modelo!$H$35,0)))</f>
        <v>0.3</v>
      </c>
      <c r="AR83" s="138">
        <f>IF(AG83=Modelo!$F$37,Modelo!$H$37,IF(AG83=Modelo!$F$38,Modelo!$H$38,IF(AG83=Modelo!$F$39,Modelo!$H$39,0)))</f>
        <v>0.8</v>
      </c>
      <c r="AS83" s="138">
        <f>IF(AH83=Modelo!$F$40,Modelo!$H$40,IF(AH83=Modelo!$F$41,Modelo!$H$41,IF(AH83=Modelo!$F$42,Modelo!$H$42,0)))</f>
        <v>0.4</v>
      </c>
      <c r="AT83" s="137">
        <f>IF(C83=Modelo!$F$44,Modelo!$H$44,IF(C83=Modelo!$F$45,Modelo!$H$45,IF(C83=Modelo!$F$46,Modelo!$H$46,IF(C83=Modelo!$F$47,Modelo!$H$47,IF(C83=Modelo!$F$48,Modelo!$H$48,IF(C83=Modelo!$F$49,Modelo!$H$49,IF(C83=Modelo!$F$50,Modelo!$H$50,IF(C83=Modelo!$F$51,Modelo!$H$51,IF(C83=Modelo!$F$52,Modelo!$H$52,IF(C83=Modelo!$F$53,Modelo!$H$53,0))))))))))</f>
        <v>1.5</v>
      </c>
      <c r="AU83" s="138">
        <f>IF(AI83=Modelo!$F$54,Modelo!$H$54,IF(AI83=Modelo!$F$55,Modelo!$H$55,IF(AI83=Modelo!$F$56,Modelo!$H$56,0)))</f>
        <v>1</v>
      </c>
      <c r="AV83" s="138">
        <f>IF(AJ83=Modelo!$F$58,Modelo!$H$58,IF(AJ83=Modelo!$F$59,Modelo!$H$59,IF(AJ83=Modelo!$F$60,Modelo!$H$60,0)))</f>
        <v>0.9</v>
      </c>
      <c r="AW83" s="40"/>
      <c r="AX83" s="139">
        <f>Modelo!$H$2</f>
        <v>0.05</v>
      </c>
      <c r="AY83" s="140">
        <f>ROUNDUP(Modelo!$I$2*Modelo!$H$3*Modelo!$I$75,2)</f>
        <v>0.02</v>
      </c>
      <c r="AZ83" s="141">
        <f>ROUNDUP(Modelo!$I$2*Modelo!$H$3*Modelo!$H$4*Modelo!$I$75,3)</f>
        <v>4.0000000000000001E-3</v>
      </c>
      <c r="BA83" s="139">
        <f>Modelo!$H$5</f>
        <v>0.04</v>
      </c>
      <c r="BB83" s="139">
        <f>ROUNDUP(SUM(BC83,BE83,BG83,BI83)*Modelo!$H$6,1)</f>
        <v>1.1000000000000001</v>
      </c>
      <c r="BC83" s="139">
        <f>ROUNDUP((AL83*AN83+0.1)*Modelo!$I$75,1)</f>
        <v>1.6</v>
      </c>
      <c r="BD83" s="139">
        <f>ROUNDUP(AM83*AN83*AO83*Modelo!$I$75,1)</f>
        <v>0.1</v>
      </c>
      <c r="BE83" s="139">
        <f>ROUNDUP(V83*Modelo!$H$29*AP83*Modelo!$I$75*2/3,1)</f>
        <v>1.1000000000000001</v>
      </c>
      <c r="BF83" s="139">
        <f>ROUNDUP(V83*Modelo!$H$29*AP83*AQ83*Modelo!$I$75*2/3,1)</f>
        <v>0.4</v>
      </c>
      <c r="BG83" s="139">
        <f>ROUNDUP(V83*Modelo!$H$29*AP83*Modelo!$I$75/3,1)</f>
        <v>0.6</v>
      </c>
      <c r="BH83" s="139">
        <f>ROUNDUP(V83*Modelo!$H$29*AP83*AQ83*Modelo!$I$75/3,1)</f>
        <v>0.2</v>
      </c>
      <c r="BI83" s="139">
        <f>ROUNDUP(W83*Modelo!$H$36*AR83*Modelo!$I$75,1)</f>
        <v>0</v>
      </c>
      <c r="BJ83" s="139">
        <f>ROUNDUP(W83*Modelo!$H$36*AR83*AS83*Modelo!$I$75,1)</f>
        <v>0</v>
      </c>
      <c r="BK83" s="139">
        <f>Modelo!$H$43</f>
        <v>0.04</v>
      </c>
      <c r="BL83" s="139">
        <f>ROUNDUP(SUM(ROUNDUP(AL83*AN83+0.1,1),ROUNDUP(V83*Modelo!$H$29*AP83,1),ROUNDUP(W83*Modelo!$H$36*AR83,1))*AU83*AT83*Modelo!$I$75,1)</f>
        <v>4.8</v>
      </c>
      <c r="BM83" s="139">
        <f t="shared" si="421"/>
        <v>0</v>
      </c>
      <c r="BN83" s="139">
        <f t="shared" si="422"/>
        <v>0</v>
      </c>
      <c r="BO83" s="139">
        <f t="shared" si="423"/>
        <v>0</v>
      </c>
      <c r="BP83" s="139">
        <f t="shared" si="424"/>
        <v>0</v>
      </c>
      <c r="BQ83" s="139">
        <f>ROUNDUP(SUM(ROUNDUP(AL83*AN83+0.1,1),ROUNDUP(V83*Modelo!$H$29*AP83,1),ROUNDUP(W83*Modelo!$H$36*AR83,1))*AT83*AV83*Modelo!$H$57,1)</f>
        <v>2</v>
      </c>
      <c r="BR83" s="409">
        <f t="shared" si="437"/>
        <v>4.5599999999999996</v>
      </c>
      <c r="BS83" s="139">
        <f>Modelo!$H$61</f>
        <v>0.04</v>
      </c>
      <c r="BT83" s="139">
        <f>ROUNDUP(SUM(ROUNDUP(AL83*AN83+0.1,1),ROUNDUP(V83*Modelo!$H$29*AP83,1),ROUNDUP(W83*Modelo!$H$36*AR83,1))*Modelo!$H$62*Modelo!$I$75,1)</f>
        <v>0.30000000000000004</v>
      </c>
      <c r="BU83" s="139">
        <f>ROUNDUP(ROUNDUP(SUM(ROUNDUP(AL83*AN83+0.1,1),ROUNDUP(V83*Modelo!$H$29*AP83,1),ROUNDUP(W83*Modelo!$H$36*AR83,1))*Modelo!$H$62,1)*Modelo!$H$63*Modelo!$I$75,1)</f>
        <v>0.1</v>
      </c>
      <c r="BV83" s="139">
        <f>SUM(ROUNDUP(AL83*AN83+0.1,1),ROUNDUP(V83*Modelo!$H$29*AP83,1),ROUNDUP(W83*Modelo!$H$36*AR83,1))*Modelo!$H$64*Modelo!$I$75</f>
        <v>0.64000000000000012</v>
      </c>
      <c r="BW83" s="139">
        <f>ROUNDUP(SUM(ROUNDUP(AL83*AN83+0.1,1),ROUNDUP(V83*Modelo!$H$29*AP83,1),ROUNDUP(W83*Modelo!$H$36*AR83,1))*Modelo!$H$64*Modelo!$H$65*Modelo!$I$75,1)</f>
        <v>0.4</v>
      </c>
      <c r="BX83" s="139">
        <f>Modelo!$H$66</f>
        <v>0.04</v>
      </c>
      <c r="BY83" s="139">
        <f>ROUNDUP(SUM(ROUNDUP(AL83*AN83+0.1,1),ROUNDUP(V83*Modelo!$H$29*AP83,1),ROUNDUP(W83*Modelo!$H$36*AR83,1))*Modelo!$H$69,1)</f>
        <v>0.7</v>
      </c>
      <c r="BZ83" s="139">
        <f>ROUNDUP(ROUNDUP(SUM(ROUNDUP(AL83*AN83+0.1,1),ROUNDUP(V83*Modelo!$H$29*AP83,1),ROUNDUP(W83*Modelo!$H$36*AR83,1))*Modelo!$H$62,1)*Modelo!$H$71,1)</f>
        <v>0.6</v>
      </c>
      <c r="CA83" s="142">
        <f t="shared" si="425"/>
        <v>19.434000000000001</v>
      </c>
      <c r="CB83" s="27"/>
      <c r="CC83" s="27">
        <f t="shared" si="426"/>
        <v>5.7799999999999994</v>
      </c>
      <c r="CD83" s="109">
        <f t="shared" si="427"/>
        <v>6.8</v>
      </c>
      <c r="CE83" s="27">
        <f t="shared" si="428"/>
        <v>9.52</v>
      </c>
      <c r="CF83" s="27"/>
      <c r="CG83" s="126">
        <v>0</v>
      </c>
      <c r="CH83" s="27"/>
      <c r="CI83" s="27">
        <f t="shared" si="429"/>
        <v>0</v>
      </c>
      <c r="CJ83" s="27"/>
      <c r="CK83" s="27"/>
      <c r="CL83" s="27"/>
      <c r="CM83" s="27"/>
      <c r="CN83" s="27"/>
      <c r="CO83" s="27"/>
      <c r="CP83" s="27"/>
      <c r="CQ83" s="27"/>
      <c r="CR83" s="27"/>
      <c r="CS83" s="27"/>
      <c r="CT83" s="27"/>
      <c r="CU83" s="27"/>
      <c r="CV83" s="27"/>
      <c r="CW83" s="27"/>
      <c r="CX83" s="27"/>
      <c r="CY83" s="27"/>
      <c r="CZ83" s="27"/>
      <c r="DA83" s="27"/>
      <c r="DB83" s="27"/>
      <c r="DC83" s="27"/>
    </row>
    <row r="84" spans="3:107" s="20" customFormat="1" ht="21.5" customHeight="1" outlineLevel="2" thickBot="1" x14ac:dyDescent="0.35">
      <c r="C84" s="388" t="s">
        <v>91</v>
      </c>
      <c r="D84" s="461" t="s">
        <v>18</v>
      </c>
      <c r="E84" s="461" t="str">
        <f t="shared" ref="E84" si="438">IF(U84&gt;50,"A",IF(U84&gt;15,"M","B"))</f>
        <v>M</v>
      </c>
      <c r="F84" s="461" t="s">
        <v>423</v>
      </c>
      <c r="G84" s="461" t="s">
        <v>423</v>
      </c>
      <c r="H84" s="461" t="str">
        <f t="shared" ref="H84" si="439">IF(V84+W84&gt;20,"A",IF(V84+W84&gt;5,"M","B"))</f>
        <v>B</v>
      </c>
      <c r="I84" s="461" t="str">
        <f t="shared" ref="I84" si="440">IF(V84+W84&gt;15,"A",IF(V84+W84&gt;4,"M","B"))</f>
        <v>B</v>
      </c>
      <c r="J84" s="425">
        <f t="shared" si="409"/>
        <v>2</v>
      </c>
      <c r="K84" s="503" t="str">
        <f t="shared" ref="K84" si="441">AB84</f>
        <v>Chica 4</v>
      </c>
      <c r="L84" s="546" t="s">
        <v>748</v>
      </c>
      <c r="M84" s="532">
        <f>BL84+BM84+BN84+BO84+BP84</f>
        <v>4.8</v>
      </c>
      <c r="N84" s="532">
        <f>BQ84</f>
        <v>2</v>
      </c>
      <c r="O84" s="538">
        <f>SUM(M84,N84)</f>
        <v>6.8</v>
      </c>
      <c r="P84" s="58"/>
      <c r="Q84" s="462"/>
      <c r="R84" s="462"/>
      <c r="S84" s="462"/>
      <c r="T84" s="109"/>
      <c r="U84" s="144">
        <v>20</v>
      </c>
      <c r="V84" s="144">
        <v>2</v>
      </c>
      <c r="W84" s="144">
        <v>0</v>
      </c>
      <c r="X84" s="463"/>
      <c r="Y84" s="463" t="str">
        <f t="shared" si="411"/>
        <v>CatálogoChica2</v>
      </c>
      <c r="Z84" s="135">
        <f>VLOOKUP(Y84,[1]Modelo!$G$82:$H$281,2,FALSE)</f>
        <v>22</v>
      </c>
      <c r="AA84" s="463"/>
      <c r="AB84" s="137" t="str">
        <f t="shared" si="412"/>
        <v>Chica 4</v>
      </c>
      <c r="AC84" s="137" t="str">
        <f t="shared" si="413"/>
        <v>Media</v>
      </c>
      <c r="AD84" s="137" t="str">
        <f t="shared" si="414"/>
        <v>Media</v>
      </c>
      <c r="AE84" s="137" t="str">
        <f t="shared" si="415"/>
        <v>Baja</v>
      </c>
      <c r="AF84" s="137" t="str">
        <f t="shared" si="416"/>
        <v>Baja</v>
      </c>
      <c r="AG84" s="137" t="str">
        <f t="shared" si="417"/>
        <v>Baja</v>
      </c>
      <c r="AH84" s="137" t="str">
        <f t="shared" si="418"/>
        <v>Baja</v>
      </c>
      <c r="AI84" s="137" t="str">
        <f t="shared" si="419"/>
        <v>Baja</v>
      </c>
      <c r="AJ84" s="137" t="str">
        <f t="shared" si="420"/>
        <v>Baja</v>
      </c>
      <c r="AK84" s="40"/>
      <c r="AL84" s="138">
        <f>IF(AB84=[1]Modelo!$F$7,[1]Modelo!$H$7,IF(AB84=[1]Modelo!$F$8,[1]Modelo!$H$8,IF(AB84=[1]Modelo!$F$9,[1]Modelo!$H$9,IF(AB84=[1]Modelo!$F$10,[1]Modelo!$H$10,IF(AB84=[1]Modelo!$F$11,[1]Modelo!$H$11,IF(AB84=[1]Modelo!$F$12,[1]Modelo!$H$12,IF(AB84=[1]Modelo!$F$13,[1]Modelo!$H$13,IF(AB84=[1]Modelo!$F$14,[1]Modelo!$H$14,IF(AB84=[1]Modelo!$F$15,[1]Modelo!$H$15,IF(AB84=[1]Modelo!$F$16,[1]Modelo!$H$16,IF(AB84=[1]Modelo!$F$17,[1]Modelo!$H$17,IF(AB84=[1]Modelo!$F$18,[1]Modelo!$H$18,IF(AB84=[1]Modelo!$F$19,[1]Modelo!$H$19,IF(AB84=[1]Modelo!$F$20,[1]Modelo!$H$20,IF(AB84=[1]Modelo!$F$21,[1]Modelo!$H$21,IF(AB84=[1]Modelo!$F$22,[1]Modelo!$H$22,0))))))))))))))))</f>
        <v>1.2000000000000002</v>
      </c>
      <c r="AM84" s="138">
        <f>IF(AB84=[1]Modelo!$F$7,[1]Modelo!$I$7,IF(AB84=[1]Modelo!$F$8,[1]Modelo!$I$8,IF(AB84=[1]Modelo!$F$9,[1]Modelo!$I$9,IF(AB84=[1]Modelo!$F$10,[1]Modelo!$I$10,IF(AB84=[1]Modelo!$F$11,[1]Modelo!$I$11,IF(AB84=[1]Modelo!$F$12,[1]Modelo!$I$12,IF(AB84=[1]Modelo!$F$13,[1]Modelo!$I$13,IF(AB84=[1]Modelo!$F$14,[1]Modelo!$I$14,IF(AB84=[1]Modelo!$F$15,[1]Modelo!$I$15,IF(AB84=[1]Modelo!$F$16,[1]Modelo!$I$16,IF(AB84=[1]Modelo!$F$17,[1]Modelo!$I$17,IF(AB84=[1]Modelo!$F$18,[1]Modelo!$I$18,IF(AB84=[1]Modelo!$F$19,[1]Modelo!$I$19,IF(AB84=[1]Modelo!$F$20,[1]Modelo!$I$20,IF(AB84=[1]Modelo!$F$21,[1]Modelo!$I$21,IF(AB84=[1]Modelo!$F$22,[1]Modelo!$I$22,0))))))))))))))))</f>
        <v>0.4</v>
      </c>
      <c r="AN84" s="138">
        <f>IF(AC84=[1]Modelo!$F$23,[1]Modelo!$H$23,IF(AC84=[1]Modelo!$F$24,[1]Modelo!$H$24,IF(AC84=[1]Modelo!$F$25,[1]Modelo!$H$25,0)))</f>
        <v>1.2</v>
      </c>
      <c r="AO84" s="138">
        <f>IF(AD84=[1]Modelo!$F$26,[1]Modelo!$H$26,IF(AD84=[1]Modelo!$F$27,[1]Modelo!$H$27,IF(AD84=[1]Modelo!$F$28,[1]Modelo!$H$28,0)))</f>
        <v>0.2</v>
      </c>
      <c r="AP84" s="138">
        <f>IF(AE84=[1]Modelo!$F$30,[1]Modelo!$H$30,IF(AE84=[1]Modelo!$F$31,[1]Modelo!$H$31,IF(AE84=[1]Modelo!$F$32,[1]Modelo!$H$32,0)))</f>
        <v>0.8</v>
      </c>
      <c r="AQ84" s="138">
        <f>IF(AF84=[1]Modelo!$F$33,[1]Modelo!$H$33,IF(AF84=[1]Modelo!$F$34,[1]Modelo!$H$34,IF(AF84=[1]Modelo!$F$35,[1]Modelo!$H$35,0)))</f>
        <v>0.3</v>
      </c>
      <c r="AR84" s="138">
        <f>IF(AG84=[1]Modelo!$F$37,[1]Modelo!$H$37,IF(AG84=[1]Modelo!$F$38,[1]Modelo!$H$38,IF(AG84=[1]Modelo!$F$39,[1]Modelo!$H$39,0)))</f>
        <v>0.8</v>
      </c>
      <c r="AS84" s="138">
        <f>IF(AH84=[1]Modelo!$F$40,[1]Modelo!$H$40,IF(AH84=[1]Modelo!$F$41,[1]Modelo!$H$41,IF(AH84=[1]Modelo!$F$42,[1]Modelo!$H$42,0)))</f>
        <v>0.4</v>
      </c>
      <c r="AT84" s="137">
        <f>IF(C84=[1]Modelo!$F$44,[1]Modelo!$H$44,IF(C84=[1]Modelo!$F$45,[1]Modelo!$H$45,IF(C84=[1]Modelo!$F$46,[1]Modelo!$H$46,IF(C84=[1]Modelo!$F$47,[1]Modelo!$H$47,IF(C84=[1]Modelo!$F$48,[1]Modelo!$H$48,IF(C84=[1]Modelo!$F$49,[1]Modelo!$H$49,IF(C84=[1]Modelo!$F$50,[1]Modelo!$H$50,IF(C84=[1]Modelo!$F$51,[1]Modelo!$H$51,IF(C84=[1]Modelo!$F$52,[1]Modelo!$H$52,IF(C84=[1]Modelo!$F$53,[1]Modelo!$H$53,0))))))))))</f>
        <v>1.5</v>
      </c>
      <c r="AU84" s="138">
        <f>IF(AI84=[1]Modelo!$F$54,[1]Modelo!$H$54,IF(AI84=[1]Modelo!$F$55,[1]Modelo!$H$55,IF(AI84=[1]Modelo!$F$56,[1]Modelo!$H$56,0)))</f>
        <v>1</v>
      </c>
      <c r="AV84" s="138">
        <f>IF(AJ84=[1]Modelo!$F$58,[1]Modelo!$H$58,IF(AJ84=[1]Modelo!$F$59,[1]Modelo!$H$59,IF(AJ84=[1]Modelo!$F$60,[1]Modelo!$H$60,0)))</f>
        <v>0.9</v>
      </c>
      <c r="AW84" s="40"/>
      <c r="AX84" s="139">
        <f>[1]Modelo!$H$2</f>
        <v>0.05</v>
      </c>
      <c r="AY84" s="140">
        <f>ROUNDUP([1]Modelo!$I$2*[1]Modelo!$H$3*[1]Modelo!$I$75,2)</f>
        <v>0.02</v>
      </c>
      <c r="AZ84" s="141">
        <f>ROUNDUP([1]Modelo!$I$2*[1]Modelo!$H$3*[1]Modelo!$H$4*[1]Modelo!$I$75,3)</f>
        <v>3.0000000000000001E-3</v>
      </c>
      <c r="BA84" s="139">
        <f>[1]Modelo!$H$5</f>
        <v>0.04</v>
      </c>
      <c r="BB84" s="139">
        <f>ROUNDUP(SUM(BC84,BE84,BG84,BI84)*[1]Modelo!$H$6,1)</f>
        <v>1.1000000000000001</v>
      </c>
      <c r="BC84" s="139">
        <f>ROUNDUP((AL84*AN84+0.1)*[1]Modelo!$I$75,1)</f>
        <v>1.6</v>
      </c>
      <c r="BD84" s="139">
        <f>ROUNDUP(AM84*AN84*AO84*[1]Modelo!$I$75,1)</f>
        <v>0.1</v>
      </c>
      <c r="BE84" s="139">
        <f>ROUNDUP(V84*[1]Modelo!$H$29*AP84*[1]Modelo!$I$75*2/3,1)</f>
        <v>1.1000000000000001</v>
      </c>
      <c r="BF84" s="139">
        <f>ROUNDUP(V84*[1]Modelo!$H$29*AP84*AQ84*[1]Modelo!$I$75*2/3,1)</f>
        <v>0.4</v>
      </c>
      <c r="BG84" s="139">
        <f>ROUNDUP(V84*[1]Modelo!$H$29*AP84*[1]Modelo!$I$75/3,1)</f>
        <v>0.6</v>
      </c>
      <c r="BH84" s="139">
        <f>ROUNDUP(V84*[1]Modelo!$H$29*AP84*AQ84*[1]Modelo!$I$75/3,1)</f>
        <v>0.2</v>
      </c>
      <c r="BI84" s="139">
        <f>ROUNDUP(W84*[1]Modelo!$H$36*AR84*[1]Modelo!$I$75,1)</f>
        <v>0</v>
      </c>
      <c r="BJ84" s="139">
        <f>ROUNDUP(W84*[1]Modelo!$H$36*AR84*AS84*[1]Modelo!$I$75,1)</f>
        <v>0</v>
      </c>
      <c r="BK84" s="139">
        <f>[1]Modelo!$H$43</f>
        <v>0.04</v>
      </c>
      <c r="BL84" s="139">
        <f>ROUNDUP(SUM(ROUNDUP(AL84*AN84+0.1,1),ROUNDUP(V84*[1]Modelo!$H$29*AP84,1),ROUNDUP(W84*[1]Modelo!$H$36*AR84,1))*AU84*AT84*[1]Modelo!$I$75,1)</f>
        <v>4.8</v>
      </c>
      <c r="BM84" s="139">
        <f t="shared" si="421"/>
        <v>0</v>
      </c>
      <c r="BN84" s="139">
        <f t="shared" si="422"/>
        <v>0</v>
      </c>
      <c r="BO84" s="139">
        <f t="shared" si="423"/>
        <v>0</v>
      </c>
      <c r="BP84" s="139">
        <f t="shared" si="424"/>
        <v>0</v>
      </c>
      <c r="BQ84" s="139">
        <f>ROUNDUP(SUM(ROUNDUP(AL84*AN84+0.1,1),ROUNDUP(V84*[1]Modelo!$H$29*AP84,1),ROUNDUP(W84*[1]Modelo!$H$36*AR84,1))*AT84*AV84*[1]Modelo!$H$57,1)</f>
        <v>2</v>
      </c>
      <c r="BR84" s="409">
        <v>0</v>
      </c>
      <c r="BS84" s="139">
        <f>[1]Modelo!$H$61</f>
        <v>0.04</v>
      </c>
      <c r="BT84" s="139">
        <f>ROUNDUP(SUM(ROUNDUP(AL84*AN84+0.1,1),ROUNDUP(V84*[1]Modelo!$H$29*AP84,1),ROUNDUP(W84*[1]Modelo!$H$36*AR84,1))*[1]Modelo!$H$62*[1]Modelo!$I$75,1)</f>
        <v>0.30000000000000004</v>
      </c>
      <c r="BU84" s="139">
        <f>ROUNDUP(ROUNDUP(SUM(ROUNDUP(AL84*AN84+0.1,1),ROUNDUP(V84*[1]Modelo!$H$29*AP84,1),ROUNDUP(W84*[1]Modelo!$H$36*AR84,1))*[1]Modelo!$H$62,1)*[1]Modelo!$H$63*[1]Modelo!$I$75,1)</f>
        <v>0.1</v>
      </c>
      <c r="BV84" s="139">
        <f>SUM(ROUNDUP(AL84*AN84+0.1,1),ROUNDUP(V84*[1]Modelo!$H$29*AP84,1),ROUNDUP(W84*[1]Modelo!$H$36*AR84,1))*[1]Modelo!$H$64*[1]Modelo!$I$75</f>
        <v>0.64000000000000012</v>
      </c>
      <c r="BW84" s="139">
        <f>ROUNDUP(SUM(ROUNDUP(AL84*AN84+0.1,1),ROUNDUP(V84*[1]Modelo!$H$29*AP84,1),ROUNDUP(W84*[1]Modelo!$H$36*AR84,1))*[1]Modelo!$H$64*[1]Modelo!$H$65*[1]Modelo!$I$75,1)</f>
        <v>0.4</v>
      </c>
      <c r="BX84" s="139">
        <f>[1]Modelo!$H$66</f>
        <v>0.04</v>
      </c>
      <c r="BY84" s="139">
        <f>ROUNDUP(SUM(ROUNDUP(AL84*AN84+0.1,1),ROUNDUP(V84*[1]Modelo!$H$29*AP84,1),ROUNDUP(W84*[1]Modelo!$H$36*AR84,1))*[1]Modelo!$H$69,1)</f>
        <v>0.7</v>
      </c>
      <c r="BZ84" s="139">
        <f>ROUNDUP(ROUNDUP(SUM(ROUNDUP(AL84*AN84+0.1,1),ROUNDUP(V84*[1]Modelo!$H$29*AP84,1),ROUNDUP(W84*[1]Modelo!$H$36*AR84,1))*[1]Modelo!$H$62,1)*[1]Modelo!$H$71,1)</f>
        <v>0.6</v>
      </c>
      <c r="CA84" s="142">
        <f t="shared" si="425"/>
        <v>14.872999999999999</v>
      </c>
      <c r="CB84" s="27"/>
      <c r="CC84" s="27">
        <f t="shared" si="426"/>
        <v>5.7799999999999994</v>
      </c>
      <c r="CD84" s="109">
        <f t="shared" si="427"/>
        <v>6.8</v>
      </c>
      <c r="CE84" s="27">
        <f t="shared" si="428"/>
        <v>9.52</v>
      </c>
      <c r="CF84" s="27"/>
      <c r="CG84" s="126">
        <v>0</v>
      </c>
      <c r="CH84" s="27"/>
      <c r="CI84" s="27">
        <f t="shared" si="429"/>
        <v>0</v>
      </c>
      <c r="CJ84" s="27"/>
      <c r="CK84" s="27"/>
      <c r="CL84" s="27"/>
      <c r="CM84" s="27"/>
      <c r="CN84" s="27"/>
      <c r="CO84" s="27"/>
      <c r="CP84" s="27"/>
      <c r="CQ84" s="27"/>
      <c r="CR84" s="27"/>
      <c r="CS84" s="27"/>
      <c r="CT84" s="27"/>
      <c r="CU84" s="27"/>
      <c r="CV84" s="27"/>
      <c r="CW84" s="27"/>
      <c r="CX84" s="27"/>
      <c r="CY84" s="27"/>
      <c r="CZ84" s="27"/>
      <c r="DA84" s="27"/>
      <c r="DB84" s="27"/>
      <c r="DC84" s="27"/>
    </row>
    <row r="85" spans="3:107" s="20" customFormat="1" ht="53" customHeight="1" outlineLevel="2" thickBot="1" x14ac:dyDescent="0.35">
      <c r="C85" s="388" t="s">
        <v>99</v>
      </c>
      <c r="D85" s="461" t="s">
        <v>18</v>
      </c>
      <c r="E85" s="461" t="str">
        <f t="shared" ref="E85" si="442">IF(U85&gt;50,"A",IF(U85&gt;15,"M","B"))</f>
        <v>B</v>
      </c>
      <c r="F85" s="461" t="s">
        <v>423</v>
      </c>
      <c r="G85" s="461" t="s">
        <v>423</v>
      </c>
      <c r="H85" s="461" t="str">
        <f t="shared" ref="H85" si="443">IF(V85+W85&gt;20,"A",IF(V85+W85&gt;5,"M","B"))</f>
        <v>M</v>
      </c>
      <c r="I85" s="461" t="str">
        <f t="shared" ref="I85" si="444">IF(V85+W85&gt;15,"A",IF(V85+W85&gt;4,"M","B"))</f>
        <v>M</v>
      </c>
      <c r="J85" s="425">
        <f t="shared" ref="J85" si="445">V85+W85</f>
        <v>6</v>
      </c>
      <c r="K85" s="503" t="str">
        <f t="shared" ref="K85" si="446">AB85</f>
        <v>Chica 2</v>
      </c>
      <c r="L85" s="546" t="s">
        <v>784</v>
      </c>
      <c r="M85" s="532">
        <f>BL85+BM85+BN85+BO85+BP85</f>
        <v>26.4</v>
      </c>
      <c r="N85" s="532">
        <f>BQ85</f>
        <v>9.9</v>
      </c>
      <c r="O85" s="538">
        <f>SUM(M85,N85)</f>
        <v>36.299999999999997</v>
      </c>
      <c r="P85" s="58"/>
      <c r="Q85" s="462"/>
      <c r="R85" s="462"/>
      <c r="S85" s="462"/>
      <c r="T85" s="109"/>
      <c r="U85" s="144">
        <v>10</v>
      </c>
      <c r="V85" s="144">
        <v>6</v>
      </c>
      <c r="W85" s="144">
        <v>0</v>
      </c>
      <c r="X85" s="463"/>
      <c r="Y85" s="463" t="str">
        <f t="shared" ref="Y85" si="447">CONCATENATE(C85,LEFT(K85,5),J85)</f>
        <v>OperaciónChica6</v>
      </c>
      <c r="Z85" s="135" t="e">
        <f>VLOOKUP(Y85,[1]Modelo!$G$82:$H$281,2,FALSE)</f>
        <v>#N/A</v>
      </c>
      <c r="AA85" s="463"/>
      <c r="AB85" s="137" t="str">
        <f t="shared" ref="AB85" si="448">IF(AND(U85&gt;=0,U85&lt;=6),"Chica 1",IF(AND(U85&gt;=7,U85&lt;=12),"Chica 2",IF(AND(U85&gt;=13,U85&lt;=18),"Chica 3",IF(AND(U85&gt;=19,U85&lt;=24),"Chica 4",IF(AND(U85&gt;=25,U85&lt;=30),"Mediana 1",IF(AND(U85&gt;=31,U85&lt;=36),"Mediana 2",IF(AND(U85&gt;=37,U85&lt;=42),"Mediana 3",IF(AND(U85&gt;=43,U85&lt;=48),"Mediana 4",IF(AND(U85&gt;=49,U85&lt;=54),"Grande 1",IF(AND(U85&gt;=55,U85&lt;=60),"Grande 2",IF(AND(U85&gt;=61,U85&lt;=66),"Grande 3",IF(AND(U85&gt;=67,U85&lt;=72),"Grande 4",IF(AND(U85&gt;=73,U85&lt;=78),"M. grande 1",IF(AND(U85&gt;=79,U85&lt;=84),"M. grande 2",IF(AND(U85&gt;=85,U85&lt;=90),"M. grande 3",IF(AND(U85&gt;=91,U85&lt;=96),"M. grande 4","NO DEF"))))))))))))))))</f>
        <v>Chica 2</v>
      </c>
      <c r="AC85" s="137" t="str">
        <f t="shared" ref="AC85" si="449">IF(E85="A","Alta",IF(E85="M","Media","Baja"))</f>
        <v>Baja</v>
      </c>
      <c r="AD85" s="137" t="str">
        <f t="shared" ref="AD85" si="450">IF(E85="A","Alta",IF(E85="M","Media","Baja"))</f>
        <v>Baja</v>
      </c>
      <c r="AE85" s="137" t="str">
        <f t="shared" ref="AE85" si="451">IF(F85="A","Alta",IF(F85="M","Media","Baja"))</f>
        <v>Baja</v>
      </c>
      <c r="AF85" s="137" t="str">
        <f t="shared" ref="AF85" si="452">IF(F85="A","Alta",IF(F85="M","Media","Baja"))</f>
        <v>Baja</v>
      </c>
      <c r="AG85" s="137" t="str">
        <f t="shared" ref="AG85" si="453">IF(G85="A","Alta",IF(G85="M","Media","Baja"))</f>
        <v>Baja</v>
      </c>
      <c r="AH85" s="137" t="str">
        <f t="shared" ref="AH85" si="454">IF(G85="A","Alta",IF(G85="M","Media","Baja"))</f>
        <v>Baja</v>
      </c>
      <c r="AI85" s="137" t="str">
        <f t="shared" ref="AI85" si="455">IF(H85="A","Alta",IF(H85="M","Media","Baja"))</f>
        <v>Media</v>
      </c>
      <c r="AJ85" s="137" t="str">
        <f t="shared" ref="AJ85" si="456">IF(I85="A","Alta",IF(I85="M","Media","Baja"))</f>
        <v>Media</v>
      </c>
      <c r="AK85" s="40"/>
      <c r="AL85" s="138">
        <f>IF(AB85=[1]Modelo!$F$7,[1]Modelo!$H$7,IF(AB85=[1]Modelo!$F$8,[1]Modelo!$H$8,IF(AB85=[1]Modelo!$F$9,[1]Modelo!$H$9,IF(AB85=[1]Modelo!$F$10,[1]Modelo!$H$10,IF(AB85=[1]Modelo!$F$11,[1]Modelo!$H$11,IF(AB85=[1]Modelo!$F$12,[1]Modelo!$H$12,IF(AB85=[1]Modelo!$F$13,[1]Modelo!$H$13,IF(AB85=[1]Modelo!$F$14,[1]Modelo!$H$14,IF(AB85=[1]Modelo!$F$15,[1]Modelo!$H$15,IF(AB85=[1]Modelo!$F$16,[1]Modelo!$H$16,IF(AB85=[1]Modelo!$F$17,[1]Modelo!$H$17,IF(AB85=[1]Modelo!$F$18,[1]Modelo!$H$18,IF(AB85=[1]Modelo!$F$19,[1]Modelo!$H$19,IF(AB85=[1]Modelo!$F$20,[1]Modelo!$H$20,IF(AB85=[1]Modelo!$F$21,[1]Modelo!$H$21,IF(AB85=[1]Modelo!$F$22,[1]Modelo!$H$22,0))))))))))))))))</f>
        <v>0.60000000000000009</v>
      </c>
      <c r="AM85" s="138">
        <f>IF(AB85=[1]Modelo!$F$7,[1]Modelo!$I$7,IF(AB85=[1]Modelo!$F$8,[1]Modelo!$I$8,IF(AB85=[1]Modelo!$F$9,[1]Modelo!$I$9,IF(AB85=[1]Modelo!$F$10,[1]Modelo!$I$10,IF(AB85=[1]Modelo!$F$11,[1]Modelo!$I$11,IF(AB85=[1]Modelo!$F$12,[1]Modelo!$I$12,IF(AB85=[1]Modelo!$F$13,[1]Modelo!$I$13,IF(AB85=[1]Modelo!$F$14,[1]Modelo!$I$14,IF(AB85=[1]Modelo!$F$15,[1]Modelo!$I$15,IF(AB85=[1]Modelo!$F$16,[1]Modelo!$I$16,IF(AB85=[1]Modelo!$F$17,[1]Modelo!$I$17,IF(AB85=[1]Modelo!$F$18,[1]Modelo!$I$18,IF(AB85=[1]Modelo!$F$19,[1]Modelo!$I$19,IF(AB85=[1]Modelo!$F$20,[1]Modelo!$I$20,IF(AB85=[1]Modelo!$F$21,[1]Modelo!$I$21,IF(AB85=[1]Modelo!$F$22,[1]Modelo!$I$22,0))))))))))))))))</f>
        <v>0.2</v>
      </c>
      <c r="AN85" s="138">
        <f>IF(AC85=[1]Modelo!$F$23,[1]Modelo!$H$23,IF(AC85=[1]Modelo!$F$24,[1]Modelo!$H$24,IF(AC85=[1]Modelo!$F$25,[1]Modelo!$H$25,0)))</f>
        <v>1</v>
      </c>
      <c r="AO85" s="138">
        <f>IF(AD85=[1]Modelo!$F$26,[1]Modelo!$H$26,IF(AD85=[1]Modelo!$F$27,[1]Modelo!$H$27,IF(AD85=[1]Modelo!$F$28,[1]Modelo!$H$28,0)))</f>
        <v>0.1</v>
      </c>
      <c r="AP85" s="138">
        <f>IF(AE85=[1]Modelo!$F$30,[1]Modelo!$H$30,IF(AE85=[1]Modelo!$F$31,[1]Modelo!$H$31,IF(AE85=[1]Modelo!$F$32,[1]Modelo!$H$32,0)))</f>
        <v>0.8</v>
      </c>
      <c r="AQ85" s="138">
        <f>IF(AF85=[1]Modelo!$F$33,[1]Modelo!$H$33,IF(AF85=[1]Modelo!$F$34,[1]Modelo!$H$34,IF(AF85=[1]Modelo!$F$35,[1]Modelo!$H$35,0)))</f>
        <v>0.3</v>
      </c>
      <c r="AR85" s="138">
        <f>IF(AG85=[1]Modelo!$F$37,[1]Modelo!$H$37,IF(AG85=[1]Modelo!$F$38,[1]Modelo!$H$38,IF(AG85=[1]Modelo!$F$39,[1]Modelo!$H$39,0)))</f>
        <v>0.8</v>
      </c>
      <c r="AS85" s="138">
        <f>IF(AH85=[1]Modelo!$F$40,[1]Modelo!$H$40,IF(AH85=[1]Modelo!$F$41,[1]Modelo!$H$41,IF(AH85=[1]Modelo!$F$42,[1]Modelo!$H$42,0)))</f>
        <v>0.4</v>
      </c>
      <c r="AT85" s="137">
        <f>IF(C85=[1]Modelo!$F$44,[1]Modelo!$H$44,IF(C85=[1]Modelo!$F$45,[1]Modelo!$H$45,IF(C85=[1]Modelo!$F$46,[1]Modelo!$H$46,IF(C85=[1]Modelo!$F$47,[1]Modelo!$H$47,IF(C85=[1]Modelo!$F$48,[1]Modelo!$H$48,IF(C85=[1]Modelo!$F$49,[1]Modelo!$H$49,IF(C85=[1]Modelo!$F$50,[1]Modelo!$H$50,IF(C85=[1]Modelo!$F$51,[1]Modelo!$H$51,IF(C85=[1]Modelo!$F$52,[1]Modelo!$H$52,IF(C85=[1]Modelo!$F$53,[1]Modelo!$H$53,0))))))))))</f>
        <v>4</v>
      </c>
      <c r="AU85" s="138">
        <f>IF(AI85=[1]Modelo!$F$54,[1]Modelo!$H$54,IF(AI85=[1]Modelo!$F$55,[1]Modelo!$H$55,IF(AI85=[1]Modelo!$F$56,[1]Modelo!$H$56,0)))</f>
        <v>1.2</v>
      </c>
      <c r="AV85" s="138">
        <f>IF(AJ85=[1]Modelo!$F$58,[1]Modelo!$H$58,IF(AJ85=[1]Modelo!$F$59,[1]Modelo!$H$59,IF(AJ85=[1]Modelo!$F$60,[1]Modelo!$H$60,0)))</f>
        <v>1</v>
      </c>
      <c r="AW85" s="40"/>
      <c r="AX85" s="139">
        <f>[1]Modelo!$H$2</f>
        <v>0.05</v>
      </c>
      <c r="AY85" s="140">
        <f>ROUNDUP([1]Modelo!$I$2*[1]Modelo!$H$3*[1]Modelo!$I$75,2)</f>
        <v>0.02</v>
      </c>
      <c r="AZ85" s="141">
        <f>ROUNDUP([1]Modelo!$I$2*[1]Modelo!$H$3*[1]Modelo!$H$4*[1]Modelo!$I$75,3)</f>
        <v>3.0000000000000001E-3</v>
      </c>
      <c r="BA85" s="139">
        <f>[1]Modelo!$H$5</f>
        <v>0.04</v>
      </c>
      <c r="BB85" s="139">
        <f>ROUNDUP(SUM(BC85,BE85,BG85,BI85)*[1]Modelo!$H$6,1)</f>
        <v>1.9000000000000001</v>
      </c>
      <c r="BC85" s="139">
        <f>ROUNDUP((AL85*AN85+0.1)*[1]Modelo!$I$75,1)</f>
        <v>0.7</v>
      </c>
      <c r="BD85" s="139">
        <f>ROUNDUP(AM85*AN85*AO85*[1]Modelo!$I$75,1)</f>
        <v>0.1</v>
      </c>
      <c r="BE85" s="139">
        <f>ROUNDUP(V85*[1]Modelo!$H$29*AP85*[1]Modelo!$I$75*2/3,1)</f>
        <v>3.2</v>
      </c>
      <c r="BF85" s="139">
        <f>ROUNDUP(V85*[1]Modelo!$H$29*AP85*AQ85*[1]Modelo!$I$75*2/3,1)</f>
        <v>1</v>
      </c>
      <c r="BG85" s="139">
        <f>ROUNDUP(V85*[1]Modelo!$H$29*AP85*[1]Modelo!$I$75/3,1)</f>
        <v>1.6</v>
      </c>
      <c r="BH85" s="139">
        <f>ROUNDUP(V85*[1]Modelo!$H$29*AP85*AQ85*[1]Modelo!$I$75/3,1)</f>
        <v>0.5</v>
      </c>
      <c r="BI85" s="139">
        <f>ROUNDUP(W85*[1]Modelo!$H$36*AR85*[1]Modelo!$I$75,1)</f>
        <v>0</v>
      </c>
      <c r="BJ85" s="139">
        <f>ROUNDUP(W85*[1]Modelo!$H$36*AR85*AS85*[1]Modelo!$I$75,1)</f>
        <v>0</v>
      </c>
      <c r="BK85" s="139">
        <f>[1]Modelo!$H$43</f>
        <v>0.04</v>
      </c>
      <c r="BL85" s="139">
        <f>ROUNDUP(SUM(ROUNDUP(AL85*AN85+0.1,1),ROUNDUP(V85*[1]Modelo!$H$29*AP85,1),ROUNDUP(W85*[1]Modelo!$H$36*AR85,1))*AU85*AT85*[1]Modelo!$I$75,1)</f>
        <v>26.4</v>
      </c>
      <c r="BM85" s="139">
        <f t="shared" ref="BM85" si="457">IF(K$32="x",0, BL85*0.1*1.25)</f>
        <v>0</v>
      </c>
      <c r="BN85" s="139">
        <f t="shared" ref="BN85" si="458">IF(Q85="x",(BL85)*0.1,0)</f>
        <v>0</v>
      </c>
      <c r="BO85" s="139">
        <f t="shared" ref="BO85" si="459">IF(R85="x",(BL85)*0.12,0)</f>
        <v>0</v>
      </c>
      <c r="BP85" s="139">
        <f t="shared" ref="BP85" si="460">IF(S85="x",(BL85)*0.12,0)*4</f>
        <v>0</v>
      </c>
      <c r="BQ85" s="139">
        <f>ROUNDUP(SUM(ROUNDUP(AL85*AN85+0.1,1),ROUNDUP(V85*[1]Modelo!$H$29*AP85,1),ROUNDUP(W85*[1]Modelo!$H$36*AR85,1))*AT85*AV85*[1]Modelo!$H$57,1)</f>
        <v>9.9</v>
      </c>
      <c r="BR85" s="409">
        <v>0</v>
      </c>
      <c r="BS85" s="139">
        <f>[1]Modelo!$H$61</f>
        <v>0.04</v>
      </c>
      <c r="BT85" s="139">
        <f>ROUNDUP(SUM(ROUNDUP(AL85*AN85+0.1,1),ROUNDUP(V85*[1]Modelo!$H$29*AP85,1),ROUNDUP(W85*[1]Modelo!$H$36*AR85,1))*[1]Modelo!$H$62*[1]Modelo!$I$75,1)</f>
        <v>0.4</v>
      </c>
      <c r="BU85" s="139">
        <f>ROUNDUP(ROUNDUP(SUM(ROUNDUP(AL85*AN85+0.1,1),ROUNDUP(V85*[1]Modelo!$H$29*AP85,1),ROUNDUP(W85*[1]Modelo!$H$36*AR85,1))*[1]Modelo!$H$62,1)*[1]Modelo!$H$63*[1]Modelo!$I$75,1)</f>
        <v>0.2</v>
      </c>
      <c r="BV85" s="139">
        <f>SUM(ROUNDUP(AL85*AN85+0.1,1),ROUNDUP(V85*[1]Modelo!$H$29*AP85,1),ROUNDUP(W85*[1]Modelo!$H$36*AR85,1))*[1]Modelo!$H$64*[1]Modelo!$I$75</f>
        <v>1.1000000000000001</v>
      </c>
      <c r="BW85" s="139">
        <f>ROUNDUP(SUM(ROUNDUP(AL85*AN85+0.1,1),ROUNDUP(V85*[1]Modelo!$H$29*AP85,1),ROUNDUP(W85*[1]Modelo!$H$36*AR85,1))*[1]Modelo!$H$64*[1]Modelo!$H$65*[1]Modelo!$I$75,1)</f>
        <v>0.6</v>
      </c>
      <c r="BX85" s="139">
        <f>[1]Modelo!$H$66</f>
        <v>0.04</v>
      </c>
      <c r="BY85" s="139">
        <f>ROUNDUP(SUM(ROUNDUP(AL85*AN85+0.1,1),ROUNDUP(V85*[1]Modelo!$H$29*AP85,1),ROUNDUP(W85*[1]Modelo!$H$36*AR85,1))*[1]Modelo!$H$69,1)</f>
        <v>1.2000000000000002</v>
      </c>
      <c r="BZ85" s="139">
        <f>ROUNDUP(ROUNDUP(SUM(ROUNDUP(AL85*AN85+0.1,1),ROUNDUP(V85*[1]Modelo!$H$29*AP85,1),ROUNDUP(W85*[1]Modelo!$H$36*AR85,1))*[1]Modelo!$H$62,1)*[1]Modelo!$H$71,1)</f>
        <v>0.8</v>
      </c>
      <c r="CA85" s="142">
        <f t="shared" ref="CA85" si="461">SUM(AX85:BZ85)</f>
        <v>49.832999999999998</v>
      </c>
      <c r="CB85" s="27"/>
      <c r="CC85" s="27">
        <f t="shared" ref="CC85" si="462">CD85*0.85</f>
        <v>30.854999999999997</v>
      </c>
      <c r="CD85" s="109">
        <f t="shared" ref="CD85" si="463">O85</f>
        <v>36.299999999999997</v>
      </c>
      <c r="CE85" s="27">
        <f t="shared" ref="CE85" si="464">IF(CD85=0,1,CD85*1.4)</f>
        <v>50.819999999999993</v>
      </c>
      <c r="CF85" s="27"/>
      <c r="CG85" s="126">
        <v>0</v>
      </c>
      <c r="CH85" s="27"/>
      <c r="CI85" s="27">
        <f t="shared" ref="CI85" si="465">IF(CF85&lt;&gt;"",CF85,CG85)</f>
        <v>0</v>
      </c>
      <c r="CJ85" s="27"/>
      <c r="CK85" s="27"/>
      <c r="CL85" s="27"/>
      <c r="CM85" s="27"/>
      <c r="CN85" s="27"/>
      <c r="CO85" s="27"/>
      <c r="CP85" s="27"/>
      <c r="CQ85" s="27"/>
      <c r="CR85" s="27"/>
      <c r="CS85" s="27"/>
      <c r="CT85" s="27"/>
      <c r="CU85" s="27"/>
      <c r="CV85" s="27"/>
      <c r="CW85" s="27"/>
      <c r="CX85" s="27"/>
      <c r="CY85" s="27"/>
      <c r="CZ85" s="27"/>
      <c r="DA85" s="27"/>
      <c r="DB85" s="27"/>
      <c r="DC85" s="27"/>
    </row>
    <row r="86" spans="3:107" s="20" customFormat="1" ht="33" customHeight="1" outlineLevel="2" thickBot="1" x14ac:dyDescent="0.35">
      <c r="C86" s="388" t="s">
        <v>99</v>
      </c>
      <c r="D86" s="461" t="s">
        <v>18</v>
      </c>
      <c r="E86" s="461" t="str">
        <f t="shared" ref="E86" si="466">IF(U86&gt;50,"A",IF(U86&gt;15,"M","B"))</f>
        <v>B</v>
      </c>
      <c r="F86" s="461" t="s">
        <v>423</v>
      </c>
      <c r="G86" s="461" t="s">
        <v>423</v>
      </c>
      <c r="H86" s="461" t="str">
        <f t="shared" ref="H86" si="467">IF(V86+W86&gt;20,"A",IF(V86+W86&gt;5,"M","B"))</f>
        <v>B</v>
      </c>
      <c r="I86" s="461" t="str">
        <f t="shared" ref="I86" si="468">IF(V86+W86&gt;15,"A",IF(V86+W86&gt;4,"M","B"))</f>
        <v>B</v>
      </c>
      <c r="J86" s="425">
        <f t="shared" ref="J86" si="469">V86+W86</f>
        <v>2</v>
      </c>
      <c r="K86" s="503" t="str">
        <f t="shared" ref="K86" si="470">AB86</f>
        <v>Chica 2</v>
      </c>
      <c r="L86" s="546" t="s">
        <v>749</v>
      </c>
      <c r="M86" s="532">
        <f>BL86+BM86+BN86+BO86+BP86</f>
        <v>9.1999999999999993</v>
      </c>
      <c r="N86" s="532">
        <f>BQ86</f>
        <v>3.8000000000000003</v>
      </c>
      <c r="O86" s="538">
        <f>SUM(M86,N86)</f>
        <v>13</v>
      </c>
      <c r="P86" s="58"/>
      <c r="Q86" s="462"/>
      <c r="R86" s="462"/>
      <c r="S86" s="462"/>
      <c r="T86" s="109"/>
      <c r="U86" s="144">
        <v>10</v>
      </c>
      <c r="V86" s="144">
        <v>2</v>
      </c>
      <c r="W86" s="144">
        <v>0</v>
      </c>
      <c r="X86" s="463"/>
      <c r="Y86" s="463" t="str">
        <f t="shared" ref="Y86" si="471">CONCATENATE(C86,LEFT(K86,5),J86)</f>
        <v>OperaciónChica2</v>
      </c>
      <c r="Z86" s="135">
        <f>VLOOKUP(Y86,[1]Modelo!$G$82:$H$281,2,FALSE)</f>
        <v>122</v>
      </c>
      <c r="AA86" s="463"/>
      <c r="AB86" s="137" t="str">
        <f t="shared" ref="AB86" si="472">IF(AND(U86&gt;=0,U86&lt;=6),"Chica 1",IF(AND(U86&gt;=7,U86&lt;=12),"Chica 2",IF(AND(U86&gt;=13,U86&lt;=18),"Chica 3",IF(AND(U86&gt;=19,U86&lt;=24),"Chica 4",IF(AND(U86&gt;=25,U86&lt;=30),"Mediana 1",IF(AND(U86&gt;=31,U86&lt;=36),"Mediana 2",IF(AND(U86&gt;=37,U86&lt;=42),"Mediana 3",IF(AND(U86&gt;=43,U86&lt;=48),"Mediana 4",IF(AND(U86&gt;=49,U86&lt;=54),"Grande 1",IF(AND(U86&gt;=55,U86&lt;=60),"Grande 2",IF(AND(U86&gt;=61,U86&lt;=66),"Grande 3",IF(AND(U86&gt;=67,U86&lt;=72),"Grande 4",IF(AND(U86&gt;=73,U86&lt;=78),"M. grande 1",IF(AND(U86&gt;=79,U86&lt;=84),"M. grande 2",IF(AND(U86&gt;=85,U86&lt;=90),"M. grande 3",IF(AND(U86&gt;=91,U86&lt;=96),"M. grande 4","NO DEF"))))))))))))))))</f>
        <v>Chica 2</v>
      </c>
      <c r="AC86" s="137" t="str">
        <f t="shared" ref="AC86" si="473">IF(E86="A","Alta",IF(E86="M","Media","Baja"))</f>
        <v>Baja</v>
      </c>
      <c r="AD86" s="137" t="str">
        <f t="shared" ref="AD86" si="474">IF(E86="A","Alta",IF(E86="M","Media","Baja"))</f>
        <v>Baja</v>
      </c>
      <c r="AE86" s="137" t="str">
        <f t="shared" ref="AE86" si="475">IF(F86="A","Alta",IF(F86="M","Media","Baja"))</f>
        <v>Baja</v>
      </c>
      <c r="AF86" s="137" t="str">
        <f t="shared" ref="AF86" si="476">IF(F86="A","Alta",IF(F86="M","Media","Baja"))</f>
        <v>Baja</v>
      </c>
      <c r="AG86" s="137" t="str">
        <f t="shared" ref="AG86" si="477">IF(G86="A","Alta",IF(G86="M","Media","Baja"))</f>
        <v>Baja</v>
      </c>
      <c r="AH86" s="137" t="str">
        <f t="shared" ref="AH86" si="478">IF(G86="A","Alta",IF(G86="M","Media","Baja"))</f>
        <v>Baja</v>
      </c>
      <c r="AI86" s="137" t="str">
        <f t="shared" ref="AI86" si="479">IF(H86="A","Alta",IF(H86="M","Media","Baja"))</f>
        <v>Baja</v>
      </c>
      <c r="AJ86" s="137" t="str">
        <f t="shared" ref="AJ86" si="480">IF(I86="A","Alta",IF(I86="M","Media","Baja"))</f>
        <v>Baja</v>
      </c>
      <c r="AK86" s="40"/>
      <c r="AL86" s="138">
        <f>IF(AB86=[1]Modelo!$F$7,[1]Modelo!$H$7,IF(AB86=[1]Modelo!$F$8,[1]Modelo!$H$8,IF(AB86=[1]Modelo!$F$9,[1]Modelo!$H$9,IF(AB86=[1]Modelo!$F$10,[1]Modelo!$H$10,IF(AB86=[1]Modelo!$F$11,[1]Modelo!$H$11,IF(AB86=[1]Modelo!$F$12,[1]Modelo!$H$12,IF(AB86=[1]Modelo!$F$13,[1]Modelo!$H$13,IF(AB86=[1]Modelo!$F$14,[1]Modelo!$H$14,IF(AB86=[1]Modelo!$F$15,[1]Modelo!$H$15,IF(AB86=[1]Modelo!$F$16,[1]Modelo!$H$16,IF(AB86=[1]Modelo!$F$17,[1]Modelo!$H$17,IF(AB86=[1]Modelo!$F$18,[1]Modelo!$H$18,IF(AB86=[1]Modelo!$F$19,[1]Modelo!$H$19,IF(AB86=[1]Modelo!$F$20,[1]Modelo!$H$20,IF(AB86=[1]Modelo!$F$21,[1]Modelo!$H$21,IF(AB86=[1]Modelo!$F$22,[1]Modelo!$H$22,0))))))))))))))))</f>
        <v>0.60000000000000009</v>
      </c>
      <c r="AM86" s="138">
        <f>IF(AB86=[1]Modelo!$F$7,[1]Modelo!$I$7,IF(AB86=[1]Modelo!$F$8,[1]Modelo!$I$8,IF(AB86=[1]Modelo!$F$9,[1]Modelo!$I$9,IF(AB86=[1]Modelo!$F$10,[1]Modelo!$I$10,IF(AB86=[1]Modelo!$F$11,[1]Modelo!$I$11,IF(AB86=[1]Modelo!$F$12,[1]Modelo!$I$12,IF(AB86=[1]Modelo!$F$13,[1]Modelo!$I$13,IF(AB86=[1]Modelo!$F$14,[1]Modelo!$I$14,IF(AB86=[1]Modelo!$F$15,[1]Modelo!$I$15,IF(AB86=[1]Modelo!$F$16,[1]Modelo!$I$16,IF(AB86=[1]Modelo!$F$17,[1]Modelo!$I$17,IF(AB86=[1]Modelo!$F$18,[1]Modelo!$I$18,IF(AB86=[1]Modelo!$F$19,[1]Modelo!$I$19,IF(AB86=[1]Modelo!$F$20,[1]Modelo!$I$20,IF(AB86=[1]Modelo!$F$21,[1]Modelo!$I$21,IF(AB86=[1]Modelo!$F$22,[1]Modelo!$I$22,0))))))))))))))))</f>
        <v>0.2</v>
      </c>
      <c r="AN86" s="138">
        <f>IF(AC86=[1]Modelo!$F$23,[1]Modelo!$H$23,IF(AC86=[1]Modelo!$F$24,[1]Modelo!$H$24,IF(AC86=[1]Modelo!$F$25,[1]Modelo!$H$25,0)))</f>
        <v>1</v>
      </c>
      <c r="AO86" s="138">
        <f>IF(AD86=[1]Modelo!$F$26,[1]Modelo!$H$26,IF(AD86=[1]Modelo!$F$27,[1]Modelo!$H$27,IF(AD86=[1]Modelo!$F$28,[1]Modelo!$H$28,0)))</f>
        <v>0.1</v>
      </c>
      <c r="AP86" s="138">
        <f>IF(AE86=[1]Modelo!$F$30,[1]Modelo!$H$30,IF(AE86=[1]Modelo!$F$31,[1]Modelo!$H$31,IF(AE86=[1]Modelo!$F$32,[1]Modelo!$H$32,0)))</f>
        <v>0.8</v>
      </c>
      <c r="AQ86" s="138">
        <f>IF(AF86=[1]Modelo!$F$33,[1]Modelo!$H$33,IF(AF86=[1]Modelo!$F$34,[1]Modelo!$H$34,IF(AF86=[1]Modelo!$F$35,[1]Modelo!$H$35,0)))</f>
        <v>0.3</v>
      </c>
      <c r="AR86" s="138">
        <f>IF(AG86=[1]Modelo!$F$37,[1]Modelo!$H$37,IF(AG86=[1]Modelo!$F$38,[1]Modelo!$H$38,IF(AG86=[1]Modelo!$F$39,[1]Modelo!$H$39,0)))</f>
        <v>0.8</v>
      </c>
      <c r="AS86" s="138">
        <f>IF(AH86=[1]Modelo!$F$40,[1]Modelo!$H$40,IF(AH86=[1]Modelo!$F$41,[1]Modelo!$H$41,IF(AH86=[1]Modelo!$F$42,[1]Modelo!$H$42,0)))</f>
        <v>0.4</v>
      </c>
      <c r="AT86" s="137">
        <f>IF(C86=[1]Modelo!$F$44,[1]Modelo!$H$44,IF(C86=[1]Modelo!$F$45,[1]Modelo!$H$45,IF(C86=[1]Modelo!$F$46,[1]Modelo!$H$46,IF(C86=[1]Modelo!$F$47,[1]Modelo!$H$47,IF(C86=[1]Modelo!$F$48,[1]Modelo!$H$48,IF(C86=[1]Modelo!$F$49,[1]Modelo!$H$49,IF(C86=[1]Modelo!$F$50,[1]Modelo!$H$50,IF(C86=[1]Modelo!$F$51,[1]Modelo!$H$51,IF(C86=[1]Modelo!$F$52,[1]Modelo!$H$52,IF(C86=[1]Modelo!$F$53,[1]Modelo!$H$53,0))))))))))</f>
        <v>4</v>
      </c>
      <c r="AU86" s="138">
        <f>IF(AI86=[1]Modelo!$F$54,[1]Modelo!$H$54,IF(AI86=[1]Modelo!$F$55,[1]Modelo!$H$55,IF(AI86=[1]Modelo!$F$56,[1]Modelo!$H$56,0)))</f>
        <v>1</v>
      </c>
      <c r="AV86" s="138">
        <f>IF(AJ86=[1]Modelo!$F$58,[1]Modelo!$H$58,IF(AJ86=[1]Modelo!$F$59,[1]Modelo!$H$59,IF(AJ86=[1]Modelo!$F$60,[1]Modelo!$H$60,0)))</f>
        <v>0.9</v>
      </c>
      <c r="AW86" s="40"/>
      <c r="AX86" s="139">
        <f>[1]Modelo!$H$2</f>
        <v>0.05</v>
      </c>
      <c r="AY86" s="140">
        <f>ROUNDUP([1]Modelo!$I$2*[1]Modelo!$H$3*[1]Modelo!$I$75,2)</f>
        <v>0.02</v>
      </c>
      <c r="AZ86" s="141">
        <f>ROUNDUP([1]Modelo!$I$2*[1]Modelo!$H$3*[1]Modelo!$H$4*[1]Modelo!$I$75,3)</f>
        <v>3.0000000000000001E-3</v>
      </c>
      <c r="BA86" s="139">
        <f>[1]Modelo!$H$5</f>
        <v>0.04</v>
      </c>
      <c r="BB86" s="139">
        <f>ROUNDUP(SUM(BC86,BE86,BG86,BI86)*[1]Modelo!$H$6,1)</f>
        <v>0.8</v>
      </c>
      <c r="BC86" s="139">
        <f>ROUNDUP((AL86*AN86+0.1)*[1]Modelo!$I$75,1)</f>
        <v>0.7</v>
      </c>
      <c r="BD86" s="139">
        <f>ROUNDUP(AM86*AN86*AO86*[1]Modelo!$I$75,1)</f>
        <v>0.1</v>
      </c>
      <c r="BE86" s="139">
        <f>ROUNDUP(V86*[1]Modelo!$H$29*AP86*[1]Modelo!$I$75*2/3,1)</f>
        <v>1.1000000000000001</v>
      </c>
      <c r="BF86" s="139">
        <f>ROUNDUP(V86*[1]Modelo!$H$29*AP86*AQ86*[1]Modelo!$I$75*2/3,1)</f>
        <v>0.4</v>
      </c>
      <c r="BG86" s="139">
        <f>ROUNDUP(V86*[1]Modelo!$H$29*AP86*[1]Modelo!$I$75/3,1)</f>
        <v>0.6</v>
      </c>
      <c r="BH86" s="139">
        <f>ROUNDUP(V86*[1]Modelo!$H$29*AP86*AQ86*[1]Modelo!$I$75/3,1)</f>
        <v>0.2</v>
      </c>
      <c r="BI86" s="139">
        <f>ROUNDUP(W86*[1]Modelo!$H$36*AR86*[1]Modelo!$I$75,1)</f>
        <v>0</v>
      </c>
      <c r="BJ86" s="139">
        <f>ROUNDUP(W86*[1]Modelo!$H$36*AR86*AS86*[1]Modelo!$I$75,1)</f>
        <v>0</v>
      </c>
      <c r="BK86" s="139">
        <f>[1]Modelo!$H$43</f>
        <v>0.04</v>
      </c>
      <c r="BL86" s="139">
        <f>ROUNDUP(SUM(ROUNDUP(AL86*AN86+0.1,1),ROUNDUP(V86*[1]Modelo!$H$29*AP86,1),ROUNDUP(W86*[1]Modelo!$H$36*AR86,1))*AU86*AT86*[1]Modelo!$I$75,1)</f>
        <v>9.1999999999999993</v>
      </c>
      <c r="BM86" s="139">
        <f t="shared" ref="BM86" si="481">IF(K$32="x",0, BL86*0.1*1.25)</f>
        <v>0</v>
      </c>
      <c r="BN86" s="139">
        <f t="shared" ref="BN86" si="482">IF(Q86="x",(BL86)*0.1,0)</f>
        <v>0</v>
      </c>
      <c r="BO86" s="139">
        <f t="shared" ref="BO86" si="483">IF(R86="x",(BL86)*0.12,0)</f>
        <v>0</v>
      </c>
      <c r="BP86" s="139">
        <f t="shared" ref="BP86" si="484">IF(S86="x",(BL86)*0.12,0)*4</f>
        <v>0</v>
      </c>
      <c r="BQ86" s="139">
        <f>ROUNDUP(SUM(ROUNDUP(AL86*AN86+0.1,1),ROUNDUP(V86*[1]Modelo!$H$29*AP86,1),ROUNDUP(W86*[1]Modelo!$H$36*AR86,1))*AT86*AV86*[1]Modelo!$H$57,1)</f>
        <v>3.8000000000000003</v>
      </c>
      <c r="BR86" s="409">
        <v>0</v>
      </c>
      <c r="BS86" s="139">
        <f>[1]Modelo!$H$61</f>
        <v>0.04</v>
      </c>
      <c r="BT86" s="139">
        <f>ROUNDUP(SUM(ROUNDUP(AL86*AN86+0.1,1),ROUNDUP(V86*[1]Modelo!$H$29*AP86,1),ROUNDUP(W86*[1]Modelo!$H$36*AR86,1))*[1]Modelo!$H$62*[1]Modelo!$I$75,1)</f>
        <v>0.2</v>
      </c>
      <c r="BU86" s="139">
        <f>ROUNDUP(ROUNDUP(SUM(ROUNDUP(AL86*AN86+0.1,1),ROUNDUP(V86*[1]Modelo!$H$29*AP86,1),ROUNDUP(W86*[1]Modelo!$H$36*AR86,1))*[1]Modelo!$H$62,1)*[1]Modelo!$H$63*[1]Modelo!$I$75,1)</f>
        <v>0.1</v>
      </c>
      <c r="BV86" s="139">
        <f>SUM(ROUNDUP(AL86*AN86+0.1,1),ROUNDUP(V86*[1]Modelo!$H$29*AP86,1),ROUNDUP(W86*[1]Modelo!$H$36*AR86,1))*[1]Modelo!$H$64*[1]Modelo!$I$75</f>
        <v>0.45999999999999996</v>
      </c>
      <c r="BW86" s="139">
        <f>ROUNDUP(SUM(ROUNDUP(AL86*AN86+0.1,1),ROUNDUP(V86*[1]Modelo!$H$29*AP86,1),ROUNDUP(W86*[1]Modelo!$H$36*AR86,1))*[1]Modelo!$H$64*[1]Modelo!$H$65*[1]Modelo!$I$75,1)</f>
        <v>0.30000000000000004</v>
      </c>
      <c r="BX86" s="139">
        <f>[1]Modelo!$H$66</f>
        <v>0.04</v>
      </c>
      <c r="BY86" s="139">
        <f>ROUNDUP(SUM(ROUNDUP(AL86*AN86+0.1,1),ROUNDUP(V86*[1]Modelo!$H$29*AP86,1),ROUNDUP(W86*[1]Modelo!$H$36*AR86,1))*[1]Modelo!$H$69,1)</f>
        <v>0.5</v>
      </c>
      <c r="BZ86" s="139">
        <f>ROUNDUP(ROUNDUP(SUM(ROUNDUP(AL86*AN86+0.1,1),ROUNDUP(V86*[1]Modelo!$H$29*AP86,1),ROUNDUP(W86*[1]Modelo!$H$36*AR86,1))*[1]Modelo!$H$62,1)*[1]Modelo!$H$71,1)</f>
        <v>0.4</v>
      </c>
      <c r="CA86" s="142">
        <f t="shared" ref="CA86" si="485">SUM(AX86:BZ86)</f>
        <v>19.093</v>
      </c>
      <c r="CB86" s="27"/>
      <c r="CC86" s="27">
        <f t="shared" ref="CC86" si="486">CD86*0.85</f>
        <v>11.049999999999999</v>
      </c>
      <c r="CD86" s="109">
        <f t="shared" ref="CD86" si="487">O86</f>
        <v>13</v>
      </c>
      <c r="CE86" s="27">
        <f t="shared" ref="CE86" si="488">IF(CD86=0,1,CD86*1.4)</f>
        <v>18.2</v>
      </c>
      <c r="CF86" s="27"/>
      <c r="CG86" s="126">
        <v>0</v>
      </c>
      <c r="CH86" s="27"/>
      <c r="CI86" s="27">
        <f t="shared" ref="CI86" si="489">IF(CF86&lt;&gt;"",CF86,CG86)</f>
        <v>0</v>
      </c>
      <c r="CJ86" s="27"/>
      <c r="CK86" s="27"/>
      <c r="CL86" s="27"/>
      <c r="CM86" s="27"/>
      <c r="CN86" s="27"/>
      <c r="CO86" s="27"/>
      <c r="CP86" s="27"/>
      <c r="CQ86" s="27"/>
      <c r="CR86" s="27"/>
      <c r="CS86" s="27"/>
      <c r="CT86" s="27"/>
      <c r="CU86" s="27"/>
      <c r="CV86" s="27"/>
      <c r="CW86" s="27"/>
      <c r="CX86" s="27"/>
      <c r="CY86" s="27"/>
      <c r="CZ86" s="27"/>
      <c r="DA86" s="27"/>
      <c r="DB86" s="27"/>
      <c r="DC86" s="27"/>
    </row>
    <row r="87" spans="3:107" s="20" customFormat="1" ht="38.5" customHeight="1" thickBot="1" x14ac:dyDescent="0.4">
      <c r="C87" s="388"/>
      <c r="D87" s="461"/>
      <c r="E87" s="461"/>
      <c r="F87" s="461"/>
      <c r="G87" s="461"/>
      <c r="H87" s="461"/>
      <c r="I87" s="461"/>
      <c r="J87" s="425">
        <f t="shared" si="25"/>
        <v>0</v>
      </c>
      <c r="K87" s="503" t="str">
        <f t="shared" si="27"/>
        <v>Chica 1</v>
      </c>
      <c r="L87" s="539" t="s">
        <v>743</v>
      </c>
      <c r="M87" s="532"/>
      <c r="N87" s="532"/>
      <c r="O87" s="538"/>
      <c r="P87" s="58"/>
      <c r="Q87" s="462"/>
      <c r="R87" s="462"/>
      <c r="S87" s="462"/>
      <c r="T87" s="109"/>
      <c r="U87" s="144"/>
      <c r="V87" s="144"/>
      <c r="W87" s="144"/>
      <c r="X87" s="463"/>
      <c r="Y87" s="463" t="str">
        <f t="shared" si="10"/>
        <v>Chica0</v>
      </c>
      <c r="Z87" s="135" t="e">
        <f>VLOOKUP(Y87,[1]Modelo!$G$82:$H$281,2,FALSE)</f>
        <v>#N/A</v>
      </c>
      <c r="AA87" s="463"/>
      <c r="AB87" s="137" t="str">
        <f t="shared" si="11"/>
        <v>Chica 1</v>
      </c>
      <c r="AC87" s="137" t="str">
        <f t="shared" si="12"/>
        <v>Baja</v>
      </c>
      <c r="AD87" s="137" t="str">
        <f t="shared" si="28"/>
        <v>Baja</v>
      </c>
      <c r="AE87" s="137" t="str">
        <f t="shared" si="29"/>
        <v>Baja</v>
      </c>
      <c r="AF87" s="137" t="str">
        <f t="shared" si="30"/>
        <v>Baja</v>
      </c>
      <c r="AG87" s="137" t="str">
        <f t="shared" si="31"/>
        <v>Baja</v>
      </c>
      <c r="AH87" s="137" t="str">
        <f t="shared" si="32"/>
        <v>Baja</v>
      </c>
      <c r="AI87" s="137" t="str">
        <f t="shared" si="33"/>
        <v>Baja</v>
      </c>
      <c r="AJ87" s="137" t="str">
        <f t="shared" si="34"/>
        <v>Baja</v>
      </c>
      <c r="AK87" s="40"/>
      <c r="AL87" s="138">
        <f>IF(AB87=[1]Modelo!$F$7,[1]Modelo!$H$7,IF(AB87=[1]Modelo!$F$8,[1]Modelo!$H$8,IF(AB87=[1]Modelo!$F$9,[1]Modelo!$H$9,IF(AB87=[1]Modelo!$F$10,[1]Modelo!$H$10,IF(AB87=[1]Modelo!$F$11,[1]Modelo!$H$11,IF(AB87=[1]Modelo!$F$12,[1]Modelo!$H$12,IF(AB87=[1]Modelo!$F$13,[1]Modelo!$H$13,IF(AB87=[1]Modelo!$F$14,[1]Modelo!$H$14,IF(AB87=[1]Modelo!$F$15,[1]Modelo!$H$15,IF(AB87=[1]Modelo!$F$16,[1]Modelo!$H$16,IF(AB87=[1]Modelo!$F$17,[1]Modelo!$H$17,IF(AB87=[1]Modelo!$F$18,[1]Modelo!$H$18,IF(AB87=[1]Modelo!$F$19,[1]Modelo!$H$19,IF(AB87=[1]Modelo!$F$20,[1]Modelo!$H$20,IF(AB87=[1]Modelo!$F$21,[1]Modelo!$H$21,IF(AB87=[1]Modelo!$F$22,[1]Modelo!$H$22,0))))))))))))))))</f>
        <v>0.30000000000000004</v>
      </c>
      <c r="AM87" s="138">
        <f>IF(AB87=[1]Modelo!$F$7,[1]Modelo!$I$7,IF(AB87=[1]Modelo!$F$8,[1]Modelo!$I$8,IF(AB87=[1]Modelo!$F$9,[1]Modelo!$I$9,IF(AB87=[1]Modelo!$F$10,[1]Modelo!$I$10,IF(AB87=[1]Modelo!$F$11,[1]Modelo!$I$11,IF(AB87=[1]Modelo!$F$12,[1]Modelo!$I$12,IF(AB87=[1]Modelo!$F$13,[1]Modelo!$I$13,IF(AB87=[1]Modelo!$F$14,[1]Modelo!$I$14,IF(AB87=[1]Modelo!$F$15,[1]Modelo!$I$15,IF(AB87=[1]Modelo!$F$16,[1]Modelo!$I$16,IF(AB87=[1]Modelo!$F$17,[1]Modelo!$I$17,IF(AB87=[1]Modelo!$F$18,[1]Modelo!$I$18,IF(AB87=[1]Modelo!$F$19,[1]Modelo!$I$19,IF(AB87=[1]Modelo!$F$20,[1]Modelo!$I$20,IF(AB87=[1]Modelo!$F$21,[1]Modelo!$I$21,IF(AB87=[1]Modelo!$F$22,[1]Modelo!$I$22,0))))))))))))))))</f>
        <v>0.1</v>
      </c>
      <c r="AN87" s="138">
        <f>IF(AC87=[1]Modelo!$F$23,[1]Modelo!$H$23,IF(AC87=[1]Modelo!$F$24,[1]Modelo!$H$24,IF(AC87=[1]Modelo!$F$25,[1]Modelo!$H$25,0)))</f>
        <v>1</v>
      </c>
      <c r="AO87" s="138">
        <f>IF(AD87=[1]Modelo!$F$26,[1]Modelo!$H$26,IF(AD87=[1]Modelo!$F$27,[1]Modelo!$H$27,IF(AD87=[1]Modelo!$F$28,[1]Modelo!$H$28,0)))</f>
        <v>0.1</v>
      </c>
      <c r="AP87" s="138">
        <f>IF(AE87=[1]Modelo!$F$30,[1]Modelo!$H$30,IF(AE87=[1]Modelo!$F$31,[1]Modelo!$H$31,IF(AE87=[1]Modelo!$F$32,[1]Modelo!$H$32,0)))</f>
        <v>0.8</v>
      </c>
      <c r="AQ87" s="138">
        <f>IF(AF87=[1]Modelo!$F$33,[1]Modelo!$H$33,IF(AF87=[1]Modelo!$F$34,[1]Modelo!$H$34,IF(AF87=[1]Modelo!$F$35,[1]Modelo!$H$35,0)))</f>
        <v>0.3</v>
      </c>
      <c r="AR87" s="138">
        <f>IF(AG87=[1]Modelo!$F$37,[1]Modelo!$H$37,IF(AG87=[1]Modelo!$F$38,[1]Modelo!$H$38,IF(AG87=[1]Modelo!$F$39,[1]Modelo!$H$39,0)))</f>
        <v>0.8</v>
      </c>
      <c r="AS87" s="138">
        <f>IF(AH87=[1]Modelo!$F$40,[1]Modelo!$H$40,IF(AH87=[1]Modelo!$F$41,[1]Modelo!$H$41,IF(AH87=[1]Modelo!$F$42,[1]Modelo!$H$42,0)))</f>
        <v>0.4</v>
      </c>
      <c r="AT87" s="137">
        <f>IF(C87=[1]Modelo!$F$44,[1]Modelo!$H$44,IF(C87=[1]Modelo!$F$45,[1]Modelo!$H$45,IF(C87=[1]Modelo!$F$46,[1]Modelo!$H$46,IF(C87=[1]Modelo!$F$47,[1]Modelo!$H$47,IF(C87=[1]Modelo!$F$48,[1]Modelo!$H$48,IF(C87=[1]Modelo!$F$49,[1]Modelo!$H$49,IF(C87=[1]Modelo!$F$50,[1]Modelo!$H$50,IF(C87=[1]Modelo!$F$51,[1]Modelo!$H$51,IF(C87=[1]Modelo!$F$52,[1]Modelo!$H$52,IF(C87=[1]Modelo!$F$53,[1]Modelo!$H$53,0))))))))))</f>
        <v>0</v>
      </c>
      <c r="AU87" s="138">
        <f>IF(AI87=[1]Modelo!$F$54,[1]Modelo!$H$54,IF(AI87=[1]Modelo!$F$55,[1]Modelo!$H$55,IF(AI87=[1]Modelo!$F$56,[1]Modelo!$H$56,0)))</f>
        <v>1</v>
      </c>
      <c r="AV87" s="138">
        <f>IF(AJ87=[1]Modelo!$F$58,[1]Modelo!$H$58,IF(AJ87=[1]Modelo!$F$59,[1]Modelo!$H$59,IF(AJ87=[1]Modelo!$F$60,[1]Modelo!$H$60,0)))</f>
        <v>0.9</v>
      </c>
      <c r="AW87" s="40"/>
      <c r="AX87" s="139">
        <f>[1]Modelo!$H$2</f>
        <v>0.05</v>
      </c>
      <c r="AY87" s="140">
        <f>ROUNDUP([1]Modelo!$I$2*[1]Modelo!$H$3*[1]Modelo!$I$75,2)</f>
        <v>0.02</v>
      </c>
      <c r="AZ87" s="141">
        <f>ROUNDUP([1]Modelo!$I$2*[1]Modelo!$H$3*[1]Modelo!$H$4*[1]Modelo!$I$75,3)</f>
        <v>3.0000000000000001E-3</v>
      </c>
      <c r="BA87" s="139">
        <f>[1]Modelo!$H$5</f>
        <v>0.04</v>
      </c>
      <c r="BB87" s="139">
        <f>ROUNDUP(SUM(BC87,BE87,BG87,BI87)*[1]Modelo!$H$6,1)</f>
        <v>0.2</v>
      </c>
      <c r="BC87" s="139">
        <f>ROUNDUP((AL87*AN87+0.1)*[1]Modelo!$I$75,1)</f>
        <v>0.4</v>
      </c>
      <c r="BD87" s="139">
        <f>ROUNDUP(AM87*AN87*AO87*[1]Modelo!$I$75,1)</f>
        <v>0.1</v>
      </c>
      <c r="BE87" s="139">
        <f>ROUNDUP(V87*[1]Modelo!$H$29*AP87*[1]Modelo!$I$75*2/3,1)</f>
        <v>0</v>
      </c>
      <c r="BF87" s="139">
        <f>ROUNDUP(V87*[1]Modelo!$H$29*AP87*AQ87*[1]Modelo!$I$75*2/3,1)</f>
        <v>0</v>
      </c>
      <c r="BG87" s="139">
        <f>ROUNDUP(V87*[1]Modelo!$H$29*AP87*[1]Modelo!$I$75/3,1)</f>
        <v>0</v>
      </c>
      <c r="BH87" s="139">
        <f>ROUNDUP(V87*[1]Modelo!$H$29*AP87*AQ87*[1]Modelo!$I$75/3,1)</f>
        <v>0</v>
      </c>
      <c r="BI87" s="139">
        <f>ROUNDUP(W87*[1]Modelo!$H$36*AR87*[1]Modelo!$I$75,1)</f>
        <v>0</v>
      </c>
      <c r="BJ87" s="139">
        <f>ROUNDUP(W87*[1]Modelo!$H$36*AR87*AS87*[1]Modelo!$I$75,1)</f>
        <v>0</v>
      </c>
      <c r="BK87" s="139">
        <f>[1]Modelo!$H$43</f>
        <v>0.04</v>
      </c>
      <c r="BL87" s="139">
        <f>ROUNDUP(SUM(ROUNDUP(AL87*AN87+0.1,1),ROUNDUP(V87*[1]Modelo!$H$29*AP87,1),ROUNDUP(W87*[1]Modelo!$H$36*AR87,1))*AU87*AT87*[1]Modelo!$I$75,1)</f>
        <v>0</v>
      </c>
      <c r="BM87" s="139">
        <f t="shared" si="16"/>
        <v>0</v>
      </c>
      <c r="BN87" s="139">
        <f t="shared" si="17"/>
        <v>0</v>
      </c>
      <c r="BO87" s="139">
        <f t="shared" si="18"/>
        <v>0</v>
      </c>
      <c r="BP87" s="139">
        <f t="shared" si="19"/>
        <v>0</v>
      </c>
      <c r="BQ87" s="139">
        <f>ROUNDUP(SUM(ROUNDUP(AL87*AN87+0.1,1),ROUNDUP(V87*[1]Modelo!$H$29*AP87,1),ROUNDUP(W87*[1]Modelo!$H$36*AR87,1))*AT87*AV87*[1]Modelo!$H$57,1)</f>
        <v>0</v>
      </c>
      <c r="BR87" s="409">
        <v>0</v>
      </c>
      <c r="BS87" s="139">
        <f>[1]Modelo!$H$61</f>
        <v>0.04</v>
      </c>
      <c r="BT87" s="139">
        <f>ROUNDUP(SUM(ROUNDUP(AL87*AN87+0.1,1),ROUNDUP(V87*[1]Modelo!$H$29*AP87,1),ROUNDUP(W87*[1]Modelo!$H$36*AR87,1))*[1]Modelo!$H$62*[1]Modelo!$I$75,1)</f>
        <v>0.1</v>
      </c>
      <c r="BU87" s="139">
        <f>ROUNDUP(ROUNDUP(SUM(ROUNDUP(AL87*AN87+0.1,1),ROUNDUP(V87*[1]Modelo!$H$29*AP87,1),ROUNDUP(W87*[1]Modelo!$H$36*AR87,1))*[1]Modelo!$H$62,1)*[1]Modelo!$H$63*[1]Modelo!$I$75,1)</f>
        <v>0.1</v>
      </c>
      <c r="BV87" s="139">
        <f>SUM(ROUNDUP(AL87*AN87+0.1,1),ROUNDUP(V87*[1]Modelo!$H$29*AP87,1),ROUNDUP(W87*[1]Modelo!$H$36*AR87,1))*[1]Modelo!$H$64*[1]Modelo!$I$75</f>
        <v>8.0000000000000016E-2</v>
      </c>
      <c r="BW87" s="139">
        <f>ROUNDUP(SUM(ROUNDUP(AL87*AN87+0.1,1),ROUNDUP(V87*[1]Modelo!$H$29*AP87,1),ROUNDUP(W87*[1]Modelo!$H$36*AR87,1))*[1]Modelo!$H$64*[1]Modelo!$H$65*[1]Modelo!$I$75,1)</f>
        <v>0.1</v>
      </c>
      <c r="BX87" s="139">
        <f>[1]Modelo!$H$66</f>
        <v>0.04</v>
      </c>
      <c r="BY87" s="139">
        <f>ROUNDUP(SUM(ROUNDUP(AL87*AN87+0.1,1),ROUNDUP(V87*[1]Modelo!$H$29*AP87,1),ROUNDUP(W87*[1]Modelo!$H$36*AR87,1))*[1]Modelo!$H$69,1)</f>
        <v>0.1</v>
      </c>
      <c r="BZ87" s="139">
        <f>ROUNDUP(ROUNDUP(SUM(ROUNDUP(AL87*AN87+0.1,1),ROUNDUP(V87*[1]Modelo!$H$29*AP87,1),ROUNDUP(W87*[1]Modelo!$H$36*AR87,1))*[1]Modelo!$H$62,1)*[1]Modelo!$H$71,1)</f>
        <v>0.2</v>
      </c>
      <c r="CA87" s="142">
        <f t="shared" si="20"/>
        <v>1.6130000000000004</v>
      </c>
      <c r="CB87" s="27"/>
      <c r="CC87" s="27">
        <f t="shared" si="21"/>
        <v>0</v>
      </c>
      <c r="CD87" s="109">
        <f t="shared" si="22"/>
        <v>0</v>
      </c>
      <c r="CE87" s="27">
        <f t="shared" si="23"/>
        <v>1</v>
      </c>
      <c r="CF87" s="27"/>
      <c r="CG87" s="126">
        <v>0</v>
      </c>
      <c r="CH87" s="27"/>
      <c r="CI87" s="27">
        <f t="shared" si="24"/>
        <v>0</v>
      </c>
      <c r="CJ87" s="27"/>
      <c r="CK87" s="27"/>
      <c r="CL87" s="27"/>
      <c r="CM87" s="27"/>
      <c r="CN87" s="27"/>
      <c r="CO87" s="27"/>
      <c r="CP87" s="27"/>
      <c r="CQ87" s="27"/>
      <c r="CR87" s="27"/>
      <c r="CS87" s="27"/>
      <c r="CT87" s="27"/>
      <c r="CU87" s="27"/>
      <c r="CV87" s="27"/>
      <c r="CW87" s="27"/>
      <c r="CX87" s="27"/>
      <c r="CY87" s="27"/>
      <c r="CZ87" s="27"/>
      <c r="DA87" s="27"/>
      <c r="DB87" s="27"/>
      <c r="DC87" s="27"/>
    </row>
    <row r="88" spans="3:107" s="20" customFormat="1" ht="50" customHeight="1" outlineLevel="1" thickBot="1" x14ac:dyDescent="0.35">
      <c r="C88" s="388" t="s">
        <v>515</v>
      </c>
      <c r="D88" s="461" t="s">
        <v>18</v>
      </c>
      <c r="E88" s="378" t="str">
        <f>IF(U88&gt;50,"A",IF(U88&gt;15,"M","B"))</f>
        <v>M</v>
      </c>
      <c r="F88" s="378" t="s">
        <v>423</v>
      </c>
      <c r="G88" s="378" t="s">
        <v>423</v>
      </c>
      <c r="H88" s="378" t="str">
        <f>IF(V88+W88&gt;20,"A",IF(V88+W88&gt;5,"M","B"))</f>
        <v>B</v>
      </c>
      <c r="I88" s="378" t="str">
        <f>IF(V88+W88&gt;15,"A",IF(V88+W88&gt;4,"M","B"))</f>
        <v>B</v>
      </c>
      <c r="J88" s="425">
        <f t="shared" ref="J88:J89" si="490">V88+W88</f>
        <v>3</v>
      </c>
      <c r="K88" s="503" t="str">
        <f t="shared" ref="K88:K89" si="491">AB88</f>
        <v>Chica 4</v>
      </c>
      <c r="L88" s="537" t="s">
        <v>785</v>
      </c>
      <c r="M88" s="532">
        <f t="shared" ref="M88:M93" si="492">BL88+BM88+BN88+BO88+BP88</f>
        <v>6.8</v>
      </c>
      <c r="N88" s="532">
        <f t="shared" ref="N88:N93" si="493">BQ88</f>
        <v>2.8000000000000003</v>
      </c>
      <c r="O88" s="538">
        <f t="shared" ref="O88:O93" si="494">SUM(M88,N88)</f>
        <v>9.6</v>
      </c>
      <c r="P88" s="58"/>
      <c r="Q88" s="462"/>
      <c r="R88" s="462"/>
      <c r="S88" s="462"/>
      <c r="T88" s="109"/>
      <c r="U88" s="144">
        <v>20</v>
      </c>
      <c r="V88" s="144">
        <v>3</v>
      </c>
      <c r="W88" s="144">
        <v>0</v>
      </c>
      <c r="X88" s="463"/>
      <c r="Y88" s="463" t="str">
        <f t="shared" ref="Y88:Y89" si="495">CONCATENATE(C88,LEFT(K88,5),J88)</f>
        <v>ConsultaChica3</v>
      </c>
      <c r="Z88" s="135">
        <f>VLOOKUP(Y88,[1]Modelo!$G$82:$H$281,2,FALSE)</f>
        <v>3</v>
      </c>
      <c r="AA88" s="463"/>
      <c r="AB88" s="137" t="str">
        <f t="shared" ref="AB88:AB89" si="496">IF(AND(U88&gt;=0,U88&lt;=6),"Chica 1",IF(AND(U88&gt;=7,U88&lt;=12),"Chica 2",IF(AND(U88&gt;=13,U88&lt;=18),"Chica 3",IF(AND(U88&gt;=19,U88&lt;=24),"Chica 4",IF(AND(U88&gt;=25,U88&lt;=30),"Mediana 1",IF(AND(U88&gt;=31,U88&lt;=36),"Mediana 2",IF(AND(U88&gt;=37,U88&lt;=42),"Mediana 3",IF(AND(U88&gt;=43,U88&lt;=48),"Mediana 4",IF(AND(U88&gt;=49,U88&lt;=54),"Grande 1",IF(AND(U88&gt;=55,U88&lt;=60),"Grande 2",IF(AND(U88&gt;=61,U88&lt;=66),"Grande 3",IF(AND(U88&gt;=67,U88&lt;=72),"Grande 4",IF(AND(U88&gt;=73,U88&lt;=78),"M. grande 1",IF(AND(U88&gt;=79,U88&lt;=84),"M. grande 2",IF(AND(U88&gt;=85,U88&lt;=90),"M. grande 3",IF(AND(U88&gt;=91,U88&lt;=96),"M. grande 4","NO DEF"))))))))))))))))</f>
        <v>Chica 4</v>
      </c>
      <c r="AC88" s="137" t="str">
        <f t="shared" ref="AC88:AC89" si="497">IF(E88="A","Alta",IF(E88="M","Media","Baja"))</f>
        <v>Media</v>
      </c>
      <c r="AD88" s="137" t="str">
        <f t="shared" ref="AD88:AD89" si="498">IF(E88="A","Alta",IF(E88="M","Media","Baja"))</f>
        <v>Media</v>
      </c>
      <c r="AE88" s="137" t="str">
        <f t="shared" ref="AE88:AE89" si="499">IF(F88="A","Alta",IF(F88="M","Media","Baja"))</f>
        <v>Baja</v>
      </c>
      <c r="AF88" s="137" t="str">
        <f t="shared" ref="AF88:AF89" si="500">IF(F88="A","Alta",IF(F88="M","Media","Baja"))</f>
        <v>Baja</v>
      </c>
      <c r="AG88" s="137" t="str">
        <f t="shared" ref="AG88:AG89" si="501">IF(G88="A","Alta",IF(G88="M","Media","Baja"))</f>
        <v>Baja</v>
      </c>
      <c r="AH88" s="137" t="str">
        <f t="shared" ref="AH88:AH89" si="502">IF(G88="A","Alta",IF(G88="M","Media","Baja"))</f>
        <v>Baja</v>
      </c>
      <c r="AI88" s="137" t="str">
        <f t="shared" ref="AI88:AI89" si="503">IF(H88="A","Alta",IF(H88="M","Media","Baja"))</f>
        <v>Baja</v>
      </c>
      <c r="AJ88" s="137" t="str">
        <f t="shared" ref="AJ88:AJ89" si="504">IF(I88="A","Alta",IF(I88="M","Media","Baja"))</f>
        <v>Baja</v>
      </c>
      <c r="AK88" s="40"/>
      <c r="AL88" s="138">
        <f>IF(AB88=[1]Modelo!$F$7,[1]Modelo!$H$7,IF(AB88=[1]Modelo!$F$8,[1]Modelo!$H$8,IF(AB88=[1]Modelo!$F$9,[1]Modelo!$H$9,IF(AB88=[1]Modelo!$F$10,[1]Modelo!$H$10,IF(AB88=[1]Modelo!$F$11,[1]Modelo!$H$11,IF(AB88=[1]Modelo!$F$12,[1]Modelo!$H$12,IF(AB88=[1]Modelo!$F$13,[1]Modelo!$H$13,IF(AB88=[1]Modelo!$F$14,[1]Modelo!$H$14,IF(AB88=[1]Modelo!$F$15,[1]Modelo!$H$15,IF(AB88=[1]Modelo!$F$16,[1]Modelo!$H$16,IF(AB88=[1]Modelo!$F$17,[1]Modelo!$H$17,IF(AB88=[1]Modelo!$F$18,[1]Modelo!$H$18,IF(AB88=[1]Modelo!$F$19,[1]Modelo!$H$19,IF(AB88=[1]Modelo!$F$20,[1]Modelo!$H$20,IF(AB88=[1]Modelo!$F$21,[1]Modelo!$H$21,IF(AB88=[1]Modelo!$F$22,[1]Modelo!$H$22,0))))))))))))))))</f>
        <v>1.2000000000000002</v>
      </c>
      <c r="AM88" s="138">
        <f>IF(AB88=[1]Modelo!$F$7,[1]Modelo!$I$7,IF(AB88=[1]Modelo!$F$8,[1]Modelo!$I$8,IF(AB88=[1]Modelo!$F$9,[1]Modelo!$I$9,IF(AB88=[1]Modelo!$F$10,[1]Modelo!$I$10,IF(AB88=[1]Modelo!$F$11,[1]Modelo!$I$11,IF(AB88=[1]Modelo!$F$12,[1]Modelo!$I$12,IF(AB88=[1]Modelo!$F$13,[1]Modelo!$I$13,IF(AB88=[1]Modelo!$F$14,[1]Modelo!$I$14,IF(AB88=[1]Modelo!$F$15,[1]Modelo!$I$15,IF(AB88=[1]Modelo!$F$16,[1]Modelo!$I$16,IF(AB88=[1]Modelo!$F$17,[1]Modelo!$I$17,IF(AB88=[1]Modelo!$F$18,[1]Modelo!$I$18,IF(AB88=[1]Modelo!$F$19,[1]Modelo!$I$19,IF(AB88=[1]Modelo!$F$20,[1]Modelo!$I$20,IF(AB88=[1]Modelo!$F$21,[1]Modelo!$I$21,IF(AB88=[1]Modelo!$F$22,[1]Modelo!$I$22,0))))))))))))))))</f>
        <v>0.4</v>
      </c>
      <c r="AN88" s="138">
        <f>IF(AC88=[1]Modelo!$F$23,[1]Modelo!$H$23,IF(AC88=[1]Modelo!$F$24,[1]Modelo!$H$24,IF(AC88=[1]Modelo!$F$25,[1]Modelo!$H$25,0)))</f>
        <v>1.2</v>
      </c>
      <c r="AO88" s="138">
        <f>IF(AD88=[1]Modelo!$F$26,[1]Modelo!$H$26,IF(AD88=[1]Modelo!$F$27,[1]Modelo!$H$27,IF(AD88=[1]Modelo!$F$28,[1]Modelo!$H$28,0)))</f>
        <v>0.2</v>
      </c>
      <c r="AP88" s="138">
        <f>IF(AE88=[1]Modelo!$F$30,[1]Modelo!$H$30,IF(AE88=[1]Modelo!$F$31,[1]Modelo!$H$31,IF(AE88=[1]Modelo!$F$32,[1]Modelo!$H$32,0)))</f>
        <v>0.8</v>
      </c>
      <c r="AQ88" s="138">
        <f>IF(AF88=[1]Modelo!$F$33,[1]Modelo!$H$33,IF(AF88=[1]Modelo!$F$34,[1]Modelo!$H$34,IF(AF88=[1]Modelo!$F$35,[1]Modelo!$H$35,0)))</f>
        <v>0.3</v>
      </c>
      <c r="AR88" s="138">
        <f>IF(AG88=[1]Modelo!$F$37,[1]Modelo!$H$37,IF(AG88=[1]Modelo!$F$38,[1]Modelo!$H$38,IF(AG88=[1]Modelo!$F$39,[1]Modelo!$H$39,0)))</f>
        <v>0.8</v>
      </c>
      <c r="AS88" s="138">
        <f>IF(AH88=[1]Modelo!$F$40,[1]Modelo!$H$40,IF(AH88=[1]Modelo!$F$41,[1]Modelo!$H$41,IF(AH88=[1]Modelo!$F$42,[1]Modelo!$H$42,0)))</f>
        <v>0.4</v>
      </c>
      <c r="AT88" s="137">
        <f>IF(C88=[1]Modelo!$F$44,[1]Modelo!$H$44,IF(C88=[1]Modelo!$F$45,[1]Modelo!$H$45,IF(C88=[1]Modelo!$F$46,[1]Modelo!$H$46,IF(C88=[1]Modelo!$F$47,[1]Modelo!$H$47,IF(C88=[1]Modelo!$F$48,[1]Modelo!$H$48,IF(C88=[1]Modelo!$F$49,[1]Modelo!$H$49,IF(C88=[1]Modelo!$F$50,[1]Modelo!$H$50,IF(C88=[1]Modelo!$F$51,[1]Modelo!$H$51,IF(C88=[1]Modelo!$F$52,[1]Modelo!$H$52,IF(C88=[1]Modelo!$F$53,[1]Modelo!$H$53,0))))))))))</f>
        <v>1.7</v>
      </c>
      <c r="AU88" s="138">
        <f>IF(AI88=[1]Modelo!$F$54,[1]Modelo!$H$54,IF(AI88=[1]Modelo!$F$55,[1]Modelo!$H$55,IF(AI88=[1]Modelo!$F$56,[1]Modelo!$H$56,0)))</f>
        <v>1</v>
      </c>
      <c r="AV88" s="138">
        <f>IF(AJ88=[1]Modelo!$F$58,[1]Modelo!$H$58,IF(AJ88=[1]Modelo!$F$59,[1]Modelo!$H$59,IF(AJ88=[1]Modelo!$F$60,[1]Modelo!$H$60,0)))</f>
        <v>0.9</v>
      </c>
      <c r="AW88" s="40"/>
      <c r="AX88" s="139">
        <f>[1]Modelo!$H$2</f>
        <v>0.05</v>
      </c>
      <c r="AY88" s="140">
        <f>ROUNDUP([1]Modelo!$I$2*[1]Modelo!$H$3*[1]Modelo!$I$75,2)</f>
        <v>0.02</v>
      </c>
      <c r="AZ88" s="141">
        <f>ROUNDUP([1]Modelo!$I$2*[1]Modelo!$H$3*[1]Modelo!$H$4*[1]Modelo!$I$75,3)</f>
        <v>3.0000000000000001E-3</v>
      </c>
      <c r="BA88" s="139">
        <f>[1]Modelo!$H$5</f>
        <v>0.04</v>
      </c>
      <c r="BB88" s="139">
        <f>ROUNDUP(SUM(BC88,BE88,BG88,BI88)*[1]Modelo!$H$6,1)</f>
        <v>1.4000000000000001</v>
      </c>
      <c r="BC88" s="139">
        <f>ROUNDUP((AL88*AN88+0.1)*[1]Modelo!$I$75,1)</f>
        <v>1.6</v>
      </c>
      <c r="BD88" s="139">
        <f>ROUNDUP(AM88*AN88*AO88*[1]Modelo!$I$75,1)</f>
        <v>0.1</v>
      </c>
      <c r="BE88" s="139">
        <f>ROUNDUP(V88*[1]Modelo!$H$29*AP88*[1]Modelo!$I$75*2/3,1)</f>
        <v>1.6</v>
      </c>
      <c r="BF88" s="139">
        <f>ROUNDUP(V88*[1]Modelo!$H$29*AP88*AQ88*[1]Modelo!$I$75*2/3,1)</f>
        <v>0.5</v>
      </c>
      <c r="BG88" s="139">
        <f>ROUNDUP(V88*[1]Modelo!$H$29*AP88*[1]Modelo!$I$75/3,1)</f>
        <v>0.8</v>
      </c>
      <c r="BH88" s="139">
        <f>ROUNDUP(V88*[1]Modelo!$H$29*AP88*AQ88*[1]Modelo!$I$75/3,1)</f>
        <v>0.30000000000000004</v>
      </c>
      <c r="BI88" s="139">
        <f>ROUNDUP(W88*[1]Modelo!$H$36*AR88*[1]Modelo!$I$75,1)</f>
        <v>0</v>
      </c>
      <c r="BJ88" s="139">
        <f>ROUNDUP(W88*[1]Modelo!$H$36*AR88*AS88*[1]Modelo!$I$75,1)</f>
        <v>0</v>
      </c>
      <c r="BK88" s="139">
        <f>[1]Modelo!$H$43</f>
        <v>0.04</v>
      </c>
      <c r="BL88" s="139">
        <f>ROUNDUP(SUM(ROUNDUP(AL88*AN88+0.1,1),ROUNDUP(V88*[1]Modelo!$H$29*AP88,1),ROUNDUP(W88*[1]Modelo!$H$36*AR88,1))*AU88*AT88*[1]Modelo!$I$75,1)</f>
        <v>6.8</v>
      </c>
      <c r="BM88" s="139">
        <f t="shared" ref="BM88:BM89" si="505">IF(K$32="x",0, BL88*0.1*1.25)</f>
        <v>0</v>
      </c>
      <c r="BN88" s="139">
        <f t="shared" ref="BN88:BN89" si="506">IF(Q88="x",(BL88)*0.1,0)</f>
        <v>0</v>
      </c>
      <c r="BO88" s="139">
        <f t="shared" ref="BO88:BO89" si="507">IF(R88="x",(BL88)*0.12,0)</f>
        <v>0</v>
      </c>
      <c r="BP88" s="139">
        <f t="shared" ref="BP88:BP89" si="508">IF(S88="x",(BL88)*0.12,0)*4</f>
        <v>0</v>
      </c>
      <c r="BQ88" s="139">
        <f>ROUNDUP(SUM(ROUNDUP(AL88*AN88+0.1,1),ROUNDUP(V88*[1]Modelo!$H$29*AP88,1),ROUNDUP(W88*[1]Modelo!$H$36*AR88,1))*AT88*AV88*[1]Modelo!$H$57,1)</f>
        <v>2.8000000000000003</v>
      </c>
      <c r="BR88" s="409">
        <v>0</v>
      </c>
      <c r="BS88" s="139">
        <f>[1]Modelo!$H$61</f>
        <v>0.04</v>
      </c>
      <c r="BT88" s="139">
        <f>ROUNDUP(SUM(ROUNDUP(AL88*AN88+0.1,1),ROUNDUP(V88*[1]Modelo!$H$29*AP88,1),ROUNDUP(W88*[1]Modelo!$H$36*AR88,1))*[1]Modelo!$H$62*[1]Modelo!$I$75,1)</f>
        <v>0.30000000000000004</v>
      </c>
      <c r="BU88" s="139">
        <f>ROUNDUP(ROUNDUP(SUM(ROUNDUP(AL88*AN88+0.1,1),ROUNDUP(V88*[1]Modelo!$H$29*AP88,1),ROUNDUP(W88*[1]Modelo!$H$36*AR88,1))*[1]Modelo!$H$62,1)*[1]Modelo!$H$63*[1]Modelo!$I$75,1)</f>
        <v>0.1</v>
      </c>
      <c r="BV88" s="139">
        <f>SUM(ROUNDUP(AL88*AN88+0.1,1),ROUNDUP(V88*[1]Modelo!$H$29*AP88,1),ROUNDUP(W88*[1]Modelo!$H$36*AR88,1))*[1]Modelo!$H$64*[1]Modelo!$I$75</f>
        <v>0.8</v>
      </c>
      <c r="BW88" s="139">
        <f>ROUNDUP(SUM(ROUNDUP(AL88*AN88+0.1,1),ROUNDUP(V88*[1]Modelo!$H$29*AP88,1),ROUNDUP(W88*[1]Modelo!$H$36*AR88,1))*[1]Modelo!$H$64*[1]Modelo!$H$65*[1]Modelo!$I$75,1)</f>
        <v>0.4</v>
      </c>
      <c r="BX88" s="139">
        <f>[1]Modelo!$H$66</f>
        <v>0.04</v>
      </c>
      <c r="BY88" s="139">
        <f>ROUNDUP(SUM(ROUNDUP(AL88*AN88+0.1,1),ROUNDUP(V88*[1]Modelo!$H$29*AP88,1),ROUNDUP(W88*[1]Modelo!$H$36*AR88,1))*[1]Modelo!$H$69,1)</f>
        <v>0.9</v>
      </c>
      <c r="BZ88" s="139">
        <f>ROUNDUP(ROUNDUP(SUM(ROUNDUP(AL88*AN88+0.1,1),ROUNDUP(V88*[1]Modelo!$H$29*AP88,1),ROUNDUP(W88*[1]Modelo!$H$36*AR88,1))*[1]Modelo!$H$62,1)*[1]Modelo!$H$71,1)</f>
        <v>0.6</v>
      </c>
      <c r="CA88" s="142">
        <f t="shared" ref="CA88:CA89" si="509">SUM(AX88:BZ88)</f>
        <v>19.233000000000001</v>
      </c>
      <c r="CB88" s="27"/>
      <c r="CC88" s="27">
        <f t="shared" ref="CC88:CC89" si="510">CD88*0.85</f>
        <v>8.16</v>
      </c>
      <c r="CD88" s="109">
        <f t="shared" ref="CD88:CD89" si="511">O88</f>
        <v>9.6</v>
      </c>
      <c r="CE88" s="27">
        <f t="shared" ref="CE88:CE89" si="512">IF(CD88=0,1,CD88*1.4)</f>
        <v>13.44</v>
      </c>
      <c r="CF88" s="27"/>
      <c r="CG88" s="126">
        <v>0</v>
      </c>
      <c r="CH88" s="27"/>
      <c r="CI88" s="27">
        <f t="shared" ref="CI88:CI89" si="513">IF(CF88&lt;&gt;"",CF88,CG88)</f>
        <v>0</v>
      </c>
      <c r="CJ88" s="27"/>
      <c r="CK88" s="27"/>
      <c r="CL88" s="27"/>
      <c r="CM88" s="27"/>
      <c r="CN88" s="27"/>
      <c r="CO88" s="27"/>
      <c r="CP88" s="27"/>
      <c r="CQ88" s="27"/>
      <c r="CR88" s="27"/>
      <c r="CS88" s="27"/>
      <c r="CT88" s="27"/>
      <c r="CU88" s="27"/>
      <c r="CV88" s="27"/>
      <c r="CW88" s="27"/>
      <c r="CX88" s="27"/>
      <c r="CY88" s="27"/>
      <c r="CZ88" s="27"/>
      <c r="DA88" s="27"/>
      <c r="DB88" s="27"/>
      <c r="DC88" s="27"/>
    </row>
    <row r="89" spans="3:107" s="20" customFormat="1" ht="25" customHeight="1" outlineLevel="1" thickBot="1" x14ac:dyDescent="0.35">
      <c r="C89" s="388" t="s">
        <v>515</v>
      </c>
      <c r="D89" s="461" t="s">
        <v>18</v>
      </c>
      <c r="E89" s="461" t="str">
        <f t="shared" ref="E89" si="514">IF(U89&gt;50,"A",IF(U89&gt;15,"M","B"))</f>
        <v>B</v>
      </c>
      <c r="F89" s="461" t="s">
        <v>423</v>
      </c>
      <c r="G89" s="461" t="s">
        <v>423</v>
      </c>
      <c r="H89" s="461" t="str">
        <f t="shared" ref="H89" si="515">IF(V89+W89&gt;20,"A",IF(V89+W89&gt;5,"M","B"))</f>
        <v>B</v>
      </c>
      <c r="I89" s="461" t="str">
        <f t="shared" ref="I89" si="516">IF(V89+W89&gt;15,"A",IF(V89+W89&gt;4,"M","B"))</f>
        <v>B</v>
      </c>
      <c r="J89" s="425">
        <f t="shared" si="490"/>
        <v>2</v>
      </c>
      <c r="K89" s="503" t="str">
        <f t="shared" si="491"/>
        <v>Chica 1</v>
      </c>
      <c r="L89" s="541" t="s">
        <v>753</v>
      </c>
      <c r="M89" s="532">
        <f t="shared" si="492"/>
        <v>3.4</v>
      </c>
      <c r="N89" s="532">
        <f t="shared" si="493"/>
        <v>1.4000000000000001</v>
      </c>
      <c r="O89" s="538">
        <f t="shared" si="494"/>
        <v>4.8</v>
      </c>
      <c r="P89" s="58"/>
      <c r="Q89" s="462"/>
      <c r="R89" s="462"/>
      <c r="S89" s="462"/>
      <c r="T89" s="109"/>
      <c r="U89" s="144">
        <v>5</v>
      </c>
      <c r="V89" s="144">
        <v>2</v>
      </c>
      <c r="W89" s="144">
        <v>0</v>
      </c>
      <c r="X89" s="463"/>
      <c r="Y89" s="463" t="str">
        <f t="shared" si="495"/>
        <v>ConsultaChica2</v>
      </c>
      <c r="Z89" s="135">
        <f>VLOOKUP(Y89,[1]Modelo!$G$82:$H$281,2,FALSE)</f>
        <v>2</v>
      </c>
      <c r="AA89" s="463"/>
      <c r="AB89" s="137" t="str">
        <f t="shared" si="496"/>
        <v>Chica 1</v>
      </c>
      <c r="AC89" s="137" t="str">
        <f t="shared" si="497"/>
        <v>Baja</v>
      </c>
      <c r="AD89" s="137" t="str">
        <f t="shared" si="498"/>
        <v>Baja</v>
      </c>
      <c r="AE89" s="137" t="str">
        <f t="shared" si="499"/>
        <v>Baja</v>
      </c>
      <c r="AF89" s="137" t="str">
        <f t="shared" si="500"/>
        <v>Baja</v>
      </c>
      <c r="AG89" s="137" t="str">
        <f t="shared" si="501"/>
        <v>Baja</v>
      </c>
      <c r="AH89" s="137" t="str">
        <f t="shared" si="502"/>
        <v>Baja</v>
      </c>
      <c r="AI89" s="137" t="str">
        <f t="shared" si="503"/>
        <v>Baja</v>
      </c>
      <c r="AJ89" s="137" t="str">
        <f t="shared" si="504"/>
        <v>Baja</v>
      </c>
      <c r="AK89" s="40"/>
      <c r="AL89" s="138">
        <f>IF(AB89=[1]Modelo!$F$7,[1]Modelo!$H$7,IF(AB89=[1]Modelo!$F$8,[1]Modelo!$H$8,IF(AB89=[1]Modelo!$F$9,[1]Modelo!$H$9,IF(AB89=[1]Modelo!$F$10,[1]Modelo!$H$10,IF(AB89=[1]Modelo!$F$11,[1]Modelo!$H$11,IF(AB89=[1]Modelo!$F$12,[1]Modelo!$H$12,IF(AB89=[1]Modelo!$F$13,[1]Modelo!$H$13,IF(AB89=[1]Modelo!$F$14,[1]Modelo!$H$14,IF(AB89=[1]Modelo!$F$15,[1]Modelo!$H$15,IF(AB89=[1]Modelo!$F$16,[1]Modelo!$H$16,IF(AB89=[1]Modelo!$F$17,[1]Modelo!$H$17,IF(AB89=[1]Modelo!$F$18,[1]Modelo!$H$18,IF(AB89=[1]Modelo!$F$19,[1]Modelo!$H$19,IF(AB89=[1]Modelo!$F$20,[1]Modelo!$H$20,IF(AB89=[1]Modelo!$F$21,[1]Modelo!$H$21,IF(AB89=[1]Modelo!$F$22,[1]Modelo!$H$22,0))))))))))))))))</f>
        <v>0.30000000000000004</v>
      </c>
      <c r="AM89" s="138">
        <f>IF(AB89=[1]Modelo!$F$7,[1]Modelo!$I$7,IF(AB89=[1]Modelo!$F$8,[1]Modelo!$I$8,IF(AB89=[1]Modelo!$F$9,[1]Modelo!$I$9,IF(AB89=[1]Modelo!$F$10,[1]Modelo!$I$10,IF(AB89=[1]Modelo!$F$11,[1]Modelo!$I$11,IF(AB89=[1]Modelo!$F$12,[1]Modelo!$I$12,IF(AB89=[1]Modelo!$F$13,[1]Modelo!$I$13,IF(AB89=[1]Modelo!$F$14,[1]Modelo!$I$14,IF(AB89=[1]Modelo!$F$15,[1]Modelo!$I$15,IF(AB89=[1]Modelo!$F$16,[1]Modelo!$I$16,IF(AB89=[1]Modelo!$F$17,[1]Modelo!$I$17,IF(AB89=[1]Modelo!$F$18,[1]Modelo!$I$18,IF(AB89=[1]Modelo!$F$19,[1]Modelo!$I$19,IF(AB89=[1]Modelo!$F$20,[1]Modelo!$I$20,IF(AB89=[1]Modelo!$F$21,[1]Modelo!$I$21,IF(AB89=[1]Modelo!$F$22,[1]Modelo!$I$22,0))))))))))))))))</f>
        <v>0.1</v>
      </c>
      <c r="AN89" s="138">
        <f>IF(AC89=[1]Modelo!$F$23,[1]Modelo!$H$23,IF(AC89=[1]Modelo!$F$24,[1]Modelo!$H$24,IF(AC89=[1]Modelo!$F$25,[1]Modelo!$H$25,0)))</f>
        <v>1</v>
      </c>
      <c r="AO89" s="138">
        <f>IF(AD89=[1]Modelo!$F$26,[1]Modelo!$H$26,IF(AD89=[1]Modelo!$F$27,[1]Modelo!$H$27,IF(AD89=[1]Modelo!$F$28,[1]Modelo!$H$28,0)))</f>
        <v>0.1</v>
      </c>
      <c r="AP89" s="138">
        <f>IF(AE89=[1]Modelo!$F$30,[1]Modelo!$H$30,IF(AE89=[1]Modelo!$F$31,[1]Modelo!$H$31,IF(AE89=[1]Modelo!$F$32,[1]Modelo!$H$32,0)))</f>
        <v>0.8</v>
      </c>
      <c r="AQ89" s="138">
        <f>IF(AF89=[1]Modelo!$F$33,[1]Modelo!$H$33,IF(AF89=[1]Modelo!$F$34,[1]Modelo!$H$34,IF(AF89=[1]Modelo!$F$35,[1]Modelo!$H$35,0)))</f>
        <v>0.3</v>
      </c>
      <c r="AR89" s="138">
        <f>IF(AG89=[1]Modelo!$F$37,[1]Modelo!$H$37,IF(AG89=[1]Modelo!$F$38,[1]Modelo!$H$38,IF(AG89=[1]Modelo!$F$39,[1]Modelo!$H$39,0)))</f>
        <v>0.8</v>
      </c>
      <c r="AS89" s="138">
        <f>IF(AH89=[1]Modelo!$F$40,[1]Modelo!$H$40,IF(AH89=[1]Modelo!$F$41,[1]Modelo!$H$41,IF(AH89=[1]Modelo!$F$42,[1]Modelo!$H$42,0)))</f>
        <v>0.4</v>
      </c>
      <c r="AT89" s="137">
        <f>IF(C89=[1]Modelo!$F$44,[1]Modelo!$H$44,IF(C89=[1]Modelo!$F$45,[1]Modelo!$H$45,IF(C89=[1]Modelo!$F$46,[1]Modelo!$H$46,IF(C89=[1]Modelo!$F$47,[1]Modelo!$H$47,IF(C89=[1]Modelo!$F$48,[1]Modelo!$H$48,IF(C89=[1]Modelo!$F$49,[1]Modelo!$H$49,IF(C89=[1]Modelo!$F$50,[1]Modelo!$H$50,IF(C89=[1]Modelo!$F$51,[1]Modelo!$H$51,IF(C89=[1]Modelo!$F$52,[1]Modelo!$H$52,IF(C89=[1]Modelo!$F$53,[1]Modelo!$H$53,0))))))))))</f>
        <v>1.7</v>
      </c>
      <c r="AU89" s="138">
        <f>IF(AI89=[1]Modelo!$F$54,[1]Modelo!$H$54,IF(AI89=[1]Modelo!$F$55,[1]Modelo!$H$55,IF(AI89=[1]Modelo!$F$56,[1]Modelo!$H$56,0)))</f>
        <v>1</v>
      </c>
      <c r="AV89" s="138">
        <f>IF(AJ89=[1]Modelo!$F$58,[1]Modelo!$H$58,IF(AJ89=[1]Modelo!$F$59,[1]Modelo!$H$59,IF(AJ89=[1]Modelo!$F$60,[1]Modelo!$H$60,0)))</f>
        <v>0.9</v>
      </c>
      <c r="AW89" s="40"/>
      <c r="AX89" s="139">
        <f>[1]Modelo!$H$2</f>
        <v>0.05</v>
      </c>
      <c r="AY89" s="140">
        <f>ROUNDUP([1]Modelo!$I$2*[1]Modelo!$H$3*[1]Modelo!$I$75,2)</f>
        <v>0.02</v>
      </c>
      <c r="AZ89" s="141">
        <f>ROUNDUP([1]Modelo!$I$2*[1]Modelo!$H$3*[1]Modelo!$H$4*[1]Modelo!$I$75,3)</f>
        <v>3.0000000000000001E-3</v>
      </c>
      <c r="BA89" s="139">
        <f>[1]Modelo!$H$5</f>
        <v>0.04</v>
      </c>
      <c r="BB89" s="139">
        <f>ROUNDUP(SUM(BC89,BE89,BG89,BI89)*[1]Modelo!$H$6,1)</f>
        <v>0.7</v>
      </c>
      <c r="BC89" s="139">
        <f>ROUNDUP((AL89*AN89+0.1)*[1]Modelo!$I$75,1)</f>
        <v>0.4</v>
      </c>
      <c r="BD89" s="139">
        <f>ROUNDUP(AM89*AN89*AO89*[1]Modelo!$I$75,1)</f>
        <v>0.1</v>
      </c>
      <c r="BE89" s="139">
        <f>ROUNDUP(V89*[1]Modelo!$H$29*AP89*[1]Modelo!$I$75*2/3,1)</f>
        <v>1.1000000000000001</v>
      </c>
      <c r="BF89" s="139">
        <f>ROUNDUP(V89*[1]Modelo!$H$29*AP89*AQ89*[1]Modelo!$I$75*2/3,1)</f>
        <v>0.4</v>
      </c>
      <c r="BG89" s="139">
        <f>ROUNDUP(V89*[1]Modelo!$H$29*AP89*[1]Modelo!$I$75/3,1)</f>
        <v>0.6</v>
      </c>
      <c r="BH89" s="139">
        <f>ROUNDUP(V89*[1]Modelo!$H$29*AP89*AQ89*[1]Modelo!$I$75/3,1)</f>
        <v>0.2</v>
      </c>
      <c r="BI89" s="139">
        <f>ROUNDUP(W89*[1]Modelo!$H$36*AR89*[1]Modelo!$I$75,1)</f>
        <v>0</v>
      </c>
      <c r="BJ89" s="139">
        <f>ROUNDUP(W89*[1]Modelo!$H$36*AR89*AS89*[1]Modelo!$I$75,1)</f>
        <v>0</v>
      </c>
      <c r="BK89" s="139">
        <f>[1]Modelo!$H$43</f>
        <v>0.04</v>
      </c>
      <c r="BL89" s="139">
        <f>ROUNDUP(SUM(ROUNDUP(AL89*AN89+0.1,1),ROUNDUP(V89*[1]Modelo!$H$29*AP89,1),ROUNDUP(W89*[1]Modelo!$H$36*AR89,1))*AU89*AT89*[1]Modelo!$I$75,1)</f>
        <v>3.4</v>
      </c>
      <c r="BM89" s="139">
        <f t="shared" si="505"/>
        <v>0</v>
      </c>
      <c r="BN89" s="139">
        <f t="shared" si="506"/>
        <v>0</v>
      </c>
      <c r="BO89" s="139">
        <f t="shared" si="507"/>
        <v>0</v>
      </c>
      <c r="BP89" s="139">
        <f t="shared" si="508"/>
        <v>0</v>
      </c>
      <c r="BQ89" s="139">
        <f>ROUNDUP(SUM(ROUNDUP(AL89*AN89+0.1,1),ROUNDUP(V89*[1]Modelo!$H$29*AP89,1),ROUNDUP(W89*[1]Modelo!$H$36*AR89,1))*AT89*AV89*[1]Modelo!$H$57,1)</f>
        <v>1.4000000000000001</v>
      </c>
      <c r="BR89" s="409">
        <v>0</v>
      </c>
      <c r="BS89" s="139">
        <f>[1]Modelo!$H$61</f>
        <v>0.04</v>
      </c>
      <c r="BT89" s="139">
        <f>ROUNDUP(SUM(ROUNDUP(AL89*AN89+0.1,1),ROUNDUP(V89*[1]Modelo!$H$29*AP89,1),ROUNDUP(W89*[1]Modelo!$H$36*AR89,1))*[1]Modelo!$H$62*[1]Modelo!$I$75,1)</f>
        <v>0.2</v>
      </c>
      <c r="BU89" s="139">
        <f>ROUNDUP(ROUNDUP(SUM(ROUNDUP(AL89*AN89+0.1,1),ROUNDUP(V89*[1]Modelo!$H$29*AP89,1),ROUNDUP(W89*[1]Modelo!$H$36*AR89,1))*[1]Modelo!$H$62,1)*[1]Modelo!$H$63*[1]Modelo!$I$75,1)</f>
        <v>0.1</v>
      </c>
      <c r="BV89" s="139">
        <f>SUM(ROUNDUP(AL89*AN89+0.1,1),ROUNDUP(V89*[1]Modelo!$H$29*AP89,1),ROUNDUP(W89*[1]Modelo!$H$36*AR89,1))*[1]Modelo!$H$64*[1]Modelo!$I$75</f>
        <v>0.4</v>
      </c>
      <c r="BW89" s="139">
        <f>ROUNDUP(SUM(ROUNDUP(AL89*AN89+0.1,1),ROUNDUP(V89*[1]Modelo!$H$29*AP89,1),ROUNDUP(W89*[1]Modelo!$H$36*AR89,1))*[1]Modelo!$H$64*[1]Modelo!$H$65*[1]Modelo!$I$75,1)</f>
        <v>0.2</v>
      </c>
      <c r="BX89" s="139">
        <f>[1]Modelo!$H$66</f>
        <v>0.04</v>
      </c>
      <c r="BY89" s="139">
        <f>ROUNDUP(SUM(ROUNDUP(AL89*AN89+0.1,1),ROUNDUP(V89*[1]Modelo!$H$29*AP89,1),ROUNDUP(W89*[1]Modelo!$H$36*AR89,1))*[1]Modelo!$H$69,1)</f>
        <v>0.5</v>
      </c>
      <c r="BZ89" s="139">
        <f>ROUNDUP(ROUNDUP(SUM(ROUNDUP(AL89*AN89+0.1,1),ROUNDUP(V89*[1]Modelo!$H$29*AP89,1),ROUNDUP(W89*[1]Modelo!$H$36*AR89,1))*[1]Modelo!$H$62,1)*[1]Modelo!$H$71,1)</f>
        <v>0.4</v>
      </c>
      <c r="CA89" s="142">
        <f t="shared" si="509"/>
        <v>10.332999999999998</v>
      </c>
      <c r="CB89" s="27"/>
      <c r="CC89" s="27">
        <f t="shared" si="510"/>
        <v>4.08</v>
      </c>
      <c r="CD89" s="109">
        <f t="shared" si="511"/>
        <v>4.8</v>
      </c>
      <c r="CE89" s="27">
        <f t="shared" si="512"/>
        <v>6.72</v>
      </c>
      <c r="CF89" s="27"/>
      <c r="CG89" s="126">
        <v>0</v>
      </c>
      <c r="CH89" s="27"/>
      <c r="CI89" s="27">
        <f t="shared" si="513"/>
        <v>0</v>
      </c>
      <c r="CJ89" s="27"/>
      <c r="CK89" s="27"/>
      <c r="CL89" s="27"/>
      <c r="CM89" s="27"/>
      <c r="CN89" s="27"/>
      <c r="CO89" s="27"/>
      <c r="CP89" s="27"/>
      <c r="CQ89" s="27"/>
      <c r="CR89" s="27"/>
      <c r="CS89" s="27"/>
      <c r="CT89" s="27"/>
      <c r="CU89" s="27"/>
      <c r="CV89" s="27"/>
      <c r="CW89" s="27"/>
      <c r="CX89" s="27"/>
      <c r="CY89" s="27"/>
      <c r="CZ89" s="27"/>
      <c r="DA89" s="27"/>
      <c r="DB89" s="27"/>
      <c r="DC89" s="27"/>
    </row>
    <row r="90" spans="3:107" s="20" customFormat="1" ht="36.75" customHeight="1" outlineLevel="1" thickBot="1" x14ac:dyDescent="0.35">
      <c r="C90" s="388" t="s">
        <v>93</v>
      </c>
      <c r="D90" s="461" t="s">
        <v>18</v>
      </c>
      <c r="E90" s="461" t="str">
        <f t="shared" ref="E90" si="517">IF(U90&gt;50,"A",IF(U90&gt;15,"M","B"))</f>
        <v>B</v>
      </c>
      <c r="F90" s="461" t="s">
        <v>423</v>
      </c>
      <c r="G90" s="461" t="s">
        <v>423</v>
      </c>
      <c r="H90" s="461" t="str">
        <f t="shared" ref="H90" si="518">IF(V90+W90&gt;20,"A",IF(V90+W90&gt;5,"M","B"))</f>
        <v>B</v>
      </c>
      <c r="I90" s="461" t="str">
        <f t="shared" ref="I90" si="519">IF(V90+W90&gt;15,"A",IF(V90+W90&gt;4,"M","B"))</f>
        <v>B</v>
      </c>
      <c r="J90" s="425">
        <f t="shared" ref="J90" si="520">V90+W90</f>
        <v>1</v>
      </c>
      <c r="K90" s="503" t="str">
        <f t="shared" ref="K90" si="521">AB90</f>
        <v>Chica 2</v>
      </c>
      <c r="L90" s="541" t="s">
        <v>786</v>
      </c>
      <c r="M90" s="532">
        <f t="shared" si="492"/>
        <v>3.3</v>
      </c>
      <c r="N90" s="532">
        <f t="shared" si="493"/>
        <v>1.4000000000000001</v>
      </c>
      <c r="O90" s="538">
        <f t="shared" si="494"/>
        <v>4.7</v>
      </c>
      <c r="P90" s="58"/>
      <c r="Q90" s="462"/>
      <c r="R90" s="462"/>
      <c r="S90" s="462"/>
      <c r="T90" s="109"/>
      <c r="U90" s="144">
        <v>10</v>
      </c>
      <c r="V90" s="144">
        <v>1</v>
      </c>
      <c r="W90" s="144">
        <v>0</v>
      </c>
      <c r="X90" s="463"/>
      <c r="Y90" s="463" t="str">
        <f t="shared" ref="Y90" si="522">CONCATENATE(C90,LEFT(K90,5),J90)</f>
        <v>CapturaChica1</v>
      </c>
      <c r="Z90" s="135">
        <f>VLOOKUP(Y90,[1]Modelo!$G$82:$H$281,2,FALSE)</f>
        <v>41</v>
      </c>
      <c r="AA90" s="463"/>
      <c r="AB90" s="137" t="str">
        <f t="shared" ref="AB90" si="523">IF(AND(U90&gt;=0,U90&lt;=6),"Chica 1",IF(AND(U90&gt;=7,U90&lt;=12),"Chica 2",IF(AND(U90&gt;=13,U90&lt;=18),"Chica 3",IF(AND(U90&gt;=19,U90&lt;=24),"Chica 4",IF(AND(U90&gt;=25,U90&lt;=30),"Mediana 1",IF(AND(U90&gt;=31,U90&lt;=36),"Mediana 2",IF(AND(U90&gt;=37,U90&lt;=42),"Mediana 3",IF(AND(U90&gt;=43,U90&lt;=48),"Mediana 4",IF(AND(U90&gt;=49,U90&lt;=54),"Grande 1",IF(AND(U90&gt;=55,U90&lt;=60),"Grande 2",IF(AND(U90&gt;=61,U90&lt;=66),"Grande 3",IF(AND(U90&gt;=67,U90&lt;=72),"Grande 4",IF(AND(U90&gt;=73,U90&lt;=78),"M. grande 1",IF(AND(U90&gt;=79,U90&lt;=84),"M. grande 2",IF(AND(U90&gt;=85,U90&lt;=90),"M. grande 3",IF(AND(U90&gt;=91,U90&lt;=96),"M. grande 4","NO DEF"))))))))))))))))</f>
        <v>Chica 2</v>
      </c>
      <c r="AC90" s="137" t="str">
        <f t="shared" ref="AC90" si="524">IF(E90="A","Alta",IF(E90="M","Media","Baja"))</f>
        <v>Baja</v>
      </c>
      <c r="AD90" s="137" t="str">
        <f t="shared" ref="AD90" si="525">IF(E90="A","Alta",IF(E90="M","Media","Baja"))</f>
        <v>Baja</v>
      </c>
      <c r="AE90" s="137" t="str">
        <f t="shared" ref="AE90" si="526">IF(F90="A","Alta",IF(F90="M","Media","Baja"))</f>
        <v>Baja</v>
      </c>
      <c r="AF90" s="137" t="str">
        <f t="shared" ref="AF90" si="527">IF(F90="A","Alta",IF(F90="M","Media","Baja"))</f>
        <v>Baja</v>
      </c>
      <c r="AG90" s="137" t="str">
        <f t="shared" ref="AG90" si="528">IF(G90="A","Alta",IF(G90="M","Media","Baja"))</f>
        <v>Baja</v>
      </c>
      <c r="AH90" s="137" t="str">
        <f t="shared" ref="AH90" si="529">IF(G90="A","Alta",IF(G90="M","Media","Baja"))</f>
        <v>Baja</v>
      </c>
      <c r="AI90" s="137" t="str">
        <f t="shared" ref="AI90" si="530">IF(H90="A","Alta",IF(H90="M","Media","Baja"))</f>
        <v>Baja</v>
      </c>
      <c r="AJ90" s="137" t="str">
        <f t="shared" ref="AJ90" si="531">IF(I90="A","Alta",IF(I90="M","Media","Baja"))</f>
        <v>Baja</v>
      </c>
      <c r="AK90" s="40"/>
      <c r="AL90" s="138">
        <f>IF(AB90=[1]Modelo!$F$7,[1]Modelo!$H$7,IF(AB90=[1]Modelo!$F$8,[1]Modelo!$H$8,IF(AB90=[1]Modelo!$F$9,[1]Modelo!$H$9,IF(AB90=[1]Modelo!$F$10,[1]Modelo!$H$10,IF(AB90=[1]Modelo!$F$11,[1]Modelo!$H$11,IF(AB90=[1]Modelo!$F$12,[1]Modelo!$H$12,IF(AB90=[1]Modelo!$F$13,[1]Modelo!$H$13,IF(AB90=[1]Modelo!$F$14,[1]Modelo!$H$14,IF(AB90=[1]Modelo!$F$15,[1]Modelo!$H$15,IF(AB90=[1]Modelo!$F$16,[1]Modelo!$H$16,IF(AB90=[1]Modelo!$F$17,[1]Modelo!$H$17,IF(AB90=[1]Modelo!$F$18,[1]Modelo!$H$18,IF(AB90=[1]Modelo!$F$19,[1]Modelo!$H$19,IF(AB90=[1]Modelo!$F$20,[1]Modelo!$H$20,IF(AB90=[1]Modelo!$F$21,[1]Modelo!$H$21,IF(AB90=[1]Modelo!$F$22,[1]Modelo!$H$22,0))))))))))))))))</f>
        <v>0.60000000000000009</v>
      </c>
      <c r="AM90" s="138">
        <f>IF(AB90=[1]Modelo!$F$7,[1]Modelo!$I$7,IF(AB90=[1]Modelo!$F$8,[1]Modelo!$I$8,IF(AB90=[1]Modelo!$F$9,[1]Modelo!$I$9,IF(AB90=[1]Modelo!$F$10,[1]Modelo!$I$10,IF(AB90=[1]Modelo!$F$11,[1]Modelo!$I$11,IF(AB90=[1]Modelo!$F$12,[1]Modelo!$I$12,IF(AB90=[1]Modelo!$F$13,[1]Modelo!$I$13,IF(AB90=[1]Modelo!$F$14,[1]Modelo!$I$14,IF(AB90=[1]Modelo!$F$15,[1]Modelo!$I$15,IF(AB90=[1]Modelo!$F$16,[1]Modelo!$I$16,IF(AB90=[1]Modelo!$F$17,[1]Modelo!$I$17,IF(AB90=[1]Modelo!$F$18,[1]Modelo!$I$18,IF(AB90=[1]Modelo!$F$19,[1]Modelo!$I$19,IF(AB90=[1]Modelo!$F$20,[1]Modelo!$I$20,IF(AB90=[1]Modelo!$F$21,[1]Modelo!$I$21,IF(AB90=[1]Modelo!$F$22,[1]Modelo!$I$22,0))))))))))))))))</f>
        <v>0.2</v>
      </c>
      <c r="AN90" s="138">
        <f>IF(AC90=[1]Modelo!$F$23,[1]Modelo!$H$23,IF(AC90=[1]Modelo!$F$24,[1]Modelo!$H$24,IF(AC90=[1]Modelo!$F$25,[1]Modelo!$H$25,0)))</f>
        <v>1</v>
      </c>
      <c r="AO90" s="138">
        <f>IF(AD90=[1]Modelo!$F$26,[1]Modelo!$H$26,IF(AD90=[1]Modelo!$F$27,[1]Modelo!$H$27,IF(AD90=[1]Modelo!$F$28,[1]Modelo!$H$28,0)))</f>
        <v>0.1</v>
      </c>
      <c r="AP90" s="138">
        <f>IF(AE90=[1]Modelo!$F$30,[1]Modelo!$H$30,IF(AE90=[1]Modelo!$F$31,[1]Modelo!$H$31,IF(AE90=[1]Modelo!$F$32,[1]Modelo!$H$32,0)))</f>
        <v>0.8</v>
      </c>
      <c r="AQ90" s="138">
        <f>IF(AF90=[1]Modelo!$F$33,[1]Modelo!$H$33,IF(AF90=[1]Modelo!$F$34,[1]Modelo!$H$34,IF(AF90=[1]Modelo!$F$35,[1]Modelo!$H$35,0)))</f>
        <v>0.3</v>
      </c>
      <c r="AR90" s="138">
        <f>IF(AG90=[1]Modelo!$F$37,[1]Modelo!$H$37,IF(AG90=[1]Modelo!$F$38,[1]Modelo!$H$38,IF(AG90=[1]Modelo!$F$39,[1]Modelo!$H$39,0)))</f>
        <v>0.8</v>
      </c>
      <c r="AS90" s="138">
        <f>IF(AH90=[1]Modelo!$F$40,[1]Modelo!$H$40,IF(AH90=[1]Modelo!$F$41,[1]Modelo!$H$41,IF(AH90=[1]Modelo!$F$42,[1]Modelo!$H$42,0)))</f>
        <v>0.4</v>
      </c>
      <c r="AT90" s="137">
        <f>IF(C90=[1]Modelo!$F$44,[1]Modelo!$H$44,IF(C90=[1]Modelo!$F$45,[1]Modelo!$H$45,IF(C90=[1]Modelo!$F$46,[1]Modelo!$H$46,IF(C90=[1]Modelo!$F$47,[1]Modelo!$H$47,IF(C90=[1]Modelo!$F$48,[1]Modelo!$H$48,IF(C90=[1]Modelo!$F$49,[1]Modelo!$H$49,IF(C90=[1]Modelo!$F$50,[1]Modelo!$H$50,IF(C90=[1]Modelo!$F$51,[1]Modelo!$H$51,IF(C90=[1]Modelo!$F$52,[1]Modelo!$H$52,IF(C90=[1]Modelo!$F$53,[1]Modelo!$H$53,0))))))))))</f>
        <v>2.2000000000000002</v>
      </c>
      <c r="AU90" s="138">
        <f>IF(AI90=[1]Modelo!$F$54,[1]Modelo!$H$54,IF(AI90=[1]Modelo!$F$55,[1]Modelo!$H$55,IF(AI90=[1]Modelo!$F$56,[1]Modelo!$H$56,0)))</f>
        <v>1</v>
      </c>
      <c r="AV90" s="138">
        <f>IF(AJ90=[1]Modelo!$F$58,[1]Modelo!$H$58,IF(AJ90=[1]Modelo!$F$59,[1]Modelo!$H$59,IF(AJ90=[1]Modelo!$F$60,[1]Modelo!$H$60,0)))</f>
        <v>0.9</v>
      </c>
      <c r="AW90" s="40"/>
      <c r="AX90" s="139">
        <f>[1]Modelo!$H$2</f>
        <v>0.05</v>
      </c>
      <c r="AY90" s="140">
        <f>ROUNDUP([1]Modelo!$I$2*[1]Modelo!$H$3*[1]Modelo!$I$75,2)</f>
        <v>0.02</v>
      </c>
      <c r="AZ90" s="141">
        <f>ROUNDUP([1]Modelo!$I$2*[1]Modelo!$H$3*[1]Modelo!$H$4*[1]Modelo!$I$75,3)</f>
        <v>3.0000000000000001E-3</v>
      </c>
      <c r="BA90" s="139">
        <f>[1]Modelo!$H$5</f>
        <v>0.04</v>
      </c>
      <c r="BB90" s="139">
        <f>ROUNDUP(SUM(BC90,BE90,BG90,BI90)*[1]Modelo!$H$6,1)</f>
        <v>0.6</v>
      </c>
      <c r="BC90" s="139">
        <f>ROUNDUP((AL90*AN90+0.1)*[1]Modelo!$I$75,1)</f>
        <v>0.7</v>
      </c>
      <c r="BD90" s="139">
        <f>ROUNDUP(AM90*AN90*AO90*[1]Modelo!$I$75,1)</f>
        <v>0.1</v>
      </c>
      <c r="BE90" s="139">
        <f>ROUNDUP(V90*[1]Modelo!$H$29*AP90*[1]Modelo!$I$75*2/3,1)</f>
        <v>0.6</v>
      </c>
      <c r="BF90" s="139">
        <f>ROUNDUP(V90*[1]Modelo!$H$29*AP90*AQ90*[1]Modelo!$I$75*2/3,1)</f>
        <v>0.2</v>
      </c>
      <c r="BG90" s="139">
        <f>ROUNDUP(V90*[1]Modelo!$H$29*AP90*[1]Modelo!$I$75/3,1)</f>
        <v>0.30000000000000004</v>
      </c>
      <c r="BH90" s="139">
        <f>ROUNDUP(V90*[1]Modelo!$H$29*AP90*AQ90*[1]Modelo!$I$75/3,1)</f>
        <v>0.1</v>
      </c>
      <c r="BI90" s="139">
        <f>ROUNDUP(W90*[1]Modelo!$H$36*AR90*[1]Modelo!$I$75,1)</f>
        <v>0</v>
      </c>
      <c r="BJ90" s="139">
        <f>ROUNDUP(W90*[1]Modelo!$H$36*AR90*AS90*[1]Modelo!$I$75,1)</f>
        <v>0</v>
      </c>
      <c r="BK90" s="139">
        <f>[1]Modelo!$H$43</f>
        <v>0.04</v>
      </c>
      <c r="BL90" s="139">
        <f>ROUNDUP(SUM(ROUNDUP(AL90*AN90+0.1,1),ROUNDUP(V90*[1]Modelo!$H$29*AP90,1),ROUNDUP(W90*[1]Modelo!$H$36*AR90,1))*AU90*AT90*[1]Modelo!$I$75,1)</f>
        <v>3.3</v>
      </c>
      <c r="BM90" s="139">
        <f t="shared" ref="BM90" si="532">IF(K$32="x",0, BL90*0.1*1.25)</f>
        <v>0</v>
      </c>
      <c r="BN90" s="139">
        <f t="shared" ref="BN90" si="533">IF(Q90="x",(BL90)*0.1,0)</f>
        <v>0</v>
      </c>
      <c r="BO90" s="139">
        <f t="shared" ref="BO90" si="534">IF(R90="x",(BL90)*0.12,0)</f>
        <v>0</v>
      </c>
      <c r="BP90" s="139">
        <f t="shared" ref="BP90" si="535">IF(S90="x",(BL90)*0.12,0)*4</f>
        <v>0</v>
      </c>
      <c r="BQ90" s="139">
        <f>ROUNDUP(SUM(ROUNDUP(AL90*AN90+0.1,1),ROUNDUP(V90*[1]Modelo!$H$29*AP90,1),ROUNDUP(W90*[1]Modelo!$H$36*AR90,1))*AT90*AV90*[1]Modelo!$H$57,1)</f>
        <v>1.4000000000000001</v>
      </c>
      <c r="BR90" s="409">
        <v>0</v>
      </c>
      <c r="BS90" s="139">
        <f>[1]Modelo!$H$61</f>
        <v>0.04</v>
      </c>
      <c r="BT90" s="139">
        <f>ROUNDUP(SUM(ROUNDUP(AL90*AN90+0.1,1),ROUNDUP(V90*[1]Modelo!$H$29*AP90,1),ROUNDUP(W90*[1]Modelo!$H$36*AR90,1))*[1]Modelo!$H$62*[1]Modelo!$I$75,1)</f>
        <v>0.1</v>
      </c>
      <c r="BU90" s="139">
        <f>ROUNDUP(ROUNDUP(SUM(ROUNDUP(AL90*AN90+0.1,1),ROUNDUP(V90*[1]Modelo!$H$29*AP90,1),ROUNDUP(W90*[1]Modelo!$H$36*AR90,1))*[1]Modelo!$H$62,1)*[1]Modelo!$H$63*[1]Modelo!$I$75,1)</f>
        <v>0.1</v>
      </c>
      <c r="BV90" s="139">
        <f>SUM(ROUNDUP(AL90*AN90+0.1,1),ROUNDUP(V90*[1]Modelo!$H$29*AP90,1),ROUNDUP(W90*[1]Modelo!$H$36*AR90,1))*[1]Modelo!$H$64*[1]Modelo!$I$75</f>
        <v>0.30000000000000004</v>
      </c>
      <c r="BW90" s="139">
        <f>ROUNDUP(SUM(ROUNDUP(AL90*AN90+0.1,1),ROUNDUP(V90*[1]Modelo!$H$29*AP90,1),ROUNDUP(W90*[1]Modelo!$H$36*AR90,1))*[1]Modelo!$H$64*[1]Modelo!$H$65*[1]Modelo!$I$75,1)</f>
        <v>0.2</v>
      </c>
      <c r="BX90" s="139">
        <f>[1]Modelo!$H$66</f>
        <v>0.04</v>
      </c>
      <c r="BY90" s="139">
        <f>ROUNDUP(SUM(ROUNDUP(AL90*AN90+0.1,1),ROUNDUP(V90*[1]Modelo!$H$29*AP90,1),ROUNDUP(W90*[1]Modelo!$H$36*AR90,1))*[1]Modelo!$H$69,1)</f>
        <v>0.4</v>
      </c>
      <c r="BZ90" s="139">
        <f>ROUNDUP(ROUNDUP(SUM(ROUNDUP(AL90*AN90+0.1,1),ROUNDUP(V90*[1]Modelo!$H$29*AP90,1),ROUNDUP(W90*[1]Modelo!$H$36*AR90,1))*[1]Modelo!$H$62,1)*[1]Modelo!$H$71,1)</f>
        <v>0.2</v>
      </c>
      <c r="CA90" s="142">
        <f t="shared" ref="CA90" si="536">SUM(AX90:BZ90)</f>
        <v>8.8329999999999984</v>
      </c>
      <c r="CB90" s="27"/>
      <c r="CC90" s="27">
        <f t="shared" ref="CC90" si="537">CD90*0.85</f>
        <v>3.9950000000000001</v>
      </c>
      <c r="CD90" s="109">
        <f t="shared" ref="CD90" si="538">O90</f>
        <v>4.7</v>
      </c>
      <c r="CE90" s="27">
        <f t="shared" ref="CE90" si="539">IF(CD90=0,1,CD90*1.4)</f>
        <v>6.58</v>
      </c>
      <c r="CF90" s="27"/>
      <c r="CG90" s="126">
        <v>0</v>
      </c>
      <c r="CH90" s="27"/>
      <c r="CI90" s="27">
        <f t="shared" ref="CI90" si="540">IF(CF90&lt;&gt;"",CF90,CG90)</f>
        <v>0</v>
      </c>
      <c r="CJ90" s="27"/>
      <c r="CK90" s="27"/>
      <c r="CL90" s="27"/>
      <c r="CM90" s="27"/>
      <c r="CN90" s="27"/>
      <c r="CO90" s="27"/>
      <c r="CP90" s="27"/>
      <c r="CQ90" s="27"/>
      <c r="CR90" s="27"/>
      <c r="CS90" s="27"/>
      <c r="CT90" s="27"/>
      <c r="CU90" s="27"/>
      <c r="CV90" s="27"/>
      <c r="CW90" s="27"/>
      <c r="CX90" s="27"/>
      <c r="CY90" s="27"/>
      <c r="CZ90" s="27"/>
      <c r="DA90" s="27"/>
      <c r="DB90" s="27"/>
      <c r="DC90" s="27"/>
    </row>
    <row r="91" spans="3:107" s="20" customFormat="1" ht="27" customHeight="1" outlineLevel="1" thickBot="1" x14ac:dyDescent="0.35">
      <c r="C91" s="388" t="s">
        <v>93</v>
      </c>
      <c r="D91" s="461" t="s">
        <v>18</v>
      </c>
      <c r="E91" s="461" t="str">
        <f t="shared" ref="E91:E92" si="541">IF(U91&gt;50,"A",IF(U91&gt;15,"M","B"))</f>
        <v>B</v>
      </c>
      <c r="F91" s="461" t="s">
        <v>423</v>
      </c>
      <c r="G91" s="461" t="s">
        <v>423</v>
      </c>
      <c r="H91" s="461" t="str">
        <f t="shared" ref="H91:H92" si="542">IF(V91+W91&gt;20,"A",IF(V91+W91&gt;5,"M","B"))</f>
        <v>B</v>
      </c>
      <c r="I91" s="461" t="str">
        <f t="shared" ref="I91:I92" si="543">IF(V91+W91&gt;15,"A",IF(V91+W91&gt;4,"M","B"))</f>
        <v>B</v>
      </c>
      <c r="J91" s="425">
        <f t="shared" ref="J91:J92" si="544">V91+W91</f>
        <v>1</v>
      </c>
      <c r="K91" s="503" t="str">
        <f t="shared" ref="K91:K92" si="545">AB91</f>
        <v>Chica 2</v>
      </c>
      <c r="L91" s="541" t="s">
        <v>722</v>
      </c>
      <c r="M91" s="532">
        <f t="shared" si="492"/>
        <v>3.3</v>
      </c>
      <c r="N91" s="532">
        <f t="shared" si="493"/>
        <v>1.4000000000000001</v>
      </c>
      <c r="O91" s="538">
        <f t="shared" si="494"/>
        <v>4.7</v>
      </c>
      <c r="P91" s="58"/>
      <c r="Q91" s="462"/>
      <c r="R91" s="462"/>
      <c r="S91" s="462"/>
      <c r="T91" s="109"/>
      <c r="U91" s="144">
        <v>10</v>
      </c>
      <c r="V91" s="144">
        <v>1</v>
      </c>
      <c r="W91" s="144">
        <v>0</v>
      </c>
      <c r="X91" s="463"/>
      <c r="Y91" s="463" t="str">
        <f t="shared" ref="Y91:Y92" si="546">CONCATENATE(C91,LEFT(K91,5),J91)</f>
        <v>CapturaChica1</v>
      </c>
      <c r="Z91" s="135">
        <f>VLOOKUP(Y91,[1]Modelo!$G$82:$H$281,2,FALSE)</f>
        <v>41</v>
      </c>
      <c r="AA91" s="463"/>
      <c r="AB91" s="137" t="str">
        <f t="shared" ref="AB91:AB92" si="547">IF(AND(U91&gt;=0,U91&lt;=6),"Chica 1",IF(AND(U91&gt;=7,U91&lt;=12),"Chica 2",IF(AND(U91&gt;=13,U91&lt;=18),"Chica 3",IF(AND(U91&gt;=19,U91&lt;=24),"Chica 4",IF(AND(U91&gt;=25,U91&lt;=30),"Mediana 1",IF(AND(U91&gt;=31,U91&lt;=36),"Mediana 2",IF(AND(U91&gt;=37,U91&lt;=42),"Mediana 3",IF(AND(U91&gt;=43,U91&lt;=48),"Mediana 4",IF(AND(U91&gt;=49,U91&lt;=54),"Grande 1",IF(AND(U91&gt;=55,U91&lt;=60),"Grande 2",IF(AND(U91&gt;=61,U91&lt;=66),"Grande 3",IF(AND(U91&gt;=67,U91&lt;=72),"Grande 4",IF(AND(U91&gt;=73,U91&lt;=78),"M. grande 1",IF(AND(U91&gt;=79,U91&lt;=84),"M. grande 2",IF(AND(U91&gt;=85,U91&lt;=90),"M. grande 3",IF(AND(U91&gt;=91,U91&lt;=96),"M. grande 4","NO DEF"))))))))))))))))</f>
        <v>Chica 2</v>
      </c>
      <c r="AC91" s="137" t="str">
        <f t="shared" ref="AC91:AC92" si="548">IF(E91="A","Alta",IF(E91="M","Media","Baja"))</f>
        <v>Baja</v>
      </c>
      <c r="AD91" s="137" t="str">
        <f t="shared" ref="AD91:AD92" si="549">IF(E91="A","Alta",IF(E91="M","Media","Baja"))</f>
        <v>Baja</v>
      </c>
      <c r="AE91" s="137" t="str">
        <f t="shared" ref="AE91:AE92" si="550">IF(F91="A","Alta",IF(F91="M","Media","Baja"))</f>
        <v>Baja</v>
      </c>
      <c r="AF91" s="137" t="str">
        <f t="shared" ref="AF91:AF92" si="551">IF(F91="A","Alta",IF(F91="M","Media","Baja"))</f>
        <v>Baja</v>
      </c>
      <c r="AG91" s="137" t="str">
        <f t="shared" ref="AG91:AG92" si="552">IF(G91="A","Alta",IF(G91="M","Media","Baja"))</f>
        <v>Baja</v>
      </c>
      <c r="AH91" s="137" t="str">
        <f t="shared" ref="AH91:AH92" si="553">IF(G91="A","Alta",IF(G91="M","Media","Baja"))</f>
        <v>Baja</v>
      </c>
      <c r="AI91" s="137" t="str">
        <f t="shared" ref="AI91:AI92" si="554">IF(H91="A","Alta",IF(H91="M","Media","Baja"))</f>
        <v>Baja</v>
      </c>
      <c r="AJ91" s="137" t="str">
        <f t="shared" ref="AJ91:AJ92" si="555">IF(I91="A","Alta",IF(I91="M","Media","Baja"))</f>
        <v>Baja</v>
      </c>
      <c r="AK91" s="40"/>
      <c r="AL91" s="138">
        <f>IF(AB91=[1]Modelo!$F$7,[1]Modelo!$H$7,IF(AB91=[1]Modelo!$F$8,[1]Modelo!$H$8,IF(AB91=[1]Modelo!$F$9,[1]Modelo!$H$9,IF(AB91=[1]Modelo!$F$10,[1]Modelo!$H$10,IF(AB91=[1]Modelo!$F$11,[1]Modelo!$H$11,IF(AB91=[1]Modelo!$F$12,[1]Modelo!$H$12,IF(AB91=[1]Modelo!$F$13,[1]Modelo!$H$13,IF(AB91=[1]Modelo!$F$14,[1]Modelo!$H$14,IF(AB91=[1]Modelo!$F$15,[1]Modelo!$H$15,IF(AB91=[1]Modelo!$F$16,[1]Modelo!$H$16,IF(AB91=[1]Modelo!$F$17,[1]Modelo!$H$17,IF(AB91=[1]Modelo!$F$18,[1]Modelo!$H$18,IF(AB91=[1]Modelo!$F$19,[1]Modelo!$H$19,IF(AB91=[1]Modelo!$F$20,[1]Modelo!$H$20,IF(AB91=[1]Modelo!$F$21,[1]Modelo!$H$21,IF(AB91=[1]Modelo!$F$22,[1]Modelo!$H$22,0))))))))))))))))</f>
        <v>0.60000000000000009</v>
      </c>
      <c r="AM91" s="138">
        <f>IF(AB91=[1]Modelo!$F$7,[1]Modelo!$I$7,IF(AB91=[1]Modelo!$F$8,[1]Modelo!$I$8,IF(AB91=[1]Modelo!$F$9,[1]Modelo!$I$9,IF(AB91=[1]Modelo!$F$10,[1]Modelo!$I$10,IF(AB91=[1]Modelo!$F$11,[1]Modelo!$I$11,IF(AB91=[1]Modelo!$F$12,[1]Modelo!$I$12,IF(AB91=[1]Modelo!$F$13,[1]Modelo!$I$13,IF(AB91=[1]Modelo!$F$14,[1]Modelo!$I$14,IF(AB91=[1]Modelo!$F$15,[1]Modelo!$I$15,IF(AB91=[1]Modelo!$F$16,[1]Modelo!$I$16,IF(AB91=[1]Modelo!$F$17,[1]Modelo!$I$17,IF(AB91=[1]Modelo!$F$18,[1]Modelo!$I$18,IF(AB91=[1]Modelo!$F$19,[1]Modelo!$I$19,IF(AB91=[1]Modelo!$F$20,[1]Modelo!$I$20,IF(AB91=[1]Modelo!$F$21,[1]Modelo!$I$21,IF(AB91=[1]Modelo!$F$22,[1]Modelo!$I$22,0))))))))))))))))</f>
        <v>0.2</v>
      </c>
      <c r="AN91" s="138">
        <f>IF(AC91=[1]Modelo!$F$23,[1]Modelo!$H$23,IF(AC91=[1]Modelo!$F$24,[1]Modelo!$H$24,IF(AC91=[1]Modelo!$F$25,[1]Modelo!$H$25,0)))</f>
        <v>1</v>
      </c>
      <c r="AO91" s="138">
        <f>IF(AD91=[1]Modelo!$F$26,[1]Modelo!$H$26,IF(AD91=[1]Modelo!$F$27,[1]Modelo!$H$27,IF(AD91=[1]Modelo!$F$28,[1]Modelo!$H$28,0)))</f>
        <v>0.1</v>
      </c>
      <c r="AP91" s="138">
        <f>IF(AE91=[1]Modelo!$F$30,[1]Modelo!$H$30,IF(AE91=[1]Modelo!$F$31,[1]Modelo!$H$31,IF(AE91=[1]Modelo!$F$32,[1]Modelo!$H$32,0)))</f>
        <v>0.8</v>
      </c>
      <c r="AQ91" s="138">
        <f>IF(AF91=[1]Modelo!$F$33,[1]Modelo!$H$33,IF(AF91=[1]Modelo!$F$34,[1]Modelo!$H$34,IF(AF91=[1]Modelo!$F$35,[1]Modelo!$H$35,0)))</f>
        <v>0.3</v>
      </c>
      <c r="AR91" s="138">
        <f>IF(AG91=[1]Modelo!$F$37,[1]Modelo!$H$37,IF(AG91=[1]Modelo!$F$38,[1]Modelo!$H$38,IF(AG91=[1]Modelo!$F$39,[1]Modelo!$H$39,0)))</f>
        <v>0.8</v>
      </c>
      <c r="AS91" s="138">
        <f>IF(AH91=[1]Modelo!$F$40,[1]Modelo!$H$40,IF(AH91=[1]Modelo!$F$41,[1]Modelo!$H$41,IF(AH91=[1]Modelo!$F$42,[1]Modelo!$H$42,0)))</f>
        <v>0.4</v>
      </c>
      <c r="AT91" s="137">
        <f>IF(C91=[1]Modelo!$F$44,[1]Modelo!$H$44,IF(C91=[1]Modelo!$F$45,[1]Modelo!$H$45,IF(C91=[1]Modelo!$F$46,[1]Modelo!$H$46,IF(C91=[1]Modelo!$F$47,[1]Modelo!$H$47,IF(C91=[1]Modelo!$F$48,[1]Modelo!$H$48,IF(C91=[1]Modelo!$F$49,[1]Modelo!$H$49,IF(C91=[1]Modelo!$F$50,[1]Modelo!$H$50,IF(C91=[1]Modelo!$F$51,[1]Modelo!$H$51,IF(C91=[1]Modelo!$F$52,[1]Modelo!$H$52,IF(C91=[1]Modelo!$F$53,[1]Modelo!$H$53,0))))))))))</f>
        <v>2.2000000000000002</v>
      </c>
      <c r="AU91" s="138">
        <f>IF(AI91=[1]Modelo!$F$54,[1]Modelo!$H$54,IF(AI91=[1]Modelo!$F$55,[1]Modelo!$H$55,IF(AI91=[1]Modelo!$F$56,[1]Modelo!$H$56,0)))</f>
        <v>1</v>
      </c>
      <c r="AV91" s="138">
        <f>IF(AJ91=[1]Modelo!$F$58,[1]Modelo!$H$58,IF(AJ91=[1]Modelo!$F$59,[1]Modelo!$H$59,IF(AJ91=[1]Modelo!$F$60,[1]Modelo!$H$60,0)))</f>
        <v>0.9</v>
      </c>
      <c r="AW91" s="40"/>
      <c r="AX91" s="139">
        <f>[1]Modelo!$H$2</f>
        <v>0.05</v>
      </c>
      <c r="AY91" s="140">
        <f>ROUNDUP([1]Modelo!$I$2*[1]Modelo!$H$3*[1]Modelo!$I$75,2)</f>
        <v>0.02</v>
      </c>
      <c r="AZ91" s="141">
        <f>ROUNDUP([1]Modelo!$I$2*[1]Modelo!$H$3*[1]Modelo!$H$4*[1]Modelo!$I$75,3)</f>
        <v>3.0000000000000001E-3</v>
      </c>
      <c r="BA91" s="139">
        <f>[1]Modelo!$H$5</f>
        <v>0.04</v>
      </c>
      <c r="BB91" s="139">
        <f>ROUNDUP(SUM(BC91,BE91,BG91,BI91)*[1]Modelo!$H$6,1)</f>
        <v>0.6</v>
      </c>
      <c r="BC91" s="139">
        <f>ROUNDUP((AL91*AN91+0.1)*[1]Modelo!$I$75,1)</f>
        <v>0.7</v>
      </c>
      <c r="BD91" s="139">
        <f>ROUNDUP(AM91*AN91*AO91*[1]Modelo!$I$75,1)</f>
        <v>0.1</v>
      </c>
      <c r="BE91" s="139">
        <f>ROUNDUP(V91*[1]Modelo!$H$29*AP91*[1]Modelo!$I$75*2/3,1)</f>
        <v>0.6</v>
      </c>
      <c r="BF91" s="139">
        <f>ROUNDUP(V91*[1]Modelo!$H$29*AP91*AQ91*[1]Modelo!$I$75*2/3,1)</f>
        <v>0.2</v>
      </c>
      <c r="BG91" s="139">
        <f>ROUNDUP(V91*[1]Modelo!$H$29*AP91*[1]Modelo!$I$75/3,1)</f>
        <v>0.30000000000000004</v>
      </c>
      <c r="BH91" s="139">
        <f>ROUNDUP(V91*[1]Modelo!$H$29*AP91*AQ91*[1]Modelo!$I$75/3,1)</f>
        <v>0.1</v>
      </c>
      <c r="BI91" s="139">
        <f>ROUNDUP(W91*[1]Modelo!$H$36*AR91*[1]Modelo!$I$75,1)</f>
        <v>0</v>
      </c>
      <c r="BJ91" s="139">
        <f>ROUNDUP(W91*[1]Modelo!$H$36*AR91*AS91*[1]Modelo!$I$75,1)</f>
        <v>0</v>
      </c>
      <c r="BK91" s="139">
        <f>[1]Modelo!$H$43</f>
        <v>0.04</v>
      </c>
      <c r="BL91" s="139">
        <f>ROUNDUP(SUM(ROUNDUP(AL91*AN91+0.1,1),ROUNDUP(V91*[1]Modelo!$H$29*AP91,1),ROUNDUP(W91*[1]Modelo!$H$36*AR91,1))*AU91*AT91*[1]Modelo!$I$75,1)</f>
        <v>3.3</v>
      </c>
      <c r="BM91" s="139">
        <f t="shared" ref="BM91:BM92" si="556">IF(K$32="x",0, BL91*0.1*1.25)</f>
        <v>0</v>
      </c>
      <c r="BN91" s="139">
        <f t="shared" ref="BN91:BN92" si="557">IF(Q91="x",(BL91)*0.1,0)</f>
        <v>0</v>
      </c>
      <c r="BO91" s="139">
        <f t="shared" ref="BO91:BO92" si="558">IF(R91="x",(BL91)*0.12,0)</f>
        <v>0</v>
      </c>
      <c r="BP91" s="139">
        <f t="shared" ref="BP91:BP92" si="559">IF(S91="x",(BL91)*0.12,0)*4</f>
        <v>0</v>
      </c>
      <c r="BQ91" s="139">
        <f>ROUNDUP(SUM(ROUNDUP(AL91*AN91+0.1,1),ROUNDUP(V91*[1]Modelo!$H$29*AP91,1),ROUNDUP(W91*[1]Modelo!$H$36*AR91,1))*AT91*AV91*[1]Modelo!$H$57,1)</f>
        <v>1.4000000000000001</v>
      </c>
      <c r="BR91" s="409">
        <v>0</v>
      </c>
      <c r="BS91" s="139">
        <f>[1]Modelo!$H$61</f>
        <v>0.04</v>
      </c>
      <c r="BT91" s="139">
        <f>ROUNDUP(SUM(ROUNDUP(AL91*AN91+0.1,1),ROUNDUP(V91*[1]Modelo!$H$29*AP91,1),ROUNDUP(W91*[1]Modelo!$H$36*AR91,1))*[1]Modelo!$H$62*[1]Modelo!$I$75,1)</f>
        <v>0.1</v>
      </c>
      <c r="BU91" s="139">
        <f>ROUNDUP(ROUNDUP(SUM(ROUNDUP(AL91*AN91+0.1,1),ROUNDUP(V91*[1]Modelo!$H$29*AP91,1),ROUNDUP(W91*[1]Modelo!$H$36*AR91,1))*[1]Modelo!$H$62,1)*[1]Modelo!$H$63*[1]Modelo!$I$75,1)</f>
        <v>0.1</v>
      </c>
      <c r="BV91" s="139">
        <f>SUM(ROUNDUP(AL91*AN91+0.1,1),ROUNDUP(V91*[1]Modelo!$H$29*AP91,1),ROUNDUP(W91*[1]Modelo!$H$36*AR91,1))*[1]Modelo!$H$64*[1]Modelo!$I$75</f>
        <v>0.30000000000000004</v>
      </c>
      <c r="BW91" s="139">
        <f>ROUNDUP(SUM(ROUNDUP(AL91*AN91+0.1,1),ROUNDUP(V91*[1]Modelo!$H$29*AP91,1),ROUNDUP(W91*[1]Modelo!$H$36*AR91,1))*[1]Modelo!$H$64*[1]Modelo!$H$65*[1]Modelo!$I$75,1)</f>
        <v>0.2</v>
      </c>
      <c r="BX91" s="139">
        <f>[1]Modelo!$H$66</f>
        <v>0.04</v>
      </c>
      <c r="BY91" s="139">
        <f>ROUNDUP(SUM(ROUNDUP(AL91*AN91+0.1,1),ROUNDUP(V91*[1]Modelo!$H$29*AP91,1),ROUNDUP(W91*[1]Modelo!$H$36*AR91,1))*[1]Modelo!$H$69,1)</f>
        <v>0.4</v>
      </c>
      <c r="BZ91" s="139">
        <f>ROUNDUP(ROUNDUP(SUM(ROUNDUP(AL91*AN91+0.1,1),ROUNDUP(V91*[1]Modelo!$H$29*AP91,1),ROUNDUP(W91*[1]Modelo!$H$36*AR91,1))*[1]Modelo!$H$62,1)*[1]Modelo!$H$71,1)</f>
        <v>0.2</v>
      </c>
      <c r="CA91" s="142">
        <f t="shared" ref="CA91:CA92" si="560">SUM(AX91:BZ91)</f>
        <v>8.8329999999999984</v>
      </c>
      <c r="CB91" s="27"/>
      <c r="CC91" s="27">
        <f t="shared" ref="CC91:CC92" si="561">CD91*0.85</f>
        <v>3.9950000000000001</v>
      </c>
      <c r="CD91" s="109">
        <f t="shared" ref="CD91:CD92" si="562">O91</f>
        <v>4.7</v>
      </c>
      <c r="CE91" s="27">
        <f t="shared" ref="CE91:CE92" si="563">IF(CD91=0,1,CD91*1.4)</f>
        <v>6.58</v>
      </c>
      <c r="CF91" s="27"/>
      <c r="CG91" s="126">
        <v>0</v>
      </c>
      <c r="CH91" s="27"/>
      <c r="CI91" s="27">
        <f t="shared" ref="CI91:CI92" si="564">IF(CF91&lt;&gt;"",CF91,CG91)</f>
        <v>0</v>
      </c>
      <c r="CJ91" s="27"/>
      <c r="CK91" s="27"/>
      <c r="CL91" s="27"/>
      <c r="CM91" s="27"/>
      <c r="CN91" s="27"/>
      <c r="CO91" s="27"/>
      <c r="CP91" s="27"/>
      <c r="CQ91" s="27"/>
      <c r="CR91" s="27"/>
      <c r="CS91" s="27"/>
      <c r="CT91" s="27"/>
      <c r="CU91" s="27"/>
      <c r="CV91" s="27"/>
      <c r="CW91" s="27"/>
      <c r="CX91" s="27"/>
      <c r="CY91" s="27"/>
      <c r="CZ91" s="27"/>
      <c r="DA91" s="27"/>
      <c r="DB91" s="27"/>
      <c r="DC91" s="27"/>
    </row>
    <row r="92" spans="3:107" s="20" customFormat="1" ht="57.75" customHeight="1" outlineLevel="1" thickBot="1" x14ac:dyDescent="0.35">
      <c r="C92" s="388" t="s">
        <v>515</v>
      </c>
      <c r="D92" s="461" t="s">
        <v>18</v>
      </c>
      <c r="E92" s="461" t="str">
        <f t="shared" si="541"/>
        <v>M</v>
      </c>
      <c r="F92" s="461" t="s">
        <v>423</v>
      </c>
      <c r="G92" s="461" t="s">
        <v>423</v>
      </c>
      <c r="H92" s="461" t="str">
        <f t="shared" si="542"/>
        <v>B</v>
      </c>
      <c r="I92" s="461" t="str">
        <f t="shared" si="543"/>
        <v>B</v>
      </c>
      <c r="J92" s="425">
        <f t="shared" si="544"/>
        <v>3</v>
      </c>
      <c r="K92" s="503" t="str">
        <f t="shared" si="545"/>
        <v>Chica 4</v>
      </c>
      <c r="L92" s="541" t="s">
        <v>787</v>
      </c>
      <c r="M92" s="532">
        <f t="shared" si="492"/>
        <v>6.8</v>
      </c>
      <c r="N92" s="532">
        <f t="shared" si="493"/>
        <v>2.8000000000000003</v>
      </c>
      <c r="O92" s="538">
        <f t="shared" si="494"/>
        <v>9.6</v>
      </c>
      <c r="P92" s="58"/>
      <c r="Q92" s="462"/>
      <c r="R92" s="462"/>
      <c r="S92" s="462"/>
      <c r="T92" s="109"/>
      <c r="U92" s="144">
        <v>20</v>
      </c>
      <c r="V92" s="144">
        <v>3</v>
      </c>
      <c r="W92" s="144">
        <v>0</v>
      </c>
      <c r="X92" s="463"/>
      <c r="Y92" s="463" t="str">
        <f t="shared" si="546"/>
        <v>ConsultaChica3</v>
      </c>
      <c r="Z92" s="135">
        <f>VLOOKUP(Y92,[1]Modelo!$G$82:$H$281,2,FALSE)</f>
        <v>3</v>
      </c>
      <c r="AA92" s="463"/>
      <c r="AB92" s="137" t="str">
        <f t="shared" si="547"/>
        <v>Chica 4</v>
      </c>
      <c r="AC92" s="137" t="str">
        <f t="shared" si="548"/>
        <v>Media</v>
      </c>
      <c r="AD92" s="137" t="str">
        <f t="shared" si="549"/>
        <v>Media</v>
      </c>
      <c r="AE92" s="137" t="str">
        <f t="shared" si="550"/>
        <v>Baja</v>
      </c>
      <c r="AF92" s="137" t="str">
        <f t="shared" si="551"/>
        <v>Baja</v>
      </c>
      <c r="AG92" s="137" t="str">
        <f t="shared" si="552"/>
        <v>Baja</v>
      </c>
      <c r="AH92" s="137" t="str">
        <f t="shared" si="553"/>
        <v>Baja</v>
      </c>
      <c r="AI92" s="137" t="str">
        <f t="shared" si="554"/>
        <v>Baja</v>
      </c>
      <c r="AJ92" s="137" t="str">
        <f t="shared" si="555"/>
        <v>Baja</v>
      </c>
      <c r="AK92" s="40"/>
      <c r="AL92" s="138">
        <f>IF(AB92=[1]Modelo!$F$7,[1]Modelo!$H$7,IF(AB92=[1]Modelo!$F$8,[1]Modelo!$H$8,IF(AB92=[1]Modelo!$F$9,[1]Modelo!$H$9,IF(AB92=[1]Modelo!$F$10,[1]Modelo!$H$10,IF(AB92=[1]Modelo!$F$11,[1]Modelo!$H$11,IF(AB92=[1]Modelo!$F$12,[1]Modelo!$H$12,IF(AB92=[1]Modelo!$F$13,[1]Modelo!$H$13,IF(AB92=[1]Modelo!$F$14,[1]Modelo!$H$14,IF(AB92=[1]Modelo!$F$15,[1]Modelo!$H$15,IF(AB92=[1]Modelo!$F$16,[1]Modelo!$H$16,IF(AB92=[1]Modelo!$F$17,[1]Modelo!$H$17,IF(AB92=[1]Modelo!$F$18,[1]Modelo!$H$18,IF(AB92=[1]Modelo!$F$19,[1]Modelo!$H$19,IF(AB92=[1]Modelo!$F$20,[1]Modelo!$H$20,IF(AB92=[1]Modelo!$F$21,[1]Modelo!$H$21,IF(AB92=[1]Modelo!$F$22,[1]Modelo!$H$22,0))))))))))))))))</f>
        <v>1.2000000000000002</v>
      </c>
      <c r="AM92" s="138">
        <f>IF(AB92=[1]Modelo!$F$7,[1]Modelo!$I$7,IF(AB92=[1]Modelo!$F$8,[1]Modelo!$I$8,IF(AB92=[1]Modelo!$F$9,[1]Modelo!$I$9,IF(AB92=[1]Modelo!$F$10,[1]Modelo!$I$10,IF(AB92=[1]Modelo!$F$11,[1]Modelo!$I$11,IF(AB92=[1]Modelo!$F$12,[1]Modelo!$I$12,IF(AB92=[1]Modelo!$F$13,[1]Modelo!$I$13,IF(AB92=[1]Modelo!$F$14,[1]Modelo!$I$14,IF(AB92=[1]Modelo!$F$15,[1]Modelo!$I$15,IF(AB92=[1]Modelo!$F$16,[1]Modelo!$I$16,IF(AB92=[1]Modelo!$F$17,[1]Modelo!$I$17,IF(AB92=[1]Modelo!$F$18,[1]Modelo!$I$18,IF(AB92=[1]Modelo!$F$19,[1]Modelo!$I$19,IF(AB92=[1]Modelo!$F$20,[1]Modelo!$I$20,IF(AB92=[1]Modelo!$F$21,[1]Modelo!$I$21,IF(AB92=[1]Modelo!$F$22,[1]Modelo!$I$22,0))))))))))))))))</f>
        <v>0.4</v>
      </c>
      <c r="AN92" s="138">
        <f>IF(AC92=[1]Modelo!$F$23,[1]Modelo!$H$23,IF(AC92=[1]Modelo!$F$24,[1]Modelo!$H$24,IF(AC92=[1]Modelo!$F$25,[1]Modelo!$H$25,0)))</f>
        <v>1.2</v>
      </c>
      <c r="AO92" s="138">
        <f>IF(AD92=[1]Modelo!$F$26,[1]Modelo!$H$26,IF(AD92=[1]Modelo!$F$27,[1]Modelo!$H$27,IF(AD92=[1]Modelo!$F$28,[1]Modelo!$H$28,0)))</f>
        <v>0.2</v>
      </c>
      <c r="AP92" s="138">
        <f>IF(AE92=[1]Modelo!$F$30,[1]Modelo!$H$30,IF(AE92=[1]Modelo!$F$31,[1]Modelo!$H$31,IF(AE92=[1]Modelo!$F$32,[1]Modelo!$H$32,0)))</f>
        <v>0.8</v>
      </c>
      <c r="AQ92" s="138">
        <f>IF(AF92=[1]Modelo!$F$33,[1]Modelo!$H$33,IF(AF92=[1]Modelo!$F$34,[1]Modelo!$H$34,IF(AF92=[1]Modelo!$F$35,[1]Modelo!$H$35,0)))</f>
        <v>0.3</v>
      </c>
      <c r="AR92" s="138">
        <f>IF(AG92=[1]Modelo!$F$37,[1]Modelo!$H$37,IF(AG92=[1]Modelo!$F$38,[1]Modelo!$H$38,IF(AG92=[1]Modelo!$F$39,[1]Modelo!$H$39,0)))</f>
        <v>0.8</v>
      </c>
      <c r="AS92" s="138">
        <f>IF(AH92=[1]Modelo!$F$40,[1]Modelo!$H$40,IF(AH92=[1]Modelo!$F$41,[1]Modelo!$H$41,IF(AH92=[1]Modelo!$F$42,[1]Modelo!$H$42,0)))</f>
        <v>0.4</v>
      </c>
      <c r="AT92" s="137">
        <f>IF(C92=[1]Modelo!$F$44,[1]Modelo!$H$44,IF(C92=[1]Modelo!$F$45,[1]Modelo!$H$45,IF(C92=[1]Modelo!$F$46,[1]Modelo!$H$46,IF(C92=[1]Modelo!$F$47,[1]Modelo!$H$47,IF(C92=[1]Modelo!$F$48,[1]Modelo!$H$48,IF(C92=[1]Modelo!$F$49,[1]Modelo!$H$49,IF(C92=[1]Modelo!$F$50,[1]Modelo!$H$50,IF(C92=[1]Modelo!$F$51,[1]Modelo!$H$51,IF(C92=[1]Modelo!$F$52,[1]Modelo!$H$52,IF(C92=[1]Modelo!$F$53,[1]Modelo!$H$53,0))))))))))</f>
        <v>1.7</v>
      </c>
      <c r="AU92" s="138">
        <f>IF(AI92=[1]Modelo!$F$54,[1]Modelo!$H$54,IF(AI92=[1]Modelo!$F$55,[1]Modelo!$H$55,IF(AI92=[1]Modelo!$F$56,[1]Modelo!$H$56,0)))</f>
        <v>1</v>
      </c>
      <c r="AV92" s="138">
        <f>IF(AJ92=[1]Modelo!$F$58,[1]Modelo!$H$58,IF(AJ92=[1]Modelo!$F$59,[1]Modelo!$H$59,IF(AJ92=[1]Modelo!$F$60,[1]Modelo!$H$60,0)))</f>
        <v>0.9</v>
      </c>
      <c r="AW92" s="40"/>
      <c r="AX92" s="139">
        <f>[1]Modelo!$H$2</f>
        <v>0.05</v>
      </c>
      <c r="AY92" s="140">
        <f>ROUNDUP([1]Modelo!$I$2*[1]Modelo!$H$3*[1]Modelo!$I$75,2)</f>
        <v>0.02</v>
      </c>
      <c r="AZ92" s="141">
        <f>ROUNDUP([1]Modelo!$I$2*[1]Modelo!$H$3*[1]Modelo!$H$4*[1]Modelo!$I$75,3)</f>
        <v>3.0000000000000001E-3</v>
      </c>
      <c r="BA92" s="139">
        <f>[1]Modelo!$H$5</f>
        <v>0.04</v>
      </c>
      <c r="BB92" s="139">
        <f>ROUNDUP(SUM(BC92,BE92,BG92,BI92)*[1]Modelo!$H$6,1)</f>
        <v>1.4000000000000001</v>
      </c>
      <c r="BC92" s="139">
        <f>ROUNDUP((AL92*AN92+0.1)*[1]Modelo!$I$75,1)</f>
        <v>1.6</v>
      </c>
      <c r="BD92" s="139">
        <f>ROUNDUP(AM92*AN92*AO92*[1]Modelo!$I$75,1)</f>
        <v>0.1</v>
      </c>
      <c r="BE92" s="139">
        <f>ROUNDUP(V92*[1]Modelo!$H$29*AP92*[1]Modelo!$I$75*2/3,1)</f>
        <v>1.6</v>
      </c>
      <c r="BF92" s="139">
        <f>ROUNDUP(V92*[1]Modelo!$H$29*AP92*AQ92*[1]Modelo!$I$75*2/3,1)</f>
        <v>0.5</v>
      </c>
      <c r="BG92" s="139">
        <f>ROUNDUP(V92*[1]Modelo!$H$29*AP92*[1]Modelo!$I$75/3,1)</f>
        <v>0.8</v>
      </c>
      <c r="BH92" s="139">
        <f>ROUNDUP(V92*[1]Modelo!$H$29*AP92*AQ92*[1]Modelo!$I$75/3,1)</f>
        <v>0.30000000000000004</v>
      </c>
      <c r="BI92" s="139">
        <f>ROUNDUP(W92*[1]Modelo!$H$36*AR92*[1]Modelo!$I$75,1)</f>
        <v>0</v>
      </c>
      <c r="BJ92" s="139">
        <f>ROUNDUP(W92*[1]Modelo!$H$36*AR92*AS92*[1]Modelo!$I$75,1)</f>
        <v>0</v>
      </c>
      <c r="BK92" s="139">
        <f>[1]Modelo!$H$43</f>
        <v>0.04</v>
      </c>
      <c r="BL92" s="139">
        <f>ROUNDUP(SUM(ROUNDUP(AL92*AN92+0.1,1),ROUNDUP(V92*[1]Modelo!$H$29*AP92,1),ROUNDUP(W92*[1]Modelo!$H$36*AR92,1))*AU92*AT92*[1]Modelo!$I$75,1)</f>
        <v>6.8</v>
      </c>
      <c r="BM92" s="139">
        <f t="shared" si="556"/>
        <v>0</v>
      </c>
      <c r="BN92" s="139">
        <f t="shared" si="557"/>
        <v>0</v>
      </c>
      <c r="BO92" s="139">
        <f t="shared" si="558"/>
        <v>0</v>
      </c>
      <c r="BP92" s="139">
        <f t="shared" si="559"/>
        <v>0</v>
      </c>
      <c r="BQ92" s="139">
        <f>ROUNDUP(SUM(ROUNDUP(AL92*AN92+0.1,1),ROUNDUP(V92*[1]Modelo!$H$29*AP92,1),ROUNDUP(W92*[1]Modelo!$H$36*AR92,1))*AT92*AV92*[1]Modelo!$H$57,1)</f>
        <v>2.8000000000000003</v>
      </c>
      <c r="BR92" s="409">
        <v>0</v>
      </c>
      <c r="BS92" s="139">
        <f>[1]Modelo!$H$61</f>
        <v>0.04</v>
      </c>
      <c r="BT92" s="139">
        <f>ROUNDUP(SUM(ROUNDUP(AL92*AN92+0.1,1),ROUNDUP(V92*[1]Modelo!$H$29*AP92,1),ROUNDUP(W92*[1]Modelo!$H$36*AR92,1))*[1]Modelo!$H$62*[1]Modelo!$I$75,1)</f>
        <v>0.30000000000000004</v>
      </c>
      <c r="BU92" s="139">
        <f>ROUNDUP(ROUNDUP(SUM(ROUNDUP(AL92*AN92+0.1,1),ROUNDUP(V92*[1]Modelo!$H$29*AP92,1),ROUNDUP(W92*[1]Modelo!$H$36*AR92,1))*[1]Modelo!$H$62,1)*[1]Modelo!$H$63*[1]Modelo!$I$75,1)</f>
        <v>0.1</v>
      </c>
      <c r="BV92" s="139">
        <f>SUM(ROUNDUP(AL92*AN92+0.1,1),ROUNDUP(V92*[1]Modelo!$H$29*AP92,1),ROUNDUP(W92*[1]Modelo!$H$36*AR92,1))*[1]Modelo!$H$64*[1]Modelo!$I$75</f>
        <v>0.8</v>
      </c>
      <c r="BW92" s="139">
        <f>ROUNDUP(SUM(ROUNDUP(AL92*AN92+0.1,1),ROUNDUP(V92*[1]Modelo!$H$29*AP92,1),ROUNDUP(W92*[1]Modelo!$H$36*AR92,1))*[1]Modelo!$H$64*[1]Modelo!$H$65*[1]Modelo!$I$75,1)</f>
        <v>0.4</v>
      </c>
      <c r="BX92" s="139">
        <f>[1]Modelo!$H$66</f>
        <v>0.04</v>
      </c>
      <c r="BY92" s="139">
        <f>ROUNDUP(SUM(ROUNDUP(AL92*AN92+0.1,1),ROUNDUP(V92*[1]Modelo!$H$29*AP92,1),ROUNDUP(W92*[1]Modelo!$H$36*AR92,1))*[1]Modelo!$H$69,1)</f>
        <v>0.9</v>
      </c>
      <c r="BZ92" s="139">
        <f>ROUNDUP(ROUNDUP(SUM(ROUNDUP(AL92*AN92+0.1,1),ROUNDUP(V92*[1]Modelo!$H$29*AP92,1),ROUNDUP(W92*[1]Modelo!$H$36*AR92,1))*[1]Modelo!$H$62,1)*[1]Modelo!$H$71,1)</f>
        <v>0.6</v>
      </c>
      <c r="CA92" s="142">
        <f t="shared" si="560"/>
        <v>19.233000000000001</v>
      </c>
      <c r="CB92" s="27"/>
      <c r="CC92" s="27">
        <f t="shared" si="561"/>
        <v>8.16</v>
      </c>
      <c r="CD92" s="109">
        <f t="shared" si="562"/>
        <v>9.6</v>
      </c>
      <c r="CE92" s="27">
        <f t="shared" si="563"/>
        <v>13.44</v>
      </c>
      <c r="CF92" s="27"/>
      <c r="CG92" s="126">
        <v>0</v>
      </c>
      <c r="CH92" s="27"/>
      <c r="CI92" s="27">
        <f t="shared" si="564"/>
        <v>0</v>
      </c>
      <c r="CJ92" s="27"/>
      <c r="CK92" s="27"/>
      <c r="CL92" s="27"/>
      <c r="CM92" s="27"/>
      <c r="CN92" s="27"/>
      <c r="CO92" s="27"/>
      <c r="CP92" s="27"/>
      <c r="CQ92" s="27"/>
      <c r="CR92" s="27"/>
      <c r="CS92" s="27"/>
      <c r="CT92" s="27"/>
      <c r="CU92" s="27"/>
      <c r="CV92" s="27"/>
      <c r="CW92" s="27"/>
      <c r="CX92" s="27"/>
      <c r="CY92" s="27"/>
      <c r="CZ92" s="27"/>
      <c r="DA92" s="27"/>
      <c r="DB92" s="27"/>
      <c r="DC92" s="27"/>
    </row>
    <row r="93" spans="3:107" s="20" customFormat="1" ht="63.75" customHeight="1" outlineLevel="1" thickBot="1" x14ac:dyDescent="0.35">
      <c r="C93" s="388" t="s">
        <v>515</v>
      </c>
      <c r="D93" s="461" t="s">
        <v>18</v>
      </c>
      <c r="E93" s="378" t="str">
        <f>IF(U93&gt;50,"A",IF(U93&gt;15,"M","B"))</f>
        <v>M</v>
      </c>
      <c r="F93" s="378" t="s">
        <v>423</v>
      </c>
      <c r="G93" s="378" t="s">
        <v>423</v>
      </c>
      <c r="H93" s="378" t="str">
        <f>IF(V93+W93&gt;20,"A",IF(V93+W93&gt;5,"M","B"))</f>
        <v>B</v>
      </c>
      <c r="I93" s="378" t="str">
        <f>IF(V93+W93&gt;15,"A",IF(V93+W93&gt;4,"M","B"))</f>
        <v>B</v>
      </c>
      <c r="J93" s="425">
        <f t="shared" ref="J93" si="565">V93+W93</f>
        <v>1</v>
      </c>
      <c r="K93" s="503" t="str">
        <f t="shared" ref="K93" si="566">AB93</f>
        <v>Mediana 1</v>
      </c>
      <c r="L93" s="537" t="s">
        <v>788</v>
      </c>
      <c r="M93" s="532">
        <f t="shared" si="492"/>
        <v>4.5999999999999996</v>
      </c>
      <c r="N93" s="532">
        <f t="shared" si="493"/>
        <v>1.9000000000000001</v>
      </c>
      <c r="O93" s="538">
        <f t="shared" si="494"/>
        <v>6.5</v>
      </c>
      <c r="P93" s="58"/>
      <c r="Q93" s="462"/>
      <c r="R93" s="462"/>
      <c r="S93" s="462"/>
      <c r="T93" s="109"/>
      <c r="U93" s="144">
        <v>30</v>
      </c>
      <c r="V93" s="144">
        <v>1</v>
      </c>
      <c r="W93" s="144">
        <v>0</v>
      </c>
      <c r="X93" s="463"/>
      <c r="Y93" s="463" t="str">
        <f t="shared" ref="Y93" si="567">CONCATENATE(C93,LEFT(K93,5),J93)</f>
        <v>ConsultaMedia1</v>
      </c>
      <c r="Z93" s="135">
        <f>VLOOKUP(Y93,[1]Modelo!$G$82:$H$281,2,FALSE)</f>
        <v>6</v>
      </c>
      <c r="AA93" s="463"/>
      <c r="AB93" s="137" t="str">
        <f t="shared" ref="AB93" si="568">IF(AND(U93&gt;=0,U93&lt;=6),"Chica 1",IF(AND(U93&gt;=7,U93&lt;=12),"Chica 2",IF(AND(U93&gt;=13,U93&lt;=18),"Chica 3",IF(AND(U93&gt;=19,U93&lt;=24),"Chica 4",IF(AND(U93&gt;=25,U93&lt;=30),"Mediana 1",IF(AND(U93&gt;=31,U93&lt;=36),"Mediana 2",IF(AND(U93&gt;=37,U93&lt;=42),"Mediana 3",IF(AND(U93&gt;=43,U93&lt;=48),"Mediana 4",IF(AND(U93&gt;=49,U93&lt;=54),"Grande 1",IF(AND(U93&gt;=55,U93&lt;=60),"Grande 2",IF(AND(U93&gt;=61,U93&lt;=66),"Grande 3",IF(AND(U93&gt;=67,U93&lt;=72),"Grande 4",IF(AND(U93&gt;=73,U93&lt;=78),"M. grande 1",IF(AND(U93&gt;=79,U93&lt;=84),"M. grande 2",IF(AND(U93&gt;=85,U93&lt;=90),"M. grande 3",IF(AND(U93&gt;=91,U93&lt;=96),"M. grande 4","NO DEF"))))))))))))))))</f>
        <v>Mediana 1</v>
      </c>
      <c r="AC93" s="137" t="str">
        <f t="shared" ref="AC93" si="569">IF(E93="A","Alta",IF(E93="M","Media","Baja"))</f>
        <v>Media</v>
      </c>
      <c r="AD93" s="137" t="str">
        <f t="shared" ref="AD93" si="570">IF(E93="A","Alta",IF(E93="M","Media","Baja"))</f>
        <v>Media</v>
      </c>
      <c r="AE93" s="137" t="str">
        <f t="shared" ref="AE93" si="571">IF(F93="A","Alta",IF(F93="M","Media","Baja"))</f>
        <v>Baja</v>
      </c>
      <c r="AF93" s="137" t="str">
        <f t="shared" ref="AF93" si="572">IF(F93="A","Alta",IF(F93="M","Media","Baja"))</f>
        <v>Baja</v>
      </c>
      <c r="AG93" s="137" t="str">
        <f t="shared" ref="AG93" si="573">IF(G93="A","Alta",IF(G93="M","Media","Baja"))</f>
        <v>Baja</v>
      </c>
      <c r="AH93" s="137" t="str">
        <f t="shared" ref="AH93" si="574">IF(G93="A","Alta",IF(G93="M","Media","Baja"))</f>
        <v>Baja</v>
      </c>
      <c r="AI93" s="137" t="str">
        <f t="shared" ref="AI93" si="575">IF(H93="A","Alta",IF(H93="M","Media","Baja"))</f>
        <v>Baja</v>
      </c>
      <c r="AJ93" s="137" t="str">
        <f t="shared" ref="AJ93" si="576">IF(I93="A","Alta",IF(I93="M","Media","Baja"))</f>
        <v>Baja</v>
      </c>
      <c r="AK93" s="40"/>
      <c r="AL93" s="138">
        <f>IF(AB93=[1]Modelo!$F$7,[1]Modelo!$H$7,IF(AB93=[1]Modelo!$F$8,[1]Modelo!$H$8,IF(AB93=[1]Modelo!$F$9,[1]Modelo!$H$9,IF(AB93=[1]Modelo!$F$10,[1]Modelo!$H$10,IF(AB93=[1]Modelo!$F$11,[1]Modelo!$H$11,IF(AB93=[1]Modelo!$F$12,[1]Modelo!$H$12,IF(AB93=[1]Modelo!$F$13,[1]Modelo!$H$13,IF(AB93=[1]Modelo!$F$14,[1]Modelo!$H$14,IF(AB93=[1]Modelo!$F$15,[1]Modelo!$H$15,IF(AB93=[1]Modelo!$F$16,[1]Modelo!$H$16,IF(AB93=[1]Modelo!$F$17,[1]Modelo!$H$17,IF(AB93=[1]Modelo!$F$18,[1]Modelo!$H$18,IF(AB93=[1]Modelo!$F$19,[1]Modelo!$H$19,IF(AB93=[1]Modelo!$F$20,[1]Modelo!$H$20,IF(AB93=[1]Modelo!$F$21,[1]Modelo!$H$21,IF(AB93=[1]Modelo!$F$22,[1]Modelo!$H$22,0))))))))))))))))</f>
        <v>1.5</v>
      </c>
      <c r="AM93" s="138">
        <f>IF(AB93=[1]Modelo!$F$7,[1]Modelo!$I$7,IF(AB93=[1]Modelo!$F$8,[1]Modelo!$I$8,IF(AB93=[1]Modelo!$F$9,[1]Modelo!$I$9,IF(AB93=[1]Modelo!$F$10,[1]Modelo!$I$10,IF(AB93=[1]Modelo!$F$11,[1]Modelo!$I$11,IF(AB93=[1]Modelo!$F$12,[1]Modelo!$I$12,IF(AB93=[1]Modelo!$F$13,[1]Modelo!$I$13,IF(AB93=[1]Modelo!$F$14,[1]Modelo!$I$14,IF(AB93=[1]Modelo!$F$15,[1]Modelo!$I$15,IF(AB93=[1]Modelo!$F$16,[1]Modelo!$I$16,IF(AB93=[1]Modelo!$F$17,[1]Modelo!$I$17,IF(AB93=[1]Modelo!$F$18,[1]Modelo!$I$18,IF(AB93=[1]Modelo!$F$19,[1]Modelo!$I$19,IF(AB93=[1]Modelo!$F$20,[1]Modelo!$I$20,IF(AB93=[1]Modelo!$F$21,[1]Modelo!$I$21,IF(AB93=[1]Modelo!$F$22,[1]Modelo!$I$22,0))))))))))))))))</f>
        <v>0.5</v>
      </c>
      <c r="AN93" s="138">
        <f>IF(AC93=[1]Modelo!$F$23,[1]Modelo!$H$23,IF(AC93=[1]Modelo!$F$24,[1]Modelo!$H$24,IF(AC93=[1]Modelo!$F$25,[1]Modelo!$H$25,0)))</f>
        <v>1.2</v>
      </c>
      <c r="AO93" s="138">
        <f>IF(AD93=[1]Modelo!$F$26,[1]Modelo!$H$26,IF(AD93=[1]Modelo!$F$27,[1]Modelo!$H$27,IF(AD93=[1]Modelo!$F$28,[1]Modelo!$H$28,0)))</f>
        <v>0.2</v>
      </c>
      <c r="AP93" s="138">
        <f>IF(AE93=[1]Modelo!$F$30,[1]Modelo!$H$30,IF(AE93=[1]Modelo!$F$31,[1]Modelo!$H$31,IF(AE93=[1]Modelo!$F$32,[1]Modelo!$H$32,0)))</f>
        <v>0.8</v>
      </c>
      <c r="AQ93" s="138">
        <f>IF(AF93=[1]Modelo!$F$33,[1]Modelo!$H$33,IF(AF93=[1]Modelo!$F$34,[1]Modelo!$H$34,IF(AF93=[1]Modelo!$F$35,[1]Modelo!$H$35,0)))</f>
        <v>0.3</v>
      </c>
      <c r="AR93" s="138">
        <f>IF(AG93=[1]Modelo!$F$37,[1]Modelo!$H$37,IF(AG93=[1]Modelo!$F$38,[1]Modelo!$H$38,IF(AG93=[1]Modelo!$F$39,[1]Modelo!$H$39,0)))</f>
        <v>0.8</v>
      </c>
      <c r="AS93" s="138">
        <f>IF(AH93=[1]Modelo!$F$40,[1]Modelo!$H$40,IF(AH93=[1]Modelo!$F$41,[1]Modelo!$H$41,IF(AH93=[1]Modelo!$F$42,[1]Modelo!$H$42,0)))</f>
        <v>0.4</v>
      </c>
      <c r="AT93" s="137">
        <f>IF(C93=[1]Modelo!$F$44,[1]Modelo!$H$44,IF(C93=[1]Modelo!$F$45,[1]Modelo!$H$45,IF(C93=[1]Modelo!$F$46,[1]Modelo!$H$46,IF(C93=[1]Modelo!$F$47,[1]Modelo!$H$47,IF(C93=[1]Modelo!$F$48,[1]Modelo!$H$48,IF(C93=[1]Modelo!$F$49,[1]Modelo!$H$49,IF(C93=[1]Modelo!$F$50,[1]Modelo!$H$50,IF(C93=[1]Modelo!$F$51,[1]Modelo!$H$51,IF(C93=[1]Modelo!$F$52,[1]Modelo!$H$52,IF(C93=[1]Modelo!$F$53,[1]Modelo!$H$53,0))))))))))</f>
        <v>1.7</v>
      </c>
      <c r="AU93" s="138">
        <f>IF(AI93=[1]Modelo!$F$54,[1]Modelo!$H$54,IF(AI93=[1]Modelo!$F$55,[1]Modelo!$H$55,IF(AI93=[1]Modelo!$F$56,[1]Modelo!$H$56,0)))</f>
        <v>1</v>
      </c>
      <c r="AV93" s="138">
        <f>IF(AJ93=[1]Modelo!$F$58,[1]Modelo!$H$58,IF(AJ93=[1]Modelo!$F$59,[1]Modelo!$H$59,IF(AJ93=[1]Modelo!$F$60,[1]Modelo!$H$60,0)))</f>
        <v>0.9</v>
      </c>
      <c r="AW93" s="40"/>
      <c r="AX93" s="139">
        <f>[1]Modelo!$H$2</f>
        <v>0.05</v>
      </c>
      <c r="AY93" s="140">
        <f>ROUNDUP([1]Modelo!$I$2*[1]Modelo!$H$3*[1]Modelo!$I$75,2)</f>
        <v>0.02</v>
      </c>
      <c r="AZ93" s="141">
        <f>ROUNDUP([1]Modelo!$I$2*[1]Modelo!$H$3*[1]Modelo!$H$4*[1]Modelo!$I$75,3)</f>
        <v>3.0000000000000001E-3</v>
      </c>
      <c r="BA93" s="139">
        <f>[1]Modelo!$H$5</f>
        <v>0.04</v>
      </c>
      <c r="BB93" s="139">
        <f>ROUNDUP(SUM(BC93,BE93,BG93,BI93)*[1]Modelo!$H$6,1)</f>
        <v>1</v>
      </c>
      <c r="BC93" s="139">
        <f>ROUNDUP((AL93*AN93+0.1)*[1]Modelo!$I$75,1)</f>
        <v>1.9</v>
      </c>
      <c r="BD93" s="139">
        <f>ROUNDUP(AM93*AN93*AO93*[1]Modelo!$I$75,1)</f>
        <v>0.2</v>
      </c>
      <c r="BE93" s="139">
        <f>ROUNDUP(V93*[1]Modelo!$H$29*AP93*[1]Modelo!$I$75*2/3,1)</f>
        <v>0.6</v>
      </c>
      <c r="BF93" s="139">
        <f>ROUNDUP(V93*[1]Modelo!$H$29*AP93*AQ93*[1]Modelo!$I$75*2/3,1)</f>
        <v>0.2</v>
      </c>
      <c r="BG93" s="139">
        <f>ROUNDUP(V93*[1]Modelo!$H$29*AP93*[1]Modelo!$I$75/3,1)</f>
        <v>0.30000000000000004</v>
      </c>
      <c r="BH93" s="139">
        <f>ROUNDUP(V93*[1]Modelo!$H$29*AP93*AQ93*[1]Modelo!$I$75/3,1)</f>
        <v>0.1</v>
      </c>
      <c r="BI93" s="139">
        <f>ROUNDUP(W93*[1]Modelo!$H$36*AR93*[1]Modelo!$I$75,1)</f>
        <v>0</v>
      </c>
      <c r="BJ93" s="139">
        <f>ROUNDUP(W93*[1]Modelo!$H$36*AR93*AS93*[1]Modelo!$I$75,1)</f>
        <v>0</v>
      </c>
      <c r="BK93" s="139">
        <f>[1]Modelo!$H$43</f>
        <v>0.04</v>
      </c>
      <c r="BL93" s="139">
        <f>ROUNDUP(SUM(ROUNDUP(AL93*AN93+0.1,1),ROUNDUP(V93*[1]Modelo!$H$29*AP93,1),ROUNDUP(W93*[1]Modelo!$H$36*AR93,1))*AU93*AT93*[1]Modelo!$I$75,1)</f>
        <v>4.5999999999999996</v>
      </c>
      <c r="BM93" s="139">
        <f t="shared" ref="BM93" si="577">IF(K$32="x",0, BL93*0.1*1.25)</f>
        <v>0</v>
      </c>
      <c r="BN93" s="139">
        <f t="shared" ref="BN93" si="578">IF(Q93="x",(BL93)*0.1,0)</f>
        <v>0</v>
      </c>
      <c r="BO93" s="139">
        <f t="shared" ref="BO93" si="579">IF(R93="x",(BL93)*0.12,0)</f>
        <v>0</v>
      </c>
      <c r="BP93" s="139">
        <f t="shared" ref="BP93" si="580">IF(S93="x",(BL93)*0.12,0)*4</f>
        <v>0</v>
      </c>
      <c r="BQ93" s="139">
        <f>ROUNDUP(SUM(ROUNDUP(AL93*AN93+0.1,1),ROUNDUP(V93*[1]Modelo!$H$29*AP93,1),ROUNDUP(W93*[1]Modelo!$H$36*AR93,1))*AT93*AV93*[1]Modelo!$H$57,1)</f>
        <v>1.9000000000000001</v>
      </c>
      <c r="BR93" s="409">
        <v>0</v>
      </c>
      <c r="BS93" s="139">
        <f>[1]Modelo!$H$61</f>
        <v>0.04</v>
      </c>
      <c r="BT93" s="139">
        <f>ROUNDUP(SUM(ROUNDUP(AL93*AN93+0.1,1),ROUNDUP(V93*[1]Modelo!$H$29*AP93,1),ROUNDUP(W93*[1]Modelo!$H$36*AR93,1))*[1]Modelo!$H$62*[1]Modelo!$I$75,1)</f>
        <v>0.2</v>
      </c>
      <c r="BU93" s="139">
        <f>ROUNDUP(ROUNDUP(SUM(ROUNDUP(AL93*AN93+0.1,1),ROUNDUP(V93*[1]Modelo!$H$29*AP93,1),ROUNDUP(W93*[1]Modelo!$H$36*AR93,1))*[1]Modelo!$H$62,1)*[1]Modelo!$H$63*[1]Modelo!$I$75,1)</f>
        <v>0.1</v>
      </c>
      <c r="BV93" s="139">
        <f>SUM(ROUNDUP(AL93*AN93+0.1,1),ROUNDUP(V93*[1]Modelo!$H$29*AP93,1),ROUNDUP(W93*[1]Modelo!$H$36*AR93,1))*[1]Modelo!$H$64*[1]Modelo!$I$75</f>
        <v>0.54</v>
      </c>
      <c r="BW93" s="139">
        <f>ROUNDUP(SUM(ROUNDUP(AL93*AN93+0.1,1),ROUNDUP(V93*[1]Modelo!$H$29*AP93,1),ROUNDUP(W93*[1]Modelo!$H$36*AR93,1))*[1]Modelo!$H$64*[1]Modelo!$H$65*[1]Modelo!$I$75,1)</f>
        <v>0.30000000000000004</v>
      </c>
      <c r="BX93" s="139">
        <f>[1]Modelo!$H$66</f>
        <v>0.04</v>
      </c>
      <c r="BY93" s="139">
        <f>ROUNDUP(SUM(ROUNDUP(AL93*AN93+0.1,1),ROUNDUP(V93*[1]Modelo!$H$29*AP93,1),ROUNDUP(W93*[1]Modelo!$H$36*AR93,1))*[1]Modelo!$H$69,1)</f>
        <v>0.6</v>
      </c>
      <c r="BZ93" s="139">
        <f>ROUNDUP(ROUNDUP(SUM(ROUNDUP(AL93*AN93+0.1,1),ROUNDUP(V93*[1]Modelo!$H$29*AP93,1),ROUNDUP(W93*[1]Modelo!$H$36*AR93,1))*[1]Modelo!$H$62,1)*[1]Modelo!$H$71,1)</f>
        <v>0.4</v>
      </c>
      <c r="CA93" s="142">
        <f t="shared" ref="CA93" si="581">SUM(AX93:BZ93)</f>
        <v>13.172999999999998</v>
      </c>
      <c r="CB93" s="27"/>
      <c r="CC93" s="27">
        <f t="shared" ref="CC93" si="582">CD93*0.85</f>
        <v>5.5249999999999995</v>
      </c>
      <c r="CD93" s="109">
        <f t="shared" ref="CD93" si="583">O93</f>
        <v>6.5</v>
      </c>
      <c r="CE93" s="27">
        <f t="shared" ref="CE93" si="584">IF(CD93=0,1,CD93*1.4)</f>
        <v>9.1</v>
      </c>
      <c r="CF93" s="27"/>
      <c r="CG93" s="126">
        <v>0</v>
      </c>
      <c r="CH93" s="27"/>
      <c r="CI93" s="27">
        <f t="shared" ref="CI93" si="585">IF(CF93&lt;&gt;"",CF93,CG93)</f>
        <v>0</v>
      </c>
      <c r="CJ93" s="27"/>
      <c r="CK93" s="27"/>
      <c r="CL93" s="27"/>
      <c r="CM93" s="27"/>
      <c r="CN93" s="27"/>
      <c r="CO93" s="27"/>
      <c r="CP93" s="27"/>
      <c r="CQ93" s="27"/>
      <c r="CR93" s="27"/>
      <c r="CS93" s="27"/>
      <c r="CT93" s="27"/>
      <c r="CU93" s="27"/>
      <c r="CV93" s="27"/>
      <c r="CW93" s="27"/>
      <c r="CX93" s="27"/>
      <c r="CY93" s="27"/>
      <c r="CZ93" s="27"/>
      <c r="DA93" s="27"/>
      <c r="DB93" s="27"/>
      <c r="DC93" s="27"/>
    </row>
    <row r="94" spans="3:107" s="20" customFormat="1" ht="28.5" customHeight="1" outlineLevel="1" collapsed="1" thickBot="1" x14ac:dyDescent="0.35">
      <c r="C94" s="388"/>
      <c r="D94" s="461"/>
      <c r="E94" s="461"/>
      <c r="F94" s="461"/>
      <c r="G94" s="461"/>
      <c r="H94" s="461"/>
      <c r="I94" s="461"/>
      <c r="J94" s="425">
        <f t="shared" si="25"/>
        <v>0</v>
      </c>
      <c r="K94" s="503" t="str">
        <f t="shared" si="27"/>
        <v>Chica 1</v>
      </c>
      <c r="L94" s="545" t="s">
        <v>744</v>
      </c>
      <c r="M94" s="532"/>
      <c r="N94" s="532"/>
      <c r="O94" s="538"/>
      <c r="P94" s="58"/>
      <c r="Q94" s="462"/>
      <c r="R94" s="462"/>
      <c r="S94" s="462"/>
      <c r="T94" s="109"/>
      <c r="U94" s="144"/>
      <c r="V94" s="144"/>
      <c r="W94" s="144"/>
      <c r="X94" s="463"/>
      <c r="Y94" s="463" t="str">
        <f t="shared" si="10"/>
        <v>Chica0</v>
      </c>
      <c r="Z94" s="135" t="e">
        <f>VLOOKUP(Y94,[1]Modelo!$G$82:$H$281,2,FALSE)</f>
        <v>#N/A</v>
      </c>
      <c r="AA94" s="463"/>
      <c r="AB94" s="137" t="str">
        <f t="shared" si="11"/>
        <v>Chica 1</v>
      </c>
      <c r="AC94" s="137" t="str">
        <f t="shared" si="12"/>
        <v>Baja</v>
      </c>
      <c r="AD94" s="137" t="str">
        <f t="shared" si="28"/>
        <v>Baja</v>
      </c>
      <c r="AE94" s="137" t="str">
        <f t="shared" si="29"/>
        <v>Baja</v>
      </c>
      <c r="AF94" s="137" t="str">
        <f t="shared" si="30"/>
        <v>Baja</v>
      </c>
      <c r="AG94" s="137" t="str">
        <f t="shared" si="31"/>
        <v>Baja</v>
      </c>
      <c r="AH94" s="137" t="str">
        <f t="shared" si="32"/>
        <v>Baja</v>
      </c>
      <c r="AI94" s="137" t="str">
        <f t="shared" si="33"/>
        <v>Baja</v>
      </c>
      <c r="AJ94" s="137" t="str">
        <f t="shared" si="34"/>
        <v>Baja</v>
      </c>
      <c r="AK94" s="40"/>
      <c r="AL94" s="138">
        <f>IF(AB94=[1]Modelo!$F$7,[1]Modelo!$H$7,IF(AB94=[1]Modelo!$F$8,[1]Modelo!$H$8,IF(AB94=[1]Modelo!$F$9,[1]Modelo!$H$9,IF(AB94=[1]Modelo!$F$10,[1]Modelo!$H$10,IF(AB94=[1]Modelo!$F$11,[1]Modelo!$H$11,IF(AB94=[1]Modelo!$F$12,[1]Modelo!$H$12,IF(AB94=[1]Modelo!$F$13,[1]Modelo!$H$13,IF(AB94=[1]Modelo!$F$14,[1]Modelo!$H$14,IF(AB94=[1]Modelo!$F$15,[1]Modelo!$H$15,IF(AB94=[1]Modelo!$F$16,[1]Modelo!$H$16,IF(AB94=[1]Modelo!$F$17,[1]Modelo!$H$17,IF(AB94=[1]Modelo!$F$18,[1]Modelo!$H$18,IF(AB94=[1]Modelo!$F$19,[1]Modelo!$H$19,IF(AB94=[1]Modelo!$F$20,[1]Modelo!$H$20,IF(AB94=[1]Modelo!$F$21,[1]Modelo!$H$21,IF(AB94=[1]Modelo!$F$22,[1]Modelo!$H$22,0))))))))))))))))</f>
        <v>0.30000000000000004</v>
      </c>
      <c r="AM94" s="138">
        <f>IF(AB94=[1]Modelo!$F$7,[1]Modelo!$I$7,IF(AB94=[1]Modelo!$F$8,[1]Modelo!$I$8,IF(AB94=[1]Modelo!$F$9,[1]Modelo!$I$9,IF(AB94=[1]Modelo!$F$10,[1]Modelo!$I$10,IF(AB94=[1]Modelo!$F$11,[1]Modelo!$I$11,IF(AB94=[1]Modelo!$F$12,[1]Modelo!$I$12,IF(AB94=[1]Modelo!$F$13,[1]Modelo!$I$13,IF(AB94=[1]Modelo!$F$14,[1]Modelo!$I$14,IF(AB94=[1]Modelo!$F$15,[1]Modelo!$I$15,IF(AB94=[1]Modelo!$F$16,[1]Modelo!$I$16,IF(AB94=[1]Modelo!$F$17,[1]Modelo!$I$17,IF(AB94=[1]Modelo!$F$18,[1]Modelo!$I$18,IF(AB94=[1]Modelo!$F$19,[1]Modelo!$I$19,IF(AB94=[1]Modelo!$F$20,[1]Modelo!$I$20,IF(AB94=[1]Modelo!$F$21,[1]Modelo!$I$21,IF(AB94=[1]Modelo!$F$22,[1]Modelo!$I$22,0))))))))))))))))</f>
        <v>0.1</v>
      </c>
      <c r="AN94" s="138">
        <f>IF(AC94=[1]Modelo!$F$23,[1]Modelo!$H$23,IF(AC94=[1]Modelo!$F$24,[1]Modelo!$H$24,IF(AC94=[1]Modelo!$F$25,[1]Modelo!$H$25,0)))</f>
        <v>1</v>
      </c>
      <c r="AO94" s="138">
        <f>IF(AD94=[1]Modelo!$F$26,[1]Modelo!$H$26,IF(AD94=[1]Modelo!$F$27,[1]Modelo!$H$27,IF(AD94=[1]Modelo!$F$28,[1]Modelo!$H$28,0)))</f>
        <v>0.1</v>
      </c>
      <c r="AP94" s="138">
        <f>IF(AE94=[1]Modelo!$F$30,[1]Modelo!$H$30,IF(AE94=[1]Modelo!$F$31,[1]Modelo!$H$31,IF(AE94=[1]Modelo!$F$32,[1]Modelo!$H$32,0)))</f>
        <v>0.8</v>
      </c>
      <c r="AQ94" s="138">
        <f>IF(AF94=[1]Modelo!$F$33,[1]Modelo!$H$33,IF(AF94=[1]Modelo!$F$34,[1]Modelo!$H$34,IF(AF94=[1]Modelo!$F$35,[1]Modelo!$H$35,0)))</f>
        <v>0.3</v>
      </c>
      <c r="AR94" s="138">
        <f>IF(AG94=[1]Modelo!$F$37,[1]Modelo!$H$37,IF(AG94=[1]Modelo!$F$38,[1]Modelo!$H$38,IF(AG94=[1]Modelo!$F$39,[1]Modelo!$H$39,0)))</f>
        <v>0.8</v>
      </c>
      <c r="AS94" s="138">
        <f>IF(AH94=[1]Modelo!$F$40,[1]Modelo!$H$40,IF(AH94=[1]Modelo!$F$41,[1]Modelo!$H$41,IF(AH94=[1]Modelo!$F$42,[1]Modelo!$H$42,0)))</f>
        <v>0.4</v>
      </c>
      <c r="AT94" s="137">
        <f>IF(C94=[1]Modelo!$F$44,[1]Modelo!$H$44,IF(C94=[1]Modelo!$F$45,[1]Modelo!$H$45,IF(C94=[1]Modelo!$F$46,[1]Modelo!$H$46,IF(C94=[1]Modelo!$F$47,[1]Modelo!$H$47,IF(C94=[1]Modelo!$F$48,[1]Modelo!$H$48,IF(C94=[1]Modelo!$F$49,[1]Modelo!$H$49,IF(C94=[1]Modelo!$F$50,[1]Modelo!$H$50,IF(C94=[1]Modelo!$F$51,[1]Modelo!$H$51,IF(C94=[1]Modelo!$F$52,[1]Modelo!$H$52,IF(C94=[1]Modelo!$F$53,[1]Modelo!$H$53,0))))))))))</f>
        <v>0</v>
      </c>
      <c r="AU94" s="138">
        <f>IF(AI94=[1]Modelo!$F$54,[1]Modelo!$H$54,IF(AI94=[1]Modelo!$F$55,[1]Modelo!$H$55,IF(AI94=[1]Modelo!$F$56,[1]Modelo!$H$56,0)))</f>
        <v>1</v>
      </c>
      <c r="AV94" s="138">
        <f>IF(AJ94=[1]Modelo!$F$58,[1]Modelo!$H$58,IF(AJ94=[1]Modelo!$F$59,[1]Modelo!$H$59,IF(AJ94=[1]Modelo!$F$60,[1]Modelo!$H$60,0)))</f>
        <v>0.9</v>
      </c>
      <c r="AW94" s="40"/>
      <c r="AX94" s="139">
        <f>[1]Modelo!$H$2</f>
        <v>0.05</v>
      </c>
      <c r="AY94" s="140">
        <f>ROUNDUP([1]Modelo!$I$2*[1]Modelo!$H$3*[1]Modelo!$I$75,2)</f>
        <v>0.02</v>
      </c>
      <c r="AZ94" s="141">
        <f>ROUNDUP([1]Modelo!$I$2*[1]Modelo!$H$3*[1]Modelo!$H$4*[1]Modelo!$I$75,3)</f>
        <v>3.0000000000000001E-3</v>
      </c>
      <c r="BA94" s="139">
        <f>[1]Modelo!$H$5</f>
        <v>0.04</v>
      </c>
      <c r="BB94" s="139">
        <f>ROUNDUP(SUM(BC94,BE94,BG94,BI94)*[1]Modelo!$H$6,1)</f>
        <v>0.2</v>
      </c>
      <c r="BC94" s="139">
        <f>ROUNDUP((AL94*AN94+0.1)*[1]Modelo!$I$75,1)</f>
        <v>0.4</v>
      </c>
      <c r="BD94" s="139">
        <f>ROUNDUP(AM94*AN94*AO94*[1]Modelo!$I$75,1)</f>
        <v>0.1</v>
      </c>
      <c r="BE94" s="139">
        <f>ROUNDUP(V94*[1]Modelo!$H$29*AP94*[1]Modelo!$I$75*2/3,1)</f>
        <v>0</v>
      </c>
      <c r="BF94" s="139">
        <f>ROUNDUP(V94*[1]Modelo!$H$29*AP94*AQ94*[1]Modelo!$I$75*2/3,1)</f>
        <v>0</v>
      </c>
      <c r="BG94" s="139">
        <f>ROUNDUP(V94*[1]Modelo!$H$29*AP94*[1]Modelo!$I$75/3,1)</f>
        <v>0</v>
      </c>
      <c r="BH94" s="139">
        <f>ROUNDUP(V94*[1]Modelo!$H$29*AP94*AQ94*[1]Modelo!$I$75/3,1)</f>
        <v>0</v>
      </c>
      <c r="BI94" s="139">
        <f>ROUNDUP(W94*[1]Modelo!$H$36*AR94*[1]Modelo!$I$75,1)</f>
        <v>0</v>
      </c>
      <c r="BJ94" s="139">
        <f>ROUNDUP(W94*[1]Modelo!$H$36*AR94*AS94*[1]Modelo!$I$75,1)</f>
        <v>0</v>
      </c>
      <c r="BK94" s="139">
        <f>[1]Modelo!$H$43</f>
        <v>0.04</v>
      </c>
      <c r="BL94" s="139">
        <f>ROUNDUP(SUM(ROUNDUP(AL94*AN94+0.1,1),ROUNDUP(V94*[1]Modelo!$H$29*AP94,1),ROUNDUP(W94*[1]Modelo!$H$36*AR94,1))*AU94*AT94*[1]Modelo!$I$75,1)</f>
        <v>0</v>
      </c>
      <c r="BM94" s="139">
        <f t="shared" si="16"/>
        <v>0</v>
      </c>
      <c r="BN94" s="139">
        <f t="shared" si="17"/>
        <v>0</v>
      </c>
      <c r="BO94" s="139">
        <f t="shared" si="18"/>
        <v>0</v>
      </c>
      <c r="BP94" s="139">
        <f t="shared" si="19"/>
        <v>0</v>
      </c>
      <c r="BQ94" s="139">
        <f>ROUNDUP(SUM(ROUNDUP(AL94*AN94+0.1,1),ROUNDUP(V94*[1]Modelo!$H$29*AP94,1),ROUNDUP(W94*[1]Modelo!$H$36*AR94,1))*AT94*AV94*[1]Modelo!$H$57,1)</f>
        <v>0</v>
      </c>
      <c r="BR94" s="409">
        <v>0</v>
      </c>
      <c r="BS94" s="139">
        <f>[1]Modelo!$H$61</f>
        <v>0.04</v>
      </c>
      <c r="BT94" s="139">
        <f>ROUNDUP(SUM(ROUNDUP(AL94*AN94+0.1,1),ROUNDUP(V94*[1]Modelo!$H$29*AP94,1),ROUNDUP(W94*[1]Modelo!$H$36*AR94,1))*[1]Modelo!$H$62*[1]Modelo!$I$75,1)</f>
        <v>0.1</v>
      </c>
      <c r="BU94" s="139">
        <f>ROUNDUP(ROUNDUP(SUM(ROUNDUP(AL94*AN94+0.1,1),ROUNDUP(V94*[1]Modelo!$H$29*AP94,1),ROUNDUP(W94*[1]Modelo!$H$36*AR94,1))*[1]Modelo!$H$62,1)*[1]Modelo!$H$63*[1]Modelo!$I$75,1)</f>
        <v>0.1</v>
      </c>
      <c r="BV94" s="139">
        <f>SUM(ROUNDUP(AL94*AN94+0.1,1),ROUNDUP(V94*[1]Modelo!$H$29*AP94,1),ROUNDUP(W94*[1]Modelo!$H$36*AR94,1))*[1]Modelo!$H$64*[1]Modelo!$I$75</f>
        <v>8.0000000000000016E-2</v>
      </c>
      <c r="BW94" s="139">
        <f>ROUNDUP(SUM(ROUNDUP(AL94*AN94+0.1,1),ROUNDUP(V94*[1]Modelo!$H$29*AP94,1),ROUNDUP(W94*[1]Modelo!$H$36*AR94,1))*[1]Modelo!$H$64*[1]Modelo!$H$65*[1]Modelo!$I$75,1)</f>
        <v>0.1</v>
      </c>
      <c r="BX94" s="139">
        <f>[1]Modelo!$H$66</f>
        <v>0.04</v>
      </c>
      <c r="BY94" s="139">
        <f>ROUNDUP(SUM(ROUNDUP(AL94*AN94+0.1,1),ROUNDUP(V94*[1]Modelo!$H$29*AP94,1),ROUNDUP(W94*[1]Modelo!$H$36*AR94,1))*[1]Modelo!$H$69,1)</f>
        <v>0.1</v>
      </c>
      <c r="BZ94" s="139">
        <f>ROUNDUP(ROUNDUP(SUM(ROUNDUP(AL94*AN94+0.1,1),ROUNDUP(V94*[1]Modelo!$H$29*AP94,1),ROUNDUP(W94*[1]Modelo!$H$36*AR94,1))*[1]Modelo!$H$62,1)*[1]Modelo!$H$71,1)</f>
        <v>0.2</v>
      </c>
      <c r="CA94" s="142">
        <f t="shared" si="20"/>
        <v>1.6130000000000004</v>
      </c>
      <c r="CB94" s="27"/>
      <c r="CC94" s="27">
        <f t="shared" si="21"/>
        <v>0</v>
      </c>
      <c r="CD94" s="109">
        <f t="shared" si="22"/>
        <v>0</v>
      </c>
      <c r="CE94" s="27">
        <f t="shared" si="23"/>
        <v>1</v>
      </c>
      <c r="CF94" s="27"/>
      <c r="CG94" s="126">
        <v>0</v>
      </c>
      <c r="CH94" s="27"/>
      <c r="CI94" s="27">
        <f t="shared" si="24"/>
        <v>0</v>
      </c>
      <c r="CJ94" s="27"/>
      <c r="CK94" s="27"/>
      <c r="CL94" s="27"/>
      <c r="CM94" s="27"/>
      <c r="CN94" s="27"/>
      <c r="CO94" s="27"/>
      <c r="CP94" s="27"/>
      <c r="CQ94" s="27"/>
      <c r="CR94" s="27"/>
      <c r="CS94" s="27"/>
      <c r="CT94" s="27"/>
      <c r="CU94" s="27"/>
      <c r="CV94" s="27"/>
      <c r="CW94" s="27"/>
      <c r="CX94" s="27"/>
      <c r="CY94" s="27"/>
      <c r="CZ94" s="27"/>
      <c r="DA94" s="27"/>
      <c r="DB94" s="27"/>
      <c r="DC94" s="27"/>
    </row>
    <row r="95" spans="3:107" s="20" customFormat="1" ht="42" customHeight="1" outlineLevel="1" thickBot="1" x14ac:dyDescent="0.35">
      <c r="C95" s="388" t="s">
        <v>93</v>
      </c>
      <c r="D95" s="461" t="s">
        <v>18</v>
      </c>
      <c r="E95" s="461" t="str">
        <f t="shared" ref="E95" si="586">IF(U95&gt;50,"A",IF(U95&gt;15,"M","B"))</f>
        <v>B</v>
      </c>
      <c r="F95" s="461" t="s">
        <v>423</v>
      </c>
      <c r="G95" s="461" t="s">
        <v>423</v>
      </c>
      <c r="H95" s="461" t="str">
        <f t="shared" ref="H95" si="587">IF(V95+W95&gt;20,"A",IF(V95+W95&gt;5,"M","B"))</f>
        <v>B</v>
      </c>
      <c r="I95" s="461" t="str">
        <f t="shared" ref="I95" si="588">IF(V95+W95&gt;15,"A",IF(V95+W95&gt;4,"M","B"))</f>
        <v>B</v>
      </c>
      <c r="J95" s="425">
        <f t="shared" ref="J95" si="589">V95+W95</f>
        <v>2</v>
      </c>
      <c r="K95" s="503" t="str">
        <f t="shared" ref="K95" si="590">AB95</f>
        <v>Chica 1</v>
      </c>
      <c r="L95" s="537" t="s">
        <v>789</v>
      </c>
      <c r="M95" s="532">
        <f t="shared" ref="M95" si="591">BL95+BM95+BN95+BO95+BP95</f>
        <v>4.4000000000000004</v>
      </c>
      <c r="N95" s="532">
        <f t="shared" ref="N95" si="592">BQ95</f>
        <v>1.8</v>
      </c>
      <c r="O95" s="538">
        <f t="shared" ref="O95" si="593">SUM(M95,N95)</f>
        <v>6.2</v>
      </c>
      <c r="P95" s="58"/>
      <c r="Q95" s="462"/>
      <c r="R95" s="462"/>
      <c r="S95" s="462"/>
      <c r="T95" s="109"/>
      <c r="U95" s="144">
        <v>5</v>
      </c>
      <c r="V95" s="144">
        <v>2</v>
      </c>
      <c r="W95" s="144">
        <v>0</v>
      </c>
      <c r="X95" s="463"/>
      <c r="Y95" s="463" t="str">
        <f t="shared" ref="Y95" si="594">CONCATENATE(C95,LEFT(K95,5),J95)</f>
        <v>CapturaChica2</v>
      </c>
      <c r="Z95" s="135">
        <f>VLOOKUP(Y95,[1]Modelo!$G$82:$H$281,2,FALSE)</f>
        <v>42</v>
      </c>
      <c r="AA95" s="463"/>
      <c r="AB95" s="137" t="str">
        <f t="shared" ref="AB95" si="595">IF(AND(U95&gt;=0,U95&lt;=6),"Chica 1",IF(AND(U95&gt;=7,U95&lt;=12),"Chica 2",IF(AND(U95&gt;=13,U95&lt;=18),"Chica 3",IF(AND(U95&gt;=19,U95&lt;=24),"Chica 4",IF(AND(U95&gt;=25,U95&lt;=30),"Mediana 1",IF(AND(U95&gt;=31,U95&lt;=36),"Mediana 2",IF(AND(U95&gt;=37,U95&lt;=42),"Mediana 3",IF(AND(U95&gt;=43,U95&lt;=48),"Mediana 4",IF(AND(U95&gt;=49,U95&lt;=54),"Grande 1",IF(AND(U95&gt;=55,U95&lt;=60),"Grande 2",IF(AND(U95&gt;=61,U95&lt;=66),"Grande 3",IF(AND(U95&gt;=67,U95&lt;=72),"Grande 4",IF(AND(U95&gt;=73,U95&lt;=78),"M. grande 1",IF(AND(U95&gt;=79,U95&lt;=84),"M. grande 2",IF(AND(U95&gt;=85,U95&lt;=90),"M. grande 3",IF(AND(U95&gt;=91,U95&lt;=96),"M. grande 4","NO DEF"))))))))))))))))</f>
        <v>Chica 1</v>
      </c>
      <c r="AC95" s="137" t="str">
        <f t="shared" ref="AC95" si="596">IF(E95="A","Alta",IF(E95="M","Media","Baja"))</f>
        <v>Baja</v>
      </c>
      <c r="AD95" s="137" t="str">
        <f t="shared" ref="AD95" si="597">IF(E95="A","Alta",IF(E95="M","Media","Baja"))</f>
        <v>Baja</v>
      </c>
      <c r="AE95" s="137" t="str">
        <f t="shared" ref="AE95" si="598">IF(F95="A","Alta",IF(F95="M","Media","Baja"))</f>
        <v>Baja</v>
      </c>
      <c r="AF95" s="137" t="str">
        <f t="shared" ref="AF95" si="599">IF(F95="A","Alta",IF(F95="M","Media","Baja"))</f>
        <v>Baja</v>
      </c>
      <c r="AG95" s="137" t="str">
        <f t="shared" ref="AG95" si="600">IF(G95="A","Alta",IF(G95="M","Media","Baja"))</f>
        <v>Baja</v>
      </c>
      <c r="AH95" s="137" t="str">
        <f t="shared" ref="AH95" si="601">IF(G95="A","Alta",IF(G95="M","Media","Baja"))</f>
        <v>Baja</v>
      </c>
      <c r="AI95" s="137" t="str">
        <f t="shared" ref="AI95" si="602">IF(H95="A","Alta",IF(H95="M","Media","Baja"))</f>
        <v>Baja</v>
      </c>
      <c r="AJ95" s="137" t="str">
        <f t="shared" ref="AJ95" si="603">IF(I95="A","Alta",IF(I95="M","Media","Baja"))</f>
        <v>Baja</v>
      </c>
      <c r="AK95" s="40"/>
      <c r="AL95" s="138">
        <f>IF(AB95=[1]Modelo!$F$7,[1]Modelo!$H$7,IF(AB95=[1]Modelo!$F$8,[1]Modelo!$H$8,IF(AB95=[1]Modelo!$F$9,[1]Modelo!$H$9,IF(AB95=[1]Modelo!$F$10,[1]Modelo!$H$10,IF(AB95=[1]Modelo!$F$11,[1]Modelo!$H$11,IF(AB95=[1]Modelo!$F$12,[1]Modelo!$H$12,IF(AB95=[1]Modelo!$F$13,[1]Modelo!$H$13,IF(AB95=[1]Modelo!$F$14,[1]Modelo!$H$14,IF(AB95=[1]Modelo!$F$15,[1]Modelo!$H$15,IF(AB95=[1]Modelo!$F$16,[1]Modelo!$H$16,IF(AB95=[1]Modelo!$F$17,[1]Modelo!$H$17,IF(AB95=[1]Modelo!$F$18,[1]Modelo!$H$18,IF(AB95=[1]Modelo!$F$19,[1]Modelo!$H$19,IF(AB95=[1]Modelo!$F$20,[1]Modelo!$H$20,IF(AB95=[1]Modelo!$F$21,[1]Modelo!$H$21,IF(AB95=[1]Modelo!$F$22,[1]Modelo!$H$22,0))))))))))))))))</f>
        <v>0.30000000000000004</v>
      </c>
      <c r="AM95" s="138">
        <f>IF(AB95=[1]Modelo!$F$7,[1]Modelo!$I$7,IF(AB95=[1]Modelo!$F$8,[1]Modelo!$I$8,IF(AB95=[1]Modelo!$F$9,[1]Modelo!$I$9,IF(AB95=[1]Modelo!$F$10,[1]Modelo!$I$10,IF(AB95=[1]Modelo!$F$11,[1]Modelo!$I$11,IF(AB95=[1]Modelo!$F$12,[1]Modelo!$I$12,IF(AB95=[1]Modelo!$F$13,[1]Modelo!$I$13,IF(AB95=[1]Modelo!$F$14,[1]Modelo!$I$14,IF(AB95=[1]Modelo!$F$15,[1]Modelo!$I$15,IF(AB95=[1]Modelo!$F$16,[1]Modelo!$I$16,IF(AB95=[1]Modelo!$F$17,[1]Modelo!$I$17,IF(AB95=[1]Modelo!$F$18,[1]Modelo!$I$18,IF(AB95=[1]Modelo!$F$19,[1]Modelo!$I$19,IF(AB95=[1]Modelo!$F$20,[1]Modelo!$I$20,IF(AB95=[1]Modelo!$F$21,[1]Modelo!$I$21,IF(AB95=[1]Modelo!$F$22,[1]Modelo!$I$22,0))))))))))))))))</f>
        <v>0.1</v>
      </c>
      <c r="AN95" s="138">
        <f>IF(AC95=[1]Modelo!$F$23,[1]Modelo!$H$23,IF(AC95=[1]Modelo!$F$24,[1]Modelo!$H$24,IF(AC95=[1]Modelo!$F$25,[1]Modelo!$H$25,0)))</f>
        <v>1</v>
      </c>
      <c r="AO95" s="138">
        <f>IF(AD95=[1]Modelo!$F$26,[1]Modelo!$H$26,IF(AD95=[1]Modelo!$F$27,[1]Modelo!$H$27,IF(AD95=[1]Modelo!$F$28,[1]Modelo!$H$28,0)))</f>
        <v>0.1</v>
      </c>
      <c r="AP95" s="138">
        <f>IF(AE95=[1]Modelo!$F$30,[1]Modelo!$H$30,IF(AE95=[1]Modelo!$F$31,[1]Modelo!$H$31,IF(AE95=[1]Modelo!$F$32,[1]Modelo!$H$32,0)))</f>
        <v>0.8</v>
      </c>
      <c r="AQ95" s="138">
        <f>IF(AF95=[1]Modelo!$F$33,[1]Modelo!$H$33,IF(AF95=[1]Modelo!$F$34,[1]Modelo!$H$34,IF(AF95=[1]Modelo!$F$35,[1]Modelo!$H$35,0)))</f>
        <v>0.3</v>
      </c>
      <c r="AR95" s="138">
        <f>IF(AG95=[1]Modelo!$F$37,[1]Modelo!$H$37,IF(AG95=[1]Modelo!$F$38,[1]Modelo!$H$38,IF(AG95=[1]Modelo!$F$39,[1]Modelo!$H$39,0)))</f>
        <v>0.8</v>
      </c>
      <c r="AS95" s="138">
        <f>IF(AH95=[1]Modelo!$F$40,[1]Modelo!$H$40,IF(AH95=[1]Modelo!$F$41,[1]Modelo!$H$41,IF(AH95=[1]Modelo!$F$42,[1]Modelo!$H$42,0)))</f>
        <v>0.4</v>
      </c>
      <c r="AT95" s="137">
        <f>IF(C95=[1]Modelo!$F$44,[1]Modelo!$H$44,IF(C95=[1]Modelo!$F$45,[1]Modelo!$H$45,IF(C95=[1]Modelo!$F$46,[1]Modelo!$H$46,IF(C95=[1]Modelo!$F$47,[1]Modelo!$H$47,IF(C95=[1]Modelo!$F$48,[1]Modelo!$H$48,IF(C95=[1]Modelo!$F$49,[1]Modelo!$H$49,IF(C95=[1]Modelo!$F$50,[1]Modelo!$H$50,IF(C95=[1]Modelo!$F$51,[1]Modelo!$H$51,IF(C95=[1]Modelo!$F$52,[1]Modelo!$H$52,IF(C95=[1]Modelo!$F$53,[1]Modelo!$H$53,0))))))))))</f>
        <v>2.2000000000000002</v>
      </c>
      <c r="AU95" s="138">
        <f>IF(AI95=[1]Modelo!$F$54,[1]Modelo!$H$54,IF(AI95=[1]Modelo!$F$55,[1]Modelo!$H$55,IF(AI95=[1]Modelo!$F$56,[1]Modelo!$H$56,0)))</f>
        <v>1</v>
      </c>
      <c r="AV95" s="138">
        <f>IF(AJ95=[1]Modelo!$F$58,[1]Modelo!$H$58,IF(AJ95=[1]Modelo!$F$59,[1]Modelo!$H$59,IF(AJ95=[1]Modelo!$F$60,[1]Modelo!$H$60,0)))</f>
        <v>0.9</v>
      </c>
      <c r="AW95" s="40"/>
      <c r="AX95" s="139">
        <f>[1]Modelo!$H$2</f>
        <v>0.05</v>
      </c>
      <c r="AY95" s="140">
        <f>ROUNDUP([1]Modelo!$I$2*[1]Modelo!$H$3*[1]Modelo!$I$75,2)</f>
        <v>0.02</v>
      </c>
      <c r="AZ95" s="141">
        <f>ROUNDUP([1]Modelo!$I$2*[1]Modelo!$H$3*[1]Modelo!$H$4*[1]Modelo!$I$75,3)</f>
        <v>3.0000000000000001E-3</v>
      </c>
      <c r="BA95" s="139">
        <f>[1]Modelo!$H$5</f>
        <v>0.04</v>
      </c>
      <c r="BB95" s="139">
        <f>ROUNDUP(SUM(BC95,BE95,BG95,BI95)*[1]Modelo!$H$6,1)</f>
        <v>0.7</v>
      </c>
      <c r="BC95" s="139">
        <f>ROUNDUP((AL95*AN95+0.1)*[1]Modelo!$I$75,1)</f>
        <v>0.4</v>
      </c>
      <c r="BD95" s="139">
        <f>ROUNDUP(AM95*AN95*AO95*[1]Modelo!$I$75,1)</f>
        <v>0.1</v>
      </c>
      <c r="BE95" s="139">
        <f>ROUNDUP(V95*[1]Modelo!$H$29*AP95*[1]Modelo!$I$75*2/3,1)</f>
        <v>1.1000000000000001</v>
      </c>
      <c r="BF95" s="139">
        <f>ROUNDUP(V95*[1]Modelo!$H$29*AP95*AQ95*[1]Modelo!$I$75*2/3,1)</f>
        <v>0.4</v>
      </c>
      <c r="BG95" s="139">
        <f>ROUNDUP(V95*[1]Modelo!$H$29*AP95*[1]Modelo!$I$75/3,1)</f>
        <v>0.6</v>
      </c>
      <c r="BH95" s="139">
        <f>ROUNDUP(V95*[1]Modelo!$H$29*AP95*AQ95*[1]Modelo!$I$75/3,1)</f>
        <v>0.2</v>
      </c>
      <c r="BI95" s="139">
        <f>ROUNDUP(W95*[1]Modelo!$H$36*AR95*[1]Modelo!$I$75,1)</f>
        <v>0</v>
      </c>
      <c r="BJ95" s="139">
        <f>ROUNDUP(W95*[1]Modelo!$H$36*AR95*AS95*[1]Modelo!$I$75,1)</f>
        <v>0</v>
      </c>
      <c r="BK95" s="139">
        <f>[1]Modelo!$H$43</f>
        <v>0.04</v>
      </c>
      <c r="BL95" s="139">
        <f>ROUNDUP(SUM(ROUNDUP(AL95*AN95+0.1,1),ROUNDUP(V95*[1]Modelo!$H$29*AP95,1),ROUNDUP(W95*[1]Modelo!$H$36*AR95,1))*AU95*AT95*[1]Modelo!$I$75,1)</f>
        <v>4.4000000000000004</v>
      </c>
      <c r="BM95" s="139">
        <f t="shared" ref="BM95" si="604">IF(K$32="x",0, BL95*0.1*1.25)</f>
        <v>0</v>
      </c>
      <c r="BN95" s="139">
        <f t="shared" ref="BN95" si="605">IF(Q95="x",(BL95)*0.1,0)</f>
        <v>0</v>
      </c>
      <c r="BO95" s="139">
        <f t="shared" ref="BO95" si="606">IF(R95="x",(BL95)*0.12,0)</f>
        <v>0</v>
      </c>
      <c r="BP95" s="139">
        <f t="shared" ref="BP95" si="607">IF(S95="x",(BL95)*0.12,0)*4</f>
        <v>0</v>
      </c>
      <c r="BQ95" s="139">
        <f>ROUNDUP(SUM(ROUNDUP(AL95*AN95+0.1,1),ROUNDUP(V95*[1]Modelo!$H$29*AP95,1),ROUNDUP(W95*[1]Modelo!$H$36*AR95,1))*AT95*AV95*[1]Modelo!$H$57,1)</f>
        <v>1.8</v>
      </c>
      <c r="BR95" s="409">
        <v>0</v>
      </c>
      <c r="BS95" s="139">
        <f>[1]Modelo!$H$61</f>
        <v>0.04</v>
      </c>
      <c r="BT95" s="139">
        <f>ROUNDUP(SUM(ROUNDUP(AL95*AN95+0.1,1),ROUNDUP(V95*[1]Modelo!$H$29*AP95,1),ROUNDUP(W95*[1]Modelo!$H$36*AR95,1))*[1]Modelo!$H$62*[1]Modelo!$I$75,1)</f>
        <v>0.2</v>
      </c>
      <c r="BU95" s="139">
        <f>ROUNDUP(ROUNDUP(SUM(ROUNDUP(AL95*AN95+0.1,1),ROUNDUP(V95*[1]Modelo!$H$29*AP95,1),ROUNDUP(W95*[1]Modelo!$H$36*AR95,1))*[1]Modelo!$H$62,1)*[1]Modelo!$H$63*[1]Modelo!$I$75,1)</f>
        <v>0.1</v>
      </c>
      <c r="BV95" s="139">
        <f>SUM(ROUNDUP(AL95*AN95+0.1,1),ROUNDUP(V95*[1]Modelo!$H$29*AP95,1),ROUNDUP(W95*[1]Modelo!$H$36*AR95,1))*[1]Modelo!$H$64*[1]Modelo!$I$75</f>
        <v>0.4</v>
      </c>
      <c r="BW95" s="139">
        <f>ROUNDUP(SUM(ROUNDUP(AL95*AN95+0.1,1),ROUNDUP(V95*[1]Modelo!$H$29*AP95,1),ROUNDUP(W95*[1]Modelo!$H$36*AR95,1))*[1]Modelo!$H$64*[1]Modelo!$H$65*[1]Modelo!$I$75,1)</f>
        <v>0.2</v>
      </c>
      <c r="BX95" s="139">
        <f>[1]Modelo!$H$66</f>
        <v>0.04</v>
      </c>
      <c r="BY95" s="139">
        <f>ROUNDUP(SUM(ROUNDUP(AL95*AN95+0.1,1),ROUNDUP(V95*[1]Modelo!$H$29*AP95,1),ROUNDUP(W95*[1]Modelo!$H$36*AR95,1))*[1]Modelo!$H$69,1)</f>
        <v>0.5</v>
      </c>
      <c r="BZ95" s="139">
        <f>ROUNDUP(ROUNDUP(SUM(ROUNDUP(AL95*AN95+0.1,1),ROUNDUP(V95*[1]Modelo!$H$29*AP95,1),ROUNDUP(W95*[1]Modelo!$H$36*AR95,1))*[1]Modelo!$H$62,1)*[1]Modelo!$H$71,1)</f>
        <v>0.4</v>
      </c>
      <c r="CA95" s="142">
        <f t="shared" ref="CA95" si="608">SUM(AX95:BZ95)</f>
        <v>11.732999999999999</v>
      </c>
      <c r="CB95" s="27"/>
      <c r="CC95" s="27">
        <f t="shared" ref="CC95" si="609">CD95*0.85</f>
        <v>5.27</v>
      </c>
      <c r="CD95" s="109">
        <f t="shared" ref="CD95" si="610">O95</f>
        <v>6.2</v>
      </c>
      <c r="CE95" s="27">
        <f t="shared" ref="CE95" si="611">IF(CD95=0,1,CD95*1.4)</f>
        <v>8.68</v>
      </c>
      <c r="CF95" s="27"/>
      <c r="CG95" s="126">
        <v>0</v>
      </c>
      <c r="CH95" s="27"/>
      <c r="CI95" s="27">
        <f t="shared" ref="CI95" si="612">IF(CF95&lt;&gt;"",CF95,CG95)</f>
        <v>0</v>
      </c>
      <c r="CJ95" s="27"/>
      <c r="CK95" s="27"/>
      <c r="CL95" s="27"/>
      <c r="CM95" s="27"/>
      <c r="CN95" s="27"/>
      <c r="CO95" s="27"/>
      <c r="CP95" s="27"/>
      <c r="CQ95" s="27"/>
      <c r="CR95" s="27"/>
      <c r="CS95" s="27"/>
      <c r="CT95" s="27"/>
      <c r="CU95" s="27"/>
      <c r="CV95" s="27"/>
      <c r="CW95" s="27"/>
      <c r="CX95" s="27"/>
      <c r="CY95" s="27"/>
      <c r="CZ95" s="27"/>
      <c r="DA95" s="27"/>
      <c r="DB95" s="27"/>
      <c r="DC95" s="27"/>
    </row>
    <row r="96" spans="3:107" s="20" customFormat="1" ht="42" customHeight="1" outlineLevel="1" thickBot="1" x14ac:dyDescent="0.35">
      <c r="C96" s="388" t="s">
        <v>93</v>
      </c>
      <c r="D96" s="461" t="s">
        <v>18</v>
      </c>
      <c r="E96" s="461" t="str">
        <f t="shared" ref="E96:E97" si="613">IF(U96&gt;50,"A",IF(U96&gt;15,"M","B"))</f>
        <v>B</v>
      </c>
      <c r="F96" s="461" t="s">
        <v>423</v>
      </c>
      <c r="G96" s="461" t="s">
        <v>423</v>
      </c>
      <c r="H96" s="461" t="str">
        <f t="shared" ref="H96:H97" si="614">IF(V96+W96&gt;20,"A",IF(V96+W96&gt;5,"M","B"))</f>
        <v>B</v>
      </c>
      <c r="I96" s="461" t="str">
        <f t="shared" ref="I96:I97" si="615">IF(V96+W96&gt;15,"A",IF(V96+W96&gt;4,"M","B"))</f>
        <v>B</v>
      </c>
      <c r="J96" s="425">
        <f t="shared" si="25"/>
        <v>0</v>
      </c>
      <c r="K96" s="503" t="str">
        <f t="shared" si="27"/>
        <v>Chica 2</v>
      </c>
      <c r="L96" s="537" t="s">
        <v>750</v>
      </c>
      <c r="M96" s="532">
        <f t="shared" ref="M96" si="616">BL96+BM96+BN96+BO96+BP96</f>
        <v>1.6</v>
      </c>
      <c r="N96" s="532">
        <f t="shared" ref="N96" si="617">BQ96</f>
        <v>0.7</v>
      </c>
      <c r="O96" s="538">
        <f t="shared" ref="O96" si="618">SUM(M96,N96)</f>
        <v>2.2999999999999998</v>
      </c>
      <c r="P96" s="58"/>
      <c r="Q96" s="462"/>
      <c r="R96" s="462"/>
      <c r="S96" s="462"/>
      <c r="T96" s="109"/>
      <c r="U96" s="144">
        <v>10</v>
      </c>
      <c r="V96" s="144">
        <v>0</v>
      </c>
      <c r="W96" s="144">
        <v>0</v>
      </c>
      <c r="X96" s="463"/>
      <c r="Y96" s="463" t="str">
        <f t="shared" si="10"/>
        <v>CapturaChica0</v>
      </c>
      <c r="Z96" s="135" t="e">
        <f>VLOOKUP(Y96,[1]Modelo!$G$82:$H$281,2,FALSE)</f>
        <v>#N/A</v>
      </c>
      <c r="AA96" s="463"/>
      <c r="AB96" s="137" t="str">
        <f t="shared" si="11"/>
        <v>Chica 2</v>
      </c>
      <c r="AC96" s="137" t="str">
        <f t="shared" si="12"/>
        <v>Baja</v>
      </c>
      <c r="AD96" s="137" t="str">
        <f t="shared" si="28"/>
        <v>Baja</v>
      </c>
      <c r="AE96" s="137" t="str">
        <f t="shared" si="29"/>
        <v>Baja</v>
      </c>
      <c r="AF96" s="137" t="str">
        <f t="shared" si="30"/>
        <v>Baja</v>
      </c>
      <c r="AG96" s="137" t="str">
        <f t="shared" si="31"/>
        <v>Baja</v>
      </c>
      <c r="AH96" s="137" t="str">
        <f t="shared" si="32"/>
        <v>Baja</v>
      </c>
      <c r="AI96" s="137" t="str">
        <f t="shared" si="33"/>
        <v>Baja</v>
      </c>
      <c r="AJ96" s="137" t="str">
        <f t="shared" si="34"/>
        <v>Baja</v>
      </c>
      <c r="AK96" s="40"/>
      <c r="AL96" s="138">
        <f>IF(AB96=[1]Modelo!$F$7,[1]Modelo!$H$7,IF(AB96=[1]Modelo!$F$8,[1]Modelo!$H$8,IF(AB96=[1]Modelo!$F$9,[1]Modelo!$H$9,IF(AB96=[1]Modelo!$F$10,[1]Modelo!$H$10,IF(AB96=[1]Modelo!$F$11,[1]Modelo!$H$11,IF(AB96=[1]Modelo!$F$12,[1]Modelo!$H$12,IF(AB96=[1]Modelo!$F$13,[1]Modelo!$H$13,IF(AB96=[1]Modelo!$F$14,[1]Modelo!$H$14,IF(AB96=[1]Modelo!$F$15,[1]Modelo!$H$15,IF(AB96=[1]Modelo!$F$16,[1]Modelo!$H$16,IF(AB96=[1]Modelo!$F$17,[1]Modelo!$H$17,IF(AB96=[1]Modelo!$F$18,[1]Modelo!$H$18,IF(AB96=[1]Modelo!$F$19,[1]Modelo!$H$19,IF(AB96=[1]Modelo!$F$20,[1]Modelo!$H$20,IF(AB96=[1]Modelo!$F$21,[1]Modelo!$H$21,IF(AB96=[1]Modelo!$F$22,[1]Modelo!$H$22,0))))))))))))))))</f>
        <v>0.60000000000000009</v>
      </c>
      <c r="AM96" s="138">
        <f>IF(AB96=[1]Modelo!$F$7,[1]Modelo!$I$7,IF(AB96=[1]Modelo!$F$8,[1]Modelo!$I$8,IF(AB96=[1]Modelo!$F$9,[1]Modelo!$I$9,IF(AB96=[1]Modelo!$F$10,[1]Modelo!$I$10,IF(AB96=[1]Modelo!$F$11,[1]Modelo!$I$11,IF(AB96=[1]Modelo!$F$12,[1]Modelo!$I$12,IF(AB96=[1]Modelo!$F$13,[1]Modelo!$I$13,IF(AB96=[1]Modelo!$F$14,[1]Modelo!$I$14,IF(AB96=[1]Modelo!$F$15,[1]Modelo!$I$15,IF(AB96=[1]Modelo!$F$16,[1]Modelo!$I$16,IF(AB96=[1]Modelo!$F$17,[1]Modelo!$I$17,IF(AB96=[1]Modelo!$F$18,[1]Modelo!$I$18,IF(AB96=[1]Modelo!$F$19,[1]Modelo!$I$19,IF(AB96=[1]Modelo!$F$20,[1]Modelo!$I$20,IF(AB96=[1]Modelo!$F$21,[1]Modelo!$I$21,IF(AB96=[1]Modelo!$F$22,[1]Modelo!$I$22,0))))))))))))))))</f>
        <v>0.2</v>
      </c>
      <c r="AN96" s="138">
        <f>IF(AC96=[1]Modelo!$F$23,[1]Modelo!$H$23,IF(AC96=[1]Modelo!$F$24,[1]Modelo!$H$24,IF(AC96=[1]Modelo!$F$25,[1]Modelo!$H$25,0)))</f>
        <v>1</v>
      </c>
      <c r="AO96" s="138">
        <f>IF(AD96=[1]Modelo!$F$26,[1]Modelo!$H$26,IF(AD96=[1]Modelo!$F$27,[1]Modelo!$H$27,IF(AD96=[1]Modelo!$F$28,[1]Modelo!$H$28,0)))</f>
        <v>0.1</v>
      </c>
      <c r="AP96" s="138">
        <f>IF(AE96=[1]Modelo!$F$30,[1]Modelo!$H$30,IF(AE96=[1]Modelo!$F$31,[1]Modelo!$H$31,IF(AE96=[1]Modelo!$F$32,[1]Modelo!$H$32,0)))</f>
        <v>0.8</v>
      </c>
      <c r="AQ96" s="138">
        <f>IF(AF96=[1]Modelo!$F$33,[1]Modelo!$H$33,IF(AF96=[1]Modelo!$F$34,[1]Modelo!$H$34,IF(AF96=[1]Modelo!$F$35,[1]Modelo!$H$35,0)))</f>
        <v>0.3</v>
      </c>
      <c r="AR96" s="138">
        <f>IF(AG96=[1]Modelo!$F$37,[1]Modelo!$H$37,IF(AG96=[1]Modelo!$F$38,[1]Modelo!$H$38,IF(AG96=[1]Modelo!$F$39,[1]Modelo!$H$39,0)))</f>
        <v>0.8</v>
      </c>
      <c r="AS96" s="138">
        <f>IF(AH96=[1]Modelo!$F$40,[1]Modelo!$H$40,IF(AH96=[1]Modelo!$F$41,[1]Modelo!$H$41,IF(AH96=[1]Modelo!$F$42,[1]Modelo!$H$42,0)))</f>
        <v>0.4</v>
      </c>
      <c r="AT96" s="137">
        <f>IF(C96=[1]Modelo!$F$44,[1]Modelo!$H$44,IF(C96=[1]Modelo!$F$45,[1]Modelo!$H$45,IF(C96=[1]Modelo!$F$46,[1]Modelo!$H$46,IF(C96=[1]Modelo!$F$47,[1]Modelo!$H$47,IF(C96=[1]Modelo!$F$48,[1]Modelo!$H$48,IF(C96=[1]Modelo!$F$49,[1]Modelo!$H$49,IF(C96=[1]Modelo!$F$50,[1]Modelo!$H$50,IF(C96=[1]Modelo!$F$51,[1]Modelo!$H$51,IF(C96=[1]Modelo!$F$52,[1]Modelo!$H$52,IF(C96=[1]Modelo!$F$53,[1]Modelo!$H$53,0))))))))))</f>
        <v>2.2000000000000002</v>
      </c>
      <c r="AU96" s="138">
        <f>IF(AI96=[1]Modelo!$F$54,[1]Modelo!$H$54,IF(AI96=[1]Modelo!$F$55,[1]Modelo!$H$55,IF(AI96=[1]Modelo!$F$56,[1]Modelo!$H$56,0)))</f>
        <v>1</v>
      </c>
      <c r="AV96" s="138">
        <f>IF(AJ96=[1]Modelo!$F$58,[1]Modelo!$H$58,IF(AJ96=[1]Modelo!$F$59,[1]Modelo!$H$59,IF(AJ96=[1]Modelo!$F$60,[1]Modelo!$H$60,0)))</f>
        <v>0.9</v>
      </c>
      <c r="AW96" s="40"/>
      <c r="AX96" s="139">
        <f>[1]Modelo!$H$2</f>
        <v>0.05</v>
      </c>
      <c r="AY96" s="140">
        <f>ROUNDUP([1]Modelo!$I$2*[1]Modelo!$H$3*[1]Modelo!$I$75,2)</f>
        <v>0.02</v>
      </c>
      <c r="AZ96" s="141">
        <f>ROUNDUP([1]Modelo!$I$2*[1]Modelo!$H$3*[1]Modelo!$H$4*[1]Modelo!$I$75,3)</f>
        <v>3.0000000000000001E-3</v>
      </c>
      <c r="BA96" s="139">
        <f>[1]Modelo!$H$5</f>
        <v>0.04</v>
      </c>
      <c r="BB96" s="139">
        <f>ROUNDUP(SUM(BC96,BE96,BG96,BI96)*[1]Modelo!$H$6,1)</f>
        <v>0.30000000000000004</v>
      </c>
      <c r="BC96" s="139">
        <f>ROUNDUP((AL96*AN96+0.1)*[1]Modelo!$I$75,1)</f>
        <v>0.7</v>
      </c>
      <c r="BD96" s="139">
        <f>ROUNDUP(AM96*AN96*AO96*[1]Modelo!$I$75,1)</f>
        <v>0.1</v>
      </c>
      <c r="BE96" s="139">
        <f>ROUNDUP(V96*[1]Modelo!$H$29*AP96*[1]Modelo!$I$75*2/3,1)</f>
        <v>0</v>
      </c>
      <c r="BF96" s="139">
        <f>ROUNDUP(V96*[1]Modelo!$H$29*AP96*AQ96*[1]Modelo!$I$75*2/3,1)</f>
        <v>0</v>
      </c>
      <c r="BG96" s="139">
        <f>ROUNDUP(V96*[1]Modelo!$H$29*AP96*[1]Modelo!$I$75/3,1)</f>
        <v>0</v>
      </c>
      <c r="BH96" s="139">
        <f>ROUNDUP(V96*[1]Modelo!$H$29*AP96*AQ96*[1]Modelo!$I$75/3,1)</f>
        <v>0</v>
      </c>
      <c r="BI96" s="139">
        <f>ROUNDUP(W96*[1]Modelo!$H$36*AR96*[1]Modelo!$I$75,1)</f>
        <v>0</v>
      </c>
      <c r="BJ96" s="139">
        <f>ROUNDUP(W96*[1]Modelo!$H$36*AR96*AS96*[1]Modelo!$I$75,1)</f>
        <v>0</v>
      </c>
      <c r="BK96" s="139">
        <f>[1]Modelo!$H$43</f>
        <v>0.04</v>
      </c>
      <c r="BL96" s="139">
        <f>ROUNDUP(SUM(ROUNDUP(AL96*AN96+0.1,1),ROUNDUP(V96*[1]Modelo!$H$29*AP96,1),ROUNDUP(W96*[1]Modelo!$H$36*AR96,1))*AU96*AT96*[1]Modelo!$I$75,1)</f>
        <v>1.6</v>
      </c>
      <c r="BM96" s="139">
        <f t="shared" si="16"/>
        <v>0</v>
      </c>
      <c r="BN96" s="139">
        <f t="shared" si="17"/>
        <v>0</v>
      </c>
      <c r="BO96" s="139">
        <f t="shared" si="18"/>
        <v>0</v>
      </c>
      <c r="BP96" s="139">
        <f t="shared" si="19"/>
        <v>0</v>
      </c>
      <c r="BQ96" s="139">
        <f>ROUNDUP(SUM(ROUNDUP(AL96*AN96+0.1,1),ROUNDUP(V96*[1]Modelo!$H$29*AP96,1),ROUNDUP(W96*[1]Modelo!$H$36*AR96,1))*AT96*AV96*[1]Modelo!$H$57,1)</f>
        <v>0.7</v>
      </c>
      <c r="BR96" s="409">
        <v>0</v>
      </c>
      <c r="BS96" s="139">
        <f>[1]Modelo!$H$61</f>
        <v>0.04</v>
      </c>
      <c r="BT96" s="139">
        <f>ROUNDUP(SUM(ROUNDUP(AL96*AN96+0.1,1),ROUNDUP(V96*[1]Modelo!$H$29*AP96,1),ROUNDUP(W96*[1]Modelo!$H$36*AR96,1))*[1]Modelo!$H$62*[1]Modelo!$I$75,1)</f>
        <v>0.1</v>
      </c>
      <c r="BU96" s="139">
        <f>ROUNDUP(ROUNDUP(SUM(ROUNDUP(AL96*AN96+0.1,1),ROUNDUP(V96*[1]Modelo!$H$29*AP96,1),ROUNDUP(W96*[1]Modelo!$H$36*AR96,1))*[1]Modelo!$H$62,1)*[1]Modelo!$H$63*[1]Modelo!$I$75,1)</f>
        <v>0.1</v>
      </c>
      <c r="BV96" s="139">
        <f>SUM(ROUNDUP(AL96*AN96+0.1,1),ROUNDUP(V96*[1]Modelo!$H$29*AP96,1),ROUNDUP(W96*[1]Modelo!$H$36*AR96,1))*[1]Modelo!$H$64*[1]Modelo!$I$75</f>
        <v>0.13999999999999999</v>
      </c>
      <c r="BW96" s="139">
        <f>ROUNDUP(SUM(ROUNDUP(AL96*AN96+0.1,1),ROUNDUP(V96*[1]Modelo!$H$29*AP96,1),ROUNDUP(W96*[1]Modelo!$H$36*AR96,1))*[1]Modelo!$H$64*[1]Modelo!$H$65*[1]Modelo!$I$75,1)</f>
        <v>0.1</v>
      </c>
      <c r="BX96" s="139">
        <f>[1]Modelo!$H$66</f>
        <v>0.04</v>
      </c>
      <c r="BY96" s="139">
        <f>ROUNDUP(SUM(ROUNDUP(AL96*AN96+0.1,1),ROUNDUP(V96*[1]Modelo!$H$29*AP96,1),ROUNDUP(W96*[1]Modelo!$H$36*AR96,1))*[1]Modelo!$H$69,1)</f>
        <v>0.2</v>
      </c>
      <c r="BZ96" s="139">
        <f>ROUNDUP(ROUNDUP(SUM(ROUNDUP(AL96*AN96+0.1,1),ROUNDUP(V96*[1]Modelo!$H$29*AP96,1),ROUNDUP(W96*[1]Modelo!$H$36*AR96,1))*[1]Modelo!$H$62,1)*[1]Modelo!$H$71,1)</f>
        <v>0.2</v>
      </c>
      <c r="CA96" s="142">
        <f t="shared" si="20"/>
        <v>4.4730000000000008</v>
      </c>
      <c r="CB96" s="27"/>
      <c r="CC96" s="27">
        <f t="shared" si="21"/>
        <v>1.9549999999999998</v>
      </c>
      <c r="CD96" s="109">
        <f t="shared" si="22"/>
        <v>2.2999999999999998</v>
      </c>
      <c r="CE96" s="27">
        <f t="shared" si="23"/>
        <v>3.2199999999999998</v>
      </c>
      <c r="CF96" s="27"/>
      <c r="CG96" s="126">
        <v>0</v>
      </c>
      <c r="CH96" s="27"/>
      <c r="CI96" s="27">
        <f t="shared" si="24"/>
        <v>0</v>
      </c>
      <c r="CJ96" s="27"/>
      <c r="CK96" s="27"/>
      <c r="CL96" s="27"/>
      <c r="CM96" s="27"/>
      <c r="CN96" s="27"/>
      <c r="CO96" s="27"/>
      <c r="CP96" s="27"/>
      <c r="CQ96" s="27"/>
      <c r="CR96" s="27"/>
      <c r="CS96" s="27"/>
      <c r="CT96" s="27"/>
      <c r="CU96" s="27"/>
      <c r="CV96" s="27"/>
      <c r="CW96" s="27"/>
      <c r="CX96" s="27"/>
      <c r="CY96" s="27"/>
      <c r="CZ96" s="27"/>
      <c r="DA96" s="27"/>
      <c r="DB96" s="27"/>
      <c r="DC96" s="27"/>
    </row>
    <row r="97" spans="3:107" s="20" customFormat="1" ht="36" customHeight="1" outlineLevel="1" thickBot="1" x14ac:dyDescent="0.35">
      <c r="C97" s="388" t="s">
        <v>93</v>
      </c>
      <c r="D97" s="461" t="s">
        <v>18</v>
      </c>
      <c r="E97" s="461" t="str">
        <f t="shared" si="613"/>
        <v>B</v>
      </c>
      <c r="F97" s="461" t="s">
        <v>423</v>
      </c>
      <c r="G97" s="461" t="s">
        <v>423</v>
      </c>
      <c r="H97" s="461" t="str">
        <f t="shared" si="614"/>
        <v>B</v>
      </c>
      <c r="I97" s="461" t="str">
        <f t="shared" si="615"/>
        <v>B</v>
      </c>
      <c r="J97" s="425">
        <f t="shared" si="25"/>
        <v>1</v>
      </c>
      <c r="K97" s="503" t="str">
        <f t="shared" si="27"/>
        <v>Chica 1</v>
      </c>
      <c r="L97" s="548" t="s">
        <v>745</v>
      </c>
      <c r="M97" s="532">
        <f>BL97+BM97+BN97+BO97+BP97</f>
        <v>2.7</v>
      </c>
      <c r="N97" s="532">
        <f>BQ97</f>
        <v>1.1000000000000001</v>
      </c>
      <c r="O97" s="538">
        <f>SUM(M97,N97)</f>
        <v>3.8000000000000003</v>
      </c>
      <c r="P97" s="58"/>
      <c r="Q97" s="462"/>
      <c r="R97" s="462"/>
      <c r="S97" s="462"/>
      <c r="T97" s="109"/>
      <c r="U97" s="144">
        <v>5</v>
      </c>
      <c r="V97" s="144">
        <v>1</v>
      </c>
      <c r="W97" s="144">
        <v>0</v>
      </c>
      <c r="X97" s="463"/>
      <c r="Y97" s="463" t="str">
        <f t="shared" si="10"/>
        <v>CapturaChica1</v>
      </c>
      <c r="Z97" s="135">
        <f>VLOOKUP(Y97,[1]Modelo!$G$82:$H$281,2,FALSE)</f>
        <v>41</v>
      </c>
      <c r="AA97" s="463"/>
      <c r="AB97" s="137" t="str">
        <f t="shared" si="11"/>
        <v>Chica 1</v>
      </c>
      <c r="AC97" s="137" t="str">
        <f t="shared" si="12"/>
        <v>Baja</v>
      </c>
      <c r="AD97" s="137" t="str">
        <f t="shared" si="28"/>
        <v>Baja</v>
      </c>
      <c r="AE97" s="137" t="str">
        <f t="shared" si="29"/>
        <v>Baja</v>
      </c>
      <c r="AF97" s="137" t="str">
        <f t="shared" si="30"/>
        <v>Baja</v>
      </c>
      <c r="AG97" s="137" t="str">
        <f t="shared" si="31"/>
        <v>Baja</v>
      </c>
      <c r="AH97" s="137" t="str">
        <f t="shared" si="32"/>
        <v>Baja</v>
      </c>
      <c r="AI97" s="137" t="str">
        <f t="shared" si="33"/>
        <v>Baja</v>
      </c>
      <c r="AJ97" s="137" t="str">
        <f t="shared" si="34"/>
        <v>Baja</v>
      </c>
      <c r="AK97" s="40"/>
      <c r="AL97" s="138">
        <f>IF(AB97=[1]Modelo!$F$7,[1]Modelo!$H$7,IF(AB97=[1]Modelo!$F$8,[1]Modelo!$H$8,IF(AB97=[1]Modelo!$F$9,[1]Modelo!$H$9,IF(AB97=[1]Modelo!$F$10,[1]Modelo!$H$10,IF(AB97=[1]Modelo!$F$11,[1]Modelo!$H$11,IF(AB97=[1]Modelo!$F$12,[1]Modelo!$H$12,IF(AB97=[1]Modelo!$F$13,[1]Modelo!$H$13,IF(AB97=[1]Modelo!$F$14,[1]Modelo!$H$14,IF(AB97=[1]Modelo!$F$15,[1]Modelo!$H$15,IF(AB97=[1]Modelo!$F$16,[1]Modelo!$H$16,IF(AB97=[1]Modelo!$F$17,[1]Modelo!$H$17,IF(AB97=[1]Modelo!$F$18,[1]Modelo!$H$18,IF(AB97=[1]Modelo!$F$19,[1]Modelo!$H$19,IF(AB97=[1]Modelo!$F$20,[1]Modelo!$H$20,IF(AB97=[1]Modelo!$F$21,[1]Modelo!$H$21,IF(AB97=[1]Modelo!$F$22,[1]Modelo!$H$22,0))))))))))))))))</f>
        <v>0.30000000000000004</v>
      </c>
      <c r="AM97" s="138">
        <f>IF(AB97=[1]Modelo!$F$7,[1]Modelo!$I$7,IF(AB97=[1]Modelo!$F$8,[1]Modelo!$I$8,IF(AB97=[1]Modelo!$F$9,[1]Modelo!$I$9,IF(AB97=[1]Modelo!$F$10,[1]Modelo!$I$10,IF(AB97=[1]Modelo!$F$11,[1]Modelo!$I$11,IF(AB97=[1]Modelo!$F$12,[1]Modelo!$I$12,IF(AB97=[1]Modelo!$F$13,[1]Modelo!$I$13,IF(AB97=[1]Modelo!$F$14,[1]Modelo!$I$14,IF(AB97=[1]Modelo!$F$15,[1]Modelo!$I$15,IF(AB97=[1]Modelo!$F$16,[1]Modelo!$I$16,IF(AB97=[1]Modelo!$F$17,[1]Modelo!$I$17,IF(AB97=[1]Modelo!$F$18,[1]Modelo!$I$18,IF(AB97=[1]Modelo!$F$19,[1]Modelo!$I$19,IF(AB97=[1]Modelo!$F$20,[1]Modelo!$I$20,IF(AB97=[1]Modelo!$F$21,[1]Modelo!$I$21,IF(AB97=[1]Modelo!$F$22,[1]Modelo!$I$22,0))))))))))))))))</f>
        <v>0.1</v>
      </c>
      <c r="AN97" s="138">
        <f>IF(AC97=[1]Modelo!$F$23,[1]Modelo!$H$23,IF(AC97=[1]Modelo!$F$24,[1]Modelo!$H$24,IF(AC97=[1]Modelo!$F$25,[1]Modelo!$H$25,0)))</f>
        <v>1</v>
      </c>
      <c r="AO97" s="138">
        <f>IF(AD97=[1]Modelo!$F$26,[1]Modelo!$H$26,IF(AD97=[1]Modelo!$F$27,[1]Modelo!$H$27,IF(AD97=[1]Modelo!$F$28,[1]Modelo!$H$28,0)))</f>
        <v>0.1</v>
      </c>
      <c r="AP97" s="138">
        <f>IF(AE97=[1]Modelo!$F$30,[1]Modelo!$H$30,IF(AE97=[1]Modelo!$F$31,[1]Modelo!$H$31,IF(AE97=[1]Modelo!$F$32,[1]Modelo!$H$32,0)))</f>
        <v>0.8</v>
      </c>
      <c r="AQ97" s="138">
        <f>IF(AF97=[1]Modelo!$F$33,[1]Modelo!$H$33,IF(AF97=[1]Modelo!$F$34,[1]Modelo!$H$34,IF(AF97=[1]Modelo!$F$35,[1]Modelo!$H$35,0)))</f>
        <v>0.3</v>
      </c>
      <c r="AR97" s="138">
        <f>IF(AG97=[1]Modelo!$F$37,[1]Modelo!$H$37,IF(AG97=[1]Modelo!$F$38,[1]Modelo!$H$38,IF(AG97=[1]Modelo!$F$39,[1]Modelo!$H$39,0)))</f>
        <v>0.8</v>
      </c>
      <c r="AS97" s="138">
        <f>IF(AH97=[1]Modelo!$F$40,[1]Modelo!$H$40,IF(AH97=[1]Modelo!$F$41,[1]Modelo!$H$41,IF(AH97=[1]Modelo!$F$42,[1]Modelo!$H$42,0)))</f>
        <v>0.4</v>
      </c>
      <c r="AT97" s="137">
        <f>IF(C97=[1]Modelo!$F$44,[1]Modelo!$H$44,IF(C97=[1]Modelo!$F$45,[1]Modelo!$H$45,IF(C97=[1]Modelo!$F$46,[1]Modelo!$H$46,IF(C97=[1]Modelo!$F$47,[1]Modelo!$H$47,IF(C97=[1]Modelo!$F$48,[1]Modelo!$H$48,IF(C97=[1]Modelo!$F$49,[1]Modelo!$H$49,IF(C97=[1]Modelo!$F$50,[1]Modelo!$H$50,IF(C97=[1]Modelo!$F$51,[1]Modelo!$H$51,IF(C97=[1]Modelo!$F$52,[1]Modelo!$H$52,IF(C97=[1]Modelo!$F$53,[1]Modelo!$H$53,0))))))))))</f>
        <v>2.2000000000000002</v>
      </c>
      <c r="AU97" s="138">
        <f>IF(AI97=[1]Modelo!$F$54,[1]Modelo!$H$54,IF(AI97=[1]Modelo!$F$55,[1]Modelo!$H$55,IF(AI97=[1]Modelo!$F$56,[1]Modelo!$H$56,0)))</f>
        <v>1</v>
      </c>
      <c r="AV97" s="138">
        <f>IF(AJ97=[1]Modelo!$F$58,[1]Modelo!$H$58,IF(AJ97=[1]Modelo!$F$59,[1]Modelo!$H$59,IF(AJ97=[1]Modelo!$F$60,[1]Modelo!$H$60,0)))</f>
        <v>0.9</v>
      </c>
      <c r="AW97" s="40"/>
      <c r="AX97" s="139">
        <f>[1]Modelo!$H$2</f>
        <v>0.05</v>
      </c>
      <c r="AY97" s="140">
        <f>ROUNDUP([1]Modelo!$I$2*[1]Modelo!$H$3*[1]Modelo!$I$75,2)</f>
        <v>0.02</v>
      </c>
      <c r="AZ97" s="141">
        <f>ROUNDUP([1]Modelo!$I$2*[1]Modelo!$H$3*[1]Modelo!$H$4*[1]Modelo!$I$75,3)</f>
        <v>3.0000000000000001E-3</v>
      </c>
      <c r="BA97" s="139">
        <f>[1]Modelo!$H$5</f>
        <v>0.04</v>
      </c>
      <c r="BB97" s="139">
        <f>ROUNDUP(SUM(BC97,BE97,BG97,BI97)*[1]Modelo!$H$6,1)</f>
        <v>0.5</v>
      </c>
      <c r="BC97" s="139">
        <f>ROUNDUP((AL97*AN97+0.1)*[1]Modelo!$I$75,1)</f>
        <v>0.4</v>
      </c>
      <c r="BD97" s="139">
        <f>ROUNDUP(AM97*AN97*AO97*[1]Modelo!$I$75,1)</f>
        <v>0.1</v>
      </c>
      <c r="BE97" s="139">
        <f>ROUNDUP(V97*[1]Modelo!$H$29*AP97*[1]Modelo!$I$75*2/3,1)</f>
        <v>0.6</v>
      </c>
      <c r="BF97" s="139">
        <f>ROUNDUP(V97*[1]Modelo!$H$29*AP97*AQ97*[1]Modelo!$I$75*2/3,1)</f>
        <v>0.2</v>
      </c>
      <c r="BG97" s="139">
        <f>ROUNDUP(V97*[1]Modelo!$H$29*AP97*[1]Modelo!$I$75/3,1)</f>
        <v>0.30000000000000004</v>
      </c>
      <c r="BH97" s="139">
        <f>ROUNDUP(V97*[1]Modelo!$H$29*AP97*AQ97*[1]Modelo!$I$75/3,1)</f>
        <v>0.1</v>
      </c>
      <c r="BI97" s="139">
        <f>ROUNDUP(W97*[1]Modelo!$H$36*AR97*[1]Modelo!$I$75,1)</f>
        <v>0</v>
      </c>
      <c r="BJ97" s="139">
        <f>ROUNDUP(W97*[1]Modelo!$H$36*AR97*AS97*[1]Modelo!$I$75,1)</f>
        <v>0</v>
      </c>
      <c r="BK97" s="139">
        <f>[1]Modelo!$H$43</f>
        <v>0.04</v>
      </c>
      <c r="BL97" s="139">
        <f>ROUNDUP(SUM(ROUNDUP(AL97*AN97+0.1,1),ROUNDUP(V97*[1]Modelo!$H$29*AP97,1),ROUNDUP(W97*[1]Modelo!$H$36*AR97,1))*AU97*AT97*[1]Modelo!$I$75,1)</f>
        <v>2.7</v>
      </c>
      <c r="BM97" s="139">
        <f t="shared" si="16"/>
        <v>0</v>
      </c>
      <c r="BN97" s="139">
        <f t="shared" si="17"/>
        <v>0</v>
      </c>
      <c r="BO97" s="139">
        <f t="shared" si="18"/>
        <v>0</v>
      </c>
      <c r="BP97" s="139">
        <f t="shared" si="19"/>
        <v>0</v>
      </c>
      <c r="BQ97" s="139">
        <f>ROUNDUP(SUM(ROUNDUP(AL97*AN97+0.1,1),ROUNDUP(V97*[1]Modelo!$H$29*AP97,1),ROUNDUP(W97*[1]Modelo!$H$36*AR97,1))*AT97*AV97*[1]Modelo!$H$57,1)</f>
        <v>1.1000000000000001</v>
      </c>
      <c r="BR97" s="409">
        <v>0</v>
      </c>
      <c r="BS97" s="139">
        <f>[1]Modelo!$H$61</f>
        <v>0.04</v>
      </c>
      <c r="BT97" s="139">
        <f>ROUNDUP(SUM(ROUNDUP(AL97*AN97+0.1,1),ROUNDUP(V97*[1]Modelo!$H$29*AP97,1),ROUNDUP(W97*[1]Modelo!$H$36*AR97,1))*[1]Modelo!$H$62*[1]Modelo!$I$75,1)</f>
        <v>0.1</v>
      </c>
      <c r="BU97" s="139">
        <f>ROUNDUP(ROUNDUP(SUM(ROUNDUP(AL97*AN97+0.1,1),ROUNDUP(V97*[1]Modelo!$H$29*AP97,1),ROUNDUP(W97*[1]Modelo!$H$36*AR97,1))*[1]Modelo!$H$62,1)*[1]Modelo!$H$63*[1]Modelo!$I$75,1)</f>
        <v>0.1</v>
      </c>
      <c r="BV97" s="139">
        <f>SUM(ROUNDUP(AL97*AN97+0.1,1),ROUNDUP(V97*[1]Modelo!$H$29*AP97,1),ROUNDUP(W97*[1]Modelo!$H$36*AR97,1))*[1]Modelo!$H$64*[1]Modelo!$I$75</f>
        <v>0.24000000000000005</v>
      </c>
      <c r="BW97" s="139">
        <f>ROUNDUP(SUM(ROUNDUP(AL97*AN97+0.1,1),ROUNDUP(V97*[1]Modelo!$H$29*AP97,1),ROUNDUP(W97*[1]Modelo!$H$36*AR97,1))*[1]Modelo!$H$64*[1]Modelo!$H$65*[1]Modelo!$I$75,1)</f>
        <v>0.2</v>
      </c>
      <c r="BX97" s="139">
        <f>[1]Modelo!$H$66</f>
        <v>0.04</v>
      </c>
      <c r="BY97" s="139">
        <f>ROUNDUP(SUM(ROUNDUP(AL97*AN97+0.1,1),ROUNDUP(V97*[1]Modelo!$H$29*AP97,1),ROUNDUP(W97*[1]Modelo!$H$36*AR97,1))*[1]Modelo!$H$69,1)</f>
        <v>0.30000000000000004</v>
      </c>
      <c r="BZ97" s="139">
        <f>ROUNDUP(ROUNDUP(SUM(ROUNDUP(AL97*AN97+0.1,1),ROUNDUP(V97*[1]Modelo!$H$29*AP97,1),ROUNDUP(W97*[1]Modelo!$H$36*AR97,1))*[1]Modelo!$H$62,1)*[1]Modelo!$H$71,1)</f>
        <v>0.2</v>
      </c>
      <c r="CA97" s="142">
        <f t="shared" si="20"/>
        <v>7.3730000000000002</v>
      </c>
      <c r="CB97" s="27"/>
      <c r="CC97" s="27">
        <f t="shared" si="21"/>
        <v>3.23</v>
      </c>
      <c r="CD97" s="109">
        <f t="shared" si="22"/>
        <v>3.8000000000000003</v>
      </c>
      <c r="CE97" s="27">
        <f t="shared" si="23"/>
        <v>5.32</v>
      </c>
      <c r="CF97" s="27"/>
      <c r="CG97" s="126">
        <v>0</v>
      </c>
      <c r="CH97" s="27"/>
      <c r="CI97" s="27">
        <f t="shared" si="24"/>
        <v>0</v>
      </c>
      <c r="CJ97" s="27"/>
      <c r="CK97" s="27"/>
      <c r="CL97" s="27"/>
      <c r="CM97" s="27"/>
      <c r="CN97" s="27"/>
      <c r="CO97" s="27"/>
      <c r="CP97" s="27"/>
      <c r="CQ97" s="27"/>
      <c r="CR97" s="27"/>
      <c r="CS97" s="27"/>
      <c r="CT97" s="27"/>
      <c r="CU97" s="27"/>
      <c r="CV97" s="27"/>
      <c r="CW97" s="27"/>
      <c r="CX97" s="27"/>
      <c r="CY97" s="27"/>
      <c r="CZ97" s="27"/>
      <c r="DA97" s="27"/>
      <c r="DB97" s="27"/>
      <c r="DC97" s="27"/>
    </row>
    <row r="98" spans="3:107" s="20" customFormat="1" ht="36" customHeight="1" outlineLevel="1" thickBot="1" x14ac:dyDescent="0.35">
      <c r="C98" s="388" t="s">
        <v>93</v>
      </c>
      <c r="D98" s="461" t="s">
        <v>18</v>
      </c>
      <c r="E98" s="461" t="str">
        <f t="shared" ref="E98" si="619">IF(U98&gt;50,"A",IF(U98&gt;15,"M","B"))</f>
        <v>B</v>
      </c>
      <c r="F98" s="461" t="s">
        <v>423</v>
      </c>
      <c r="G98" s="461" t="s">
        <v>423</v>
      </c>
      <c r="H98" s="461" t="str">
        <f t="shared" ref="H98" si="620">IF(V98+W98&gt;20,"A",IF(V98+W98&gt;5,"M","B"))</f>
        <v>B</v>
      </c>
      <c r="I98" s="461" t="str">
        <f t="shared" ref="I98" si="621">IF(V98+W98&gt;15,"A",IF(V98+W98&gt;4,"M","B"))</f>
        <v>B</v>
      </c>
      <c r="J98" s="425">
        <f t="shared" ref="J98" si="622">V98+W98</f>
        <v>0</v>
      </c>
      <c r="K98" s="503" t="str">
        <f t="shared" ref="K98" si="623">AB98</f>
        <v>Chica 1</v>
      </c>
      <c r="L98" s="548" t="s">
        <v>746</v>
      </c>
      <c r="M98" s="532">
        <f>BL98+BM98+BN98+BO98+BP98</f>
        <v>0.9</v>
      </c>
      <c r="N98" s="532">
        <f>BQ98</f>
        <v>0.4</v>
      </c>
      <c r="O98" s="538">
        <f>SUM(M98,N98)</f>
        <v>1.3</v>
      </c>
      <c r="P98" s="58"/>
      <c r="Q98" s="462"/>
      <c r="R98" s="462"/>
      <c r="S98" s="462"/>
      <c r="T98" s="109"/>
      <c r="U98" s="144">
        <v>0</v>
      </c>
      <c r="V98" s="144">
        <v>0</v>
      </c>
      <c r="W98" s="144">
        <v>0</v>
      </c>
      <c r="X98" s="463"/>
      <c r="Y98" s="463" t="str">
        <f t="shared" ref="Y98" si="624">CONCATENATE(C98,LEFT(K98,5),J98)</f>
        <v>CapturaChica0</v>
      </c>
      <c r="Z98" s="135" t="e">
        <f>VLOOKUP(Y98,[1]Modelo!$G$82:$H$281,2,FALSE)</f>
        <v>#N/A</v>
      </c>
      <c r="AA98" s="463"/>
      <c r="AB98" s="137" t="str">
        <f t="shared" ref="AB98" si="625">IF(AND(U98&gt;=0,U98&lt;=6),"Chica 1",IF(AND(U98&gt;=7,U98&lt;=12),"Chica 2",IF(AND(U98&gt;=13,U98&lt;=18),"Chica 3",IF(AND(U98&gt;=19,U98&lt;=24),"Chica 4",IF(AND(U98&gt;=25,U98&lt;=30),"Mediana 1",IF(AND(U98&gt;=31,U98&lt;=36),"Mediana 2",IF(AND(U98&gt;=37,U98&lt;=42),"Mediana 3",IF(AND(U98&gt;=43,U98&lt;=48),"Mediana 4",IF(AND(U98&gt;=49,U98&lt;=54),"Grande 1",IF(AND(U98&gt;=55,U98&lt;=60),"Grande 2",IF(AND(U98&gt;=61,U98&lt;=66),"Grande 3",IF(AND(U98&gt;=67,U98&lt;=72),"Grande 4",IF(AND(U98&gt;=73,U98&lt;=78),"M. grande 1",IF(AND(U98&gt;=79,U98&lt;=84),"M. grande 2",IF(AND(U98&gt;=85,U98&lt;=90),"M. grande 3",IF(AND(U98&gt;=91,U98&lt;=96),"M. grande 4","NO DEF"))))))))))))))))</f>
        <v>Chica 1</v>
      </c>
      <c r="AC98" s="137" t="str">
        <f t="shared" ref="AC98" si="626">IF(E98="A","Alta",IF(E98="M","Media","Baja"))</f>
        <v>Baja</v>
      </c>
      <c r="AD98" s="137" t="str">
        <f t="shared" ref="AD98" si="627">IF(E98="A","Alta",IF(E98="M","Media","Baja"))</f>
        <v>Baja</v>
      </c>
      <c r="AE98" s="137" t="str">
        <f t="shared" ref="AE98" si="628">IF(F98="A","Alta",IF(F98="M","Media","Baja"))</f>
        <v>Baja</v>
      </c>
      <c r="AF98" s="137" t="str">
        <f t="shared" ref="AF98" si="629">IF(F98="A","Alta",IF(F98="M","Media","Baja"))</f>
        <v>Baja</v>
      </c>
      <c r="AG98" s="137" t="str">
        <f t="shared" ref="AG98" si="630">IF(G98="A","Alta",IF(G98="M","Media","Baja"))</f>
        <v>Baja</v>
      </c>
      <c r="AH98" s="137" t="str">
        <f t="shared" ref="AH98" si="631">IF(G98="A","Alta",IF(G98="M","Media","Baja"))</f>
        <v>Baja</v>
      </c>
      <c r="AI98" s="137" t="str">
        <f t="shared" ref="AI98" si="632">IF(H98="A","Alta",IF(H98="M","Media","Baja"))</f>
        <v>Baja</v>
      </c>
      <c r="AJ98" s="137" t="str">
        <f t="shared" ref="AJ98" si="633">IF(I98="A","Alta",IF(I98="M","Media","Baja"))</f>
        <v>Baja</v>
      </c>
      <c r="AK98" s="40"/>
      <c r="AL98" s="138">
        <f>IF(AB98=[1]Modelo!$F$7,[1]Modelo!$H$7,IF(AB98=[1]Modelo!$F$8,[1]Modelo!$H$8,IF(AB98=[1]Modelo!$F$9,[1]Modelo!$H$9,IF(AB98=[1]Modelo!$F$10,[1]Modelo!$H$10,IF(AB98=[1]Modelo!$F$11,[1]Modelo!$H$11,IF(AB98=[1]Modelo!$F$12,[1]Modelo!$H$12,IF(AB98=[1]Modelo!$F$13,[1]Modelo!$H$13,IF(AB98=[1]Modelo!$F$14,[1]Modelo!$H$14,IF(AB98=[1]Modelo!$F$15,[1]Modelo!$H$15,IF(AB98=[1]Modelo!$F$16,[1]Modelo!$H$16,IF(AB98=[1]Modelo!$F$17,[1]Modelo!$H$17,IF(AB98=[1]Modelo!$F$18,[1]Modelo!$H$18,IF(AB98=[1]Modelo!$F$19,[1]Modelo!$H$19,IF(AB98=[1]Modelo!$F$20,[1]Modelo!$H$20,IF(AB98=[1]Modelo!$F$21,[1]Modelo!$H$21,IF(AB98=[1]Modelo!$F$22,[1]Modelo!$H$22,0))))))))))))))))</f>
        <v>0.30000000000000004</v>
      </c>
      <c r="AM98" s="138">
        <f>IF(AB98=[1]Modelo!$F$7,[1]Modelo!$I$7,IF(AB98=[1]Modelo!$F$8,[1]Modelo!$I$8,IF(AB98=[1]Modelo!$F$9,[1]Modelo!$I$9,IF(AB98=[1]Modelo!$F$10,[1]Modelo!$I$10,IF(AB98=[1]Modelo!$F$11,[1]Modelo!$I$11,IF(AB98=[1]Modelo!$F$12,[1]Modelo!$I$12,IF(AB98=[1]Modelo!$F$13,[1]Modelo!$I$13,IF(AB98=[1]Modelo!$F$14,[1]Modelo!$I$14,IF(AB98=[1]Modelo!$F$15,[1]Modelo!$I$15,IF(AB98=[1]Modelo!$F$16,[1]Modelo!$I$16,IF(AB98=[1]Modelo!$F$17,[1]Modelo!$I$17,IF(AB98=[1]Modelo!$F$18,[1]Modelo!$I$18,IF(AB98=[1]Modelo!$F$19,[1]Modelo!$I$19,IF(AB98=[1]Modelo!$F$20,[1]Modelo!$I$20,IF(AB98=[1]Modelo!$F$21,[1]Modelo!$I$21,IF(AB98=[1]Modelo!$F$22,[1]Modelo!$I$22,0))))))))))))))))</f>
        <v>0.1</v>
      </c>
      <c r="AN98" s="138">
        <f>IF(AC98=[1]Modelo!$F$23,[1]Modelo!$H$23,IF(AC98=[1]Modelo!$F$24,[1]Modelo!$H$24,IF(AC98=[1]Modelo!$F$25,[1]Modelo!$H$25,0)))</f>
        <v>1</v>
      </c>
      <c r="AO98" s="138">
        <f>IF(AD98=[1]Modelo!$F$26,[1]Modelo!$H$26,IF(AD98=[1]Modelo!$F$27,[1]Modelo!$H$27,IF(AD98=[1]Modelo!$F$28,[1]Modelo!$H$28,0)))</f>
        <v>0.1</v>
      </c>
      <c r="AP98" s="138">
        <f>IF(AE98=[1]Modelo!$F$30,[1]Modelo!$H$30,IF(AE98=[1]Modelo!$F$31,[1]Modelo!$H$31,IF(AE98=[1]Modelo!$F$32,[1]Modelo!$H$32,0)))</f>
        <v>0.8</v>
      </c>
      <c r="AQ98" s="138">
        <f>IF(AF98=[1]Modelo!$F$33,[1]Modelo!$H$33,IF(AF98=[1]Modelo!$F$34,[1]Modelo!$H$34,IF(AF98=[1]Modelo!$F$35,[1]Modelo!$H$35,0)))</f>
        <v>0.3</v>
      </c>
      <c r="AR98" s="138">
        <f>IF(AG98=[1]Modelo!$F$37,[1]Modelo!$H$37,IF(AG98=[1]Modelo!$F$38,[1]Modelo!$H$38,IF(AG98=[1]Modelo!$F$39,[1]Modelo!$H$39,0)))</f>
        <v>0.8</v>
      </c>
      <c r="AS98" s="138">
        <f>IF(AH98=[1]Modelo!$F$40,[1]Modelo!$H$40,IF(AH98=[1]Modelo!$F$41,[1]Modelo!$H$41,IF(AH98=[1]Modelo!$F$42,[1]Modelo!$H$42,0)))</f>
        <v>0.4</v>
      </c>
      <c r="AT98" s="137">
        <f>IF(C98=[1]Modelo!$F$44,[1]Modelo!$H$44,IF(C98=[1]Modelo!$F$45,[1]Modelo!$H$45,IF(C98=[1]Modelo!$F$46,[1]Modelo!$H$46,IF(C98=[1]Modelo!$F$47,[1]Modelo!$H$47,IF(C98=[1]Modelo!$F$48,[1]Modelo!$H$48,IF(C98=[1]Modelo!$F$49,[1]Modelo!$H$49,IF(C98=[1]Modelo!$F$50,[1]Modelo!$H$50,IF(C98=[1]Modelo!$F$51,[1]Modelo!$H$51,IF(C98=[1]Modelo!$F$52,[1]Modelo!$H$52,IF(C98=[1]Modelo!$F$53,[1]Modelo!$H$53,0))))))))))</f>
        <v>2.2000000000000002</v>
      </c>
      <c r="AU98" s="138">
        <f>IF(AI98=[1]Modelo!$F$54,[1]Modelo!$H$54,IF(AI98=[1]Modelo!$F$55,[1]Modelo!$H$55,IF(AI98=[1]Modelo!$F$56,[1]Modelo!$H$56,0)))</f>
        <v>1</v>
      </c>
      <c r="AV98" s="138">
        <f>IF(AJ98=[1]Modelo!$F$58,[1]Modelo!$H$58,IF(AJ98=[1]Modelo!$F$59,[1]Modelo!$H$59,IF(AJ98=[1]Modelo!$F$60,[1]Modelo!$H$60,0)))</f>
        <v>0.9</v>
      </c>
      <c r="AW98" s="40"/>
      <c r="AX98" s="139">
        <f>[1]Modelo!$H$2</f>
        <v>0.05</v>
      </c>
      <c r="AY98" s="140">
        <f>ROUNDUP([1]Modelo!$I$2*[1]Modelo!$H$3*[1]Modelo!$I$75,2)</f>
        <v>0.02</v>
      </c>
      <c r="AZ98" s="141">
        <f>ROUNDUP([1]Modelo!$I$2*[1]Modelo!$H$3*[1]Modelo!$H$4*[1]Modelo!$I$75,3)</f>
        <v>3.0000000000000001E-3</v>
      </c>
      <c r="BA98" s="139">
        <f>[1]Modelo!$H$5</f>
        <v>0.04</v>
      </c>
      <c r="BB98" s="139">
        <f>ROUNDUP(SUM(BC98,BE98,BG98,BI98)*[1]Modelo!$H$6,1)</f>
        <v>0.2</v>
      </c>
      <c r="BC98" s="139">
        <f>ROUNDUP((AL98*AN98+0.1)*[1]Modelo!$I$75,1)</f>
        <v>0.4</v>
      </c>
      <c r="BD98" s="139">
        <f>ROUNDUP(AM98*AN98*AO98*[1]Modelo!$I$75,1)</f>
        <v>0.1</v>
      </c>
      <c r="BE98" s="139">
        <f>ROUNDUP(V98*[1]Modelo!$H$29*AP98*[1]Modelo!$I$75*2/3,1)</f>
        <v>0</v>
      </c>
      <c r="BF98" s="139">
        <f>ROUNDUP(V98*[1]Modelo!$H$29*AP98*AQ98*[1]Modelo!$I$75*2/3,1)</f>
        <v>0</v>
      </c>
      <c r="BG98" s="139">
        <f>ROUNDUP(V98*[1]Modelo!$H$29*AP98*[1]Modelo!$I$75/3,1)</f>
        <v>0</v>
      </c>
      <c r="BH98" s="139">
        <f>ROUNDUP(V98*[1]Modelo!$H$29*AP98*AQ98*[1]Modelo!$I$75/3,1)</f>
        <v>0</v>
      </c>
      <c r="BI98" s="139">
        <f>ROUNDUP(W98*[1]Modelo!$H$36*AR98*[1]Modelo!$I$75,1)</f>
        <v>0</v>
      </c>
      <c r="BJ98" s="139">
        <f>ROUNDUP(W98*[1]Modelo!$H$36*AR98*AS98*[1]Modelo!$I$75,1)</f>
        <v>0</v>
      </c>
      <c r="BK98" s="139">
        <f>[1]Modelo!$H$43</f>
        <v>0.04</v>
      </c>
      <c r="BL98" s="139">
        <f>ROUNDUP(SUM(ROUNDUP(AL98*AN98+0.1,1),ROUNDUP(V98*[1]Modelo!$H$29*AP98,1),ROUNDUP(W98*[1]Modelo!$H$36*AR98,1))*AU98*AT98*[1]Modelo!$I$75,1)</f>
        <v>0.9</v>
      </c>
      <c r="BM98" s="139">
        <f t="shared" ref="BM98" si="634">IF(K$32="x",0, BL98*0.1*1.25)</f>
        <v>0</v>
      </c>
      <c r="BN98" s="139">
        <f t="shared" ref="BN98" si="635">IF(Q98="x",(BL98)*0.1,0)</f>
        <v>0</v>
      </c>
      <c r="BO98" s="139">
        <f t="shared" ref="BO98" si="636">IF(R98="x",(BL98)*0.12,0)</f>
        <v>0</v>
      </c>
      <c r="BP98" s="139">
        <f t="shared" ref="BP98" si="637">IF(S98="x",(BL98)*0.12,0)*4</f>
        <v>0</v>
      </c>
      <c r="BQ98" s="139">
        <f>ROUNDUP(SUM(ROUNDUP(AL98*AN98+0.1,1),ROUNDUP(V98*[1]Modelo!$H$29*AP98,1),ROUNDUP(W98*[1]Modelo!$H$36*AR98,1))*AT98*AV98*[1]Modelo!$H$57,1)</f>
        <v>0.4</v>
      </c>
      <c r="BR98" s="409">
        <v>0</v>
      </c>
      <c r="BS98" s="139">
        <f>[1]Modelo!$H$61</f>
        <v>0.04</v>
      </c>
      <c r="BT98" s="139">
        <f>ROUNDUP(SUM(ROUNDUP(AL98*AN98+0.1,1),ROUNDUP(V98*[1]Modelo!$H$29*AP98,1),ROUNDUP(W98*[1]Modelo!$H$36*AR98,1))*[1]Modelo!$H$62*[1]Modelo!$I$75,1)</f>
        <v>0.1</v>
      </c>
      <c r="BU98" s="139">
        <f>ROUNDUP(ROUNDUP(SUM(ROUNDUP(AL98*AN98+0.1,1),ROUNDUP(V98*[1]Modelo!$H$29*AP98,1),ROUNDUP(W98*[1]Modelo!$H$36*AR98,1))*[1]Modelo!$H$62,1)*[1]Modelo!$H$63*[1]Modelo!$I$75,1)</f>
        <v>0.1</v>
      </c>
      <c r="BV98" s="139">
        <f>SUM(ROUNDUP(AL98*AN98+0.1,1),ROUNDUP(V98*[1]Modelo!$H$29*AP98,1),ROUNDUP(W98*[1]Modelo!$H$36*AR98,1))*[1]Modelo!$H$64*[1]Modelo!$I$75</f>
        <v>8.0000000000000016E-2</v>
      </c>
      <c r="BW98" s="139">
        <f>ROUNDUP(SUM(ROUNDUP(AL98*AN98+0.1,1),ROUNDUP(V98*[1]Modelo!$H$29*AP98,1),ROUNDUP(W98*[1]Modelo!$H$36*AR98,1))*[1]Modelo!$H$64*[1]Modelo!$H$65*[1]Modelo!$I$75,1)</f>
        <v>0.1</v>
      </c>
      <c r="BX98" s="139">
        <f>[1]Modelo!$H$66</f>
        <v>0.04</v>
      </c>
      <c r="BY98" s="139">
        <f>ROUNDUP(SUM(ROUNDUP(AL98*AN98+0.1,1),ROUNDUP(V98*[1]Modelo!$H$29*AP98,1),ROUNDUP(W98*[1]Modelo!$H$36*AR98,1))*[1]Modelo!$H$69,1)</f>
        <v>0.1</v>
      </c>
      <c r="BZ98" s="139">
        <f>ROUNDUP(ROUNDUP(SUM(ROUNDUP(AL98*AN98+0.1,1),ROUNDUP(V98*[1]Modelo!$H$29*AP98,1),ROUNDUP(W98*[1]Modelo!$H$36*AR98,1))*[1]Modelo!$H$62,1)*[1]Modelo!$H$71,1)</f>
        <v>0.2</v>
      </c>
      <c r="CA98" s="142">
        <f t="shared" ref="CA98" si="638">SUM(AX98:BZ98)</f>
        <v>2.9130000000000007</v>
      </c>
      <c r="CB98" s="27"/>
      <c r="CC98" s="27">
        <f t="shared" ref="CC98" si="639">CD98*0.85</f>
        <v>1.105</v>
      </c>
      <c r="CD98" s="109">
        <f t="shared" ref="CD98" si="640">O98</f>
        <v>1.3</v>
      </c>
      <c r="CE98" s="27">
        <f t="shared" ref="CE98" si="641">IF(CD98=0,1,CD98*1.4)</f>
        <v>1.8199999999999998</v>
      </c>
      <c r="CF98" s="27"/>
      <c r="CG98" s="126">
        <v>0</v>
      </c>
      <c r="CH98" s="27"/>
      <c r="CI98" s="27">
        <f t="shared" ref="CI98" si="642">IF(CF98&lt;&gt;"",CF98,CG98)</f>
        <v>0</v>
      </c>
      <c r="CJ98" s="27"/>
      <c r="CK98" s="27"/>
      <c r="CL98" s="27"/>
      <c r="CM98" s="27"/>
      <c r="CN98" s="27"/>
      <c r="CO98" s="27"/>
      <c r="CP98" s="27"/>
      <c r="CQ98" s="27"/>
      <c r="CR98" s="27"/>
      <c r="CS98" s="27"/>
      <c r="CT98" s="27"/>
      <c r="CU98" s="27"/>
      <c r="CV98" s="27"/>
      <c r="CW98" s="27"/>
      <c r="CX98" s="27"/>
      <c r="CY98" s="27"/>
      <c r="CZ98" s="27"/>
      <c r="DA98" s="27"/>
      <c r="DB98" s="27"/>
      <c r="DC98" s="27"/>
    </row>
    <row r="99" spans="3:107" s="20" customFormat="1" ht="51.75" customHeight="1" outlineLevel="1" thickBot="1" x14ac:dyDescent="0.35">
      <c r="C99" s="388" t="s">
        <v>93</v>
      </c>
      <c r="D99" s="461" t="s">
        <v>18</v>
      </c>
      <c r="E99" s="461" t="str">
        <f t="shared" ref="E99" si="643">IF(U99&gt;50,"A",IF(U99&gt;15,"M","B"))</f>
        <v>B</v>
      </c>
      <c r="F99" s="461" t="s">
        <v>423</v>
      </c>
      <c r="G99" s="461" t="s">
        <v>423</v>
      </c>
      <c r="H99" s="461" t="str">
        <f t="shared" ref="H99" si="644">IF(V99+W99&gt;20,"A",IF(V99+W99&gt;5,"M","B"))</f>
        <v>B</v>
      </c>
      <c r="I99" s="461" t="str">
        <f t="shared" ref="I99" si="645">IF(V99+W99&gt;15,"A",IF(V99+W99&gt;4,"M","B"))</f>
        <v>B</v>
      </c>
      <c r="J99" s="425">
        <f t="shared" ref="J99" si="646">V99+W99</f>
        <v>1</v>
      </c>
      <c r="K99" s="503" t="str">
        <f t="shared" ref="K99" si="647">AB99</f>
        <v>Chica 2</v>
      </c>
      <c r="L99" s="537" t="s">
        <v>790</v>
      </c>
      <c r="M99" s="532">
        <f t="shared" ref="M99" si="648">BL99+BM99+BN99+BO99+BP99</f>
        <v>3.3</v>
      </c>
      <c r="N99" s="532">
        <f t="shared" ref="N99" si="649">BQ99</f>
        <v>1.4000000000000001</v>
      </c>
      <c r="O99" s="538">
        <f t="shared" ref="O99" si="650">SUM(M99,N99)</f>
        <v>4.7</v>
      </c>
      <c r="P99" s="58"/>
      <c r="Q99" s="462"/>
      <c r="R99" s="462"/>
      <c r="S99" s="462"/>
      <c r="T99" s="109"/>
      <c r="U99" s="144">
        <v>10</v>
      </c>
      <c r="V99" s="144">
        <v>1</v>
      </c>
      <c r="W99" s="144">
        <v>0</v>
      </c>
      <c r="X99" s="463"/>
      <c r="Y99" s="463" t="str">
        <f t="shared" ref="Y99" si="651">CONCATENATE(C99,LEFT(K99,5),J99)</f>
        <v>CapturaChica1</v>
      </c>
      <c r="Z99" s="135">
        <f>VLOOKUP(Y99,[1]Modelo!$G$82:$H$281,2,FALSE)</f>
        <v>41</v>
      </c>
      <c r="AA99" s="463"/>
      <c r="AB99" s="137" t="str">
        <f t="shared" ref="AB99" si="652">IF(AND(U99&gt;=0,U99&lt;=6),"Chica 1",IF(AND(U99&gt;=7,U99&lt;=12),"Chica 2",IF(AND(U99&gt;=13,U99&lt;=18),"Chica 3",IF(AND(U99&gt;=19,U99&lt;=24),"Chica 4",IF(AND(U99&gt;=25,U99&lt;=30),"Mediana 1",IF(AND(U99&gt;=31,U99&lt;=36),"Mediana 2",IF(AND(U99&gt;=37,U99&lt;=42),"Mediana 3",IF(AND(U99&gt;=43,U99&lt;=48),"Mediana 4",IF(AND(U99&gt;=49,U99&lt;=54),"Grande 1",IF(AND(U99&gt;=55,U99&lt;=60),"Grande 2",IF(AND(U99&gt;=61,U99&lt;=66),"Grande 3",IF(AND(U99&gt;=67,U99&lt;=72),"Grande 4",IF(AND(U99&gt;=73,U99&lt;=78),"M. grande 1",IF(AND(U99&gt;=79,U99&lt;=84),"M. grande 2",IF(AND(U99&gt;=85,U99&lt;=90),"M. grande 3",IF(AND(U99&gt;=91,U99&lt;=96),"M. grande 4","NO DEF"))))))))))))))))</f>
        <v>Chica 2</v>
      </c>
      <c r="AC99" s="137" t="str">
        <f t="shared" ref="AC99" si="653">IF(E99="A","Alta",IF(E99="M","Media","Baja"))</f>
        <v>Baja</v>
      </c>
      <c r="AD99" s="137" t="str">
        <f t="shared" ref="AD99" si="654">IF(E99="A","Alta",IF(E99="M","Media","Baja"))</f>
        <v>Baja</v>
      </c>
      <c r="AE99" s="137" t="str">
        <f t="shared" ref="AE99" si="655">IF(F99="A","Alta",IF(F99="M","Media","Baja"))</f>
        <v>Baja</v>
      </c>
      <c r="AF99" s="137" t="str">
        <f t="shared" ref="AF99" si="656">IF(F99="A","Alta",IF(F99="M","Media","Baja"))</f>
        <v>Baja</v>
      </c>
      <c r="AG99" s="137" t="str">
        <f t="shared" ref="AG99" si="657">IF(G99="A","Alta",IF(G99="M","Media","Baja"))</f>
        <v>Baja</v>
      </c>
      <c r="AH99" s="137" t="str">
        <f t="shared" ref="AH99" si="658">IF(G99="A","Alta",IF(G99="M","Media","Baja"))</f>
        <v>Baja</v>
      </c>
      <c r="AI99" s="137" t="str">
        <f t="shared" ref="AI99" si="659">IF(H99="A","Alta",IF(H99="M","Media","Baja"))</f>
        <v>Baja</v>
      </c>
      <c r="AJ99" s="137" t="str">
        <f t="shared" ref="AJ99" si="660">IF(I99="A","Alta",IF(I99="M","Media","Baja"))</f>
        <v>Baja</v>
      </c>
      <c r="AK99" s="40"/>
      <c r="AL99" s="138">
        <f>IF(AB99=[1]Modelo!$F$7,[1]Modelo!$H$7,IF(AB99=[1]Modelo!$F$8,[1]Modelo!$H$8,IF(AB99=[1]Modelo!$F$9,[1]Modelo!$H$9,IF(AB99=[1]Modelo!$F$10,[1]Modelo!$H$10,IF(AB99=[1]Modelo!$F$11,[1]Modelo!$H$11,IF(AB99=[1]Modelo!$F$12,[1]Modelo!$H$12,IF(AB99=[1]Modelo!$F$13,[1]Modelo!$H$13,IF(AB99=[1]Modelo!$F$14,[1]Modelo!$H$14,IF(AB99=[1]Modelo!$F$15,[1]Modelo!$H$15,IF(AB99=[1]Modelo!$F$16,[1]Modelo!$H$16,IF(AB99=[1]Modelo!$F$17,[1]Modelo!$H$17,IF(AB99=[1]Modelo!$F$18,[1]Modelo!$H$18,IF(AB99=[1]Modelo!$F$19,[1]Modelo!$H$19,IF(AB99=[1]Modelo!$F$20,[1]Modelo!$H$20,IF(AB99=[1]Modelo!$F$21,[1]Modelo!$H$21,IF(AB99=[1]Modelo!$F$22,[1]Modelo!$H$22,0))))))))))))))))</f>
        <v>0.60000000000000009</v>
      </c>
      <c r="AM99" s="138">
        <f>IF(AB99=[1]Modelo!$F$7,[1]Modelo!$I$7,IF(AB99=[1]Modelo!$F$8,[1]Modelo!$I$8,IF(AB99=[1]Modelo!$F$9,[1]Modelo!$I$9,IF(AB99=[1]Modelo!$F$10,[1]Modelo!$I$10,IF(AB99=[1]Modelo!$F$11,[1]Modelo!$I$11,IF(AB99=[1]Modelo!$F$12,[1]Modelo!$I$12,IF(AB99=[1]Modelo!$F$13,[1]Modelo!$I$13,IF(AB99=[1]Modelo!$F$14,[1]Modelo!$I$14,IF(AB99=[1]Modelo!$F$15,[1]Modelo!$I$15,IF(AB99=[1]Modelo!$F$16,[1]Modelo!$I$16,IF(AB99=[1]Modelo!$F$17,[1]Modelo!$I$17,IF(AB99=[1]Modelo!$F$18,[1]Modelo!$I$18,IF(AB99=[1]Modelo!$F$19,[1]Modelo!$I$19,IF(AB99=[1]Modelo!$F$20,[1]Modelo!$I$20,IF(AB99=[1]Modelo!$F$21,[1]Modelo!$I$21,IF(AB99=[1]Modelo!$F$22,[1]Modelo!$I$22,0))))))))))))))))</f>
        <v>0.2</v>
      </c>
      <c r="AN99" s="138">
        <f>IF(AC99=[1]Modelo!$F$23,[1]Modelo!$H$23,IF(AC99=[1]Modelo!$F$24,[1]Modelo!$H$24,IF(AC99=[1]Modelo!$F$25,[1]Modelo!$H$25,0)))</f>
        <v>1</v>
      </c>
      <c r="AO99" s="138">
        <f>IF(AD99=[1]Modelo!$F$26,[1]Modelo!$H$26,IF(AD99=[1]Modelo!$F$27,[1]Modelo!$H$27,IF(AD99=[1]Modelo!$F$28,[1]Modelo!$H$28,0)))</f>
        <v>0.1</v>
      </c>
      <c r="AP99" s="138">
        <f>IF(AE99=[1]Modelo!$F$30,[1]Modelo!$H$30,IF(AE99=[1]Modelo!$F$31,[1]Modelo!$H$31,IF(AE99=[1]Modelo!$F$32,[1]Modelo!$H$32,0)))</f>
        <v>0.8</v>
      </c>
      <c r="AQ99" s="138">
        <f>IF(AF99=[1]Modelo!$F$33,[1]Modelo!$H$33,IF(AF99=[1]Modelo!$F$34,[1]Modelo!$H$34,IF(AF99=[1]Modelo!$F$35,[1]Modelo!$H$35,0)))</f>
        <v>0.3</v>
      </c>
      <c r="AR99" s="138">
        <f>IF(AG99=[1]Modelo!$F$37,[1]Modelo!$H$37,IF(AG99=[1]Modelo!$F$38,[1]Modelo!$H$38,IF(AG99=[1]Modelo!$F$39,[1]Modelo!$H$39,0)))</f>
        <v>0.8</v>
      </c>
      <c r="AS99" s="138">
        <f>IF(AH99=[1]Modelo!$F$40,[1]Modelo!$H$40,IF(AH99=[1]Modelo!$F$41,[1]Modelo!$H$41,IF(AH99=[1]Modelo!$F$42,[1]Modelo!$H$42,0)))</f>
        <v>0.4</v>
      </c>
      <c r="AT99" s="137">
        <f>IF(C99=[1]Modelo!$F$44,[1]Modelo!$H$44,IF(C99=[1]Modelo!$F$45,[1]Modelo!$H$45,IF(C99=[1]Modelo!$F$46,[1]Modelo!$H$46,IF(C99=[1]Modelo!$F$47,[1]Modelo!$H$47,IF(C99=[1]Modelo!$F$48,[1]Modelo!$H$48,IF(C99=[1]Modelo!$F$49,[1]Modelo!$H$49,IF(C99=[1]Modelo!$F$50,[1]Modelo!$H$50,IF(C99=[1]Modelo!$F$51,[1]Modelo!$H$51,IF(C99=[1]Modelo!$F$52,[1]Modelo!$H$52,IF(C99=[1]Modelo!$F$53,[1]Modelo!$H$53,0))))))))))</f>
        <v>2.2000000000000002</v>
      </c>
      <c r="AU99" s="138">
        <f>IF(AI99=[1]Modelo!$F$54,[1]Modelo!$H$54,IF(AI99=[1]Modelo!$F$55,[1]Modelo!$H$55,IF(AI99=[1]Modelo!$F$56,[1]Modelo!$H$56,0)))</f>
        <v>1</v>
      </c>
      <c r="AV99" s="138">
        <f>IF(AJ99=[1]Modelo!$F$58,[1]Modelo!$H$58,IF(AJ99=[1]Modelo!$F$59,[1]Modelo!$H$59,IF(AJ99=[1]Modelo!$F$60,[1]Modelo!$H$60,0)))</f>
        <v>0.9</v>
      </c>
      <c r="AW99" s="40"/>
      <c r="AX99" s="139">
        <f>[1]Modelo!$H$2</f>
        <v>0.05</v>
      </c>
      <c r="AY99" s="140">
        <f>ROUNDUP([1]Modelo!$I$2*[1]Modelo!$H$3*[1]Modelo!$I$75,2)</f>
        <v>0.02</v>
      </c>
      <c r="AZ99" s="141">
        <f>ROUNDUP([1]Modelo!$I$2*[1]Modelo!$H$3*[1]Modelo!$H$4*[1]Modelo!$I$75,3)</f>
        <v>3.0000000000000001E-3</v>
      </c>
      <c r="BA99" s="139">
        <f>[1]Modelo!$H$5</f>
        <v>0.04</v>
      </c>
      <c r="BB99" s="139">
        <f>ROUNDUP(SUM(BC99,BE99,BG99,BI99)*[1]Modelo!$H$6,1)</f>
        <v>0.6</v>
      </c>
      <c r="BC99" s="139">
        <f>ROUNDUP((AL99*AN99+0.1)*[1]Modelo!$I$75,1)</f>
        <v>0.7</v>
      </c>
      <c r="BD99" s="139">
        <f>ROUNDUP(AM99*AN99*AO99*[1]Modelo!$I$75,1)</f>
        <v>0.1</v>
      </c>
      <c r="BE99" s="139">
        <f>ROUNDUP(V99*[1]Modelo!$H$29*AP99*[1]Modelo!$I$75*2/3,1)</f>
        <v>0.6</v>
      </c>
      <c r="BF99" s="139">
        <f>ROUNDUP(V99*[1]Modelo!$H$29*AP99*AQ99*[1]Modelo!$I$75*2/3,1)</f>
        <v>0.2</v>
      </c>
      <c r="BG99" s="139">
        <f>ROUNDUP(V99*[1]Modelo!$H$29*AP99*[1]Modelo!$I$75/3,1)</f>
        <v>0.30000000000000004</v>
      </c>
      <c r="BH99" s="139">
        <f>ROUNDUP(V99*[1]Modelo!$H$29*AP99*AQ99*[1]Modelo!$I$75/3,1)</f>
        <v>0.1</v>
      </c>
      <c r="BI99" s="139">
        <f>ROUNDUP(W99*[1]Modelo!$H$36*AR99*[1]Modelo!$I$75,1)</f>
        <v>0</v>
      </c>
      <c r="BJ99" s="139">
        <f>ROUNDUP(W99*[1]Modelo!$H$36*AR99*AS99*[1]Modelo!$I$75,1)</f>
        <v>0</v>
      </c>
      <c r="BK99" s="139">
        <f>[1]Modelo!$H$43</f>
        <v>0.04</v>
      </c>
      <c r="BL99" s="139">
        <f>ROUNDUP(SUM(ROUNDUP(AL99*AN99+0.1,1),ROUNDUP(V99*[1]Modelo!$H$29*AP99,1),ROUNDUP(W99*[1]Modelo!$H$36*AR99,1))*AU99*AT99*[1]Modelo!$I$75,1)</f>
        <v>3.3</v>
      </c>
      <c r="BM99" s="139">
        <f t="shared" ref="BM99" si="661">IF(K$32="x",0, BL99*0.1*1.25)</f>
        <v>0</v>
      </c>
      <c r="BN99" s="139">
        <f t="shared" ref="BN99" si="662">IF(Q99="x",(BL99)*0.1,0)</f>
        <v>0</v>
      </c>
      <c r="BO99" s="139">
        <f t="shared" ref="BO99" si="663">IF(R99="x",(BL99)*0.12,0)</f>
        <v>0</v>
      </c>
      <c r="BP99" s="139">
        <f t="shared" ref="BP99" si="664">IF(S99="x",(BL99)*0.12,0)*4</f>
        <v>0</v>
      </c>
      <c r="BQ99" s="139">
        <f>ROUNDUP(SUM(ROUNDUP(AL99*AN99+0.1,1),ROUNDUP(V99*[1]Modelo!$H$29*AP99,1),ROUNDUP(W99*[1]Modelo!$H$36*AR99,1))*AT99*AV99*[1]Modelo!$H$57,1)</f>
        <v>1.4000000000000001</v>
      </c>
      <c r="BR99" s="409">
        <v>0</v>
      </c>
      <c r="BS99" s="139">
        <f>[1]Modelo!$H$61</f>
        <v>0.04</v>
      </c>
      <c r="BT99" s="139">
        <f>ROUNDUP(SUM(ROUNDUP(AL99*AN99+0.1,1),ROUNDUP(V99*[1]Modelo!$H$29*AP99,1),ROUNDUP(W99*[1]Modelo!$H$36*AR99,1))*[1]Modelo!$H$62*[1]Modelo!$I$75,1)</f>
        <v>0.1</v>
      </c>
      <c r="BU99" s="139">
        <f>ROUNDUP(ROUNDUP(SUM(ROUNDUP(AL99*AN99+0.1,1),ROUNDUP(V99*[1]Modelo!$H$29*AP99,1),ROUNDUP(W99*[1]Modelo!$H$36*AR99,1))*[1]Modelo!$H$62,1)*[1]Modelo!$H$63*[1]Modelo!$I$75,1)</f>
        <v>0.1</v>
      </c>
      <c r="BV99" s="139">
        <f>SUM(ROUNDUP(AL99*AN99+0.1,1),ROUNDUP(V99*[1]Modelo!$H$29*AP99,1),ROUNDUP(W99*[1]Modelo!$H$36*AR99,1))*[1]Modelo!$H$64*[1]Modelo!$I$75</f>
        <v>0.30000000000000004</v>
      </c>
      <c r="BW99" s="139">
        <f>ROUNDUP(SUM(ROUNDUP(AL99*AN99+0.1,1),ROUNDUP(V99*[1]Modelo!$H$29*AP99,1),ROUNDUP(W99*[1]Modelo!$H$36*AR99,1))*[1]Modelo!$H$64*[1]Modelo!$H$65*[1]Modelo!$I$75,1)</f>
        <v>0.2</v>
      </c>
      <c r="BX99" s="139">
        <f>[1]Modelo!$H$66</f>
        <v>0.04</v>
      </c>
      <c r="BY99" s="139">
        <f>ROUNDUP(SUM(ROUNDUP(AL99*AN99+0.1,1),ROUNDUP(V99*[1]Modelo!$H$29*AP99,1),ROUNDUP(W99*[1]Modelo!$H$36*AR99,1))*[1]Modelo!$H$69,1)</f>
        <v>0.4</v>
      </c>
      <c r="BZ99" s="139">
        <f>ROUNDUP(ROUNDUP(SUM(ROUNDUP(AL99*AN99+0.1,1),ROUNDUP(V99*[1]Modelo!$H$29*AP99,1),ROUNDUP(W99*[1]Modelo!$H$36*AR99,1))*[1]Modelo!$H$62,1)*[1]Modelo!$H$71,1)</f>
        <v>0.2</v>
      </c>
      <c r="CA99" s="142">
        <f t="shared" ref="CA99" si="665">SUM(AX99:BZ99)</f>
        <v>8.8329999999999984</v>
      </c>
      <c r="CB99" s="27"/>
      <c r="CC99" s="27">
        <f t="shared" ref="CC99" si="666">CD99*0.85</f>
        <v>3.9950000000000001</v>
      </c>
      <c r="CD99" s="109">
        <f t="shared" ref="CD99" si="667">O99</f>
        <v>4.7</v>
      </c>
      <c r="CE99" s="27">
        <f t="shared" ref="CE99" si="668">IF(CD99=0,1,CD99*1.4)</f>
        <v>6.58</v>
      </c>
      <c r="CF99" s="27"/>
      <c r="CG99" s="126">
        <v>0</v>
      </c>
      <c r="CH99" s="27"/>
      <c r="CI99" s="27">
        <f t="shared" ref="CI99" si="669">IF(CF99&lt;&gt;"",CF99,CG99)</f>
        <v>0</v>
      </c>
      <c r="CJ99" s="27"/>
      <c r="CK99" s="27"/>
      <c r="CL99" s="27"/>
      <c r="CM99" s="27"/>
      <c r="CN99" s="27"/>
      <c r="CO99" s="27"/>
      <c r="CP99" s="27"/>
      <c r="CQ99" s="27"/>
      <c r="CR99" s="27"/>
      <c r="CS99" s="27"/>
      <c r="CT99" s="27"/>
      <c r="CU99" s="27"/>
      <c r="CV99" s="27"/>
      <c r="CW99" s="27"/>
      <c r="CX99" s="27"/>
      <c r="CY99" s="27"/>
      <c r="CZ99" s="27"/>
      <c r="DA99" s="27"/>
      <c r="DB99" s="27"/>
      <c r="DC99" s="27"/>
    </row>
    <row r="100" spans="3:107" s="20" customFormat="1" ht="58.5" customHeight="1" outlineLevel="1" thickBot="1" x14ac:dyDescent="0.35">
      <c r="C100" s="388" t="s">
        <v>93</v>
      </c>
      <c r="D100" s="461" t="s">
        <v>18</v>
      </c>
      <c r="E100" s="461" t="str">
        <f t="shared" ref="E100" si="670">IF(U100&gt;50,"A",IF(U100&gt;15,"M","B"))</f>
        <v>B</v>
      </c>
      <c r="F100" s="461" t="s">
        <v>423</v>
      </c>
      <c r="G100" s="461" t="s">
        <v>423</v>
      </c>
      <c r="H100" s="461" t="str">
        <f t="shared" ref="H100" si="671">IF(V100+W100&gt;20,"A",IF(V100+W100&gt;5,"M","B"))</f>
        <v>B</v>
      </c>
      <c r="I100" s="461" t="str">
        <f t="shared" ref="I100" si="672">IF(V100+W100&gt;15,"A",IF(V100+W100&gt;4,"M","B"))</f>
        <v>B</v>
      </c>
      <c r="J100" s="425">
        <f t="shared" ref="J100" si="673">V100+W100</f>
        <v>3</v>
      </c>
      <c r="K100" s="503" t="str">
        <f t="shared" ref="K100" si="674">AB100</f>
        <v>Chica 1</v>
      </c>
      <c r="L100" s="537" t="s">
        <v>791</v>
      </c>
      <c r="M100" s="532">
        <f t="shared" ref="M100" si="675">BL100+BM100+BN100+BO100+BP100</f>
        <v>6.1999999999999993</v>
      </c>
      <c r="N100" s="532">
        <f t="shared" ref="N100" si="676">BQ100</f>
        <v>2.5</v>
      </c>
      <c r="O100" s="538">
        <f t="shared" ref="O100" si="677">SUM(M100,N100)</f>
        <v>8.6999999999999993</v>
      </c>
      <c r="P100" s="58"/>
      <c r="Q100" s="462"/>
      <c r="R100" s="462"/>
      <c r="S100" s="462"/>
      <c r="T100" s="109"/>
      <c r="U100" s="144">
        <v>0</v>
      </c>
      <c r="V100" s="144">
        <v>3</v>
      </c>
      <c r="W100" s="144">
        <v>0</v>
      </c>
      <c r="X100" s="463"/>
      <c r="Y100" s="463" t="str">
        <f t="shared" ref="Y100" si="678">CONCATENATE(C100,LEFT(K100,5),J100)</f>
        <v>CapturaChica3</v>
      </c>
      <c r="Z100" s="135">
        <f>VLOOKUP(Y100,[1]Modelo!$G$82:$H$281,2,FALSE)</f>
        <v>43</v>
      </c>
      <c r="AA100" s="463"/>
      <c r="AB100" s="137" t="str">
        <f t="shared" ref="AB100" si="679">IF(AND(U100&gt;=0,U100&lt;=6),"Chica 1",IF(AND(U100&gt;=7,U100&lt;=12),"Chica 2",IF(AND(U100&gt;=13,U100&lt;=18),"Chica 3",IF(AND(U100&gt;=19,U100&lt;=24),"Chica 4",IF(AND(U100&gt;=25,U100&lt;=30),"Mediana 1",IF(AND(U100&gt;=31,U100&lt;=36),"Mediana 2",IF(AND(U100&gt;=37,U100&lt;=42),"Mediana 3",IF(AND(U100&gt;=43,U100&lt;=48),"Mediana 4",IF(AND(U100&gt;=49,U100&lt;=54),"Grande 1",IF(AND(U100&gt;=55,U100&lt;=60),"Grande 2",IF(AND(U100&gt;=61,U100&lt;=66),"Grande 3",IF(AND(U100&gt;=67,U100&lt;=72),"Grande 4",IF(AND(U100&gt;=73,U100&lt;=78),"M. grande 1",IF(AND(U100&gt;=79,U100&lt;=84),"M. grande 2",IF(AND(U100&gt;=85,U100&lt;=90),"M. grande 3",IF(AND(U100&gt;=91,U100&lt;=96),"M. grande 4","NO DEF"))))))))))))))))</f>
        <v>Chica 1</v>
      </c>
      <c r="AC100" s="137" t="str">
        <f t="shared" ref="AC100" si="680">IF(E100="A","Alta",IF(E100="M","Media","Baja"))</f>
        <v>Baja</v>
      </c>
      <c r="AD100" s="137" t="str">
        <f t="shared" ref="AD100" si="681">IF(E100="A","Alta",IF(E100="M","Media","Baja"))</f>
        <v>Baja</v>
      </c>
      <c r="AE100" s="137" t="str">
        <f t="shared" ref="AE100" si="682">IF(F100="A","Alta",IF(F100="M","Media","Baja"))</f>
        <v>Baja</v>
      </c>
      <c r="AF100" s="137" t="str">
        <f t="shared" ref="AF100" si="683">IF(F100="A","Alta",IF(F100="M","Media","Baja"))</f>
        <v>Baja</v>
      </c>
      <c r="AG100" s="137" t="str">
        <f t="shared" ref="AG100" si="684">IF(G100="A","Alta",IF(G100="M","Media","Baja"))</f>
        <v>Baja</v>
      </c>
      <c r="AH100" s="137" t="str">
        <f t="shared" ref="AH100" si="685">IF(G100="A","Alta",IF(G100="M","Media","Baja"))</f>
        <v>Baja</v>
      </c>
      <c r="AI100" s="137" t="str">
        <f t="shared" ref="AI100" si="686">IF(H100="A","Alta",IF(H100="M","Media","Baja"))</f>
        <v>Baja</v>
      </c>
      <c r="AJ100" s="137" t="str">
        <f t="shared" ref="AJ100" si="687">IF(I100="A","Alta",IF(I100="M","Media","Baja"))</f>
        <v>Baja</v>
      </c>
      <c r="AK100" s="40"/>
      <c r="AL100" s="138">
        <f>IF(AB100=[1]Modelo!$F$7,[1]Modelo!$H$7,IF(AB100=[1]Modelo!$F$8,[1]Modelo!$H$8,IF(AB100=[1]Modelo!$F$9,[1]Modelo!$H$9,IF(AB100=[1]Modelo!$F$10,[1]Modelo!$H$10,IF(AB100=[1]Modelo!$F$11,[1]Modelo!$H$11,IF(AB100=[1]Modelo!$F$12,[1]Modelo!$H$12,IF(AB100=[1]Modelo!$F$13,[1]Modelo!$H$13,IF(AB100=[1]Modelo!$F$14,[1]Modelo!$H$14,IF(AB100=[1]Modelo!$F$15,[1]Modelo!$H$15,IF(AB100=[1]Modelo!$F$16,[1]Modelo!$H$16,IF(AB100=[1]Modelo!$F$17,[1]Modelo!$H$17,IF(AB100=[1]Modelo!$F$18,[1]Modelo!$H$18,IF(AB100=[1]Modelo!$F$19,[1]Modelo!$H$19,IF(AB100=[1]Modelo!$F$20,[1]Modelo!$H$20,IF(AB100=[1]Modelo!$F$21,[1]Modelo!$H$21,IF(AB100=[1]Modelo!$F$22,[1]Modelo!$H$22,0))))))))))))))))</f>
        <v>0.30000000000000004</v>
      </c>
      <c r="AM100" s="138">
        <f>IF(AB100=[1]Modelo!$F$7,[1]Modelo!$I$7,IF(AB100=[1]Modelo!$F$8,[1]Modelo!$I$8,IF(AB100=[1]Modelo!$F$9,[1]Modelo!$I$9,IF(AB100=[1]Modelo!$F$10,[1]Modelo!$I$10,IF(AB100=[1]Modelo!$F$11,[1]Modelo!$I$11,IF(AB100=[1]Modelo!$F$12,[1]Modelo!$I$12,IF(AB100=[1]Modelo!$F$13,[1]Modelo!$I$13,IF(AB100=[1]Modelo!$F$14,[1]Modelo!$I$14,IF(AB100=[1]Modelo!$F$15,[1]Modelo!$I$15,IF(AB100=[1]Modelo!$F$16,[1]Modelo!$I$16,IF(AB100=[1]Modelo!$F$17,[1]Modelo!$I$17,IF(AB100=[1]Modelo!$F$18,[1]Modelo!$I$18,IF(AB100=[1]Modelo!$F$19,[1]Modelo!$I$19,IF(AB100=[1]Modelo!$F$20,[1]Modelo!$I$20,IF(AB100=[1]Modelo!$F$21,[1]Modelo!$I$21,IF(AB100=[1]Modelo!$F$22,[1]Modelo!$I$22,0))))))))))))))))</f>
        <v>0.1</v>
      </c>
      <c r="AN100" s="138">
        <f>IF(AC100=[1]Modelo!$F$23,[1]Modelo!$H$23,IF(AC100=[1]Modelo!$F$24,[1]Modelo!$H$24,IF(AC100=[1]Modelo!$F$25,[1]Modelo!$H$25,0)))</f>
        <v>1</v>
      </c>
      <c r="AO100" s="138">
        <f>IF(AD100=[1]Modelo!$F$26,[1]Modelo!$H$26,IF(AD100=[1]Modelo!$F$27,[1]Modelo!$H$27,IF(AD100=[1]Modelo!$F$28,[1]Modelo!$H$28,0)))</f>
        <v>0.1</v>
      </c>
      <c r="AP100" s="138">
        <f>IF(AE100=[1]Modelo!$F$30,[1]Modelo!$H$30,IF(AE100=[1]Modelo!$F$31,[1]Modelo!$H$31,IF(AE100=[1]Modelo!$F$32,[1]Modelo!$H$32,0)))</f>
        <v>0.8</v>
      </c>
      <c r="AQ100" s="138">
        <f>IF(AF100=[1]Modelo!$F$33,[1]Modelo!$H$33,IF(AF100=[1]Modelo!$F$34,[1]Modelo!$H$34,IF(AF100=[1]Modelo!$F$35,[1]Modelo!$H$35,0)))</f>
        <v>0.3</v>
      </c>
      <c r="AR100" s="138">
        <f>IF(AG100=[1]Modelo!$F$37,[1]Modelo!$H$37,IF(AG100=[1]Modelo!$F$38,[1]Modelo!$H$38,IF(AG100=[1]Modelo!$F$39,[1]Modelo!$H$39,0)))</f>
        <v>0.8</v>
      </c>
      <c r="AS100" s="138">
        <f>IF(AH100=[1]Modelo!$F$40,[1]Modelo!$H$40,IF(AH100=[1]Modelo!$F$41,[1]Modelo!$H$41,IF(AH100=[1]Modelo!$F$42,[1]Modelo!$H$42,0)))</f>
        <v>0.4</v>
      </c>
      <c r="AT100" s="137">
        <f>IF(C100=[1]Modelo!$F$44,[1]Modelo!$H$44,IF(C100=[1]Modelo!$F$45,[1]Modelo!$H$45,IF(C100=[1]Modelo!$F$46,[1]Modelo!$H$46,IF(C100=[1]Modelo!$F$47,[1]Modelo!$H$47,IF(C100=[1]Modelo!$F$48,[1]Modelo!$H$48,IF(C100=[1]Modelo!$F$49,[1]Modelo!$H$49,IF(C100=[1]Modelo!$F$50,[1]Modelo!$H$50,IF(C100=[1]Modelo!$F$51,[1]Modelo!$H$51,IF(C100=[1]Modelo!$F$52,[1]Modelo!$H$52,IF(C100=[1]Modelo!$F$53,[1]Modelo!$H$53,0))))))))))</f>
        <v>2.2000000000000002</v>
      </c>
      <c r="AU100" s="138">
        <f>IF(AI100=[1]Modelo!$F$54,[1]Modelo!$H$54,IF(AI100=[1]Modelo!$F$55,[1]Modelo!$H$55,IF(AI100=[1]Modelo!$F$56,[1]Modelo!$H$56,0)))</f>
        <v>1</v>
      </c>
      <c r="AV100" s="138">
        <f>IF(AJ100=[1]Modelo!$F$58,[1]Modelo!$H$58,IF(AJ100=[1]Modelo!$F$59,[1]Modelo!$H$59,IF(AJ100=[1]Modelo!$F$60,[1]Modelo!$H$60,0)))</f>
        <v>0.9</v>
      </c>
      <c r="AW100" s="40"/>
      <c r="AX100" s="139">
        <f>[1]Modelo!$H$2</f>
        <v>0.05</v>
      </c>
      <c r="AY100" s="140">
        <f>ROUNDUP([1]Modelo!$I$2*[1]Modelo!$H$3*[1]Modelo!$I$75,2)</f>
        <v>0.02</v>
      </c>
      <c r="AZ100" s="141">
        <f>ROUNDUP([1]Modelo!$I$2*[1]Modelo!$H$3*[1]Modelo!$H$4*[1]Modelo!$I$75,3)</f>
        <v>3.0000000000000001E-3</v>
      </c>
      <c r="BA100" s="139">
        <f>[1]Modelo!$H$5</f>
        <v>0.04</v>
      </c>
      <c r="BB100" s="139">
        <f>ROUNDUP(SUM(BC100,BE100,BG100,BI100)*[1]Modelo!$H$6,1)</f>
        <v>1</v>
      </c>
      <c r="BC100" s="139">
        <f>ROUNDUP((AL100*AN100+0.1)*[1]Modelo!$I$75,1)</f>
        <v>0.4</v>
      </c>
      <c r="BD100" s="139">
        <f>ROUNDUP(AM100*AN100*AO100*[1]Modelo!$I$75,1)</f>
        <v>0.1</v>
      </c>
      <c r="BE100" s="139">
        <f>ROUNDUP(V100*[1]Modelo!$H$29*AP100*[1]Modelo!$I$75*2/3,1)</f>
        <v>1.6</v>
      </c>
      <c r="BF100" s="139">
        <f>ROUNDUP(V100*[1]Modelo!$H$29*AP100*AQ100*[1]Modelo!$I$75*2/3,1)</f>
        <v>0.5</v>
      </c>
      <c r="BG100" s="139">
        <f>ROUNDUP(V100*[1]Modelo!$H$29*AP100*[1]Modelo!$I$75/3,1)</f>
        <v>0.8</v>
      </c>
      <c r="BH100" s="139">
        <f>ROUNDUP(V100*[1]Modelo!$H$29*AP100*AQ100*[1]Modelo!$I$75/3,1)</f>
        <v>0.30000000000000004</v>
      </c>
      <c r="BI100" s="139">
        <f>ROUNDUP(W100*[1]Modelo!$H$36*AR100*[1]Modelo!$I$75,1)</f>
        <v>0</v>
      </c>
      <c r="BJ100" s="139">
        <f>ROUNDUP(W100*[1]Modelo!$H$36*AR100*AS100*[1]Modelo!$I$75,1)</f>
        <v>0</v>
      </c>
      <c r="BK100" s="139">
        <f>[1]Modelo!$H$43</f>
        <v>0.04</v>
      </c>
      <c r="BL100" s="139">
        <f>ROUNDUP(SUM(ROUNDUP(AL100*AN100+0.1,1),ROUNDUP(V100*[1]Modelo!$H$29*AP100,1),ROUNDUP(W100*[1]Modelo!$H$36*AR100,1))*AU100*AT100*[1]Modelo!$I$75,1)</f>
        <v>6.1999999999999993</v>
      </c>
      <c r="BM100" s="139">
        <f t="shared" ref="BM100" si="688">IF(K$32="x",0, BL100*0.1*1.25)</f>
        <v>0</v>
      </c>
      <c r="BN100" s="139">
        <f t="shared" ref="BN100" si="689">IF(Q100="x",(BL100)*0.1,0)</f>
        <v>0</v>
      </c>
      <c r="BO100" s="139">
        <f t="shared" ref="BO100" si="690">IF(R100="x",(BL100)*0.12,0)</f>
        <v>0</v>
      </c>
      <c r="BP100" s="139">
        <f t="shared" ref="BP100" si="691">IF(S100="x",(BL100)*0.12,0)*4</f>
        <v>0</v>
      </c>
      <c r="BQ100" s="139">
        <f>ROUNDUP(SUM(ROUNDUP(AL100*AN100+0.1,1),ROUNDUP(V100*[1]Modelo!$H$29*AP100,1),ROUNDUP(W100*[1]Modelo!$H$36*AR100,1))*AT100*AV100*[1]Modelo!$H$57,1)</f>
        <v>2.5</v>
      </c>
      <c r="BR100" s="409">
        <v>0</v>
      </c>
      <c r="BS100" s="139">
        <f>[1]Modelo!$H$61</f>
        <v>0.04</v>
      </c>
      <c r="BT100" s="139">
        <f>ROUNDUP(SUM(ROUNDUP(AL100*AN100+0.1,1),ROUNDUP(V100*[1]Modelo!$H$29*AP100,1),ROUNDUP(W100*[1]Modelo!$H$36*AR100,1))*[1]Modelo!$H$62*[1]Modelo!$I$75,1)</f>
        <v>0.2</v>
      </c>
      <c r="BU100" s="139">
        <f>ROUNDUP(ROUNDUP(SUM(ROUNDUP(AL100*AN100+0.1,1),ROUNDUP(V100*[1]Modelo!$H$29*AP100,1),ROUNDUP(W100*[1]Modelo!$H$36*AR100,1))*[1]Modelo!$H$62,1)*[1]Modelo!$H$63*[1]Modelo!$I$75,1)</f>
        <v>0.1</v>
      </c>
      <c r="BV100" s="139">
        <f>SUM(ROUNDUP(AL100*AN100+0.1,1),ROUNDUP(V100*[1]Modelo!$H$29*AP100,1),ROUNDUP(W100*[1]Modelo!$H$36*AR100,1))*[1]Modelo!$H$64*[1]Modelo!$I$75</f>
        <v>0.55999999999999994</v>
      </c>
      <c r="BW100" s="139">
        <f>ROUNDUP(SUM(ROUNDUP(AL100*AN100+0.1,1),ROUNDUP(V100*[1]Modelo!$H$29*AP100,1),ROUNDUP(W100*[1]Modelo!$H$36*AR100,1))*[1]Modelo!$H$64*[1]Modelo!$H$65*[1]Modelo!$I$75,1)</f>
        <v>0.30000000000000004</v>
      </c>
      <c r="BX100" s="139">
        <f>[1]Modelo!$H$66</f>
        <v>0.04</v>
      </c>
      <c r="BY100" s="139">
        <f>ROUNDUP(SUM(ROUNDUP(AL100*AN100+0.1,1),ROUNDUP(V100*[1]Modelo!$H$29*AP100,1),ROUNDUP(W100*[1]Modelo!$H$36*AR100,1))*[1]Modelo!$H$69,1)</f>
        <v>0.7</v>
      </c>
      <c r="BZ100" s="139">
        <f>ROUNDUP(ROUNDUP(SUM(ROUNDUP(AL100*AN100+0.1,1),ROUNDUP(V100*[1]Modelo!$H$29*AP100,1),ROUNDUP(W100*[1]Modelo!$H$36*AR100,1))*[1]Modelo!$H$62,1)*[1]Modelo!$H$71,1)</f>
        <v>0.4</v>
      </c>
      <c r="CA100" s="142">
        <f t="shared" ref="CA100" si="692">SUM(AX100:BZ100)</f>
        <v>15.892999999999997</v>
      </c>
      <c r="CB100" s="27"/>
      <c r="CC100" s="27">
        <f t="shared" ref="CC100" si="693">CD100*0.85</f>
        <v>7.3949999999999996</v>
      </c>
      <c r="CD100" s="109">
        <f t="shared" ref="CD100" si="694">O100</f>
        <v>8.6999999999999993</v>
      </c>
      <c r="CE100" s="27">
        <f t="shared" ref="CE100" si="695">IF(CD100=0,1,CD100*1.4)</f>
        <v>12.179999999999998</v>
      </c>
      <c r="CF100" s="27"/>
      <c r="CG100" s="126">
        <v>0</v>
      </c>
      <c r="CH100" s="27"/>
      <c r="CI100" s="27">
        <f t="shared" ref="CI100" si="696">IF(CF100&lt;&gt;"",CF100,CG100)</f>
        <v>0</v>
      </c>
      <c r="CJ100" s="27"/>
      <c r="CK100" s="27"/>
      <c r="CL100" s="27"/>
      <c r="CM100" s="27"/>
      <c r="CN100" s="27"/>
      <c r="CO100" s="27"/>
      <c r="CP100" s="27"/>
      <c r="CQ100" s="27"/>
      <c r="CR100" s="27"/>
      <c r="CS100" s="27"/>
      <c r="CT100" s="27"/>
      <c r="CU100" s="27"/>
      <c r="CV100" s="27"/>
      <c r="CW100" s="27"/>
      <c r="CX100" s="27"/>
      <c r="CY100" s="27"/>
      <c r="CZ100" s="27"/>
      <c r="DA100" s="27"/>
      <c r="DB100" s="27"/>
      <c r="DC100" s="27"/>
    </row>
    <row r="101" spans="3:107" s="20" customFormat="1" ht="58.5" customHeight="1" outlineLevel="1" thickBot="1" x14ac:dyDescent="0.35">
      <c r="C101" s="388" t="s">
        <v>93</v>
      </c>
      <c r="D101" s="461" t="s">
        <v>18</v>
      </c>
      <c r="E101" s="461" t="str">
        <f t="shared" ref="E101:E102" si="697">IF(U101&gt;50,"A",IF(U101&gt;15,"M","B"))</f>
        <v>B</v>
      </c>
      <c r="F101" s="461" t="s">
        <v>423</v>
      </c>
      <c r="G101" s="461" t="s">
        <v>423</v>
      </c>
      <c r="H101" s="461" t="str">
        <f t="shared" ref="H101:H102" si="698">IF(V101+W101&gt;20,"A",IF(V101+W101&gt;5,"M","B"))</f>
        <v>B</v>
      </c>
      <c r="I101" s="461" t="str">
        <f t="shared" ref="I101:I102" si="699">IF(V101+W101&gt;15,"A",IF(V101+W101&gt;4,"M","B"))</f>
        <v>B</v>
      </c>
      <c r="J101" s="425">
        <f t="shared" si="25"/>
        <v>3</v>
      </c>
      <c r="K101" s="503" t="str">
        <f t="shared" si="27"/>
        <v>Chica 2</v>
      </c>
      <c r="L101" s="537" t="s">
        <v>792</v>
      </c>
      <c r="M101" s="532">
        <f t="shared" ref="M101:M102" si="700">BL101+BM101+BN101+BO101+BP101</f>
        <v>6.8999999999999995</v>
      </c>
      <c r="N101" s="532">
        <f t="shared" ref="N101:N102" si="701">BQ101</f>
        <v>2.8000000000000003</v>
      </c>
      <c r="O101" s="538">
        <f t="shared" ref="O101:O102" si="702">SUM(M101,N101)</f>
        <v>9.6999999999999993</v>
      </c>
      <c r="P101" s="58"/>
      <c r="Q101" s="462"/>
      <c r="R101" s="462"/>
      <c r="S101" s="462"/>
      <c r="T101" s="109"/>
      <c r="U101" s="144">
        <v>10</v>
      </c>
      <c r="V101" s="144">
        <v>3</v>
      </c>
      <c r="W101" s="144">
        <v>0</v>
      </c>
      <c r="X101" s="463"/>
      <c r="Y101" s="463" t="str">
        <f t="shared" si="10"/>
        <v>CapturaChica3</v>
      </c>
      <c r="Z101" s="135">
        <f>VLOOKUP(Y101,[1]Modelo!$G$82:$H$281,2,FALSE)</f>
        <v>43</v>
      </c>
      <c r="AA101" s="463"/>
      <c r="AB101" s="137" t="str">
        <f t="shared" si="11"/>
        <v>Chica 2</v>
      </c>
      <c r="AC101" s="137" t="str">
        <f t="shared" si="12"/>
        <v>Baja</v>
      </c>
      <c r="AD101" s="137" t="str">
        <f t="shared" si="28"/>
        <v>Baja</v>
      </c>
      <c r="AE101" s="137" t="str">
        <f t="shared" si="29"/>
        <v>Baja</v>
      </c>
      <c r="AF101" s="137" t="str">
        <f t="shared" si="30"/>
        <v>Baja</v>
      </c>
      <c r="AG101" s="137" t="str">
        <f t="shared" si="31"/>
        <v>Baja</v>
      </c>
      <c r="AH101" s="137" t="str">
        <f t="shared" si="32"/>
        <v>Baja</v>
      </c>
      <c r="AI101" s="137" t="str">
        <f t="shared" si="33"/>
        <v>Baja</v>
      </c>
      <c r="AJ101" s="137" t="str">
        <f t="shared" si="34"/>
        <v>Baja</v>
      </c>
      <c r="AK101" s="40"/>
      <c r="AL101" s="138">
        <f>IF(AB101=[1]Modelo!$F$7,[1]Modelo!$H$7,IF(AB101=[1]Modelo!$F$8,[1]Modelo!$H$8,IF(AB101=[1]Modelo!$F$9,[1]Modelo!$H$9,IF(AB101=[1]Modelo!$F$10,[1]Modelo!$H$10,IF(AB101=[1]Modelo!$F$11,[1]Modelo!$H$11,IF(AB101=[1]Modelo!$F$12,[1]Modelo!$H$12,IF(AB101=[1]Modelo!$F$13,[1]Modelo!$H$13,IF(AB101=[1]Modelo!$F$14,[1]Modelo!$H$14,IF(AB101=[1]Modelo!$F$15,[1]Modelo!$H$15,IF(AB101=[1]Modelo!$F$16,[1]Modelo!$H$16,IF(AB101=[1]Modelo!$F$17,[1]Modelo!$H$17,IF(AB101=[1]Modelo!$F$18,[1]Modelo!$H$18,IF(AB101=[1]Modelo!$F$19,[1]Modelo!$H$19,IF(AB101=[1]Modelo!$F$20,[1]Modelo!$H$20,IF(AB101=[1]Modelo!$F$21,[1]Modelo!$H$21,IF(AB101=[1]Modelo!$F$22,[1]Modelo!$H$22,0))))))))))))))))</f>
        <v>0.60000000000000009</v>
      </c>
      <c r="AM101" s="138">
        <f>IF(AB101=[1]Modelo!$F$7,[1]Modelo!$I$7,IF(AB101=[1]Modelo!$F$8,[1]Modelo!$I$8,IF(AB101=[1]Modelo!$F$9,[1]Modelo!$I$9,IF(AB101=[1]Modelo!$F$10,[1]Modelo!$I$10,IF(AB101=[1]Modelo!$F$11,[1]Modelo!$I$11,IF(AB101=[1]Modelo!$F$12,[1]Modelo!$I$12,IF(AB101=[1]Modelo!$F$13,[1]Modelo!$I$13,IF(AB101=[1]Modelo!$F$14,[1]Modelo!$I$14,IF(AB101=[1]Modelo!$F$15,[1]Modelo!$I$15,IF(AB101=[1]Modelo!$F$16,[1]Modelo!$I$16,IF(AB101=[1]Modelo!$F$17,[1]Modelo!$I$17,IF(AB101=[1]Modelo!$F$18,[1]Modelo!$I$18,IF(AB101=[1]Modelo!$F$19,[1]Modelo!$I$19,IF(AB101=[1]Modelo!$F$20,[1]Modelo!$I$20,IF(AB101=[1]Modelo!$F$21,[1]Modelo!$I$21,IF(AB101=[1]Modelo!$F$22,[1]Modelo!$I$22,0))))))))))))))))</f>
        <v>0.2</v>
      </c>
      <c r="AN101" s="138">
        <f>IF(AC101=[1]Modelo!$F$23,[1]Modelo!$H$23,IF(AC101=[1]Modelo!$F$24,[1]Modelo!$H$24,IF(AC101=[1]Modelo!$F$25,[1]Modelo!$H$25,0)))</f>
        <v>1</v>
      </c>
      <c r="AO101" s="138">
        <f>IF(AD101=[1]Modelo!$F$26,[1]Modelo!$H$26,IF(AD101=[1]Modelo!$F$27,[1]Modelo!$H$27,IF(AD101=[1]Modelo!$F$28,[1]Modelo!$H$28,0)))</f>
        <v>0.1</v>
      </c>
      <c r="AP101" s="138">
        <f>IF(AE101=[1]Modelo!$F$30,[1]Modelo!$H$30,IF(AE101=[1]Modelo!$F$31,[1]Modelo!$H$31,IF(AE101=[1]Modelo!$F$32,[1]Modelo!$H$32,0)))</f>
        <v>0.8</v>
      </c>
      <c r="AQ101" s="138">
        <f>IF(AF101=[1]Modelo!$F$33,[1]Modelo!$H$33,IF(AF101=[1]Modelo!$F$34,[1]Modelo!$H$34,IF(AF101=[1]Modelo!$F$35,[1]Modelo!$H$35,0)))</f>
        <v>0.3</v>
      </c>
      <c r="AR101" s="138">
        <f>IF(AG101=[1]Modelo!$F$37,[1]Modelo!$H$37,IF(AG101=[1]Modelo!$F$38,[1]Modelo!$H$38,IF(AG101=[1]Modelo!$F$39,[1]Modelo!$H$39,0)))</f>
        <v>0.8</v>
      </c>
      <c r="AS101" s="138">
        <f>IF(AH101=[1]Modelo!$F$40,[1]Modelo!$H$40,IF(AH101=[1]Modelo!$F$41,[1]Modelo!$H$41,IF(AH101=[1]Modelo!$F$42,[1]Modelo!$H$42,0)))</f>
        <v>0.4</v>
      </c>
      <c r="AT101" s="137">
        <f>IF(C101=[1]Modelo!$F$44,[1]Modelo!$H$44,IF(C101=[1]Modelo!$F$45,[1]Modelo!$H$45,IF(C101=[1]Modelo!$F$46,[1]Modelo!$H$46,IF(C101=[1]Modelo!$F$47,[1]Modelo!$H$47,IF(C101=[1]Modelo!$F$48,[1]Modelo!$H$48,IF(C101=[1]Modelo!$F$49,[1]Modelo!$H$49,IF(C101=[1]Modelo!$F$50,[1]Modelo!$H$50,IF(C101=[1]Modelo!$F$51,[1]Modelo!$H$51,IF(C101=[1]Modelo!$F$52,[1]Modelo!$H$52,IF(C101=[1]Modelo!$F$53,[1]Modelo!$H$53,0))))))))))</f>
        <v>2.2000000000000002</v>
      </c>
      <c r="AU101" s="138">
        <f>IF(AI101=[1]Modelo!$F$54,[1]Modelo!$H$54,IF(AI101=[1]Modelo!$F$55,[1]Modelo!$H$55,IF(AI101=[1]Modelo!$F$56,[1]Modelo!$H$56,0)))</f>
        <v>1</v>
      </c>
      <c r="AV101" s="138">
        <f>IF(AJ101=[1]Modelo!$F$58,[1]Modelo!$H$58,IF(AJ101=[1]Modelo!$F$59,[1]Modelo!$H$59,IF(AJ101=[1]Modelo!$F$60,[1]Modelo!$H$60,0)))</f>
        <v>0.9</v>
      </c>
      <c r="AW101" s="40"/>
      <c r="AX101" s="139">
        <f>[1]Modelo!$H$2</f>
        <v>0.05</v>
      </c>
      <c r="AY101" s="140">
        <f>ROUNDUP([1]Modelo!$I$2*[1]Modelo!$H$3*[1]Modelo!$I$75,2)</f>
        <v>0.02</v>
      </c>
      <c r="AZ101" s="141">
        <f>ROUNDUP([1]Modelo!$I$2*[1]Modelo!$H$3*[1]Modelo!$H$4*[1]Modelo!$I$75,3)</f>
        <v>3.0000000000000001E-3</v>
      </c>
      <c r="BA101" s="139">
        <f>[1]Modelo!$H$5</f>
        <v>0.04</v>
      </c>
      <c r="BB101" s="139">
        <f>ROUNDUP(SUM(BC101,BE101,BG101,BI101)*[1]Modelo!$H$6,1)</f>
        <v>1.1000000000000001</v>
      </c>
      <c r="BC101" s="139">
        <f>ROUNDUP((AL101*AN101+0.1)*[1]Modelo!$I$75,1)</f>
        <v>0.7</v>
      </c>
      <c r="BD101" s="139">
        <f>ROUNDUP(AM101*AN101*AO101*[1]Modelo!$I$75,1)</f>
        <v>0.1</v>
      </c>
      <c r="BE101" s="139">
        <f>ROUNDUP(V101*[1]Modelo!$H$29*AP101*[1]Modelo!$I$75*2/3,1)</f>
        <v>1.6</v>
      </c>
      <c r="BF101" s="139">
        <f>ROUNDUP(V101*[1]Modelo!$H$29*AP101*AQ101*[1]Modelo!$I$75*2/3,1)</f>
        <v>0.5</v>
      </c>
      <c r="BG101" s="139">
        <f>ROUNDUP(V101*[1]Modelo!$H$29*AP101*[1]Modelo!$I$75/3,1)</f>
        <v>0.8</v>
      </c>
      <c r="BH101" s="139">
        <f>ROUNDUP(V101*[1]Modelo!$H$29*AP101*AQ101*[1]Modelo!$I$75/3,1)</f>
        <v>0.30000000000000004</v>
      </c>
      <c r="BI101" s="139">
        <f>ROUNDUP(W101*[1]Modelo!$H$36*AR101*[1]Modelo!$I$75,1)</f>
        <v>0</v>
      </c>
      <c r="BJ101" s="139">
        <f>ROUNDUP(W101*[1]Modelo!$H$36*AR101*AS101*[1]Modelo!$I$75,1)</f>
        <v>0</v>
      </c>
      <c r="BK101" s="139">
        <f>[1]Modelo!$H$43</f>
        <v>0.04</v>
      </c>
      <c r="BL101" s="139">
        <f>ROUNDUP(SUM(ROUNDUP(AL101*AN101+0.1,1),ROUNDUP(V101*[1]Modelo!$H$29*AP101,1),ROUNDUP(W101*[1]Modelo!$H$36*AR101,1))*AU101*AT101*[1]Modelo!$I$75,1)</f>
        <v>6.8999999999999995</v>
      </c>
      <c r="BM101" s="139">
        <f t="shared" si="16"/>
        <v>0</v>
      </c>
      <c r="BN101" s="139">
        <f t="shared" si="17"/>
        <v>0</v>
      </c>
      <c r="BO101" s="139">
        <f t="shared" si="18"/>
        <v>0</v>
      </c>
      <c r="BP101" s="139">
        <f t="shared" si="19"/>
        <v>0</v>
      </c>
      <c r="BQ101" s="139">
        <f>ROUNDUP(SUM(ROUNDUP(AL101*AN101+0.1,1),ROUNDUP(V101*[1]Modelo!$H$29*AP101,1),ROUNDUP(W101*[1]Modelo!$H$36*AR101,1))*AT101*AV101*[1]Modelo!$H$57,1)</f>
        <v>2.8000000000000003</v>
      </c>
      <c r="BR101" s="409">
        <v>0</v>
      </c>
      <c r="BS101" s="139">
        <f>[1]Modelo!$H$61</f>
        <v>0.04</v>
      </c>
      <c r="BT101" s="139">
        <f>ROUNDUP(SUM(ROUNDUP(AL101*AN101+0.1,1),ROUNDUP(V101*[1]Modelo!$H$29*AP101,1),ROUNDUP(W101*[1]Modelo!$H$36*AR101,1))*[1]Modelo!$H$62*[1]Modelo!$I$75,1)</f>
        <v>0.2</v>
      </c>
      <c r="BU101" s="139">
        <f>ROUNDUP(ROUNDUP(SUM(ROUNDUP(AL101*AN101+0.1,1),ROUNDUP(V101*[1]Modelo!$H$29*AP101,1),ROUNDUP(W101*[1]Modelo!$H$36*AR101,1))*[1]Modelo!$H$62,1)*[1]Modelo!$H$63*[1]Modelo!$I$75,1)</f>
        <v>0.1</v>
      </c>
      <c r="BV101" s="139">
        <f>SUM(ROUNDUP(AL101*AN101+0.1,1),ROUNDUP(V101*[1]Modelo!$H$29*AP101,1),ROUNDUP(W101*[1]Modelo!$H$36*AR101,1))*[1]Modelo!$H$64*[1]Modelo!$I$75</f>
        <v>0.62</v>
      </c>
      <c r="BW101" s="139">
        <f>ROUNDUP(SUM(ROUNDUP(AL101*AN101+0.1,1),ROUNDUP(V101*[1]Modelo!$H$29*AP101,1),ROUNDUP(W101*[1]Modelo!$H$36*AR101,1))*[1]Modelo!$H$64*[1]Modelo!$H$65*[1]Modelo!$I$75,1)</f>
        <v>0.4</v>
      </c>
      <c r="BX101" s="139">
        <f>[1]Modelo!$H$66</f>
        <v>0.04</v>
      </c>
      <c r="BY101" s="139">
        <f>ROUNDUP(SUM(ROUNDUP(AL101*AN101+0.1,1),ROUNDUP(V101*[1]Modelo!$H$29*AP101,1),ROUNDUP(W101*[1]Modelo!$H$36*AR101,1))*[1]Modelo!$H$69,1)</f>
        <v>0.7</v>
      </c>
      <c r="BZ101" s="139">
        <f>ROUNDUP(ROUNDUP(SUM(ROUNDUP(AL101*AN101+0.1,1),ROUNDUP(V101*[1]Modelo!$H$29*AP101,1),ROUNDUP(W101*[1]Modelo!$H$36*AR101,1))*[1]Modelo!$H$62,1)*[1]Modelo!$H$71,1)</f>
        <v>0.4</v>
      </c>
      <c r="CA101" s="142">
        <f t="shared" si="20"/>
        <v>17.452999999999992</v>
      </c>
      <c r="CB101" s="27"/>
      <c r="CC101" s="27">
        <f t="shared" si="21"/>
        <v>8.2449999999999992</v>
      </c>
      <c r="CD101" s="109">
        <f t="shared" si="22"/>
        <v>9.6999999999999993</v>
      </c>
      <c r="CE101" s="27">
        <f t="shared" si="23"/>
        <v>13.579999999999998</v>
      </c>
      <c r="CF101" s="27"/>
      <c r="CG101" s="126">
        <v>0</v>
      </c>
      <c r="CH101" s="27"/>
      <c r="CI101" s="27">
        <f t="shared" si="24"/>
        <v>0</v>
      </c>
      <c r="CJ101" s="27"/>
      <c r="CK101" s="27"/>
      <c r="CL101" s="27"/>
      <c r="CM101" s="27"/>
      <c r="CN101" s="27"/>
      <c r="CO101" s="27"/>
      <c r="CP101" s="27"/>
      <c r="CQ101" s="27"/>
      <c r="CR101" s="27"/>
      <c r="CS101" s="27"/>
      <c r="CT101" s="27"/>
      <c r="CU101" s="27"/>
      <c r="CV101" s="27"/>
      <c r="CW101" s="27"/>
      <c r="CX101" s="27"/>
      <c r="CY101" s="27"/>
      <c r="CZ101" s="27"/>
      <c r="DA101" s="27"/>
      <c r="DB101" s="27"/>
      <c r="DC101" s="27"/>
    </row>
    <row r="102" spans="3:107" s="20" customFormat="1" ht="29" customHeight="1" outlineLevel="1" thickBot="1" x14ac:dyDescent="0.35">
      <c r="C102" s="388" t="s">
        <v>101</v>
      </c>
      <c r="D102" s="461" t="s">
        <v>18</v>
      </c>
      <c r="E102" s="461" t="str">
        <f t="shared" si="697"/>
        <v>B</v>
      </c>
      <c r="F102" s="461" t="s">
        <v>423</v>
      </c>
      <c r="G102" s="461" t="s">
        <v>423</v>
      </c>
      <c r="H102" s="461" t="str">
        <f t="shared" si="698"/>
        <v>B</v>
      </c>
      <c r="I102" s="461" t="str">
        <f t="shared" si="699"/>
        <v>B</v>
      </c>
      <c r="J102" s="425">
        <f t="shared" ref="J102" si="703">V102+W102</f>
        <v>1</v>
      </c>
      <c r="K102" s="503" t="str">
        <f t="shared" ref="K102" si="704">AB102</f>
        <v>Chica 1</v>
      </c>
      <c r="L102" s="537" t="s">
        <v>751</v>
      </c>
      <c r="M102" s="532">
        <f t="shared" si="700"/>
        <v>5</v>
      </c>
      <c r="N102" s="532">
        <f t="shared" si="701"/>
        <v>2.1</v>
      </c>
      <c r="O102" s="538">
        <f t="shared" si="702"/>
        <v>7.1</v>
      </c>
      <c r="P102" s="58"/>
      <c r="Q102" s="462"/>
      <c r="R102" s="462"/>
      <c r="S102" s="462"/>
      <c r="T102" s="109"/>
      <c r="U102" s="144">
        <v>0</v>
      </c>
      <c r="V102" s="144">
        <v>0</v>
      </c>
      <c r="W102" s="144">
        <v>1</v>
      </c>
      <c r="X102" s="463"/>
      <c r="Y102" s="463" t="str">
        <f t="shared" ref="Y102" si="705">CONCATENATE(C102,LEFT(K102,5),J102)</f>
        <v>ProcedimientoChica1</v>
      </c>
      <c r="Z102" s="135">
        <f>VLOOKUP(Y102,[1]Modelo!$G$82:$H$281,2,FALSE)</f>
        <v>141</v>
      </c>
      <c r="AA102" s="463"/>
      <c r="AB102" s="137" t="str">
        <f t="shared" ref="AB102" si="706">IF(AND(U102&gt;=0,U102&lt;=6),"Chica 1",IF(AND(U102&gt;=7,U102&lt;=12),"Chica 2",IF(AND(U102&gt;=13,U102&lt;=18),"Chica 3",IF(AND(U102&gt;=19,U102&lt;=24),"Chica 4",IF(AND(U102&gt;=25,U102&lt;=30),"Mediana 1",IF(AND(U102&gt;=31,U102&lt;=36),"Mediana 2",IF(AND(U102&gt;=37,U102&lt;=42),"Mediana 3",IF(AND(U102&gt;=43,U102&lt;=48),"Mediana 4",IF(AND(U102&gt;=49,U102&lt;=54),"Grande 1",IF(AND(U102&gt;=55,U102&lt;=60),"Grande 2",IF(AND(U102&gt;=61,U102&lt;=66),"Grande 3",IF(AND(U102&gt;=67,U102&lt;=72),"Grande 4",IF(AND(U102&gt;=73,U102&lt;=78),"M. grande 1",IF(AND(U102&gt;=79,U102&lt;=84),"M. grande 2",IF(AND(U102&gt;=85,U102&lt;=90),"M. grande 3",IF(AND(U102&gt;=91,U102&lt;=96),"M. grande 4","NO DEF"))))))))))))))))</f>
        <v>Chica 1</v>
      </c>
      <c r="AC102" s="137" t="str">
        <f t="shared" ref="AC102" si="707">IF(E102="A","Alta",IF(E102="M","Media","Baja"))</f>
        <v>Baja</v>
      </c>
      <c r="AD102" s="137" t="str">
        <f t="shared" ref="AD102" si="708">IF(E102="A","Alta",IF(E102="M","Media","Baja"))</f>
        <v>Baja</v>
      </c>
      <c r="AE102" s="137" t="str">
        <f t="shared" ref="AE102" si="709">IF(F102="A","Alta",IF(F102="M","Media","Baja"))</f>
        <v>Baja</v>
      </c>
      <c r="AF102" s="137" t="str">
        <f t="shared" ref="AF102" si="710">IF(F102="A","Alta",IF(F102="M","Media","Baja"))</f>
        <v>Baja</v>
      </c>
      <c r="AG102" s="137" t="str">
        <f t="shared" ref="AG102" si="711">IF(G102="A","Alta",IF(G102="M","Media","Baja"))</f>
        <v>Baja</v>
      </c>
      <c r="AH102" s="137" t="str">
        <f t="shared" ref="AH102" si="712">IF(G102="A","Alta",IF(G102="M","Media","Baja"))</f>
        <v>Baja</v>
      </c>
      <c r="AI102" s="137" t="str">
        <f t="shared" ref="AI102" si="713">IF(H102="A","Alta",IF(H102="M","Media","Baja"))</f>
        <v>Baja</v>
      </c>
      <c r="AJ102" s="137" t="str">
        <f t="shared" ref="AJ102" si="714">IF(I102="A","Alta",IF(I102="M","Media","Baja"))</f>
        <v>Baja</v>
      </c>
      <c r="AK102" s="40"/>
      <c r="AL102" s="138">
        <f>IF(AB102=[1]Modelo!$F$7,[1]Modelo!$H$7,IF(AB102=[1]Modelo!$F$8,[1]Modelo!$H$8,IF(AB102=[1]Modelo!$F$9,[1]Modelo!$H$9,IF(AB102=[1]Modelo!$F$10,[1]Modelo!$H$10,IF(AB102=[1]Modelo!$F$11,[1]Modelo!$H$11,IF(AB102=[1]Modelo!$F$12,[1]Modelo!$H$12,IF(AB102=[1]Modelo!$F$13,[1]Modelo!$H$13,IF(AB102=[1]Modelo!$F$14,[1]Modelo!$H$14,IF(AB102=[1]Modelo!$F$15,[1]Modelo!$H$15,IF(AB102=[1]Modelo!$F$16,[1]Modelo!$H$16,IF(AB102=[1]Modelo!$F$17,[1]Modelo!$H$17,IF(AB102=[1]Modelo!$F$18,[1]Modelo!$H$18,IF(AB102=[1]Modelo!$F$19,[1]Modelo!$H$19,IF(AB102=[1]Modelo!$F$20,[1]Modelo!$H$20,IF(AB102=[1]Modelo!$F$21,[1]Modelo!$H$21,IF(AB102=[1]Modelo!$F$22,[1]Modelo!$H$22,0))))))))))))))))</f>
        <v>0.30000000000000004</v>
      </c>
      <c r="AM102" s="138">
        <f>IF(AB102=[1]Modelo!$F$7,[1]Modelo!$I$7,IF(AB102=[1]Modelo!$F$8,[1]Modelo!$I$8,IF(AB102=[1]Modelo!$F$9,[1]Modelo!$I$9,IF(AB102=[1]Modelo!$F$10,[1]Modelo!$I$10,IF(AB102=[1]Modelo!$F$11,[1]Modelo!$I$11,IF(AB102=[1]Modelo!$F$12,[1]Modelo!$I$12,IF(AB102=[1]Modelo!$F$13,[1]Modelo!$I$13,IF(AB102=[1]Modelo!$F$14,[1]Modelo!$I$14,IF(AB102=[1]Modelo!$F$15,[1]Modelo!$I$15,IF(AB102=[1]Modelo!$F$16,[1]Modelo!$I$16,IF(AB102=[1]Modelo!$F$17,[1]Modelo!$I$17,IF(AB102=[1]Modelo!$F$18,[1]Modelo!$I$18,IF(AB102=[1]Modelo!$F$19,[1]Modelo!$I$19,IF(AB102=[1]Modelo!$F$20,[1]Modelo!$I$20,IF(AB102=[1]Modelo!$F$21,[1]Modelo!$I$21,IF(AB102=[1]Modelo!$F$22,[1]Modelo!$I$22,0))))))))))))))))</f>
        <v>0.1</v>
      </c>
      <c r="AN102" s="138">
        <f>IF(AC102=[1]Modelo!$F$23,[1]Modelo!$H$23,IF(AC102=[1]Modelo!$F$24,[1]Modelo!$H$24,IF(AC102=[1]Modelo!$F$25,[1]Modelo!$H$25,0)))</f>
        <v>1</v>
      </c>
      <c r="AO102" s="138">
        <f>IF(AD102=[1]Modelo!$F$26,[1]Modelo!$H$26,IF(AD102=[1]Modelo!$F$27,[1]Modelo!$H$27,IF(AD102=[1]Modelo!$F$28,[1]Modelo!$H$28,0)))</f>
        <v>0.1</v>
      </c>
      <c r="AP102" s="138">
        <f>IF(AE102=[1]Modelo!$F$30,[1]Modelo!$H$30,IF(AE102=[1]Modelo!$F$31,[1]Modelo!$H$31,IF(AE102=[1]Modelo!$F$32,[1]Modelo!$H$32,0)))</f>
        <v>0.8</v>
      </c>
      <c r="AQ102" s="138">
        <f>IF(AF102=[1]Modelo!$F$33,[1]Modelo!$H$33,IF(AF102=[1]Modelo!$F$34,[1]Modelo!$H$34,IF(AF102=[1]Modelo!$F$35,[1]Modelo!$H$35,0)))</f>
        <v>0.3</v>
      </c>
      <c r="AR102" s="138">
        <f>IF(AG102=[1]Modelo!$F$37,[1]Modelo!$H$37,IF(AG102=[1]Modelo!$F$38,[1]Modelo!$H$38,IF(AG102=[1]Modelo!$F$39,[1]Modelo!$H$39,0)))</f>
        <v>0.8</v>
      </c>
      <c r="AS102" s="138">
        <f>IF(AH102=[1]Modelo!$F$40,[1]Modelo!$H$40,IF(AH102=[1]Modelo!$F$41,[1]Modelo!$H$41,IF(AH102=[1]Modelo!$F$42,[1]Modelo!$H$42,0)))</f>
        <v>0.4</v>
      </c>
      <c r="AT102" s="137">
        <f>IF(C102=[1]Modelo!$F$44,[1]Modelo!$H$44,IF(C102=[1]Modelo!$F$45,[1]Modelo!$H$45,IF(C102=[1]Modelo!$F$46,[1]Modelo!$H$46,IF(C102=[1]Modelo!$F$47,[1]Modelo!$H$47,IF(C102=[1]Modelo!$F$48,[1]Modelo!$H$48,IF(C102=[1]Modelo!$F$49,[1]Modelo!$H$49,IF(C102=[1]Modelo!$F$50,[1]Modelo!$H$50,IF(C102=[1]Modelo!$F$51,[1]Modelo!$H$51,IF(C102=[1]Modelo!$F$52,[1]Modelo!$H$52,IF(C102=[1]Modelo!$F$53,[1]Modelo!$H$53,0))))))))))</f>
        <v>2.5</v>
      </c>
      <c r="AU102" s="138">
        <f>IF(AI102=[1]Modelo!$F$54,[1]Modelo!$H$54,IF(AI102=[1]Modelo!$F$55,[1]Modelo!$H$55,IF(AI102=[1]Modelo!$F$56,[1]Modelo!$H$56,0)))</f>
        <v>1</v>
      </c>
      <c r="AV102" s="138">
        <f>IF(AJ102=[1]Modelo!$F$58,[1]Modelo!$H$58,IF(AJ102=[1]Modelo!$F$59,[1]Modelo!$H$59,IF(AJ102=[1]Modelo!$F$60,[1]Modelo!$H$60,0)))</f>
        <v>0.9</v>
      </c>
      <c r="AW102" s="40"/>
      <c r="AX102" s="139">
        <f>[1]Modelo!$H$2</f>
        <v>0.05</v>
      </c>
      <c r="AY102" s="140">
        <f>ROUNDUP([1]Modelo!$I$2*[1]Modelo!$H$3*[1]Modelo!$I$75,2)</f>
        <v>0.02</v>
      </c>
      <c r="AZ102" s="141">
        <f>ROUNDUP([1]Modelo!$I$2*[1]Modelo!$H$3*[1]Modelo!$H$4*[1]Modelo!$I$75,3)</f>
        <v>3.0000000000000001E-3</v>
      </c>
      <c r="BA102" s="139">
        <f>[1]Modelo!$H$5</f>
        <v>0.04</v>
      </c>
      <c r="BB102" s="139">
        <f>ROUNDUP(SUM(BC102,BE102,BG102,BI102)*[1]Modelo!$H$6,1)</f>
        <v>0.7</v>
      </c>
      <c r="BC102" s="139">
        <f>ROUNDUP((AL102*AN102+0.1)*[1]Modelo!$I$75,1)</f>
        <v>0.4</v>
      </c>
      <c r="BD102" s="139">
        <f>ROUNDUP(AM102*AN102*AO102*[1]Modelo!$I$75,1)</f>
        <v>0.1</v>
      </c>
      <c r="BE102" s="139">
        <f>ROUNDUP(V102*[1]Modelo!$H$29*AP102*[1]Modelo!$I$75*2/3,1)</f>
        <v>0</v>
      </c>
      <c r="BF102" s="139">
        <f>ROUNDUP(V102*[1]Modelo!$H$29*AP102*AQ102*[1]Modelo!$I$75*2/3,1)</f>
        <v>0</v>
      </c>
      <c r="BG102" s="139">
        <f>ROUNDUP(V102*[1]Modelo!$H$29*AP102*[1]Modelo!$I$75/3,1)</f>
        <v>0</v>
      </c>
      <c r="BH102" s="139">
        <f>ROUNDUP(V102*[1]Modelo!$H$29*AP102*AQ102*[1]Modelo!$I$75/3,1)</f>
        <v>0</v>
      </c>
      <c r="BI102" s="139">
        <f>ROUNDUP(W102*[1]Modelo!$H$36*AR102*[1]Modelo!$I$75,1)</f>
        <v>1.6</v>
      </c>
      <c r="BJ102" s="139">
        <f>ROUNDUP(W102*[1]Modelo!$H$36*AR102*AS102*[1]Modelo!$I$75,1)</f>
        <v>0.7</v>
      </c>
      <c r="BK102" s="139">
        <f>[1]Modelo!$H$43</f>
        <v>0.04</v>
      </c>
      <c r="BL102" s="139">
        <f>ROUNDUP(SUM(ROUNDUP(AL102*AN102+0.1,1),ROUNDUP(V102*[1]Modelo!$H$29*AP102,1),ROUNDUP(W102*[1]Modelo!$H$36*AR102,1))*AU102*AT102*[1]Modelo!$I$75,1)</f>
        <v>5</v>
      </c>
      <c r="BM102" s="139">
        <f t="shared" ref="BM102" si="715">IF(K$32="x",0, BL102*0.1*1.25)</f>
        <v>0</v>
      </c>
      <c r="BN102" s="139">
        <f t="shared" ref="BN102" si="716">IF(Q102="x",(BL102)*0.1,0)</f>
        <v>0</v>
      </c>
      <c r="BO102" s="139">
        <f t="shared" ref="BO102" si="717">IF(R102="x",(BL102)*0.12,0)</f>
        <v>0</v>
      </c>
      <c r="BP102" s="139">
        <f t="shared" ref="BP102" si="718">IF(S102="x",(BL102)*0.12,0)*4</f>
        <v>0</v>
      </c>
      <c r="BQ102" s="139">
        <f>ROUNDUP(SUM(ROUNDUP(AL102*AN102+0.1,1),ROUNDUP(V102*[1]Modelo!$H$29*AP102,1),ROUNDUP(W102*[1]Modelo!$H$36*AR102,1))*AT102*AV102*[1]Modelo!$H$57,1)</f>
        <v>2.1</v>
      </c>
      <c r="BR102" s="409">
        <v>0</v>
      </c>
      <c r="BS102" s="139">
        <f>[1]Modelo!$H$61</f>
        <v>0.04</v>
      </c>
      <c r="BT102" s="139">
        <f>ROUNDUP(SUM(ROUNDUP(AL102*AN102+0.1,1),ROUNDUP(V102*[1]Modelo!$H$29*AP102,1),ROUNDUP(W102*[1]Modelo!$H$36*AR102,1))*[1]Modelo!$H$62*[1]Modelo!$I$75,1)</f>
        <v>0.2</v>
      </c>
      <c r="BU102" s="139">
        <f>ROUNDUP(ROUNDUP(SUM(ROUNDUP(AL102*AN102+0.1,1),ROUNDUP(V102*[1]Modelo!$H$29*AP102,1),ROUNDUP(W102*[1]Modelo!$H$36*AR102,1))*[1]Modelo!$H$62,1)*[1]Modelo!$H$63*[1]Modelo!$I$75,1)</f>
        <v>0.1</v>
      </c>
      <c r="BV102" s="139">
        <f>SUM(ROUNDUP(AL102*AN102+0.1,1),ROUNDUP(V102*[1]Modelo!$H$29*AP102,1),ROUNDUP(W102*[1]Modelo!$H$36*AR102,1))*[1]Modelo!$H$64*[1]Modelo!$I$75</f>
        <v>0.4</v>
      </c>
      <c r="BW102" s="139">
        <f>ROUNDUP(SUM(ROUNDUP(AL102*AN102+0.1,1),ROUNDUP(V102*[1]Modelo!$H$29*AP102,1),ROUNDUP(W102*[1]Modelo!$H$36*AR102,1))*[1]Modelo!$H$64*[1]Modelo!$H$65*[1]Modelo!$I$75,1)</f>
        <v>0.2</v>
      </c>
      <c r="BX102" s="139">
        <f>[1]Modelo!$H$66</f>
        <v>0.04</v>
      </c>
      <c r="BY102" s="139">
        <f>ROUNDUP(SUM(ROUNDUP(AL102*AN102+0.1,1),ROUNDUP(V102*[1]Modelo!$H$29*AP102,1),ROUNDUP(W102*[1]Modelo!$H$36*AR102,1))*[1]Modelo!$H$69,1)</f>
        <v>0.5</v>
      </c>
      <c r="BZ102" s="139">
        <f>ROUNDUP(ROUNDUP(SUM(ROUNDUP(AL102*AN102+0.1,1),ROUNDUP(V102*[1]Modelo!$H$29*AP102,1),ROUNDUP(W102*[1]Modelo!$H$36*AR102,1))*[1]Modelo!$H$62,1)*[1]Modelo!$H$71,1)</f>
        <v>0.4</v>
      </c>
      <c r="CA102" s="142">
        <f t="shared" ref="CA102" si="719">SUM(AX102:BZ102)</f>
        <v>12.632999999999997</v>
      </c>
      <c r="CB102" s="27"/>
      <c r="CC102" s="27">
        <f t="shared" ref="CC102" si="720">CD102*0.85</f>
        <v>6.0349999999999993</v>
      </c>
      <c r="CD102" s="109">
        <f t="shared" ref="CD102" si="721">O102</f>
        <v>7.1</v>
      </c>
      <c r="CE102" s="27">
        <f t="shared" ref="CE102" si="722">IF(CD102=0,1,CD102*1.4)</f>
        <v>9.94</v>
      </c>
      <c r="CF102" s="27"/>
      <c r="CG102" s="126">
        <v>0</v>
      </c>
      <c r="CH102" s="27"/>
      <c r="CI102" s="27">
        <f t="shared" ref="CI102" si="723">IF(CF102&lt;&gt;"",CF102,CG102)</f>
        <v>0</v>
      </c>
      <c r="CJ102" s="27"/>
      <c r="CK102" s="27"/>
      <c r="CL102" s="27"/>
      <c r="CM102" s="27"/>
      <c r="CN102" s="27"/>
      <c r="CO102" s="27"/>
      <c r="CP102" s="27"/>
      <c r="CQ102" s="27"/>
      <c r="CR102" s="27"/>
      <c r="CS102" s="27"/>
      <c r="CT102" s="27"/>
      <c r="CU102" s="27"/>
      <c r="CV102" s="27"/>
      <c r="CW102" s="27"/>
      <c r="CX102" s="27"/>
      <c r="CY102" s="27"/>
      <c r="CZ102" s="27"/>
      <c r="DA102" s="27"/>
      <c r="DB102" s="27"/>
      <c r="DC102" s="27"/>
    </row>
    <row r="103" spans="3:107" s="20" customFormat="1" ht="74" customHeight="1" outlineLevel="1" collapsed="1" thickBot="1" x14ac:dyDescent="0.35">
      <c r="C103" s="388" t="s">
        <v>101</v>
      </c>
      <c r="D103" s="461" t="s">
        <v>18</v>
      </c>
      <c r="E103" s="461" t="str">
        <f t="shared" ref="E103" si="724">IF(U103&gt;50,"A",IF(U103&gt;15,"M","B"))</f>
        <v>B</v>
      </c>
      <c r="F103" s="461" t="s">
        <v>423</v>
      </c>
      <c r="G103" s="461" t="s">
        <v>423</v>
      </c>
      <c r="H103" s="461" t="str">
        <f t="shared" ref="H103" si="725">IF(V103+W103&gt;20,"A",IF(V103+W103&gt;5,"M","B"))</f>
        <v>B</v>
      </c>
      <c r="I103" s="461" t="str">
        <f t="shared" ref="I103" si="726">IF(V103+W103&gt;15,"A",IF(V103+W103&gt;4,"M","B"))</f>
        <v>B</v>
      </c>
      <c r="J103" s="425">
        <f t="shared" ref="J103" si="727">V103+W103</f>
        <v>4</v>
      </c>
      <c r="K103" s="503" t="str">
        <f t="shared" ref="K103" si="728">AB103</f>
        <v>Chica 2</v>
      </c>
      <c r="L103" s="537" t="s">
        <v>793</v>
      </c>
      <c r="M103" s="532">
        <f t="shared" ref="M103" si="729">BL103+BM103+BN103+BO103+BP103</f>
        <v>9.7999999999999989</v>
      </c>
      <c r="N103" s="532">
        <f t="shared" ref="N103" si="730">BQ103</f>
        <v>4</v>
      </c>
      <c r="O103" s="538">
        <f t="shared" ref="O103" si="731">SUM(M103,N103)</f>
        <v>13.799999999999999</v>
      </c>
      <c r="P103" s="58"/>
      <c r="Q103" s="462"/>
      <c r="R103" s="462"/>
      <c r="S103" s="462"/>
      <c r="T103" s="109"/>
      <c r="U103" s="144">
        <v>10</v>
      </c>
      <c r="V103" s="144">
        <v>4</v>
      </c>
      <c r="W103" s="144">
        <v>0</v>
      </c>
      <c r="X103" s="463"/>
      <c r="Y103" s="463" t="str">
        <f t="shared" ref="Y103" si="732">CONCATENATE(C103,LEFT(K103,5),J103)</f>
        <v>ProcedimientoChica4</v>
      </c>
      <c r="Z103" s="135">
        <f>VLOOKUP(Y103,[1]Modelo!$G$82:$H$281,2,FALSE)</f>
        <v>144</v>
      </c>
      <c r="AA103" s="463"/>
      <c r="AB103" s="137" t="str">
        <f t="shared" ref="AB103" si="733">IF(AND(U103&gt;=0,U103&lt;=6),"Chica 1",IF(AND(U103&gt;=7,U103&lt;=12),"Chica 2",IF(AND(U103&gt;=13,U103&lt;=18),"Chica 3",IF(AND(U103&gt;=19,U103&lt;=24),"Chica 4",IF(AND(U103&gt;=25,U103&lt;=30),"Mediana 1",IF(AND(U103&gt;=31,U103&lt;=36),"Mediana 2",IF(AND(U103&gt;=37,U103&lt;=42),"Mediana 3",IF(AND(U103&gt;=43,U103&lt;=48),"Mediana 4",IF(AND(U103&gt;=49,U103&lt;=54),"Grande 1",IF(AND(U103&gt;=55,U103&lt;=60),"Grande 2",IF(AND(U103&gt;=61,U103&lt;=66),"Grande 3",IF(AND(U103&gt;=67,U103&lt;=72),"Grande 4",IF(AND(U103&gt;=73,U103&lt;=78),"M. grande 1",IF(AND(U103&gt;=79,U103&lt;=84),"M. grande 2",IF(AND(U103&gt;=85,U103&lt;=90),"M. grande 3",IF(AND(U103&gt;=91,U103&lt;=96),"M. grande 4","NO DEF"))))))))))))))))</f>
        <v>Chica 2</v>
      </c>
      <c r="AC103" s="137" t="str">
        <f t="shared" ref="AC103" si="734">IF(E103="A","Alta",IF(E103="M","Media","Baja"))</f>
        <v>Baja</v>
      </c>
      <c r="AD103" s="137" t="str">
        <f t="shared" ref="AD103" si="735">IF(E103="A","Alta",IF(E103="M","Media","Baja"))</f>
        <v>Baja</v>
      </c>
      <c r="AE103" s="137" t="str">
        <f t="shared" ref="AE103" si="736">IF(F103="A","Alta",IF(F103="M","Media","Baja"))</f>
        <v>Baja</v>
      </c>
      <c r="AF103" s="137" t="str">
        <f t="shared" ref="AF103" si="737">IF(F103="A","Alta",IF(F103="M","Media","Baja"))</f>
        <v>Baja</v>
      </c>
      <c r="AG103" s="137" t="str">
        <f t="shared" ref="AG103" si="738">IF(G103="A","Alta",IF(G103="M","Media","Baja"))</f>
        <v>Baja</v>
      </c>
      <c r="AH103" s="137" t="str">
        <f t="shared" ref="AH103" si="739">IF(G103="A","Alta",IF(G103="M","Media","Baja"))</f>
        <v>Baja</v>
      </c>
      <c r="AI103" s="137" t="str">
        <f t="shared" ref="AI103" si="740">IF(H103="A","Alta",IF(H103="M","Media","Baja"))</f>
        <v>Baja</v>
      </c>
      <c r="AJ103" s="137" t="str">
        <f t="shared" ref="AJ103" si="741">IF(I103="A","Alta",IF(I103="M","Media","Baja"))</f>
        <v>Baja</v>
      </c>
      <c r="AK103" s="40"/>
      <c r="AL103" s="138">
        <f>IF(AB103=[1]Modelo!$F$7,[1]Modelo!$H$7,IF(AB103=[1]Modelo!$F$8,[1]Modelo!$H$8,IF(AB103=[1]Modelo!$F$9,[1]Modelo!$H$9,IF(AB103=[1]Modelo!$F$10,[1]Modelo!$H$10,IF(AB103=[1]Modelo!$F$11,[1]Modelo!$H$11,IF(AB103=[1]Modelo!$F$12,[1]Modelo!$H$12,IF(AB103=[1]Modelo!$F$13,[1]Modelo!$H$13,IF(AB103=[1]Modelo!$F$14,[1]Modelo!$H$14,IF(AB103=[1]Modelo!$F$15,[1]Modelo!$H$15,IF(AB103=[1]Modelo!$F$16,[1]Modelo!$H$16,IF(AB103=[1]Modelo!$F$17,[1]Modelo!$H$17,IF(AB103=[1]Modelo!$F$18,[1]Modelo!$H$18,IF(AB103=[1]Modelo!$F$19,[1]Modelo!$H$19,IF(AB103=[1]Modelo!$F$20,[1]Modelo!$H$20,IF(AB103=[1]Modelo!$F$21,[1]Modelo!$H$21,IF(AB103=[1]Modelo!$F$22,[1]Modelo!$H$22,0))))))))))))))))</f>
        <v>0.60000000000000009</v>
      </c>
      <c r="AM103" s="138">
        <f>IF(AB103=[1]Modelo!$F$7,[1]Modelo!$I$7,IF(AB103=[1]Modelo!$F$8,[1]Modelo!$I$8,IF(AB103=[1]Modelo!$F$9,[1]Modelo!$I$9,IF(AB103=[1]Modelo!$F$10,[1]Modelo!$I$10,IF(AB103=[1]Modelo!$F$11,[1]Modelo!$I$11,IF(AB103=[1]Modelo!$F$12,[1]Modelo!$I$12,IF(AB103=[1]Modelo!$F$13,[1]Modelo!$I$13,IF(AB103=[1]Modelo!$F$14,[1]Modelo!$I$14,IF(AB103=[1]Modelo!$F$15,[1]Modelo!$I$15,IF(AB103=[1]Modelo!$F$16,[1]Modelo!$I$16,IF(AB103=[1]Modelo!$F$17,[1]Modelo!$I$17,IF(AB103=[1]Modelo!$F$18,[1]Modelo!$I$18,IF(AB103=[1]Modelo!$F$19,[1]Modelo!$I$19,IF(AB103=[1]Modelo!$F$20,[1]Modelo!$I$20,IF(AB103=[1]Modelo!$F$21,[1]Modelo!$I$21,IF(AB103=[1]Modelo!$F$22,[1]Modelo!$I$22,0))))))))))))))))</f>
        <v>0.2</v>
      </c>
      <c r="AN103" s="138">
        <f>IF(AC103=[1]Modelo!$F$23,[1]Modelo!$H$23,IF(AC103=[1]Modelo!$F$24,[1]Modelo!$H$24,IF(AC103=[1]Modelo!$F$25,[1]Modelo!$H$25,0)))</f>
        <v>1</v>
      </c>
      <c r="AO103" s="138">
        <f>IF(AD103=[1]Modelo!$F$26,[1]Modelo!$H$26,IF(AD103=[1]Modelo!$F$27,[1]Modelo!$H$27,IF(AD103=[1]Modelo!$F$28,[1]Modelo!$H$28,0)))</f>
        <v>0.1</v>
      </c>
      <c r="AP103" s="138">
        <f>IF(AE103=[1]Modelo!$F$30,[1]Modelo!$H$30,IF(AE103=[1]Modelo!$F$31,[1]Modelo!$H$31,IF(AE103=[1]Modelo!$F$32,[1]Modelo!$H$32,0)))</f>
        <v>0.8</v>
      </c>
      <c r="AQ103" s="138">
        <f>IF(AF103=[1]Modelo!$F$33,[1]Modelo!$H$33,IF(AF103=[1]Modelo!$F$34,[1]Modelo!$H$34,IF(AF103=[1]Modelo!$F$35,[1]Modelo!$H$35,0)))</f>
        <v>0.3</v>
      </c>
      <c r="AR103" s="138">
        <f>IF(AG103=[1]Modelo!$F$37,[1]Modelo!$H$37,IF(AG103=[1]Modelo!$F$38,[1]Modelo!$H$38,IF(AG103=[1]Modelo!$F$39,[1]Modelo!$H$39,0)))</f>
        <v>0.8</v>
      </c>
      <c r="AS103" s="138">
        <f>IF(AH103=[1]Modelo!$F$40,[1]Modelo!$H$40,IF(AH103=[1]Modelo!$F$41,[1]Modelo!$H$41,IF(AH103=[1]Modelo!$F$42,[1]Modelo!$H$42,0)))</f>
        <v>0.4</v>
      </c>
      <c r="AT103" s="137">
        <f>IF(C103=[1]Modelo!$F$44,[1]Modelo!$H$44,IF(C103=[1]Modelo!$F$45,[1]Modelo!$H$45,IF(C103=[1]Modelo!$F$46,[1]Modelo!$H$46,IF(C103=[1]Modelo!$F$47,[1]Modelo!$H$47,IF(C103=[1]Modelo!$F$48,[1]Modelo!$H$48,IF(C103=[1]Modelo!$F$49,[1]Modelo!$H$49,IF(C103=[1]Modelo!$F$50,[1]Modelo!$H$50,IF(C103=[1]Modelo!$F$51,[1]Modelo!$H$51,IF(C103=[1]Modelo!$F$52,[1]Modelo!$H$52,IF(C103=[1]Modelo!$F$53,[1]Modelo!$H$53,0))))))))))</f>
        <v>2.5</v>
      </c>
      <c r="AU103" s="138">
        <f>IF(AI103=[1]Modelo!$F$54,[1]Modelo!$H$54,IF(AI103=[1]Modelo!$F$55,[1]Modelo!$H$55,IF(AI103=[1]Modelo!$F$56,[1]Modelo!$H$56,0)))</f>
        <v>1</v>
      </c>
      <c r="AV103" s="138">
        <f>IF(AJ103=[1]Modelo!$F$58,[1]Modelo!$H$58,IF(AJ103=[1]Modelo!$F$59,[1]Modelo!$H$59,IF(AJ103=[1]Modelo!$F$60,[1]Modelo!$H$60,0)))</f>
        <v>0.9</v>
      </c>
      <c r="AW103" s="40"/>
      <c r="AX103" s="139">
        <f>[1]Modelo!$H$2</f>
        <v>0.05</v>
      </c>
      <c r="AY103" s="140">
        <f>ROUNDUP([1]Modelo!$I$2*[1]Modelo!$H$3*[1]Modelo!$I$75,2)</f>
        <v>0.02</v>
      </c>
      <c r="AZ103" s="141">
        <f>ROUNDUP([1]Modelo!$I$2*[1]Modelo!$H$3*[1]Modelo!$H$4*[1]Modelo!$I$75,3)</f>
        <v>3.0000000000000001E-3</v>
      </c>
      <c r="BA103" s="139">
        <f>[1]Modelo!$H$5</f>
        <v>0.04</v>
      </c>
      <c r="BB103" s="139">
        <f>ROUNDUP(SUM(BC103,BE103,BG103,BI103)*[1]Modelo!$H$6,1)</f>
        <v>1.4000000000000001</v>
      </c>
      <c r="BC103" s="139">
        <f>ROUNDUP((AL103*AN103+0.1)*[1]Modelo!$I$75,1)</f>
        <v>0.7</v>
      </c>
      <c r="BD103" s="139">
        <f>ROUNDUP(AM103*AN103*AO103*[1]Modelo!$I$75,1)</f>
        <v>0.1</v>
      </c>
      <c r="BE103" s="139">
        <f>ROUNDUP(V103*[1]Modelo!$H$29*AP103*[1]Modelo!$I$75*2/3,1)</f>
        <v>2.2000000000000002</v>
      </c>
      <c r="BF103" s="139">
        <f>ROUNDUP(V103*[1]Modelo!$H$29*AP103*AQ103*[1]Modelo!$I$75*2/3,1)</f>
        <v>0.7</v>
      </c>
      <c r="BG103" s="139">
        <f>ROUNDUP(V103*[1]Modelo!$H$29*AP103*[1]Modelo!$I$75/3,1)</f>
        <v>1.1000000000000001</v>
      </c>
      <c r="BH103" s="139">
        <f>ROUNDUP(V103*[1]Modelo!$H$29*AP103*AQ103*[1]Modelo!$I$75/3,1)</f>
        <v>0.4</v>
      </c>
      <c r="BI103" s="139">
        <f>ROUNDUP(W103*[1]Modelo!$H$36*AR103*[1]Modelo!$I$75,1)</f>
        <v>0</v>
      </c>
      <c r="BJ103" s="139">
        <f>ROUNDUP(W103*[1]Modelo!$H$36*AR103*AS103*[1]Modelo!$I$75,1)</f>
        <v>0</v>
      </c>
      <c r="BK103" s="139">
        <f>[1]Modelo!$H$43</f>
        <v>0.04</v>
      </c>
      <c r="BL103" s="139">
        <f>ROUNDUP(SUM(ROUNDUP(AL103*AN103+0.1,1),ROUNDUP(V103*[1]Modelo!$H$29*AP103,1),ROUNDUP(W103*[1]Modelo!$H$36*AR103,1))*AU103*AT103*[1]Modelo!$I$75,1)</f>
        <v>9.7999999999999989</v>
      </c>
      <c r="BM103" s="139">
        <f t="shared" ref="BM103" si="742">IF(K$32="x",0, BL103*0.1*1.25)</f>
        <v>0</v>
      </c>
      <c r="BN103" s="139">
        <f t="shared" ref="BN103" si="743">IF(Q103="x",(BL103)*0.1,0)</f>
        <v>0</v>
      </c>
      <c r="BO103" s="139">
        <f t="shared" ref="BO103" si="744">IF(R103="x",(BL103)*0.12,0)</f>
        <v>0</v>
      </c>
      <c r="BP103" s="139">
        <f t="shared" ref="BP103" si="745">IF(S103="x",(BL103)*0.12,0)*4</f>
        <v>0</v>
      </c>
      <c r="BQ103" s="139">
        <f>ROUNDUP(SUM(ROUNDUP(AL103*AN103+0.1,1),ROUNDUP(V103*[1]Modelo!$H$29*AP103,1),ROUNDUP(W103*[1]Modelo!$H$36*AR103,1))*AT103*AV103*[1]Modelo!$H$57,1)</f>
        <v>4</v>
      </c>
      <c r="BR103" s="409">
        <v>0</v>
      </c>
      <c r="BS103" s="139">
        <f>[1]Modelo!$H$61</f>
        <v>0.04</v>
      </c>
      <c r="BT103" s="139">
        <f>ROUNDUP(SUM(ROUNDUP(AL103*AN103+0.1,1),ROUNDUP(V103*[1]Modelo!$H$29*AP103,1),ROUNDUP(W103*[1]Modelo!$H$36*AR103,1))*[1]Modelo!$H$62*[1]Modelo!$I$75,1)</f>
        <v>0.30000000000000004</v>
      </c>
      <c r="BU103" s="139">
        <f>ROUNDUP(ROUNDUP(SUM(ROUNDUP(AL103*AN103+0.1,1),ROUNDUP(V103*[1]Modelo!$H$29*AP103,1),ROUNDUP(W103*[1]Modelo!$H$36*AR103,1))*[1]Modelo!$H$62,1)*[1]Modelo!$H$63*[1]Modelo!$I$75,1)</f>
        <v>0.1</v>
      </c>
      <c r="BV103" s="139">
        <f>SUM(ROUNDUP(AL103*AN103+0.1,1),ROUNDUP(V103*[1]Modelo!$H$29*AP103,1),ROUNDUP(W103*[1]Modelo!$H$36*AR103,1))*[1]Modelo!$H$64*[1]Modelo!$I$75</f>
        <v>0.78000000000000014</v>
      </c>
      <c r="BW103" s="139">
        <f>ROUNDUP(SUM(ROUNDUP(AL103*AN103+0.1,1),ROUNDUP(V103*[1]Modelo!$H$29*AP103,1),ROUNDUP(W103*[1]Modelo!$H$36*AR103,1))*[1]Modelo!$H$64*[1]Modelo!$H$65*[1]Modelo!$I$75,1)</f>
        <v>0.4</v>
      </c>
      <c r="BX103" s="139">
        <f>[1]Modelo!$H$66</f>
        <v>0.04</v>
      </c>
      <c r="BY103" s="139">
        <f>ROUNDUP(SUM(ROUNDUP(AL103*AN103+0.1,1),ROUNDUP(V103*[1]Modelo!$H$29*AP103,1),ROUNDUP(W103*[1]Modelo!$H$36*AR103,1))*[1]Modelo!$H$69,1)</f>
        <v>0.9</v>
      </c>
      <c r="BZ103" s="139">
        <f>ROUNDUP(ROUNDUP(SUM(ROUNDUP(AL103*AN103+0.1,1),ROUNDUP(V103*[1]Modelo!$H$29*AP103,1),ROUNDUP(W103*[1]Modelo!$H$36*AR103,1))*[1]Modelo!$H$62,1)*[1]Modelo!$H$71,1)</f>
        <v>0.6</v>
      </c>
      <c r="CA103" s="142">
        <f t="shared" ref="CA103" si="746">SUM(AX103:BZ103)</f>
        <v>23.713000000000001</v>
      </c>
      <c r="CB103" s="27"/>
      <c r="CC103" s="27">
        <f t="shared" ref="CC103" si="747">CD103*0.85</f>
        <v>11.729999999999999</v>
      </c>
      <c r="CD103" s="109">
        <f t="shared" ref="CD103" si="748">O103</f>
        <v>13.799999999999999</v>
      </c>
      <c r="CE103" s="27">
        <f t="shared" ref="CE103" si="749">IF(CD103=0,1,CD103*1.4)</f>
        <v>19.319999999999997</v>
      </c>
      <c r="CF103" s="27"/>
      <c r="CG103" s="126">
        <v>0</v>
      </c>
      <c r="CH103" s="27"/>
      <c r="CI103" s="27">
        <f t="shared" ref="CI103" si="750">IF(CF103&lt;&gt;"",CF103,CG103)</f>
        <v>0</v>
      </c>
      <c r="CJ103" s="27"/>
      <c r="CK103" s="27"/>
      <c r="CL103" s="27"/>
      <c r="CM103" s="27"/>
      <c r="CN103" s="27"/>
      <c r="CO103" s="27"/>
      <c r="CP103" s="27"/>
      <c r="CQ103" s="27"/>
      <c r="CR103" s="27"/>
      <c r="CS103" s="27"/>
      <c r="CT103" s="27"/>
      <c r="CU103" s="27"/>
      <c r="CV103" s="27"/>
      <c r="CW103" s="27"/>
      <c r="CX103" s="27"/>
      <c r="CY103" s="27"/>
      <c r="CZ103" s="27"/>
      <c r="DA103" s="27"/>
      <c r="DB103" s="27"/>
      <c r="DC103" s="27"/>
    </row>
    <row r="104" spans="3:107" s="20" customFormat="1" ht="45" customHeight="1" thickBot="1" x14ac:dyDescent="0.35">
      <c r="C104" s="388"/>
      <c r="D104" s="461"/>
      <c r="E104" s="461"/>
      <c r="F104" s="461"/>
      <c r="G104" s="461"/>
      <c r="H104" s="461"/>
      <c r="I104" s="461"/>
      <c r="J104" s="425">
        <f t="shared" si="25"/>
        <v>0</v>
      </c>
      <c r="K104" s="503" t="str">
        <f t="shared" si="27"/>
        <v>Chica 1</v>
      </c>
      <c r="L104" s="549" t="s">
        <v>754</v>
      </c>
      <c r="M104" s="532"/>
      <c r="N104" s="532"/>
      <c r="O104" s="538"/>
      <c r="P104" s="58"/>
      <c r="Q104" s="462"/>
      <c r="R104" s="462"/>
      <c r="S104" s="462"/>
      <c r="T104" s="109"/>
      <c r="U104" s="144"/>
      <c r="V104" s="144"/>
      <c r="W104" s="144"/>
      <c r="X104" s="463"/>
      <c r="Y104" s="463" t="str">
        <f t="shared" si="10"/>
        <v>Chica0</v>
      </c>
      <c r="Z104" s="135" t="e">
        <f>VLOOKUP(Y104,[1]Modelo!$G$82:$H$281,2,FALSE)</f>
        <v>#N/A</v>
      </c>
      <c r="AA104" s="463"/>
      <c r="AB104" s="137" t="str">
        <f t="shared" si="11"/>
        <v>Chica 1</v>
      </c>
      <c r="AC104" s="137" t="str">
        <f t="shared" si="12"/>
        <v>Baja</v>
      </c>
      <c r="AD104" s="137" t="str">
        <f t="shared" si="28"/>
        <v>Baja</v>
      </c>
      <c r="AE104" s="137" t="str">
        <f t="shared" si="29"/>
        <v>Baja</v>
      </c>
      <c r="AF104" s="137" t="str">
        <f t="shared" si="30"/>
        <v>Baja</v>
      </c>
      <c r="AG104" s="137" t="str">
        <f t="shared" si="31"/>
        <v>Baja</v>
      </c>
      <c r="AH104" s="137" t="str">
        <f t="shared" si="32"/>
        <v>Baja</v>
      </c>
      <c r="AI104" s="137" t="str">
        <f t="shared" si="33"/>
        <v>Baja</v>
      </c>
      <c r="AJ104" s="137" t="str">
        <f t="shared" si="34"/>
        <v>Baja</v>
      </c>
      <c r="AK104" s="40"/>
      <c r="AL104" s="138">
        <f>IF(AB104=[1]Modelo!$F$7,[1]Modelo!$H$7,IF(AB104=[1]Modelo!$F$8,[1]Modelo!$H$8,IF(AB104=[1]Modelo!$F$9,[1]Modelo!$H$9,IF(AB104=[1]Modelo!$F$10,[1]Modelo!$H$10,IF(AB104=[1]Modelo!$F$11,[1]Modelo!$H$11,IF(AB104=[1]Modelo!$F$12,[1]Modelo!$H$12,IF(AB104=[1]Modelo!$F$13,[1]Modelo!$H$13,IF(AB104=[1]Modelo!$F$14,[1]Modelo!$H$14,IF(AB104=[1]Modelo!$F$15,[1]Modelo!$H$15,IF(AB104=[1]Modelo!$F$16,[1]Modelo!$H$16,IF(AB104=[1]Modelo!$F$17,[1]Modelo!$H$17,IF(AB104=[1]Modelo!$F$18,[1]Modelo!$H$18,IF(AB104=[1]Modelo!$F$19,[1]Modelo!$H$19,IF(AB104=[1]Modelo!$F$20,[1]Modelo!$H$20,IF(AB104=[1]Modelo!$F$21,[1]Modelo!$H$21,IF(AB104=[1]Modelo!$F$22,[1]Modelo!$H$22,0))))))))))))))))</f>
        <v>0.30000000000000004</v>
      </c>
      <c r="AM104" s="138">
        <f>IF(AB104=[1]Modelo!$F$7,[1]Modelo!$I$7,IF(AB104=[1]Modelo!$F$8,[1]Modelo!$I$8,IF(AB104=[1]Modelo!$F$9,[1]Modelo!$I$9,IF(AB104=[1]Modelo!$F$10,[1]Modelo!$I$10,IF(AB104=[1]Modelo!$F$11,[1]Modelo!$I$11,IF(AB104=[1]Modelo!$F$12,[1]Modelo!$I$12,IF(AB104=[1]Modelo!$F$13,[1]Modelo!$I$13,IF(AB104=[1]Modelo!$F$14,[1]Modelo!$I$14,IF(AB104=[1]Modelo!$F$15,[1]Modelo!$I$15,IF(AB104=[1]Modelo!$F$16,[1]Modelo!$I$16,IF(AB104=[1]Modelo!$F$17,[1]Modelo!$I$17,IF(AB104=[1]Modelo!$F$18,[1]Modelo!$I$18,IF(AB104=[1]Modelo!$F$19,[1]Modelo!$I$19,IF(AB104=[1]Modelo!$F$20,[1]Modelo!$I$20,IF(AB104=[1]Modelo!$F$21,[1]Modelo!$I$21,IF(AB104=[1]Modelo!$F$22,[1]Modelo!$I$22,0))))))))))))))))</f>
        <v>0.1</v>
      </c>
      <c r="AN104" s="138">
        <f>IF(AC104=[1]Modelo!$F$23,[1]Modelo!$H$23,IF(AC104=[1]Modelo!$F$24,[1]Modelo!$H$24,IF(AC104=[1]Modelo!$F$25,[1]Modelo!$H$25,0)))</f>
        <v>1</v>
      </c>
      <c r="AO104" s="138">
        <f>IF(AD104=[1]Modelo!$F$26,[1]Modelo!$H$26,IF(AD104=[1]Modelo!$F$27,[1]Modelo!$H$27,IF(AD104=[1]Modelo!$F$28,[1]Modelo!$H$28,0)))</f>
        <v>0.1</v>
      </c>
      <c r="AP104" s="138">
        <f>IF(AE104=[1]Modelo!$F$30,[1]Modelo!$H$30,IF(AE104=[1]Modelo!$F$31,[1]Modelo!$H$31,IF(AE104=[1]Modelo!$F$32,[1]Modelo!$H$32,0)))</f>
        <v>0.8</v>
      </c>
      <c r="AQ104" s="138">
        <f>IF(AF104=[1]Modelo!$F$33,[1]Modelo!$H$33,IF(AF104=[1]Modelo!$F$34,[1]Modelo!$H$34,IF(AF104=[1]Modelo!$F$35,[1]Modelo!$H$35,0)))</f>
        <v>0.3</v>
      </c>
      <c r="AR104" s="138">
        <f>IF(AG104=[1]Modelo!$F$37,[1]Modelo!$H$37,IF(AG104=[1]Modelo!$F$38,[1]Modelo!$H$38,IF(AG104=[1]Modelo!$F$39,[1]Modelo!$H$39,0)))</f>
        <v>0.8</v>
      </c>
      <c r="AS104" s="138">
        <f>IF(AH104=[1]Modelo!$F$40,[1]Modelo!$H$40,IF(AH104=[1]Modelo!$F$41,[1]Modelo!$H$41,IF(AH104=[1]Modelo!$F$42,[1]Modelo!$H$42,0)))</f>
        <v>0.4</v>
      </c>
      <c r="AT104" s="137">
        <f>IF(C104=[1]Modelo!$F$44,[1]Modelo!$H$44,IF(C104=[1]Modelo!$F$45,[1]Modelo!$H$45,IF(C104=[1]Modelo!$F$46,[1]Modelo!$H$46,IF(C104=[1]Modelo!$F$47,[1]Modelo!$H$47,IF(C104=[1]Modelo!$F$48,[1]Modelo!$H$48,IF(C104=[1]Modelo!$F$49,[1]Modelo!$H$49,IF(C104=[1]Modelo!$F$50,[1]Modelo!$H$50,IF(C104=[1]Modelo!$F$51,[1]Modelo!$H$51,IF(C104=[1]Modelo!$F$52,[1]Modelo!$H$52,IF(C104=[1]Modelo!$F$53,[1]Modelo!$H$53,0))))))))))</f>
        <v>0</v>
      </c>
      <c r="AU104" s="138">
        <f>IF(AI104=[1]Modelo!$F$54,[1]Modelo!$H$54,IF(AI104=[1]Modelo!$F$55,[1]Modelo!$H$55,IF(AI104=[1]Modelo!$F$56,[1]Modelo!$H$56,0)))</f>
        <v>1</v>
      </c>
      <c r="AV104" s="138">
        <f>IF(AJ104=[1]Modelo!$F$58,[1]Modelo!$H$58,IF(AJ104=[1]Modelo!$F$59,[1]Modelo!$H$59,IF(AJ104=[1]Modelo!$F$60,[1]Modelo!$H$60,0)))</f>
        <v>0.9</v>
      </c>
      <c r="AW104" s="40"/>
      <c r="AX104" s="139">
        <f>[1]Modelo!$H$2</f>
        <v>0.05</v>
      </c>
      <c r="AY104" s="140">
        <f>ROUNDUP([1]Modelo!$I$2*[1]Modelo!$H$3*[1]Modelo!$I$75,2)</f>
        <v>0.02</v>
      </c>
      <c r="AZ104" s="141">
        <f>ROUNDUP([1]Modelo!$I$2*[1]Modelo!$H$3*[1]Modelo!$H$4*[1]Modelo!$I$75,3)</f>
        <v>3.0000000000000001E-3</v>
      </c>
      <c r="BA104" s="139">
        <f>[1]Modelo!$H$5</f>
        <v>0.04</v>
      </c>
      <c r="BB104" s="139">
        <f>ROUNDUP(SUM(BC104,BE104,BG104,BI104)*[1]Modelo!$H$6,1)</f>
        <v>0.2</v>
      </c>
      <c r="BC104" s="139">
        <f>ROUNDUP((AL104*AN104+0.1)*[1]Modelo!$I$75,1)</f>
        <v>0.4</v>
      </c>
      <c r="BD104" s="139">
        <f>ROUNDUP(AM104*AN104*AO104*[1]Modelo!$I$75,1)</f>
        <v>0.1</v>
      </c>
      <c r="BE104" s="139">
        <f>ROUNDUP(V104*[1]Modelo!$H$29*AP104*[1]Modelo!$I$75*2/3,1)</f>
        <v>0</v>
      </c>
      <c r="BF104" s="139">
        <f>ROUNDUP(V104*[1]Modelo!$H$29*AP104*AQ104*[1]Modelo!$I$75*2/3,1)</f>
        <v>0</v>
      </c>
      <c r="BG104" s="139">
        <f>ROUNDUP(V104*[1]Modelo!$H$29*AP104*[1]Modelo!$I$75/3,1)</f>
        <v>0</v>
      </c>
      <c r="BH104" s="139">
        <f>ROUNDUP(V104*[1]Modelo!$H$29*AP104*AQ104*[1]Modelo!$I$75/3,1)</f>
        <v>0</v>
      </c>
      <c r="BI104" s="139">
        <f>ROUNDUP(W104*[1]Modelo!$H$36*AR104*[1]Modelo!$I$75,1)</f>
        <v>0</v>
      </c>
      <c r="BJ104" s="139">
        <f>ROUNDUP(W104*[1]Modelo!$H$36*AR104*AS104*[1]Modelo!$I$75,1)</f>
        <v>0</v>
      </c>
      <c r="BK104" s="139">
        <f>[1]Modelo!$H$43</f>
        <v>0.04</v>
      </c>
      <c r="BL104" s="139">
        <f>ROUNDUP(SUM(ROUNDUP(AL104*AN104+0.1,1),ROUNDUP(V104*[1]Modelo!$H$29*AP104,1),ROUNDUP(W104*[1]Modelo!$H$36*AR104,1))*AU104*AT104*[1]Modelo!$I$75,1)</f>
        <v>0</v>
      </c>
      <c r="BM104" s="139">
        <f t="shared" si="16"/>
        <v>0</v>
      </c>
      <c r="BN104" s="139">
        <f t="shared" si="17"/>
        <v>0</v>
      </c>
      <c r="BO104" s="139">
        <f t="shared" si="18"/>
        <v>0</v>
      </c>
      <c r="BP104" s="139">
        <f t="shared" si="19"/>
        <v>0</v>
      </c>
      <c r="BQ104" s="139">
        <f>ROUNDUP(SUM(ROUNDUP(AL104*AN104+0.1,1),ROUNDUP(V104*[1]Modelo!$H$29*AP104,1),ROUNDUP(W104*[1]Modelo!$H$36*AR104,1))*AT104*AV104*[1]Modelo!$H$57,1)</f>
        <v>0</v>
      </c>
      <c r="BR104" s="409">
        <v>0</v>
      </c>
      <c r="BS104" s="139">
        <f>[1]Modelo!$H$61</f>
        <v>0.04</v>
      </c>
      <c r="BT104" s="139">
        <f>ROUNDUP(SUM(ROUNDUP(AL104*AN104+0.1,1),ROUNDUP(V104*[1]Modelo!$H$29*AP104,1),ROUNDUP(W104*[1]Modelo!$H$36*AR104,1))*[1]Modelo!$H$62*[1]Modelo!$I$75,1)</f>
        <v>0.1</v>
      </c>
      <c r="BU104" s="139">
        <f>ROUNDUP(ROUNDUP(SUM(ROUNDUP(AL104*AN104+0.1,1),ROUNDUP(V104*[1]Modelo!$H$29*AP104,1),ROUNDUP(W104*[1]Modelo!$H$36*AR104,1))*[1]Modelo!$H$62,1)*[1]Modelo!$H$63*[1]Modelo!$I$75,1)</f>
        <v>0.1</v>
      </c>
      <c r="BV104" s="139">
        <f>SUM(ROUNDUP(AL104*AN104+0.1,1),ROUNDUP(V104*[1]Modelo!$H$29*AP104,1),ROUNDUP(W104*[1]Modelo!$H$36*AR104,1))*[1]Modelo!$H$64*[1]Modelo!$I$75</f>
        <v>8.0000000000000016E-2</v>
      </c>
      <c r="BW104" s="139">
        <f>ROUNDUP(SUM(ROUNDUP(AL104*AN104+0.1,1),ROUNDUP(V104*[1]Modelo!$H$29*AP104,1),ROUNDUP(W104*[1]Modelo!$H$36*AR104,1))*[1]Modelo!$H$64*[1]Modelo!$H$65*[1]Modelo!$I$75,1)</f>
        <v>0.1</v>
      </c>
      <c r="BX104" s="139">
        <f>[1]Modelo!$H$66</f>
        <v>0.04</v>
      </c>
      <c r="BY104" s="139">
        <f>ROUNDUP(SUM(ROUNDUP(AL104*AN104+0.1,1),ROUNDUP(V104*[1]Modelo!$H$29*AP104,1),ROUNDUP(W104*[1]Modelo!$H$36*AR104,1))*[1]Modelo!$H$69,1)</f>
        <v>0.1</v>
      </c>
      <c r="BZ104" s="139">
        <f>ROUNDUP(ROUNDUP(SUM(ROUNDUP(AL104*AN104+0.1,1),ROUNDUP(V104*[1]Modelo!$H$29*AP104,1),ROUNDUP(W104*[1]Modelo!$H$36*AR104,1))*[1]Modelo!$H$62,1)*[1]Modelo!$H$71,1)</f>
        <v>0.2</v>
      </c>
      <c r="CA104" s="142">
        <f t="shared" si="20"/>
        <v>1.6130000000000004</v>
      </c>
      <c r="CB104" s="27"/>
      <c r="CC104" s="27">
        <f t="shared" si="21"/>
        <v>0</v>
      </c>
      <c r="CD104" s="109">
        <f t="shared" si="22"/>
        <v>0</v>
      </c>
      <c r="CE104" s="27">
        <f t="shared" si="23"/>
        <v>1</v>
      </c>
      <c r="CF104" s="27"/>
      <c r="CG104" s="126">
        <v>0</v>
      </c>
      <c r="CH104" s="27"/>
      <c r="CI104" s="27">
        <f t="shared" si="24"/>
        <v>0</v>
      </c>
      <c r="CJ104" s="27"/>
      <c r="CK104" s="27"/>
      <c r="CL104" s="27"/>
      <c r="CM104" s="27"/>
      <c r="CN104" s="27"/>
      <c r="CO104" s="27"/>
      <c r="CP104" s="27"/>
      <c r="CQ104" s="27"/>
      <c r="CR104" s="27"/>
      <c r="CS104" s="27"/>
      <c r="CT104" s="27"/>
      <c r="CU104" s="27"/>
      <c r="CV104" s="27"/>
      <c r="CW104" s="27"/>
      <c r="CX104" s="27"/>
      <c r="CY104" s="27"/>
      <c r="CZ104" s="27"/>
      <c r="DA104" s="27"/>
      <c r="DB104" s="27"/>
      <c r="DC104" s="27"/>
    </row>
    <row r="105" spans="3:107" s="20" customFormat="1" ht="65.25" customHeight="1" outlineLevel="1" thickBot="1" x14ac:dyDescent="0.35">
      <c r="C105" s="388" t="s">
        <v>93</v>
      </c>
      <c r="D105" s="378" t="s">
        <v>76</v>
      </c>
      <c r="E105" s="378" t="str">
        <f t="shared" ref="E105:E107" si="751">IF(U105&gt;50,"A",IF(U105&gt;15,"M","B"))</f>
        <v>B</v>
      </c>
      <c r="F105" s="378" t="s">
        <v>423</v>
      </c>
      <c r="G105" s="378" t="s">
        <v>423</v>
      </c>
      <c r="H105" s="378" t="str">
        <f t="shared" ref="H105:H107" si="752">IF(V105+W105&gt;20,"A",IF(V105+W105&gt;5,"M","B"))</f>
        <v>B</v>
      </c>
      <c r="I105" s="378" t="str">
        <f t="shared" ref="I105:I107" si="753">IF(V105+W105&gt;15,"A",IF(V105+W105&gt;4,"M","B"))</f>
        <v>B</v>
      </c>
      <c r="J105" s="379">
        <f t="shared" si="25"/>
        <v>1</v>
      </c>
      <c r="K105" s="509" t="str">
        <f t="shared" si="27"/>
        <v>Chica 1</v>
      </c>
      <c r="L105" s="546" t="s">
        <v>794</v>
      </c>
      <c r="M105" s="526">
        <f t="shared" ref="M105:M107" si="754">BL105+BM105+BN105+BO105+BP105</f>
        <v>2.7</v>
      </c>
      <c r="N105" s="526">
        <f t="shared" ref="N105:N107" si="755">BQ105</f>
        <v>1.1000000000000001</v>
      </c>
      <c r="O105" s="530">
        <f t="shared" ref="O105:O107" si="756">SUM(M105,N105)</f>
        <v>3.8000000000000003</v>
      </c>
      <c r="P105" s="58"/>
      <c r="Q105" s="143"/>
      <c r="R105" s="143"/>
      <c r="S105" s="143"/>
      <c r="T105" s="109"/>
      <c r="U105" s="144">
        <v>5</v>
      </c>
      <c r="V105" s="144">
        <v>1</v>
      </c>
      <c r="W105" s="144">
        <v>0</v>
      </c>
      <c r="X105" s="136"/>
      <c r="Y105" s="136" t="str">
        <f t="shared" si="10"/>
        <v>CapturaChica1</v>
      </c>
      <c r="Z105" s="135">
        <f>VLOOKUP(Y105,Modelo!$G$82:$H$281,2,FALSE)</f>
        <v>41</v>
      </c>
      <c r="AA105" s="136"/>
      <c r="AB105" s="137" t="str">
        <f t="shared" si="11"/>
        <v>Chica 1</v>
      </c>
      <c r="AC105" s="137" t="str">
        <f t="shared" si="12"/>
        <v>Baja</v>
      </c>
      <c r="AD105" s="137" t="str">
        <f t="shared" si="28"/>
        <v>Baja</v>
      </c>
      <c r="AE105" s="137" t="str">
        <f t="shared" si="29"/>
        <v>Baja</v>
      </c>
      <c r="AF105" s="137" t="str">
        <f t="shared" si="30"/>
        <v>Baja</v>
      </c>
      <c r="AG105" s="137" t="str">
        <f t="shared" si="31"/>
        <v>Baja</v>
      </c>
      <c r="AH105" s="137" t="str">
        <f t="shared" si="32"/>
        <v>Baja</v>
      </c>
      <c r="AI105" s="137" t="str">
        <f t="shared" si="33"/>
        <v>Baja</v>
      </c>
      <c r="AJ105" s="137" t="str">
        <f t="shared" si="34"/>
        <v>Baja</v>
      </c>
      <c r="AK105" s="40"/>
      <c r="AL105" s="138">
        <f>IF(AB105=Modelo!$F$7,Modelo!$H$7,IF(AB105=Modelo!$F$8,Modelo!$H$8,IF(AB105=Modelo!$F$9,Modelo!$H$9,IF(AB105=Modelo!$F$10,Modelo!$H$10,IF(AB105=Modelo!$F$11,Modelo!$H$11,IF(AB105=Modelo!$F$12,Modelo!$H$12,IF(AB105=Modelo!$F$13,Modelo!$H$13,IF(AB105=Modelo!$F$14,Modelo!$H$14,IF(AB105=Modelo!$F$15,Modelo!$H$15,IF(AB105=Modelo!$F$16,Modelo!$H$16,IF(AB105=Modelo!$F$17,Modelo!$H$17,IF(AB105=Modelo!$F$18,Modelo!$H$18,IF(AB105=Modelo!$F$19,Modelo!$H$19,IF(AB105=Modelo!$F$20,Modelo!$H$20,IF(AB105=Modelo!$F$21,Modelo!$H$21,IF(AB105=Modelo!$F$22,Modelo!$H$22,0))))))))))))))))</f>
        <v>0.30000000000000004</v>
      </c>
      <c r="AM105" s="138">
        <f>IF(AB105=Modelo!$F$7,Modelo!$I$7,IF(AB105=Modelo!$F$8,Modelo!$I$8,IF(AB105=Modelo!$F$9,Modelo!$I$9,IF(AB105=Modelo!$F$10,Modelo!$I$10,IF(AB105=Modelo!$F$11,Modelo!$I$11,IF(AB105=Modelo!$F$12,Modelo!$I$12,IF(AB105=Modelo!$F$13,Modelo!$I$13,IF(AB105=Modelo!$F$14,Modelo!$I$14,IF(AB105=Modelo!$F$15,Modelo!$I$15,IF(AB105=Modelo!$F$16,Modelo!$I$16,IF(AB105=Modelo!$F$17,Modelo!$I$17,IF(AB105=Modelo!$F$18,Modelo!$I$18,IF(AB105=Modelo!$F$19,Modelo!$I$19,IF(AB105=Modelo!$F$20,Modelo!$I$20,IF(AB105=Modelo!$F$21,Modelo!$I$21,IF(AB105=Modelo!$F$22,Modelo!$I$22,0))))))))))))))))</f>
        <v>0.1</v>
      </c>
      <c r="AN105" s="138">
        <f>IF(AC105=Modelo!$F$23,Modelo!$H$23,IF(AC105=Modelo!$F$24,Modelo!$H$24,IF(AC105=Modelo!$F$25,Modelo!$H$25,0)))</f>
        <v>1</v>
      </c>
      <c r="AO105" s="138">
        <f>IF(AD105=Modelo!$F$26,Modelo!$H$26,IF(AD105=Modelo!$F$27,Modelo!$H$27,IF(AD105=Modelo!$F$28,Modelo!$H$28,0)))</f>
        <v>0.1</v>
      </c>
      <c r="AP105" s="138">
        <f>IF(AE105=Modelo!$F$30,Modelo!$H$30,IF(AE105=Modelo!$F$31,Modelo!$H$31,IF(AE105=Modelo!$F$32,Modelo!$H$32,0)))</f>
        <v>0.8</v>
      </c>
      <c r="AQ105" s="138">
        <f>IF(AF105=Modelo!$F$33,Modelo!$H$33,IF(AF105=Modelo!$F$34,Modelo!$H$34,IF(AF105=Modelo!$F$35,Modelo!$H$35,0)))</f>
        <v>0.3</v>
      </c>
      <c r="AR105" s="138">
        <f>IF(AG105=Modelo!$F$37,Modelo!$H$37,IF(AG105=Modelo!$F$38,Modelo!$H$38,IF(AG105=Modelo!$F$39,Modelo!$H$39,0)))</f>
        <v>0.8</v>
      </c>
      <c r="AS105" s="138">
        <f>IF(AH105=Modelo!$F$40,Modelo!$H$40,IF(AH105=Modelo!$F$41,Modelo!$H$41,IF(AH105=Modelo!$F$42,Modelo!$H$42,0)))</f>
        <v>0.4</v>
      </c>
      <c r="AT105" s="137">
        <f>IF(C105=Modelo!$F$44,Modelo!$H$44,IF(C105=Modelo!$F$45,Modelo!$H$45,IF(C105=Modelo!$F$46,Modelo!$H$46,IF(C105=Modelo!$F$47,Modelo!$H$47,IF(C105=Modelo!$F$48,Modelo!$H$48,IF(C105=Modelo!$F$49,Modelo!$H$49,IF(C105=Modelo!$F$50,Modelo!$H$50,IF(C105=Modelo!$F$51,Modelo!$H$51,IF(C105=Modelo!$F$52,Modelo!$H$52,IF(C105=Modelo!$F$53,Modelo!$H$53,0))))))))))</f>
        <v>2.2000000000000002</v>
      </c>
      <c r="AU105" s="138">
        <f>IF(AI105=Modelo!$F$54,Modelo!$H$54,IF(AI105=Modelo!$F$55,Modelo!$H$55,IF(AI105=Modelo!$F$56,Modelo!$H$56,0)))</f>
        <v>1</v>
      </c>
      <c r="AV105" s="138">
        <f>IF(AJ105=Modelo!$F$58,Modelo!$H$58,IF(AJ105=Modelo!$F$59,Modelo!$H$59,IF(AJ105=Modelo!$F$60,Modelo!$H$60,0)))</f>
        <v>0.9</v>
      </c>
      <c r="AW105" s="40"/>
      <c r="AX105" s="139">
        <f>Modelo!$H$2</f>
        <v>0.05</v>
      </c>
      <c r="AY105" s="140">
        <f>ROUNDUP(Modelo!$I$2*Modelo!$H$3*Modelo!$I$75,2)</f>
        <v>0.02</v>
      </c>
      <c r="AZ105" s="141">
        <f>ROUNDUP(Modelo!$I$2*Modelo!$H$3*Modelo!$H$4*Modelo!$I$75,3)</f>
        <v>4.0000000000000001E-3</v>
      </c>
      <c r="BA105" s="139">
        <f>Modelo!$H$5</f>
        <v>0.04</v>
      </c>
      <c r="BB105" s="139">
        <f>ROUNDUP(SUM(BC105,BE105,BG105,BI105)*Modelo!$H$6,1)</f>
        <v>0.5</v>
      </c>
      <c r="BC105" s="139">
        <f>ROUNDUP((AL105*AN105+0.1)*Modelo!$I$75,1)</f>
        <v>0.4</v>
      </c>
      <c r="BD105" s="139">
        <f>ROUNDUP(AM105*AN105*AO105*Modelo!$I$75,1)</f>
        <v>0.1</v>
      </c>
      <c r="BE105" s="139">
        <f>ROUNDUP(V105*Modelo!$H$29*AP105*Modelo!$I$75*2/3,1)</f>
        <v>0.6</v>
      </c>
      <c r="BF105" s="139">
        <f>ROUNDUP(V105*Modelo!$H$29*AP105*AQ105*Modelo!$I$75*2/3,1)</f>
        <v>0.2</v>
      </c>
      <c r="BG105" s="139">
        <f>ROUNDUP(V105*Modelo!$H$29*AP105*Modelo!$I$75/3,1)</f>
        <v>0.30000000000000004</v>
      </c>
      <c r="BH105" s="139">
        <f>ROUNDUP(V105*Modelo!$H$29*AP105*AQ105*Modelo!$I$75/3,1)</f>
        <v>0.1</v>
      </c>
      <c r="BI105" s="139">
        <f>ROUNDUP(W105*Modelo!$H$36*AR105*Modelo!$I$75,1)</f>
        <v>0</v>
      </c>
      <c r="BJ105" s="139">
        <f>ROUNDUP(W105*Modelo!$H$36*AR105*AS105*Modelo!$I$75,1)</f>
        <v>0</v>
      </c>
      <c r="BK105" s="139">
        <f>Modelo!$H$43</f>
        <v>0.04</v>
      </c>
      <c r="BL105" s="139">
        <f>ROUNDUP(SUM(ROUNDUP(AL105*AN105+0.1,1),ROUNDUP(V105*Modelo!$H$29*AP105,1),ROUNDUP(W105*Modelo!$H$36*AR105,1))*AU105*AT105*Modelo!$I$75,1)</f>
        <v>2.7</v>
      </c>
      <c r="BM105" s="139">
        <f t="shared" si="16"/>
        <v>0</v>
      </c>
      <c r="BN105" s="139">
        <f t="shared" si="17"/>
        <v>0</v>
      </c>
      <c r="BO105" s="139">
        <f t="shared" si="18"/>
        <v>0</v>
      </c>
      <c r="BP105" s="139">
        <f t="shared" si="19"/>
        <v>0</v>
      </c>
      <c r="BQ105" s="139">
        <f>ROUNDUP(SUM(ROUNDUP(AL105*AN105+0.1,1),ROUNDUP(V105*Modelo!$H$29*AP105,1),ROUNDUP(W105*Modelo!$H$36*AR105,1))*AT105*AV105*Modelo!$H$57,1)</f>
        <v>1.1000000000000001</v>
      </c>
      <c r="BR105" s="409">
        <f t="shared" ref="BR105:BR107" si="757">BL105*0.1
+IF(K$16="x",0,BL105*0.05)
+IF(K$28="x",0,BL105*0.2)
+IF(K$29="x",0,BL105*0.5)
+IF(OR(K$30="x",K$31="x"),0,BL105*0.05)
+IF(K$32="x",0,BL105*0.3)
+IF(Q105="x",0,BL105*0.5)
+IF(OR(R105="x",S105="x"),0,BL105*0.15)</f>
        <v>2.5650000000000004</v>
      </c>
      <c r="BS105" s="139">
        <f>Modelo!$H$61</f>
        <v>0.04</v>
      </c>
      <c r="BT105" s="139">
        <f>ROUNDUP(SUM(ROUNDUP(AL105*AN105+0.1,1),ROUNDUP(V105*Modelo!$H$29*AP105,1),ROUNDUP(W105*Modelo!$H$36*AR105,1))*Modelo!$H$62*Modelo!$I$75,1)</f>
        <v>0.1</v>
      </c>
      <c r="BU105" s="139">
        <f>ROUNDUP(ROUNDUP(SUM(ROUNDUP(AL105*AN105+0.1,1),ROUNDUP(V105*Modelo!$H$29*AP105,1),ROUNDUP(W105*Modelo!$H$36*AR105,1))*Modelo!$H$62,1)*Modelo!$H$63*Modelo!$I$75,1)</f>
        <v>0.1</v>
      </c>
      <c r="BV105" s="139">
        <f>SUM(ROUNDUP(AL105*AN105+0.1,1),ROUNDUP(V105*Modelo!$H$29*AP105,1),ROUNDUP(W105*Modelo!$H$36*AR105,1))*Modelo!$H$64*Modelo!$I$75</f>
        <v>0.24000000000000005</v>
      </c>
      <c r="BW105" s="139">
        <f>ROUNDUP(SUM(ROUNDUP(AL105*AN105+0.1,1),ROUNDUP(V105*Modelo!$H$29*AP105,1),ROUNDUP(W105*Modelo!$H$36*AR105,1))*Modelo!$H$64*Modelo!$H$65*Modelo!$I$75,1)</f>
        <v>0.2</v>
      </c>
      <c r="BX105" s="139">
        <f>Modelo!$H$66</f>
        <v>0.04</v>
      </c>
      <c r="BY105" s="139">
        <f>ROUNDUP(SUM(ROUNDUP(AL105*AN105+0.1,1),ROUNDUP(V105*Modelo!$H$29*AP105,1),ROUNDUP(W105*Modelo!$H$36*AR105,1))*Modelo!$H$69,1)</f>
        <v>0.30000000000000004</v>
      </c>
      <c r="BZ105" s="139">
        <f>ROUNDUP(ROUNDUP(SUM(ROUNDUP(AL105*AN105+0.1,1),ROUNDUP(V105*Modelo!$H$29*AP105,1),ROUNDUP(W105*Modelo!$H$36*AR105,1))*Modelo!$H$62,1)*Modelo!$H$71,1)</f>
        <v>0.2</v>
      </c>
      <c r="CA105" s="142">
        <f t="shared" si="20"/>
        <v>9.9389999999999983</v>
      </c>
      <c r="CB105" s="27"/>
      <c r="CC105" s="27">
        <f t="shared" si="21"/>
        <v>3.23</v>
      </c>
      <c r="CD105" s="109">
        <f t="shared" si="22"/>
        <v>3.8000000000000003</v>
      </c>
      <c r="CE105" s="27">
        <f t="shared" si="23"/>
        <v>5.32</v>
      </c>
      <c r="CF105" s="27"/>
      <c r="CG105" s="126">
        <v>0</v>
      </c>
      <c r="CH105" s="27"/>
      <c r="CI105" s="27">
        <f t="shared" si="24"/>
        <v>0</v>
      </c>
      <c r="CJ105" s="27"/>
      <c r="CK105" s="27"/>
      <c r="CL105" s="27"/>
      <c r="CM105" s="27"/>
      <c r="CN105" s="27"/>
      <c r="CO105" s="27"/>
      <c r="CP105" s="27"/>
      <c r="CQ105" s="27"/>
      <c r="CR105" s="27"/>
      <c r="CS105" s="27"/>
      <c r="CT105" s="27"/>
      <c r="CU105" s="27"/>
      <c r="CV105" s="27"/>
      <c r="CW105" s="27"/>
      <c r="CX105" s="27"/>
      <c r="CY105" s="27"/>
      <c r="CZ105" s="27"/>
      <c r="DA105" s="27"/>
      <c r="DB105" s="27"/>
      <c r="DC105" s="27"/>
    </row>
    <row r="106" spans="3:107" s="20" customFormat="1" ht="56.25" customHeight="1" outlineLevel="1" thickBot="1" x14ac:dyDescent="0.35">
      <c r="C106" s="388" t="s">
        <v>515</v>
      </c>
      <c r="D106" s="378" t="s">
        <v>76</v>
      </c>
      <c r="E106" s="378" t="str">
        <f t="shared" si="751"/>
        <v>B</v>
      </c>
      <c r="F106" s="378" t="s">
        <v>423</v>
      </c>
      <c r="G106" s="378" t="s">
        <v>423</v>
      </c>
      <c r="H106" s="378" t="str">
        <f t="shared" si="752"/>
        <v>B</v>
      </c>
      <c r="I106" s="378" t="str">
        <f t="shared" si="753"/>
        <v>B</v>
      </c>
      <c r="J106" s="379">
        <f t="shared" ref="J106" si="758">V106+W106</f>
        <v>1</v>
      </c>
      <c r="K106" s="509" t="str">
        <f t="shared" ref="K106" si="759">AB106</f>
        <v>Chica 2</v>
      </c>
      <c r="L106" s="546" t="s">
        <v>795</v>
      </c>
      <c r="M106" s="526">
        <f t="shared" si="754"/>
        <v>2.6</v>
      </c>
      <c r="N106" s="526">
        <f t="shared" si="755"/>
        <v>1.1000000000000001</v>
      </c>
      <c r="O106" s="530">
        <f t="shared" si="756"/>
        <v>3.7</v>
      </c>
      <c r="P106" s="58"/>
      <c r="Q106" s="143"/>
      <c r="R106" s="143"/>
      <c r="S106" s="143"/>
      <c r="T106" s="109"/>
      <c r="U106" s="144">
        <v>10</v>
      </c>
      <c r="V106" s="144">
        <v>1</v>
      </c>
      <c r="W106" s="144">
        <v>0</v>
      </c>
      <c r="X106" s="136"/>
      <c r="Y106" s="136" t="str">
        <f t="shared" ref="Y106" si="760">CONCATENATE(C106,LEFT(K106,5),J106)</f>
        <v>ConsultaChica1</v>
      </c>
      <c r="Z106" s="135">
        <f>VLOOKUP(Y106,Modelo!$G$82:$H$281,2,FALSE)</f>
        <v>1</v>
      </c>
      <c r="AA106" s="136"/>
      <c r="AB106" s="137" t="str">
        <f t="shared" ref="AB106" si="761">IF(AND(U106&gt;=0,U106&lt;=6),"Chica 1",IF(AND(U106&gt;=7,U106&lt;=12),"Chica 2",IF(AND(U106&gt;=13,U106&lt;=18),"Chica 3",IF(AND(U106&gt;=19,U106&lt;=24),"Chica 4",IF(AND(U106&gt;=25,U106&lt;=30),"Mediana 1",IF(AND(U106&gt;=31,U106&lt;=36),"Mediana 2",IF(AND(U106&gt;=37,U106&lt;=42),"Mediana 3",IF(AND(U106&gt;=43,U106&lt;=48),"Mediana 4",IF(AND(U106&gt;=49,U106&lt;=54),"Grande 1",IF(AND(U106&gt;=55,U106&lt;=60),"Grande 2",IF(AND(U106&gt;=61,U106&lt;=66),"Grande 3",IF(AND(U106&gt;=67,U106&lt;=72),"Grande 4",IF(AND(U106&gt;=73,U106&lt;=78),"M. grande 1",IF(AND(U106&gt;=79,U106&lt;=84),"M. grande 2",IF(AND(U106&gt;=85,U106&lt;=90),"M. grande 3",IF(AND(U106&gt;=91,U106&lt;=96),"M. grande 4","NO DEF"))))))))))))))))</f>
        <v>Chica 2</v>
      </c>
      <c r="AC106" s="137" t="str">
        <f t="shared" ref="AC106" si="762">IF(E106="A","Alta",IF(E106="M","Media","Baja"))</f>
        <v>Baja</v>
      </c>
      <c r="AD106" s="137" t="str">
        <f t="shared" ref="AD106" si="763">IF(E106="A","Alta",IF(E106="M","Media","Baja"))</f>
        <v>Baja</v>
      </c>
      <c r="AE106" s="137" t="str">
        <f t="shared" ref="AE106" si="764">IF(F106="A","Alta",IF(F106="M","Media","Baja"))</f>
        <v>Baja</v>
      </c>
      <c r="AF106" s="137" t="str">
        <f t="shared" ref="AF106" si="765">IF(F106="A","Alta",IF(F106="M","Media","Baja"))</f>
        <v>Baja</v>
      </c>
      <c r="AG106" s="137" t="str">
        <f t="shared" ref="AG106" si="766">IF(G106="A","Alta",IF(G106="M","Media","Baja"))</f>
        <v>Baja</v>
      </c>
      <c r="AH106" s="137" t="str">
        <f t="shared" ref="AH106" si="767">IF(G106="A","Alta",IF(G106="M","Media","Baja"))</f>
        <v>Baja</v>
      </c>
      <c r="AI106" s="137" t="str">
        <f t="shared" ref="AI106" si="768">IF(H106="A","Alta",IF(H106="M","Media","Baja"))</f>
        <v>Baja</v>
      </c>
      <c r="AJ106" s="137" t="str">
        <f t="shared" ref="AJ106" si="769">IF(I106="A","Alta",IF(I106="M","Media","Baja"))</f>
        <v>Baja</v>
      </c>
      <c r="AK106" s="40"/>
      <c r="AL106" s="138">
        <f>IF(AB106=Modelo!$F$7,Modelo!$H$7,IF(AB106=Modelo!$F$8,Modelo!$H$8,IF(AB106=Modelo!$F$9,Modelo!$H$9,IF(AB106=Modelo!$F$10,Modelo!$H$10,IF(AB106=Modelo!$F$11,Modelo!$H$11,IF(AB106=Modelo!$F$12,Modelo!$H$12,IF(AB106=Modelo!$F$13,Modelo!$H$13,IF(AB106=Modelo!$F$14,Modelo!$H$14,IF(AB106=Modelo!$F$15,Modelo!$H$15,IF(AB106=Modelo!$F$16,Modelo!$H$16,IF(AB106=Modelo!$F$17,Modelo!$H$17,IF(AB106=Modelo!$F$18,Modelo!$H$18,IF(AB106=Modelo!$F$19,Modelo!$H$19,IF(AB106=Modelo!$F$20,Modelo!$H$20,IF(AB106=Modelo!$F$21,Modelo!$H$21,IF(AB106=Modelo!$F$22,Modelo!$H$22,0))))))))))))))))</f>
        <v>0.60000000000000009</v>
      </c>
      <c r="AM106" s="138">
        <f>IF(AB106=Modelo!$F$7,Modelo!$I$7,IF(AB106=Modelo!$F$8,Modelo!$I$8,IF(AB106=Modelo!$F$9,Modelo!$I$9,IF(AB106=Modelo!$F$10,Modelo!$I$10,IF(AB106=Modelo!$F$11,Modelo!$I$11,IF(AB106=Modelo!$F$12,Modelo!$I$12,IF(AB106=Modelo!$F$13,Modelo!$I$13,IF(AB106=Modelo!$F$14,Modelo!$I$14,IF(AB106=Modelo!$F$15,Modelo!$I$15,IF(AB106=Modelo!$F$16,Modelo!$I$16,IF(AB106=Modelo!$F$17,Modelo!$I$17,IF(AB106=Modelo!$F$18,Modelo!$I$18,IF(AB106=Modelo!$F$19,Modelo!$I$19,IF(AB106=Modelo!$F$20,Modelo!$I$20,IF(AB106=Modelo!$F$21,Modelo!$I$21,IF(AB106=Modelo!$F$22,Modelo!$I$22,0))))))))))))))))</f>
        <v>0.2</v>
      </c>
      <c r="AN106" s="138">
        <f>IF(AC106=Modelo!$F$23,Modelo!$H$23,IF(AC106=Modelo!$F$24,Modelo!$H$24,IF(AC106=Modelo!$F$25,Modelo!$H$25,0)))</f>
        <v>1</v>
      </c>
      <c r="AO106" s="138">
        <f>IF(AD106=Modelo!$F$26,Modelo!$H$26,IF(AD106=Modelo!$F$27,Modelo!$H$27,IF(AD106=Modelo!$F$28,Modelo!$H$28,0)))</f>
        <v>0.1</v>
      </c>
      <c r="AP106" s="138">
        <f>IF(AE106=Modelo!$F$30,Modelo!$H$30,IF(AE106=Modelo!$F$31,Modelo!$H$31,IF(AE106=Modelo!$F$32,Modelo!$H$32,0)))</f>
        <v>0.8</v>
      </c>
      <c r="AQ106" s="138">
        <f>IF(AF106=Modelo!$F$33,Modelo!$H$33,IF(AF106=Modelo!$F$34,Modelo!$H$34,IF(AF106=Modelo!$F$35,Modelo!$H$35,0)))</f>
        <v>0.3</v>
      </c>
      <c r="AR106" s="138">
        <f>IF(AG106=Modelo!$F$37,Modelo!$H$37,IF(AG106=Modelo!$F$38,Modelo!$H$38,IF(AG106=Modelo!$F$39,Modelo!$H$39,0)))</f>
        <v>0.8</v>
      </c>
      <c r="AS106" s="138">
        <f>IF(AH106=Modelo!$F$40,Modelo!$H$40,IF(AH106=Modelo!$F$41,Modelo!$H$41,IF(AH106=Modelo!$F$42,Modelo!$H$42,0)))</f>
        <v>0.4</v>
      </c>
      <c r="AT106" s="137">
        <f>IF(C106=Modelo!$F$44,Modelo!$H$44,IF(C106=Modelo!$F$45,Modelo!$H$45,IF(C106=Modelo!$F$46,Modelo!$H$46,IF(C106=Modelo!$F$47,Modelo!$H$47,IF(C106=Modelo!$F$48,Modelo!$H$48,IF(C106=Modelo!$F$49,Modelo!$H$49,IF(C106=Modelo!$F$50,Modelo!$H$50,IF(C106=Modelo!$F$51,Modelo!$H$51,IF(C106=Modelo!$F$52,Modelo!$H$52,IF(C106=Modelo!$F$53,Modelo!$H$53,0))))))))))</f>
        <v>1.7</v>
      </c>
      <c r="AU106" s="138">
        <f>IF(AI106=Modelo!$F$54,Modelo!$H$54,IF(AI106=Modelo!$F$55,Modelo!$H$55,IF(AI106=Modelo!$F$56,Modelo!$H$56,0)))</f>
        <v>1</v>
      </c>
      <c r="AV106" s="138">
        <f>IF(AJ106=Modelo!$F$58,Modelo!$H$58,IF(AJ106=Modelo!$F$59,Modelo!$H$59,IF(AJ106=Modelo!$F$60,Modelo!$H$60,0)))</f>
        <v>0.9</v>
      </c>
      <c r="AW106" s="40"/>
      <c r="AX106" s="139">
        <f>Modelo!$H$2</f>
        <v>0.05</v>
      </c>
      <c r="AY106" s="140">
        <f>ROUNDUP(Modelo!$I$2*Modelo!$H$3*Modelo!$I$75,2)</f>
        <v>0.02</v>
      </c>
      <c r="AZ106" s="141">
        <f>ROUNDUP(Modelo!$I$2*Modelo!$H$3*Modelo!$H$4*Modelo!$I$75,3)</f>
        <v>4.0000000000000001E-3</v>
      </c>
      <c r="BA106" s="139">
        <f>Modelo!$H$5</f>
        <v>0.04</v>
      </c>
      <c r="BB106" s="139">
        <f>ROUNDUP(SUM(BC106,BE106,BG106,BI106)*Modelo!$H$6,1)</f>
        <v>0.6</v>
      </c>
      <c r="BC106" s="139">
        <f>ROUNDUP((AL106*AN106+0.1)*Modelo!$I$75,1)</f>
        <v>0.7</v>
      </c>
      <c r="BD106" s="139">
        <f>ROUNDUP(AM106*AN106*AO106*Modelo!$I$75,1)</f>
        <v>0.1</v>
      </c>
      <c r="BE106" s="139">
        <f>ROUNDUP(V106*Modelo!$H$29*AP106*Modelo!$I$75*2/3,1)</f>
        <v>0.6</v>
      </c>
      <c r="BF106" s="139">
        <f>ROUNDUP(V106*Modelo!$H$29*AP106*AQ106*Modelo!$I$75*2/3,1)</f>
        <v>0.2</v>
      </c>
      <c r="BG106" s="139">
        <f>ROUNDUP(V106*Modelo!$H$29*AP106*Modelo!$I$75/3,1)</f>
        <v>0.30000000000000004</v>
      </c>
      <c r="BH106" s="139">
        <f>ROUNDUP(V106*Modelo!$H$29*AP106*AQ106*Modelo!$I$75/3,1)</f>
        <v>0.1</v>
      </c>
      <c r="BI106" s="139">
        <f>ROUNDUP(W106*Modelo!$H$36*AR106*Modelo!$I$75,1)</f>
        <v>0</v>
      </c>
      <c r="BJ106" s="139">
        <f>ROUNDUP(W106*Modelo!$H$36*AR106*AS106*Modelo!$I$75,1)</f>
        <v>0</v>
      </c>
      <c r="BK106" s="139">
        <f>Modelo!$H$43</f>
        <v>0.04</v>
      </c>
      <c r="BL106" s="139">
        <f>ROUNDUP(SUM(ROUNDUP(AL106*AN106+0.1,1),ROUNDUP(V106*Modelo!$H$29*AP106,1),ROUNDUP(W106*Modelo!$H$36*AR106,1))*AU106*AT106*Modelo!$I$75,1)</f>
        <v>2.6</v>
      </c>
      <c r="BM106" s="139">
        <f t="shared" ref="BM106" si="770">IF(K$32="x",0, BL106*0.1*1.25)</f>
        <v>0</v>
      </c>
      <c r="BN106" s="139">
        <f t="shared" ref="BN106" si="771">IF(Q106="x",(BL106)*0.1,0)</f>
        <v>0</v>
      </c>
      <c r="BO106" s="139">
        <f t="shared" ref="BO106" si="772">IF(R106="x",(BL106)*0.12,0)</f>
        <v>0</v>
      </c>
      <c r="BP106" s="139">
        <f t="shared" ref="BP106" si="773">IF(S106="x",(BL106)*0.12,0)*4</f>
        <v>0</v>
      </c>
      <c r="BQ106" s="139">
        <f>ROUNDUP(SUM(ROUNDUP(AL106*AN106+0.1,1),ROUNDUP(V106*Modelo!$H$29*AP106,1),ROUNDUP(W106*Modelo!$H$36*AR106,1))*AT106*AV106*Modelo!$H$57,1)</f>
        <v>1.1000000000000001</v>
      </c>
      <c r="BR106" s="409">
        <f t="shared" si="757"/>
        <v>2.4700000000000002</v>
      </c>
      <c r="BS106" s="139">
        <f>Modelo!$H$61</f>
        <v>0.04</v>
      </c>
      <c r="BT106" s="139">
        <f>ROUNDUP(SUM(ROUNDUP(AL106*AN106+0.1,1),ROUNDUP(V106*Modelo!$H$29*AP106,1),ROUNDUP(W106*Modelo!$H$36*AR106,1))*Modelo!$H$62*Modelo!$I$75,1)</f>
        <v>0.1</v>
      </c>
      <c r="BU106" s="139">
        <f>ROUNDUP(ROUNDUP(SUM(ROUNDUP(AL106*AN106+0.1,1),ROUNDUP(V106*Modelo!$H$29*AP106,1),ROUNDUP(W106*Modelo!$H$36*AR106,1))*Modelo!$H$62,1)*Modelo!$H$63*Modelo!$I$75,1)</f>
        <v>0.1</v>
      </c>
      <c r="BV106" s="139">
        <f>SUM(ROUNDUP(AL106*AN106+0.1,1),ROUNDUP(V106*Modelo!$H$29*AP106,1),ROUNDUP(W106*Modelo!$H$36*AR106,1))*Modelo!$H$64*Modelo!$I$75</f>
        <v>0.30000000000000004</v>
      </c>
      <c r="BW106" s="139">
        <f>ROUNDUP(SUM(ROUNDUP(AL106*AN106+0.1,1),ROUNDUP(V106*Modelo!$H$29*AP106,1),ROUNDUP(W106*Modelo!$H$36*AR106,1))*Modelo!$H$64*Modelo!$H$65*Modelo!$I$75,1)</f>
        <v>0.2</v>
      </c>
      <c r="BX106" s="139">
        <f>Modelo!$H$66</f>
        <v>0.04</v>
      </c>
      <c r="BY106" s="139">
        <f>ROUNDUP(SUM(ROUNDUP(AL106*AN106+0.1,1),ROUNDUP(V106*Modelo!$H$29*AP106,1),ROUNDUP(W106*Modelo!$H$36*AR106,1))*Modelo!$H$69,1)</f>
        <v>0.4</v>
      </c>
      <c r="BZ106" s="139">
        <f>ROUNDUP(ROUNDUP(SUM(ROUNDUP(AL106*AN106+0.1,1),ROUNDUP(V106*Modelo!$H$29*AP106,1),ROUNDUP(W106*Modelo!$H$36*AR106,1))*Modelo!$H$62,1)*Modelo!$H$71,1)</f>
        <v>0.2</v>
      </c>
      <c r="CA106" s="142">
        <f t="shared" ref="CA106" si="774">SUM(AX106:BZ106)</f>
        <v>10.303999999999998</v>
      </c>
      <c r="CB106" s="27"/>
      <c r="CC106" s="27">
        <f t="shared" ref="CC106" si="775">CD106*0.85</f>
        <v>3.145</v>
      </c>
      <c r="CD106" s="109">
        <f t="shared" ref="CD106" si="776">O106</f>
        <v>3.7</v>
      </c>
      <c r="CE106" s="27">
        <f t="shared" ref="CE106" si="777">IF(CD106=0,1,CD106*1.4)</f>
        <v>5.18</v>
      </c>
      <c r="CF106" s="27"/>
      <c r="CG106" s="126">
        <v>0</v>
      </c>
      <c r="CH106" s="27"/>
      <c r="CI106" s="27">
        <f t="shared" ref="CI106" si="778">IF(CF106&lt;&gt;"",CF106,CG106)</f>
        <v>0</v>
      </c>
      <c r="CJ106" s="27"/>
      <c r="CK106" s="27"/>
      <c r="CL106" s="27"/>
      <c r="CM106" s="27"/>
      <c r="CN106" s="27"/>
      <c r="CO106" s="27"/>
      <c r="CP106" s="27"/>
      <c r="CQ106" s="27"/>
      <c r="CR106" s="27"/>
      <c r="CS106" s="27"/>
      <c r="CT106" s="27"/>
      <c r="CU106" s="27"/>
      <c r="CV106" s="27"/>
      <c r="CW106" s="27"/>
      <c r="CX106" s="27"/>
      <c r="CY106" s="27"/>
      <c r="CZ106" s="27"/>
      <c r="DA106" s="27"/>
      <c r="DB106" s="27"/>
      <c r="DC106" s="27"/>
    </row>
    <row r="107" spans="3:107" s="20" customFormat="1" ht="99.75" customHeight="1" outlineLevel="1" thickBot="1" x14ac:dyDescent="0.35">
      <c r="C107" s="388" t="s">
        <v>99</v>
      </c>
      <c r="D107" s="378" t="s">
        <v>76</v>
      </c>
      <c r="E107" s="378" t="str">
        <f t="shared" si="751"/>
        <v>B</v>
      </c>
      <c r="F107" s="378" t="s">
        <v>423</v>
      </c>
      <c r="G107" s="378" t="s">
        <v>423</v>
      </c>
      <c r="H107" s="378" t="str">
        <f t="shared" si="752"/>
        <v>B</v>
      </c>
      <c r="I107" s="378" t="str">
        <f t="shared" si="753"/>
        <v>B</v>
      </c>
      <c r="J107" s="379">
        <f t="shared" si="25"/>
        <v>3</v>
      </c>
      <c r="K107" s="509" t="str">
        <f t="shared" si="27"/>
        <v>Chica 2</v>
      </c>
      <c r="L107" s="546" t="s">
        <v>796</v>
      </c>
      <c r="M107" s="526">
        <f t="shared" si="754"/>
        <v>15.6</v>
      </c>
      <c r="N107" s="526">
        <f t="shared" si="755"/>
        <v>6.3999999999999995</v>
      </c>
      <c r="O107" s="530">
        <f t="shared" si="756"/>
        <v>22</v>
      </c>
      <c r="P107" s="58"/>
      <c r="Q107" s="143"/>
      <c r="R107" s="143"/>
      <c r="S107" s="143"/>
      <c r="T107" s="109"/>
      <c r="U107" s="144">
        <v>10</v>
      </c>
      <c r="V107" s="144">
        <v>2</v>
      </c>
      <c r="W107" s="144">
        <v>1</v>
      </c>
      <c r="X107" s="136"/>
      <c r="Y107" s="136" t="str">
        <f t="shared" si="10"/>
        <v>OperaciónChica3</v>
      </c>
      <c r="Z107" s="135">
        <f>VLOOKUP(Y107,Modelo!$G$82:$H$281,2,FALSE)</f>
        <v>123</v>
      </c>
      <c r="AA107" s="136"/>
      <c r="AB107" s="137" t="str">
        <f t="shared" si="11"/>
        <v>Chica 2</v>
      </c>
      <c r="AC107" s="137" t="str">
        <f t="shared" si="12"/>
        <v>Baja</v>
      </c>
      <c r="AD107" s="137" t="str">
        <f t="shared" si="28"/>
        <v>Baja</v>
      </c>
      <c r="AE107" s="137" t="str">
        <f t="shared" si="29"/>
        <v>Baja</v>
      </c>
      <c r="AF107" s="137" t="str">
        <f t="shared" si="30"/>
        <v>Baja</v>
      </c>
      <c r="AG107" s="137" t="str">
        <f t="shared" si="31"/>
        <v>Baja</v>
      </c>
      <c r="AH107" s="137" t="str">
        <f t="shared" si="32"/>
        <v>Baja</v>
      </c>
      <c r="AI107" s="137" t="str">
        <f t="shared" si="33"/>
        <v>Baja</v>
      </c>
      <c r="AJ107" s="137" t="str">
        <f t="shared" si="34"/>
        <v>Baja</v>
      </c>
      <c r="AK107" s="40"/>
      <c r="AL107" s="138">
        <f>IF(AB107=Modelo!$F$7,Modelo!$H$7,IF(AB107=Modelo!$F$8,Modelo!$H$8,IF(AB107=Modelo!$F$9,Modelo!$H$9,IF(AB107=Modelo!$F$10,Modelo!$H$10,IF(AB107=Modelo!$F$11,Modelo!$H$11,IF(AB107=Modelo!$F$12,Modelo!$H$12,IF(AB107=Modelo!$F$13,Modelo!$H$13,IF(AB107=Modelo!$F$14,Modelo!$H$14,IF(AB107=Modelo!$F$15,Modelo!$H$15,IF(AB107=Modelo!$F$16,Modelo!$H$16,IF(AB107=Modelo!$F$17,Modelo!$H$17,IF(AB107=Modelo!$F$18,Modelo!$H$18,IF(AB107=Modelo!$F$19,Modelo!$H$19,IF(AB107=Modelo!$F$20,Modelo!$H$20,IF(AB107=Modelo!$F$21,Modelo!$H$21,IF(AB107=Modelo!$F$22,Modelo!$H$22,0))))))))))))))))</f>
        <v>0.60000000000000009</v>
      </c>
      <c r="AM107" s="138">
        <f>IF(AB107=Modelo!$F$7,Modelo!$I$7,IF(AB107=Modelo!$F$8,Modelo!$I$8,IF(AB107=Modelo!$F$9,Modelo!$I$9,IF(AB107=Modelo!$F$10,Modelo!$I$10,IF(AB107=Modelo!$F$11,Modelo!$I$11,IF(AB107=Modelo!$F$12,Modelo!$I$12,IF(AB107=Modelo!$F$13,Modelo!$I$13,IF(AB107=Modelo!$F$14,Modelo!$I$14,IF(AB107=Modelo!$F$15,Modelo!$I$15,IF(AB107=Modelo!$F$16,Modelo!$I$16,IF(AB107=Modelo!$F$17,Modelo!$I$17,IF(AB107=Modelo!$F$18,Modelo!$I$18,IF(AB107=Modelo!$F$19,Modelo!$I$19,IF(AB107=Modelo!$F$20,Modelo!$I$20,IF(AB107=Modelo!$F$21,Modelo!$I$21,IF(AB107=Modelo!$F$22,Modelo!$I$22,0))))))))))))))))</f>
        <v>0.2</v>
      </c>
      <c r="AN107" s="138">
        <f>IF(AC107=Modelo!$F$23,Modelo!$H$23,IF(AC107=Modelo!$F$24,Modelo!$H$24,IF(AC107=Modelo!$F$25,Modelo!$H$25,0)))</f>
        <v>1</v>
      </c>
      <c r="AO107" s="138">
        <f>IF(AD107=Modelo!$F$26,Modelo!$H$26,IF(AD107=Modelo!$F$27,Modelo!$H$27,IF(AD107=Modelo!$F$28,Modelo!$H$28,0)))</f>
        <v>0.1</v>
      </c>
      <c r="AP107" s="138">
        <f>IF(AE107=Modelo!$F$30,Modelo!$H$30,IF(AE107=Modelo!$F$31,Modelo!$H$31,IF(AE107=Modelo!$F$32,Modelo!$H$32,0)))</f>
        <v>0.8</v>
      </c>
      <c r="AQ107" s="138">
        <f>IF(AF107=Modelo!$F$33,Modelo!$H$33,IF(AF107=Modelo!$F$34,Modelo!$H$34,IF(AF107=Modelo!$F$35,Modelo!$H$35,0)))</f>
        <v>0.3</v>
      </c>
      <c r="AR107" s="138">
        <f>IF(AG107=Modelo!$F$37,Modelo!$H$37,IF(AG107=Modelo!$F$38,Modelo!$H$38,IF(AG107=Modelo!$F$39,Modelo!$H$39,0)))</f>
        <v>0.8</v>
      </c>
      <c r="AS107" s="138">
        <f>IF(AH107=Modelo!$F$40,Modelo!$H$40,IF(AH107=Modelo!$F$41,Modelo!$H$41,IF(AH107=Modelo!$F$42,Modelo!$H$42,0)))</f>
        <v>0.4</v>
      </c>
      <c r="AT107" s="137">
        <f>IF(C107=Modelo!$F$44,Modelo!$H$44,IF(C107=Modelo!$F$45,Modelo!$H$45,IF(C107=Modelo!$F$46,Modelo!$H$46,IF(C107=Modelo!$F$47,Modelo!$H$47,IF(C107=Modelo!$F$48,Modelo!$H$48,IF(C107=Modelo!$F$49,Modelo!$H$49,IF(C107=Modelo!$F$50,Modelo!$H$50,IF(C107=Modelo!$F$51,Modelo!$H$51,IF(C107=Modelo!$F$52,Modelo!$H$52,IF(C107=Modelo!$F$53,Modelo!$H$53,0))))))))))</f>
        <v>4</v>
      </c>
      <c r="AU107" s="138">
        <f>IF(AI107=Modelo!$F$54,Modelo!$H$54,IF(AI107=Modelo!$F$55,Modelo!$H$55,IF(AI107=Modelo!$F$56,Modelo!$H$56,0)))</f>
        <v>1</v>
      </c>
      <c r="AV107" s="138">
        <f>IF(AJ107=Modelo!$F$58,Modelo!$H$58,IF(AJ107=Modelo!$F$59,Modelo!$H$59,IF(AJ107=Modelo!$F$60,Modelo!$H$60,0)))</f>
        <v>0.9</v>
      </c>
      <c r="AW107" s="40"/>
      <c r="AX107" s="139">
        <f>Modelo!$H$2</f>
        <v>0.05</v>
      </c>
      <c r="AY107" s="140">
        <f>ROUNDUP(Modelo!$I$2*Modelo!$H$3*Modelo!$I$75,2)</f>
        <v>0.02</v>
      </c>
      <c r="AZ107" s="141">
        <f>ROUNDUP(Modelo!$I$2*Modelo!$H$3*Modelo!$H$4*Modelo!$I$75,3)</f>
        <v>4.0000000000000001E-3</v>
      </c>
      <c r="BA107" s="139">
        <f>Modelo!$H$5</f>
        <v>0.04</v>
      </c>
      <c r="BB107" s="139">
        <f>ROUNDUP(SUM(BC107,BE107,BG107,BI107)*Modelo!$H$6,1)</f>
        <v>1.4000000000000001</v>
      </c>
      <c r="BC107" s="139">
        <f>ROUNDUP((AL107*AN107+0.1)*Modelo!$I$75,1)</f>
        <v>0.7</v>
      </c>
      <c r="BD107" s="139">
        <f>ROUNDUP(AM107*AN107*AO107*Modelo!$I$75,1)</f>
        <v>0.1</v>
      </c>
      <c r="BE107" s="139">
        <f>ROUNDUP(V107*Modelo!$H$29*AP107*Modelo!$I$75*2/3,1)</f>
        <v>1.1000000000000001</v>
      </c>
      <c r="BF107" s="139">
        <f>ROUNDUP(V107*Modelo!$H$29*AP107*AQ107*Modelo!$I$75*2/3,1)</f>
        <v>0.4</v>
      </c>
      <c r="BG107" s="139">
        <f>ROUNDUP(V107*Modelo!$H$29*AP107*Modelo!$I$75/3,1)</f>
        <v>0.6</v>
      </c>
      <c r="BH107" s="139">
        <f>ROUNDUP(V107*Modelo!$H$29*AP107*AQ107*Modelo!$I$75/3,1)</f>
        <v>0.2</v>
      </c>
      <c r="BI107" s="139">
        <f>ROUNDUP(W107*Modelo!$H$36*AR107*Modelo!$I$75,1)</f>
        <v>1.6</v>
      </c>
      <c r="BJ107" s="139">
        <f>ROUNDUP(W107*Modelo!$H$36*AR107*AS107*Modelo!$I$75,1)</f>
        <v>0.7</v>
      </c>
      <c r="BK107" s="139">
        <f>Modelo!$H$43</f>
        <v>0.04</v>
      </c>
      <c r="BL107" s="139">
        <f>ROUNDUP(SUM(ROUNDUP(AL107*AN107+0.1,1),ROUNDUP(V107*Modelo!$H$29*AP107,1),ROUNDUP(W107*Modelo!$H$36*AR107,1))*AU107*AT107*Modelo!$I$75,1)</f>
        <v>15.6</v>
      </c>
      <c r="BM107" s="139">
        <f t="shared" si="16"/>
        <v>0</v>
      </c>
      <c r="BN107" s="139">
        <f t="shared" si="17"/>
        <v>0</v>
      </c>
      <c r="BO107" s="139">
        <f t="shared" si="18"/>
        <v>0</v>
      </c>
      <c r="BP107" s="139">
        <f t="shared" si="19"/>
        <v>0</v>
      </c>
      <c r="BQ107" s="139">
        <f>ROUNDUP(SUM(ROUNDUP(AL107*AN107+0.1,1),ROUNDUP(V107*Modelo!$H$29*AP107,1),ROUNDUP(W107*Modelo!$H$36*AR107,1))*AT107*AV107*Modelo!$H$57,1)</f>
        <v>6.3999999999999995</v>
      </c>
      <c r="BR107" s="409">
        <f t="shared" si="757"/>
        <v>14.82</v>
      </c>
      <c r="BS107" s="139">
        <f>Modelo!$H$61</f>
        <v>0.04</v>
      </c>
      <c r="BT107" s="139">
        <f>ROUNDUP(SUM(ROUNDUP(AL107*AN107+0.1,1),ROUNDUP(V107*Modelo!$H$29*AP107,1),ROUNDUP(W107*Modelo!$H$36*AR107,1))*Modelo!$H$62*Modelo!$I$75,1)</f>
        <v>0.30000000000000004</v>
      </c>
      <c r="BU107" s="139">
        <f>ROUNDUP(ROUNDUP(SUM(ROUNDUP(AL107*AN107+0.1,1),ROUNDUP(V107*Modelo!$H$29*AP107,1),ROUNDUP(W107*Modelo!$H$36*AR107,1))*Modelo!$H$62,1)*Modelo!$H$63*Modelo!$I$75,1)</f>
        <v>0.1</v>
      </c>
      <c r="BV107" s="139">
        <f>SUM(ROUNDUP(AL107*AN107+0.1,1),ROUNDUP(V107*Modelo!$H$29*AP107,1),ROUNDUP(W107*Modelo!$H$36*AR107,1))*Modelo!$H$64*Modelo!$I$75</f>
        <v>0.78</v>
      </c>
      <c r="BW107" s="139">
        <f>ROUNDUP(SUM(ROUNDUP(AL107*AN107+0.1,1),ROUNDUP(V107*Modelo!$H$29*AP107,1),ROUNDUP(W107*Modelo!$H$36*AR107,1))*Modelo!$H$64*Modelo!$H$65*Modelo!$I$75,1)</f>
        <v>0.4</v>
      </c>
      <c r="BX107" s="139">
        <f>Modelo!$H$66</f>
        <v>0.04</v>
      </c>
      <c r="BY107" s="139">
        <f>ROUNDUP(SUM(ROUNDUP(AL107*AN107+0.1,1),ROUNDUP(V107*Modelo!$H$29*AP107,1),ROUNDUP(W107*Modelo!$H$36*AR107,1))*Modelo!$H$69,1)</f>
        <v>0.9</v>
      </c>
      <c r="BZ107" s="139">
        <f>ROUNDUP(ROUNDUP(SUM(ROUNDUP(AL107*AN107+0.1,1),ROUNDUP(V107*Modelo!$H$29*AP107,1),ROUNDUP(W107*Modelo!$H$36*AR107,1))*Modelo!$H$62,1)*Modelo!$H$71,1)</f>
        <v>0.6</v>
      </c>
      <c r="CA107" s="142">
        <f t="shared" si="20"/>
        <v>46.933999999999997</v>
      </c>
      <c r="CB107" s="27"/>
      <c r="CC107" s="27">
        <f t="shared" ref="CC107:CC113" si="779">CD107*0.85</f>
        <v>18.7</v>
      </c>
      <c r="CD107" s="109">
        <f t="shared" si="22"/>
        <v>22</v>
      </c>
      <c r="CE107" s="27">
        <f t="shared" ref="CE107:CE113" si="780">IF(CD107=0,1,CD107*1.4)</f>
        <v>30.799999999999997</v>
      </c>
      <c r="CF107" s="27"/>
      <c r="CG107" s="126">
        <v>0</v>
      </c>
      <c r="CH107" s="27"/>
      <c r="CI107" s="27">
        <f t="shared" ref="CI107:CI113" si="781">IF(CF107&lt;&gt;"",CF107,CG107)</f>
        <v>0</v>
      </c>
      <c r="CJ107" s="27"/>
      <c r="CK107" s="27"/>
      <c r="CL107" s="27"/>
      <c r="CM107" s="27"/>
      <c r="CN107" s="27"/>
      <c r="CO107" s="27"/>
      <c r="CP107" s="27"/>
      <c r="CQ107" s="27"/>
      <c r="CR107" s="27"/>
      <c r="CS107" s="27"/>
      <c r="CT107" s="27"/>
      <c r="CU107" s="27"/>
      <c r="CV107" s="27"/>
      <c r="CW107" s="27"/>
      <c r="CX107" s="27"/>
      <c r="CY107" s="27"/>
      <c r="CZ107" s="27"/>
      <c r="DA107" s="27"/>
      <c r="DB107" s="27"/>
      <c r="DC107" s="27"/>
    </row>
    <row r="108" spans="3:107" s="20" customFormat="1" ht="99.75" customHeight="1" outlineLevel="1" thickBot="1" x14ac:dyDescent="0.35">
      <c r="C108" s="388" t="s">
        <v>99</v>
      </c>
      <c r="D108" s="378" t="s">
        <v>76</v>
      </c>
      <c r="E108" s="378" t="str">
        <f t="shared" ref="E108" si="782">IF(U108&gt;50,"A",IF(U108&gt;15,"M","B"))</f>
        <v>B</v>
      </c>
      <c r="F108" s="378" t="s">
        <v>423</v>
      </c>
      <c r="G108" s="378" t="s">
        <v>423</v>
      </c>
      <c r="H108" s="378" t="str">
        <f t="shared" ref="H108" si="783">IF(V108+W108&gt;20,"A",IF(V108+W108&gt;5,"M","B"))</f>
        <v>B</v>
      </c>
      <c r="I108" s="378" t="str">
        <f t="shared" ref="I108" si="784">IF(V108+W108&gt;15,"A",IF(V108+W108&gt;4,"M","B"))</f>
        <v>B</v>
      </c>
      <c r="J108" s="379">
        <f t="shared" ref="J108" si="785">V108+W108</f>
        <v>2</v>
      </c>
      <c r="K108" s="509" t="str">
        <f t="shared" ref="K108" si="786">AB108</f>
        <v>Chica 2</v>
      </c>
      <c r="L108" s="546" t="s">
        <v>797</v>
      </c>
      <c r="M108" s="526">
        <f t="shared" ref="M108" si="787">BL108+BM108+BN108+BO108+BP108</f>
        <v>12.4</v>
      </c>
      <c r="N108" s="526">
        <f t="shared" ref="N108" si="788">BQ108</f>
        <v>5.0999999999999996</v>
      </c>
      <c r="O108" s="530">
        <f t="shared" ref="O108" si="789">SUM(M108,N108)</f>
        <v>17.5</v>
      </c>
      <c r="P108" s="58"/>
      <c r="Q108" s="143"/>
      <c r="R108" s="143"/>
      <c r="S108" s="143"/>
      <c r="T108" s="109"/>
      <c r="U108" s="144">
        <v>10</v>
      </c>
      <c r="V108" s="144">
        <v>1</v>
      </c>
      <c r="W108" s="144">
        <v>1</v>
      </c>
      <c r="X108" s="136"/>
      <c r="Y108" s="136" t="str">
        <f t="shared" ref="Y108" si="790">CONCATENATE(C108,LEFT(K108,5),J108)</f>
        <v>OperaciónChica2</v>
      </c>
      <c r="Z108" s="135">
        <f>VLOOKUP(Y108,Modelo!$G$82:$H$281,2,FALSE)</f>
        <v>122</v>
      </c>
      <c r="AA108" s="136"/>
      <c r="AB108" s="137" t="str">
        <f t="shared" ref="AB108" si="791">IF(AND(U108&gt;=0,U108&lt;=6),"Chica 1",IF(AND(U108&gt;=7,U108&lt;=12),"Chica 2",IF(AND(U108&gt;=13,U108&lt;=18),"Chica 3",IF(AND(U108&gt;=19,U108&lt;=24),"Chica 4",IF(AND(U108&gt;=25,U108&lt;=30),"Mediana 1",IF(AND(U108&gt;=31,U108&lt;=36),"Mediana 2",IF(AND(U108&gt;=37,U108&lt;=42),"Mediana 3",IF(AND(U108&gt;=43,U108&lt;=48),"Mediana 4",IF(AND(U108&gt;=49,U108&lt;=54),"Grande 1",IF(AND(U108&gt;=55,U108&lt;=60),"Grande 2",IF(AND(U108&gt;=61,U108&lt;=66),"Grande 3",IF(AND(U108&gt;=67,U108&lt;=72),"Grande 4",IF(AND(U108&gt;=73,U108&lt;=78),"M. grande 1",IF(AND(U108&gt;=79,U108&lt;=84),"M. grande 2",IF(AND(U108&gt;=85,U108&lt;=90),"M. grande 3",IF(AND(U108&gt;=91,U108&lt;=96),"M. grande 4","NO DEF"))))))))))))))))</f>
        <v>Chica 2</v>
      </c>
      <c r="AC108" s="137" t="str">
        <f t="shared" ref="AC108" si="792">IF(E108="A","Alta",IF(E108="M","Media","Baja"))</f>
        <v>Baja</v>
      </c>
      <c r="AD108" s="137" t="str">
        <f t="shared" ref="AD108" si="793">IF(E108="A","Alta",IF(E108="M","Media","Baja"))</f>
        <v>Baja</v>
      </c>
      <c r="AE108" s="137" t="str">
        <f t="shared" ref="AE108" si="794">IF(F108="A","Alta",IF(F108="M","Media","Baja"))</f>
        <v>Baja</v>
      </c>
      <c r="AF108" s="137" t="str">
        <f t="shared" ref="AF108" si="795">IF(F108="A","Alta",IF(F108="M","Media","Baja"))</f>
        <v>Baja</v>
      </c>
      <c r="AG108" s="137" t="str">
        <f t="shared" ref="AG108" si="796">IF(G108="A","Alta",IF(G108="M","Media","Baja"))</f>
        <v>Baja</v>
      </c>
      <c r="AH108" s="137" t="str">
        <f t="shared" ref="AH108" si="797">IF(G108="A","Alta",IF(G108="M","Media","Baja"))</f>
        <v>Baja</v>
      </c>
      <c r="AI108" s="137" t="str">
        <f t="shared" ref="AI108" si="798">IF(H108="A","Alta",IF(H108="M","Media","Baja"))</f>
        <v>Baja</v>
      </c>
      <c r="AJ108" s="137" t="str">
        <f t="shared" ref="AJ108" si="799">IF(I108="A","Alta",IF(I108="M","Media","Baja"))</f>
        <v>Baja</v>
      </c>
      <c r="AK108" s="40"/>
      <c r="AL108" s="138">
        <f>IF(AB108=Modelo!$F$7,Modelo!$H$7,IF(AB108=Modelo!$F$8,Modelo!$H$8,IF(AB108=Modelo!$F$9,Modelo!$H$9,IF(AB108=Modelo!$F$10,Modelo!$H$10,IF(AB108=Modelo!$F$11,Modelo!$H$11,IF(AB108=Modelo!$F$12,Modelo!$H$12,IF(AB108=Modelo!$F$13,Modelo!$H$13,IF(AB108=Modelo!$F$14,Modelo!$H$14,IF(AB108=Modelo!$F$15,Modelo!$H$15,IF(AB108=Modelo!$F$16,Modelo!$H$16,IF(AB108=Modelo!$F$17,Modelo!$H$17,IF(AB108=Modelo!$F$18,Modelo!$H$18,IF(AB108=Modelo!$F$19,Modelo!$H$19,IF(AB108=Modelo!$F$20,Modelo!$H$20,IF(AB108=Modelo!$F$21,Modelo!$H$21,IF(AB108=Modelo!$F$22,Modelo!$H$22,0))))))))))))))))</f>
        <v>0.60000000000000009</v>
      </c>
      <c r="AM108" s="138">
        <f>IF(AB108=Modelo!$F$7,Modelo!$I$7,IF(AB108=Modelo!$F$8,Modelo!$I$8,IF(AB108=Modelo!$F$9,Modelo!$I$9,IF(AB108=Modelo!$F$10,Modelo!$I$10,IF(AB108=Modelo!$F$11,Modelo!$I$11,IF(AB108=Modelo!$F$12,Modelo!$I$12,IF(AB108=Modelo!$F$13,Modelo!$I$13,IF(AB108=Modelo!$F$14,Modelo!$I$14,IF(AB108=Modelo!$F$15,Modelo!$I$15,IF(AB108=Modelo!$F$16,Modelo!$I$16,IF(AB108=Modelo!$F$17,Modelo!$I$17,IF(AB108=Modelo!$F$18,Modelo!$I$18,IF(AB108=Modelo!$F$19,Modelo!$I$19,IF(AB108=Modelo!$F$20,Modelo!$I$20,IF(AB108=Modelo!$F$21,Modelo!$I$21,IF(AB108=Modelo!$F$22,Modelo!$I$22,0))))))))))))))))</f>
        <v>0.2</v>
      </c>
      <c r="AN108" s="138">
        <f>IF(AC108=Modelo!$F$23,Modelo!$H$23,IF(AC108=Modelo!$F$24,Modelo!$H$24,IF(AC108=Modelo!$F$25,Modelo!$H$25,0)))</f>
        <v>1</v>
      </c>
      <c r="AO108" s="138">
        <f>IF(AD108=Modelo!$F$26,Modelo!$H$26,IF(AD108=Modelo!$F$27,Modelo!$H$27,IF(AD108=Modelo!$F$28,Modelo!$H$28,0)))</f>
        <v>0.1</v>
      </c>
      <c r="AP108" s="138">
        <f>IF(AE108=Modelo!$F$30,Modelo!$H$30,IF(AE108=Modelo!$F$31,Modelo!$H$31,IF(AE108=Modelo!$F$32,Modelo!$H$32,0)))</f>
        <v>0.8</v>
      </c>
      <c r="AQ108" s="138">
        <f>IF(AF108=Modelo!$F$33,Modelo!$H$33,IF(AF108=Modelo!$F$34,Modelo!$H$34,IF(AF108=Modelo!$F$35,Modelo!$H$35,0)))</f>
        <v>0.3</v>
      </c>
      <c r="AR108" s="138">
        <f>IF(AG108=Modelo!$F$37,Modelo!$H$37,IF(AG108=Modelo!$F$38,Modelo!$H$38,IF(AG108=Modelo!$F$39,Modelo!$H$39,0)))</f>
        <v>0.8</v>
      </c>
      <c r="AS108" s="138">
        <f>IF(AH108=Modelo!$F$40,Modelo!$H$40,IF(AH108=Modelo!$F$41,Modelo!$H$41,IF(AH108=Modelo!$F$42,Modelo!$H$42,0)))</f>
        <v>0.4</v>
      </c>
      <c r="AT108" s="137">
        <f>IF(C108=Modelo!$F$44,Modelo!$H$44,IF(C108=Modelo!$F$45,Modelo!$H$45,IF(C108=Modelo!$F$46,Modelo!$H$46,IF(C108=Modelo!$F$47,Modelo!$H$47,IF(C108=Modelo!$F$48,Modelo!$H$48,IF(C108=Modelo!$F$49,Modelo!$H$49,IF(C108=Modelo!$F$50,Modelo!$H$50,IF(C108=Modelo!$F$51,Modelo!$H$51,IF(C108=Modelo!$F$52,Modelo!$H$52,IF(C108=Modelo!$F$53,Modelo!$H$53,0))))))))))</f>
        <v>4</v>
      </c>
      <c r="AU108" s="138">
        <f>IF(AI108=Modelo!$F$54,Modelo!$H$54,IF(AI108=Modelo!$F$55,Modelo!$H$55,IF(AI108=Modelo!$F$56,Modelo!$H$56,0)))</f>
        <v>1</v>
      </c>
      <c r="AV108" s="138">
        <f>IF(AJ108=Modelo!$F$58,Modelo!$H$58,IF(AJ108=Modelo!$F$59,Modelo!$H$59,IF(AJ108=Modelo!$F$60,Modelo!$H$60,0)))</f>
        <v>0.9</v>
      </c>
      <c r="AW108" s="40"/>
      <c r="AX108" s="139">
        <f>Modelo!$H$2</f>
        <v>0.05</v>
      </c>
      <c r="AY108" s="140">
        <f>ROUNDUP(Modelo!$I$2*Modelo!$H$3*Modelo!$I$75,2)</f>
        <v>0.02</v>
      </c>
      <c r="AZ108" s="141">
        <f>ROUNDUP(Modelo!$I$2*Modelo!$H$3*Modelo!$H$4*Modelo!$I$75,3)</f>
        <v>4.0000000000000001E-3</v>
      </c>
      <c r="BA108" s="139">
        <f>Modelo!$H$5</f>
        <v>0.04</v>
      </c>
      <c r="BB108" s="139">
        <f>ROUNDUP(SUM(BC108,BE108,BG108,BI108)*Modelo!$H$6,1)</f>
        <v>1.1000000000000001</v>
      </c>
      <c r="BC108" s="139">
        <f>ROUNDUP((AL108*AN108+0.1)*Modelo!$I$75,1)</f>
        <v>0.7</v>
      </c>
      <c r="BD108" s="139">
        <f>ROUNDUP(AM108*AN108*AO108*Modelo!$I$75,1)</f>
        <v>0.1</v>
      </c>
      <c r="BE108" s="139">
        <f>ROUNDUP(V108*Modelo!$H$29*AP108*Modelo!$I$75*2/3,1)</f>
        <v>0.6</v>
      </c>
      <c r="BF108" s="139">
        <f>ROUNDUP(V108*Modelo!$H$29*AP108*AQ108*Modelo!$I$75*2/3,1)</f>
        <v>0.2</v>
      </c>
      <c r="BG108" s="139">
        <f>ROUNDUP(V108*Modelo!$H$29*AP108*Modelo!$I$75/3,1)</f>
        <v>0.30000000000000004</v>
      </c>
      <c r="BH108" s="139">
        <f>ROUNDUP(V108*Modelo!$H$29*AP108*AQ108*Modelo!$I$75/3,1)</f>
        <v>0.1</v>
      </c>
      <c r="BI108" s="139">
        <f>ROUNDUP(W108*Modelo!$H$36*AR108*Modelo!$I$75,1)</f>
        <v>1.6</v>
      </c>
      <c r="BJ108" s="139">
        <f>ROUNDUP(W108*Modelo!$H$36*AR108*AS108*Modelo!$I$75,1)</f>
        <v>0.7</v>
      </c>
      <c r="BK108" s="139">
        <f>Modelo!$H$43</f>
        <v>0.04</v>
      </c>
      <c r="BL108" s="139">
        <f>ROUNDUP(SUM(ROUNDUP(AL108*AN108+0.1,1),ROUNDUP(V108*Modelo!$H$29*AP108,1),ROUNDUP(W108*Modelo!$H$36*AR108,1))*AU108*AT108*Modelo!$I$75,1)</f>
        <v>12.4</v>
      </c>
      <c r="BM108" s="139">
        <f t="shared" ref="BM108" si="800">IF(K$32="x",0, BL108*0.1*1.25)</f>
        <v>0</v>
      </c>
      <c r="BN108" s="139">
        <f t="shared" ref="BN108" si="801">IF(Q108="x",(BL108)*0.1,0)</f>
        <v>0</v>
      </c>
      <c r="BO108" s="139">
        <f t="shared" ref="BO108" si="802">IF(R108="x",(BL108)*0.12,0)</f>
        <v>0</v>
      </c>
      <c r="BP108" s="139">
        <f t="shared" ref="BP108" si="803">IF(S108="x",(BL108)*0.12,0)*4</f>
        <v>0</v>
      </c>
      <c r="BQ108" s="139">
        <f>ROUNDUP(SUM(ROUNDUP(AL108*AN108+0.1,1),ROUNDUP(V108*Modelo!$H$29*AP108,1),ROUNDUP(W108*Modelo!$H$36*AR108,1))*AT108*AV108*Modelo!$H$57,1)</f>
        <v>5.0999999999999996</v>
      </c>
      <c r="BR108" s="409">
        <f t="shared" ref="BR108" si="804">BL108*0.1
+IF(K$16="x",0,BL108*0.05)
+IF(K$28="x",0,BL108*0.2)
+IF(K$29="x",0,BL108*0.5)
+IF(OR(K$30="x",K$31="x"),0,BL108*0.05)
+IF(K$32="x",0,BL108*0.3)
+IF(Q108="x",0,BL108*0.5)
+IF(OR(R108="x",S108="x"),0,BL108*0.15)</f>
        <v>11.780000000000001</v>
      </c>
      <c r="BS108" s="139">
        <f>Modelo!$H$61</f>
        <v>0.04</v>
      </c>
      <c r="BT108" s="139">
        <f>ROUNDUP(SUM(ROUNDUP(AL108*AN108+0.1,1),ROUNDUP(V108*Modelo!$H$29*AP108,1),ROUNDUP(W108*Modelo!$H$36*AR108,1))*Modelo!$H$62*Modelo!$I$75,1)</f>
        <v>0.2</v>
      </c>
      <c r="BU108" s="139">
        <f>ROUNDUP(ROUNDUP(SUM(ROUNDUP(AL108*AN108+0.1,1),ROUNDUP(V108*Modelo!$H$29*AP108,1),ROUNDUP(W108*Modelo!$H$36*AR108,1))*Modelo!$H$62,1)*Modelo!$H$63*Modelo!$I$75,1)</f>
        <v>0.1</v>
      </c>
      <c r="BV108" s="139">
        <f>SUM(ROUNDUP(AL108*AN108+0.1,1),ROUNDUP(V108*Modelo!$H$29*AP108,1),ROUNDUP(W108*Modelo!$H$36*AR108,1))*Modelo!$H$64*Modelo!$I$75</f>
        <v>0.62000000000000011</v>
      </c>
      <c r="BW108" s="139">
        <f>ROUNDUP(SUM(ROUNDUP(AL108*AN108+0.1,1),ROUNDUP(V108*Modelo!$H$29*AP108,1),ROUNDUP(W108*Modelo!$H$36*AR108,1))*Modelo!$H$64*Modelo!$H$65*Modelo!$I$75,1)</f>
        <v>0.4</v>
      </c>
      <c r="BX108" s="139">
        <f>Modelo!$H$66</f>
        <v>0.04</v>
      </c>
      <c r="BY108" s="139">
        <f>ROUNDUP(SUM(ROUNDUP(AL108*AN108+0.1,1),ROUNDUP(V108*Modelo!$H$29*AP108,1),ROUNDUP(W108*Modelo!$H$36*AR108,1))*Modelo!$H$69,1)</f>
        <v>0.7</v>
      </c>
      <c r="BZ108" s="139">
        <f>ROUNDUP(ROUNDUP(SUM(ROUNDUP(AL108*AN108+0.1,1),ROUNDUP(V108*Modelo!$H$29*AP108,1),ROUNDUP(W108*Modelo!$H$36*AR108,1))*Modelo!$H$62,1)*Modelo!$H$71,1)</f>
        <v>0.4</v>
      </c>
      <c r="CA108" s="142">
        <f t="shared" ref="CA108" si="805">SUM(AX108:BZ108)</f>
        <v>37.334000000000003</v>
      </c>
      <c r="CB108" s="27"/>
      <c r="CC108" s="27">
        <f t="shared" ref="CC108" si="806">CD108*0.85</f>
        <v>14.875</v>
      </c>
      <c r="CD108" s="109">
        <f t="shared" ref="CD108" si="807">O108</f>
        <v>17.5</v>
      </c>
      <c r="CE108" s="27">
        <f t="shared" ref="CE108" si="808">IF(CD108=0,1,CD108*1.4)</f>
        <v>24.5</v>
      </c>
      <c r="CF108" s="27"/>
      <c r="CG108" s="126">
        <v>0</v>
      </c>
      <c r="CH108" s="27"/>
      <c r="CI108" s="27">
        <f t="shared" ref="CI108" si="809">IF(CF108&lt;&gt;"",CF108,CG108)</f>
        <v>0</v>
      </c>
      <c r="CJ108" s="27"/>
      <c r="CK108" s="27"/>
      <c r="CL108" s="27"/>
      <c r="CM108" s="27"/>
      <c r="CN108" s="27"/>
      <c r="CO108" s="27"/>
      <c r="CP108" s="27"/>
      <c r="CQ108" s="27"/>
      <c r="CR108" s="27"/>
      <c r="CS108" s="27"/>
      <c r="CT108" s="27"/>
      <c r="CU108" s="27"/>
      <c r="CV108" s="27"/>
      <c r="CW108" s="27"/>
      <c r="CX108" s="27"/>
      <c r="CY108" s="27"/>
      <c r="CZ108" s="27"/>
      <c r="DA108" s="27"/>
      <c r="DB108" s="27"/>
      <c r="DC108" s="27"/>
    </row>
    <row r="109" spans="3:107" s="16" customFormat="1" ht="16" thickBot="1" x14ac:dyDescent="0.4">
      <c r="C109" s="188"/>
      <c r="D109" s="188"/>
      <c r="E109" s="188"/>
      <c r="F109" s="188"/>
      <c r="G109" s="188"/>
      <c r="H109" s="188"/>
      <c r="I109" s="188"/>
      <c r="J109" s="188"/>
      <c r="K109" s="510" t="s">
        <v>462</v>
      </c>
      <c r="L109" s="528" t="s">
        <v>268</v>
      </c>
      <c r="M109" s="526">
        <f>N153*0.2</f>
        <v>4.4000000000000004</v>
      </c>
      <c r="N109" s="526" t="s">
        <v>12</v>
      </c>
      <c r="O109" s="530">
        <f>IF(K109="x",SUM(M109,N109),0)</f>
        <v>4.4000000000000004</v>
      </c>
      <c r="P109" s="60"/>
      <c r="Q109" s="27"/>
      <c r="R109" s="27"/>
      <c r="S109" s="27"/>
      <c r="T109" s="27"/>
      <c r="U109" s="98"/>
      <c r="V109" s="98"/>
      <c r="W109" s="27"/>
      <c r="X109" s="93"/>
      <c r="Y109" s="93"/>
      <c r="Z109" s="93"/>
      <c r="AA109" s="93"/>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142">
        <f t="shared" ref="AX109:CA109" si="810">SUM(AX46:AX107)</f>
        <v>3.099999999999997</v>
      </c>
      <c r="AY109" s="142">
        <f t="shared" si="810"/>
        <v>1.2400000000000007</v>
      </c>
      <c r="AZ109" s="142">
        <f t="shared" si="810"/>
        <v>0.20400000000000015</v>
      </c>
      <c r="BA109" s="142">
        <f t="shared" si="810"/>
        <v>2.4800000000000013</v>
      </c>
      <c r="BB109" s="142">
        <f t="shared" si="810"/>
        <v>51.100000000000009</v>
      </c>
      <c r="BC109" s="142">
        <f t="shared" si="810"/>
        <v>63.600000000000016</v>
      </c>
      <c r="BD109" s="142">
        <f t="shared" si="810"/>
        <v>6.8999999999999932</v>
      </c>
      <c r="BE109" s="142">
        <f t="shared" si="810"/>
        <v>50.700000000000053</v>
      </c>
      <c r="BF109" s="142">
        <f t="shared" si="810"/>
        <v>16.899999999999995</v>
      </c>
      <c r="BG109" s="142">
        <f t="shared" si="810"/>
        <v>26.000000000000025</v>
      </c>
      <c r="BH109" s="142">
        <f t="shared" si="810"/>
        <v>8.7999999999999954</v>
      </c>
      <c r="BI109" s="142">
        <f t="shared" si="810"/>
        <v>3.2</v>
      </c>
      <c r="BJ109" s="142">
        <f t="shared" si="810"/>
        <v>1.4</v>
      </c>
      <c r="BK109" s="142">
        <f t="shared" si="810"/>
        <v>2.4800000000000013</v>
      </c>
      <c r="BL109" s="142">
        <f t="shared" si="810"/>
        <v>285.30000000000007</v>
      </c>
      <c r="BM109" s="142">
        <f t="shared" si="810"/>
        <v>0</v>
      </c>
      <c r="BN109" s="142">
        <f t="shared" si="810"/>
        <v>0</v>
      </c>
      <c r="BO109" s="142">
        <f t="shared" si="810"/>
        <v>0</v>
      </c>
      <c r="BP109" s="142">
        <f t="shared" si="810"/>
        <v>0</v>
      </c>
      <c r="BQ109" s="142">
        <f t="shared" si="810"/>
        <v>117.40000000000002</v>
      </c>
      <c r="BR109" s="142">
        <f t="shared" si="810"/>
        <v>52.154999999999994</v>
      </c>
      <c r="BS109" s="142">
        <f t="shared" si="810"/>
        <v>2.4800000000000013</v>
      </c>
      <c r="BT109" s="142">
        <f t="shared" si="810"/>
        <v>11.599999999999994</v>
      </c>
      <c r="BU109" s="142">
        <f t="shared" si="810"/>
        <v>6.4999999999999938</v>
      </c>
      <c r="BV109" s="142">
        <f t="shared" si="810"/>
        <v>27.759999999999998</v>
      </c>
      <c r="BW109" s="142">
        <f t="shared" si="810"/>
        <v>17.2</v>
      </c>
      <c r="BX109" s="142">
        <f t="shared" si="810"/>
        <v>2.4800000000000013</v>
      </c>
      <c r="BY109" s="142">
        <f t="shared" si="810"/>
        <v>33.000000000000007</v>
      </c>
      <c r="BZ109" s="142">
        <f t="shared" si="810"/>
        <v>23.199999999999989</v>
      </c>
      <c r="CA109" s="142">
        <f t="shared" si="810"/>
        <v>817.17899999999986</v>
      </c>
      <c r="CB109" s="27"/>
      <c r="CC109" s="27">
        <f t="shared" si="779"/>
        <v>3.74</v>
      </c>
      <c r="CD109" s="109">
        <f t="shared" si="22"/>
        <v>4.4000000000000004</v>
      </c>
      <c r="CE109" s="27">
        <f t="shared" si="780"/>
        <v>6.16</v>
      </c>
      <c r="CF109" s="27"/>
      <c r="CG109" s="126">
        <v>0</v>
      </c>
      <c r="CH109" s="27"/>
      <c r="CI109" s="27">
        <f t="shared" si="781"/>
        <v>0</v>
      </c>
      <c r="CJ109" s="27"/>
      <c r="CK109" s="27"/>
      <c r="CL109" s="27"/>
      <c r="CM109" s="27"/>
      <c r="CN109" s="27"/>
      <c r="CO109" s="27"/>
      <c r="CP109" s="27"/>
      <c r="CQ109" s="27"/>
      <c r="CR109" s="27"/>
      <c r="CS109" s="27"/>
      <c r="CT109" s="27"/>
      <c r="CU109" s="27"/>
      <c r="CV109" s="27"/>
      <c r="CW109" s="27"/>
      <c r="CX109" s="27"/>
      <c r="CY109" s="27"/>
      <c r="CZ109" s="27"/>
      <c r="DA109" s="27"/>
      <c r="DB109" s="27"/>
      <c r="DC109" s="27"/>
    </row>
    <row r="110" spans="3:107" ht="16" thickBot="1" x14ac:dyDescent="0.4">
      <c r="C110" s="188"/>
      <c r="D110" s="188"/>
      <c r="E110" s="188"/>
      <c r="F110" s="188"/>
      <c r="G110" s="188"/>
      <c r="H110" s="188"/>
      <c r="I110" s="188"/>
      <c r="J110" s="188"/>
      <c r="K110" s="510" t="s">
        <v>462</v>
      </c>
      <c r="L110" s="524" t="s">
        <v>463</v>
      </c>
      <c r="M110" s="529">
        <v>0</v>
      </c>
      <c r="N110" s="526" t="s">
        <v>12</v>
      </c>
      <c r="O110" s="530">
        <f>IF(K110="x",SUM(M110,N110),0)</f>
        <v>0</v>
      </c>
      <c r="P110" s="386" t="s">
        <v>610</v>
      </c>
      <c r="U110" s="98"/>
      <c r="V110" s="98"/>
      <c r="AX110" s="132" t="s">
        <v>78</v>
      </c>
      <c r="AY110" s="132" t="s">
        <v>79</v>
      </c>
      <c r="AZ110" s="132" t="s">
        <v>77</v>
      </c>
      <c r="BA110" s="132" t="s">
        <v>80</v>
      </c>
      <c r="BB110" s="132" t="s">
        <v>78</v>
      </c>
      <c r="BC110" s="132" t="s">
        <v>193</v>
      </c>
      <c r="BD110" s="132" t="s">
        <v>194</v>
      </c>
      <c r="BE110" s="132" t="s">
        <v>195</v>
      </c>
      <c r="BF110" s="132" t="s">
        <v>196</v>
      </c>
      <c r="BG110" s="132" t="s">
        <v>256</v>
      </c>
      <c r="BH110" s="132" t="s">
        <v>257</v>
      </c>
      <c r="BI110" s="132" t="s">
        <v>197</v>
      </c>
      <c r="BJ110" s="132" t="s">
        <v>198</v>
      </c>
      <c r="BK110" s="132" t="s">
        <v>80</v>
      </c>
      <c r="BL110" s="132" t="s">
        <v>76</v>
      </c>
      <c r="BM110" s="132" t="s">
        <v>470</v>
      </c>
      <c r="BN110" s="132" t="s">
        <v>468</v>
      </c>
      <c r="BO110" s="132" t="s">
        <v>469</v>
      </c>
      <c r="BP110" s="132" t="s">
        <v>467</v>
      </c>
      <c r="BQ110" s="132" t="s">
        <v>81</v>
      </c>
      <c r="BR110" s="132"/>
      <c r="BS110" s="132" t="s">
        <v>80</v>
      </c>
      <c r="BT110" s="132" t="s">
        <v>79</v>
      </c>
      <c r="BU110" s="132" t="s">
        <v>77</v>
      </c>
      <c r="BV110" s="132" t="s">
        <v>79</v>
      </c>
      <c r="BW110" s="132" t="s">
        <v>77</v>
      </c>
      <c r="BX110" s="132" t="s">
        <v>80</v>
      </c>
      <c r="BY110" s="132" t="s">
        <v>82</v>
      </c>
      <c r="BZ110" s="132" t="s">
        <v>83</v>
      </c>
      <c r="CC110" s="27">
        <f t="shared" si="779"/>
        <v>0</v>
      </c>
      <c r="CD110" s="109">
        <f t="shared" si="22"/>
        <v>0</v>
      </c>
      <c r="CE110" s="27">
        <f t="shared" si="780"/>
        <v>1</v>
      </c>
      <c r="CG110" s="126">
        <v>0</v>
      </c>
      <c r="CI110" s="27">
        <f t="shared" si="781"/>
        <v>0</v>
      </c>
    </row>
    <row r="111" spans="3:107" s="6" customFormat="1" ht="16" thickBot="1" x14ac:dyDescent="0.4">
      <c r="C111" s="188"/>
      <c r="D111" s="188"/>
      <c r="E111" s="188"/>
      <c r="F111" s="188"/>
      <c r="G111" s="188"/>
      <c r="H111" s="188"/>
      <c r="I111" s="188"/>
      <c r="J111" s="188"/>
      <c r="K111" s="85" t="s">
        <v>462</v>
      </c>
      <c r="L111" s="524" t="s">
        <v>166</v>
      </c>
      <c r="M111" s="525" t="s">
        <v>610</v>
      </c>
      <c r="N111" s="526">
        <f>SUM(BT46:BU107)</f>
        <v>18.099999999999994</v>
      </c>
      <c r="O111" s="530">
        <f>N111*1.5</f>
        <v>27.149999999999991</v>
      </c>
      <c r="P111" s="60"/>
      <c r="Q111" s="27"/>
      <c r="R111" s="27"/>
      <c r="S111" s="27"/>
      <c r="T111" s="27"/>
      <c r="U111" s="98"/>
      <c r="V111" s="98"/>
      <c r="W111" s="98"/>
      <c r="X111" s="145"/>
      <c r="Y111" s="145"/>
      <c r="Z111" s="145"/>
      <c r="AA111" s="145"/>
      <c r="AB111" s="27"/>
      <c r="AC111" s="27"/>
      <c r="AD111" s="27"/>
      <c r="AE111" s="27"/>
      <c r="AF111" s="27"/>
      <c r="AG111" s="27"/>
      <c r="AH111" s="27"/>
      <c r="AI111" s="27"/>
      <c r="AJ111" s="27"/>
      <c r="AK111" s="27"/>
      <c r="AL111" s="27"/>
      <c r="AM111" s="27"/>
      <c r="AN111" s="27"/>
      <c r="AO111" s="27"/>
      <c r="AP111" s="27"/>
      <c r="AQ111" s="27"/>
      <c r="AR111" s="27"/>
      <c r="AS111" s="27"/>
      <c r="AT111" s="27"/>
      <c r="AU111" s="27"/>
      <c r="AV111" s="146"/>
      <c r="AW111" s="27"/>
      <c r="AX111" s="602" t="s">
        <v>174</v>
      </c>
      <c r="AY111" s="602"/>
      <c r="AZ111" s="602"/>
      <c r="BA111" s="602"/>
      <c r="BB111" s="601" t="s">
        <v>187</v>
      </c>
      <c r="BC111" s="601"/>
      <c r="BD111" s="601"/>
      <c r="BE111" s="601"/>
      <c r="BF111" s="601"/>
      <c r="BG111" s="601"/>
      <c r="BH111" s="601"/>
      <c r="BI111" s="601"/>
      <c r="BJ111" s="601"/>
      <c r="BK111" s="601"/>
      <c r="BL111" s="601" t="s">
        <v>188</v>
      </c>
      <c r="BM111" s="601"/>
      <c r="BN111" s="601"/>
      <c r="BO111" s="601"/>
      <c r="BP111" s="601"/>
      <c r="BQ111" s="601"/>
      <c r="BR111" s="601"/>
      <c r="BS111" s="601"/>
      <c r="BT111" s="601" t="s">
        <v>190</v>
      </c>
      <c r="BU111" s="601"/>
      <c r="BV111" s="601" t="s">
        <v>178</v>
      </c>
      <c r="BW111" s="601"/>
      <c r="BX111" s="601"/>
      <c r="BY111" s="131" t="s">
        <v>189</v>
      </c>
      <c r="BZ111" s="131" t="s">
        <v>191</v>
      </c>
      <c r="CA111" s="27"/>
      <c r="CB111" s="27"/>
      <c r="CC111" s="27">
        <f t="shared" si="779"/>
        <v>23.077499999999993</v>
      </c>
      <c r="CD111" s="109">
        <f t="shared" si="22"/>
        <v>27.149999999999991</v>
      </c>
      <c r="CE111" s="27">
        <f t="shared" si="780"/>
        <v>38.009999999999984</v>
      </c>
      <c r="CF111" s="27"/>
      <c r="CG111" s="126">
        <v>0</v>
      </c>
      <c r="CH111" s="27"/>
      <c r="CI111" s="27">
        <f t="shared" si="781"/>
        <v>0</v>
      </c>
      <c r="CJ111" s="27"/>
      <c r="CK111" s="27"/>
      <c r="CL111" s="27"/>
      <c r="CM111" s="27"/>
      <c r="CN111" s="27"/>
      <c r="CO111" s="27"/>
      <c r="CP111" s="27"/>
      <c r="CQ111" s="27"/>
      <c r="CR111" s="27"/>
      <c r="CS111" s="27"/>
      <c r="CT111" s="27"/>
      <c r="CU111" s="27"/>
      <c r="CV111" s="27"/>
      <c r="CW111" s="27"/>
      <c r="CX111" s="27"/>
      <c r="CY111" s="27"/>
      <c r="CZ111" s="27"/>
      <c r="DA111" s="27"/>
      <c r="DB111" s="27"/>
      <c r="DC111" s="27"/>
    </row>
    <row r="112" spans="3:107" s="6" customFormat="1" ht="16" thickBot="1" x14ac:dyDescent="0.4">
      <c r="C112" s="188"/>
      <c r="D112" s="188"/>
      <c r="E112" s="188"/>
      <c r="F112" s="188"/>
      <c r="G112" s="188"/>
      <c r="H112" s="188"/>
      <c r="I112" s="188"/>
      <c r="J112" s="188"/>
      <c r="K112" s="85" t="s">
        <v>462</v>
      </c>
      <c r="L112" s="524" t="s">
        <v>167</v>
      </c>
      <c r="M112" s="525">
        <f>ROUNDUP(M200,0)</f>
        <v>17</v>
      </c>
      <c r="N112" s="526" t="s">
        <v>12</v>
      </c>
      <c r="O112" s="530">
        <f>IF(K112="x",SUM(M112,N112),0)/2</f>
        <v>8.5</v>
      </c>
      <c r="P112" s="58"/>
      <c r="Q112" s="26" t="s">
        <v>473</v>
      </c>
      <c r="R112" s="39" t="s">
        <v>474</v>
      </c>
      <c r="S112" s="39" t="s">
        <v>475</v>
      </c>
      <c r="T112" s="80" t="s">
        <v>476</v>
      </c>
      <c r="U112" s="27" t="s">
        <v>477</v>
      </c>
      <c r="V112" s="27" t="s">
        <v>478</v>
      </c>
      <c r="W112" s="27" t="s">
        <v>479</v>
      </c>
      <c r="X112" s="93" t="s">
        <v>480</v>
      </c>
      <c r="Y112" s="93"/>
      <c r="Z112" s="93"/>
      <c r="AA112" s="93"/>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5" t="s">
        <v>18</v>
      </c>
      <c r="AZ112" s="25" t="s">
        <v>18</v>
      </c>
      <c r="BA112" s="25"/>
      <c r="BB112" s="25"/>
      <c r="BC112" s="25" t="s">
        <v>18</v>
      </c>
      <c r="BD112" s="25" t="s">
        <v>18</v>
      </c>
      <c r="BE112" s="25" t="s">
        <v>18</v>
      </c>
      <c r="BF112" s="25" t="s">
        <v>18</v>
      </c>
      <c r="BG112" s="25"/>
      <c r="BH112" s="25"/>
      <c r="BI112" s="25" t="s">
        <v>18</v>
      </c>
      <c r="BJ112" s="25" t="s">
        <v>18</v>
      </c>
      <c r="BK112" s="25"/>
      <c r="BL112" s="25" t="s">
        <v>18</v>
      </c>
      <c r="BM112" s="25"/>
      <c r="BN112" s="25"/>
      <c r="BO112" s="25"/>
      <c r="BP112" s="25"/>
      <c r="BQ112" s="25"/>
      <c r="BR112" s="25"/>
      <c r="BS112" s="25"/>
      <c r="BT112" s="25" t="s">
        <v>18</v>
      </c>
      <c r="BU112" s="25" t="s">
        <v>18</v>
      </c>
      <c r="BV112" s="25" t="s">
        <v>18</v>
      </c>
      <c r="BW112" s="25" t="s">
        <v>18</v>
      </c>
      <c r="BX112" s="27"/>
      <c r="BY112" s="27"/>
      <c r="BZ112" s="27"/>
      <c r="CA112" s="27"/>
      <c r="CB112" s="27"/>
      <c r="CC112" s="27">
        <f t="shared" si="779"/>
        <v>7.2249999999999996</v>
      </c>
      <c r="CD112" s="109">
        <f t="shared" si="22"/>
        <v>8.5</v>
      </c>
      <c r="CE112" s="27">
        <f t="shared" si="780"/>
        <v>11.899999999999999</v>
      </c>
      <c r="CF112" s="27"/>
      <c r="CG112" s="126">
        <v>0</v>
      </c>
      <c r="CH112" s="27"/>
      <c r="CI112" s="27">
        <f t="shared" si="781"/>
        <v>0</v>
      </c>
      <c r="CJ112" s="27"/>
      <c r="CK112" s="27"/>
      <c r="CL112" s="27"/>
      <c r="CM112" s="27"/>
      <c r="CN112" s="27"/>
      <c r="CO112" s="27"/>
      <c r="CP112" s="27"/>
      <c r="CQ112" s="27"/>
      <c r="CR112" s="27"/>
      <c r="CS112" s="27"/>
      <c r="CT112" s="27"/>
      <c r="CU112" s="27"/>
      <c r="CV112" s="27"/>
      <c r="CW112" s="27"/>
      <c r="CX112" s="27"/>
      <c r="CY112" s="27"/>
      <c r="CZ112" s="27"/>
      <c r="DA112" s="27"/>
      <c r="DB112" s="27"/>
      <c r="DC112" s="27"/>
    </row>
    <row r="113" spans="2:107" s="17" customFormat="1" ht="16" hidden="1" thickBot="1" x14ac:dyDescent="0.4">
      <c r="C113" s="58"/>
      <c r="D113" s="58"/>
      <c r="E113" s="58"/>
      <c r="F113" s="58"/>
      <c r="G113" s="58"/>
      <c r="H113" s="58"/>
      <c r="I113" s="58"/>
      <c r="J113" s="58"/>
      <c r="K113" s="85"/>
      <c r="L113" s="550" t="s">
        <v>471</v>
      </c>
      <c r="M113" s="525"/>
      <c r="N113" s="526">
        <v>0</v>
      </c>
      <c r="O113" s="530"/>
      <c r="P113" s="58"/>
      <c r="Q113" s="26" t="e">
        <f>#REF!*0.1</f>
        <v>#REF!</v>
      </c>
      <c r="R113" s="147">
        <f>+IF(K$16="x",0,#REF!*0.05)</f>
        <v>0</v>
      </c>
      <c r="S113" s="39" t="e">
        <f>+IF(K$28="x",0,#REF!*0.2)</f>
        <v>#REF!</v>
      </c>
      <c r="T113" s="39">
        <f>+IF(K$29="x",0,#REF!*0.5)</f>
        <v>0</v>
      </c>
      <c r="U113" s="27">
        <f>+IF(OR(K$30="x",K$31="x"),0,#REF!*0.05)</f>
        <v>0</v>
      </c>
      <c r="V113" s="27">
        <f>+IF(K$32="x",0,#REF!*0.3)</f>
        <v>0</v>
      </c>
      <c r="W113" s="27" t="e">
        <f>+IF(#REF!="x",0,#REF!*0.5)</f>
        <v>#REF!</v>
      </c>
      <c r="X113" s="93" t="e">
        <f>+IF(OR(#REF!="x",#REF!="x"),0,#REF!*0.15)</f>
        <v>#REF!</v>
      </c>
      <c r="Y113" s="93"/>
      <c r="Z113" s="93"/>
      <c r="AA113" s="93"/>
      <c r="AB113" s="27"/>
      <c r="AC113" s="27"/>
      <c r="AD113" s="27"/>
      <c r="AE113" s="27"/>
      <c r="AF113" s="27"/>
      <c r="AG113" s="27"/>
      <c r="AH113" s="27"/>
      <c r="AI113" s="27"/>
      <c r="AJ113" s="27"/>
      <c r="AK113" s="27" t="e">
        <f>SUM(Q113:X113)</f>
        <v>#REF!</v>
      </c>
      <c r="AL113" s="27"/>
      <c r="AM113" s="27"/>
      <c r="AN113" s="27"/>
      <c r="AO113" s="27"/>
      <c r="AP113" s="27"/>
      <c r="AQ113" s="27"/>
      <c r="AR113" s="27"/>
      <c r="AS113" s="27"/>
      <c r="AT113" s="27"/>
      <c r="AU113" s="27"/>
      <c r="AV113" s="27"/>
      <c r="AW113" s="27"/>
      <c r="AX113" s="27"/>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7"/>
      <c r="BY113" s="27"/>
      <c r="BZ113" s="27"/>
      <c r="CA113" s="27"/>
      <c r="CB113" s="27"/>
      <c r="CC113" s="27">
        <f t="shared" si="779"/>
        <v>0</v>
      </c>
      <c r="CD113" s="109">
        <f>N113</f>
        <v>0</v>
      </c>
      <c r="CE113" s="27">
        <f t="shared" si="780"/>
        <v>1</v>
      </c>
      <c r="CF113" s="27"/>
      <c r="CG113" s="126">
        <v>0</v>
      </c>
      <c r="CH113" s="27"/>
      <c r="CI113" s="27">
        <f t="shared" si="781"/>
        <v>0</v>
      </c>
      <c r="CJ113" s="27"/>
      <c r="CK113" s="27"/>
      <c r="CL113" s="27"/>
      <c r="CM113" s="27"/>
      <c r="CN113" s="27"/>
      <c r="CO113" s="27"/>
      <c r="CP113" s="27"/>
      <c r="CQ113" s="27"/>
      <c r="CR113" s="27"/>
      <c r="CS113" s="27"/>
      <c r="CT113" s="27"/>
      <c r="CU113" s="27"/>
      <c r="CV113" s="27"/>
      <c r="CW113" s="27"/>
      <c r="CX113" s="27"/>
      <c r="CY113" s="27"/>
      <c r="CZ113" s="27"/>
      <c r="DA113" s="27"/>
      <c r="DB113" s="27"/>
      <c r="DC113" s="27"/>
    </row>
    <row r="114" spans="2:107" s="4" customFormat="1" ht="27.75" customHeight="1" thickBot="1" x14ac:dyDescent="0.35">
      <c r="B114" s="3"/>
      <c r="C114" s="86"/>
      <c r="D114" s="58"/>
      <c r="E114" s="58"/>
      <c r="F114" s="58"/>
      <c r="G114" s="58"/>
      <c r="H114" s="58"/>
      <c r="I114" s="58"/>
      <c r="J114" s="58"/>
      <c r="K114" s="188"/>
      <c r="L114" s="521" t="s">
        <v>20</v>
      </c>
      <c r="M114" s="522">
        <f>SUM(M117:M128)/$P$148</f>
        <v>3.5583524027459956E-2</v>
      </c>
      <c r="N114" s="522">
        <f>SUM(N117:N128)/$P$148</f>
        <v>3.8901601830663622E-2</v>
      </c>
      <c r="O114" s="551"/>
      <c r="P114" s="372">
        <f>SUM(O116:O128)</f>
        <v>98.300000000000011</v>
      </c>
      <c r="R114" s="122"/>
      <c r="S114" s="122"/>
      <c r="T114" s="122">
        <f>SUM(O117:O128)/$P$148</f>
        <v>0.11247139588100688</v>
      </c>
      <c r="U114" s="80"/>
      <c r="V114" s="80"/>
      <c r="W114" s="80"/>
      <c r="X114" s="148"/>
      <c r="Y114" s="148"/>
      <c r="Z114" s="148"/>
      <c r="AA114" s="148"/>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1"/>
      <c r="AY114" s="81"/>
      <c r="AZ114" s="81"/>
      <c r="BA114" s="81"/>
      <c r="BB114" s="81"/>
      <c r="BC114" s="81"/>
      <c r="BD114" s="81"/>
      <c r="BE114" s="81"/>
      <c r="BF114" s="81"/>
      <c r="BG114" s="81"/>
      <c r="BH114" s="81"/>
      <c r="BI114" s="81"/>
      <c r="BJ114" s="81"/>
      <c r="BK114" s="81"/>
      <c r="BL114" s="81"/>
      <c r="BM114" s="81"/>
      <c r="BN114" s="81"/>
      <c r="BO114" s="81"/>
      <c r="BP114" s="81"/>
      <c r="BQ114" s="81"/>
      <c r="BR114" s="81"/>
      <c r="BS114" s="81"/>
      <c r="BT114" s="81"/>
      <c r="BU114" s="81"/>
      <c r="BV114" s="81"/>
      <c r="BW114" s="81"/>
      <c r="BX114" s="81"/>
      <c r="BY114" s="81"/>
      <c r="BZ114" s="81"/>
      <c r="CA114" s="81"/>
      <c r="CB114" s="81"/>
      <c r="CC114" s="81"/>
      <c r="CD114" s="81"/>
      <c r="CE114" s="27"/>
      <c r="CF114" s="81"/>
      <c r="CG114" s="81"/>
      <c r="CH114" s="81"/>
      <c r="CI114" s="27"/>
      <c r="CJ114" s="81"/>
      <c r="CK114" s="81"/>
      <c r="CL114" s="81"/>
      <c r="CM114" s="81"/>
      <c r="CN114" s="81"/>
      <c r="CO114" s="81"/>
      <c r="CP114" s="81"/>
      <c r="CQ114" s="81"/>
      <c r="CR114" s="81"/>
      <c r="CS114" s="81"/>
      <c r="CT114" s="81"/>
      <c r="CU114" s="81"/>
      <c r="CV114" s="81"/>
      <c r="CW114" s="81"/>
      <c r="CX114" s="81"/>
      <c r="CY114" s="81"/>
      <c r="CZ114" s="81"/>
      <c r="DA114" s="81"/>
      <c r="DB114" s="81"/>
      <c r="DC114" s="81"/>
    </row>
    <row r="115" spans="2:107" s="11" customFormat="1" ht="27.75" customHeight="1" thickBot="1" x14ac:dyDescent="0.35">
      <c r="B115" s="16"/>
      <c r="C115" s="86"/>
      <c r="D115" s="58"/>
      <c r="E115" s="58"/>
      <c r="F115" s="58"/>
      <c r="G115" s="58"/>
      <c r="H115" s="58"/>
      <c r="I115" s="58"/>
      <c r="J115" s="58"/>
      <c r="K115" s="188"/>
      <c r="L115" s="558" t="s">
        <v>10</v>
      </c>
      <c r="M115" s="559" t="s">
        <v>394</v>
      </c>
      <c r="N115" s="522"/>
      <c r="O115" s="558" t="s">
        <v>394</v>
      </c>
      <c r="P115" s="557"/>
      <c r="R115" s="122"/>
      <c r="S115" s="122"/>
      <c r="T115" s="122"/>
      <c r="U115" s="80"/>
      <c r="V115" s="80"/>
      <c r="W115" s="80"/>
      <c r="X115" s="148"/>
      <c r="Y115" s="148"/>
      <c r="Z115" s="148"/>
      <c r="AA115" s="148"/>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1"/>
      <c r="AY115" s="81"/>
      <c r="AZ115" s="81"/>
      <c r="BA115" s="81"/>
      <c r="BB115" s="81"/>
      <c r="BC115" s="81"/>
      <c r="BD115" s="81"/>
      <c r="BE115" s="81"/>
      <c r="BF115" s="81"/>
      <c r="BG115" s="81"/>
      <c r="BH115" s="81"/>
      <c r="BI115" s="81"/>
      <c r="BJ115" s="81"/>
      <c r="BK115" s="81"/>
      <c r="BL115" s="81"/>
      <c r="BM115" s="81"/>
      <c r="BN115" s="81"/>
      <c r="BO115" s="81"/>
      <c r="BP115" s="81"/>
      <c r="BQ115" s="81"/>
      <c r="BR115" s="81"/>
      <c r="BS115" s="81"/>
      <c r="BT115" s="81"/>
      <c r="BU115" s="81"/>
      <c r="BV115" s="81"/>
      <c r="BW115" s="81"/>
      <c r="BX115" s="81"/>
      <c r="BY115" s="81"/>
      <c r="BZ115" s="81"/>
      <c r="CA115" s="81"/>
      <c r="CB115" s="81"/>
      <c r="CC115" s="81"/>
      <c r="CD115" s="81"/>
      <c r="CE115" s="27"/>
      <c r="CF115" s="81"/>
      <c r="CG115" s="81"/>
      <c r="CH115" s="81"/>
      <c r="CI115" s="27"/>
      <c r="CJ115" s="81"/>
      <c r="CK115" s="81"/>
      <c r="CL115" s="81"/>
      <c r="CM115" s="81"/>
      <c r="CN115" s="81"/>
      <c r="CO115" s="81"/>
      <c r="CP115" s="81"/>
      <c r="CQ115" s="81"/>
      <c r="CR115" s="81"/>
      <c r="CS115" s="81"/>
      <c r="CT115" s="81"/>
      <c r="CU115" s="81"/>
      <c r="CV115" s="81"/>
      <c r="CW115" s="81"/>
      <c r="CX115" s="81"/>
      <c r="CY115" s="81"/>
      <c r="CZ115" s="81"/>
      <c r="DA115" s="81"/>
      <c r="DB115" s="81"/>
      <c r="DC115" s="81"/>
    </row>
    <row r="116" spans="2:107" ht="15.5" outlineLevel="1" x14ac:dyDescent="0.35">
      <c r="C116" s="58"/>
      <c r="D116" s="58"/>
      <c r="E116" s="58"/>
      <c r="F116" s="58"/>
      <c r="G116" s="58"/>
      <c r="H116" s="58"/>
      <c r="I116" s="58"/>
      <c r="J116" s="58"/>
      <c r="K116" s="188"/>
      <c r="L116" s="524" t="s">
        <v>16</v>
      </c>
      <c r="M116" s="525"/>
      <c r="N116" s="526"/>
      <c r="O116" s="552"/>
      <c r="P116" s="380"/>
      <c r="Q116" s="39"/>
      <c r="R116" s="39"/>
      <c r="S116" s="39"/>
      <c r="AY116" s="98"/>
    </row>
    <row r="117" spans="2:107" ht="15.5" outlineLevel="2" x14ac:dyDescent="0.35">
      <c r="B117" s="4"/>
      <c r="C117" s="58"/>
      <c r="D117" s="58"/>
      <c r="E117" s="58"/>
      <c r="F117" s="58"/>
      <c r="G117" s="58"/>
      <c r="H117" s="58"/>
      <c r="I117" s="58"/>
      <c r="J117" s="58"/>
      <c r="K117" s="383" t="s">
        <v>462</v>
      </c>
      <c r="L117" s="528" t="s">
        <v>24</v>
      </c>
      <c r="M117" s="529">
        <v>1</v>
      </c>
      <c r="N117" s="526">
        <f>ROUNDUP(M117*Modelo!$H$67,1)</f>
        <v>0.5</v>
      </c>
      <c r="O117" s="530">
        <f>M117+N117</f>
        <v>1.5</v>
      </c>
      <c r="P117" s="386"/>
      <c r="Q117" s="39"/>
      <c r="R117" s="39"/>
      <c r="S117" s="39"/>
      <c r="AY117" s="109"/>
      <c r="CC117" s="27">
        <f>CD117*0.85</f>
        <v>1.2749999999999999</v>
      </c>
      <c r="CD117" s="109">
        <f>O117</f>
        <v>1.5</v>
      </c>
      <c r="CE117" s="27">
        <f>IF(CD117=0,1,CD117*1.4)</f>
        <v>2.0999999999999996</v>
      </c>
      <c r="CG117" s="126">
        <v>0</v>
      </c>
      <c r="CI117" s="27">
        <f t="shared" ref="CI117:CI128" si="811">IF(CF117&lt;&gt;"",CF117,CG117)</f>
        <v>0</v>
      </c>
    </row>
    <row r="118" spans="2:107" ht="15.5" outlineLevel="2" x14ac:dyDescent="0.35">
      <c r="C118" s="58"/>
      <c r="D118" s="58"/>
      <c r="E118" s="58"/>
      <c r="F118" s="58"/>
      <c r="G118" s="58"/>
      <c r="H118" s="58"/>
      <c r="I118" s="58"/>
      <c r="J118" s="58"/>
      <c r="K118" s="383" t="s">
        <v>462</v>
      </c>
      <c r="L118" s="528" t="s">
        <v>25</v>
      </c>
      <c r="M118" s="529">
        <v>1</v>
      </c>
      <c r="N118" s="526">
        <f>ROUNDUP(M118*Modelo!$H$68,1)</f>
        <v>0.5</v>
      </c>
      <c r="O118" s="530">
        <f>M118+N118</f>
        <v>1.5</v>
      </c>
      <c r="P118" s="386" t="s">
        <v>610</v>
      </c>
      <c r="Q118" s="39"/>
      <c r="R118" s="39"/>
      <c r="S118" s="39"/>
      <c r="U118" s="97"/>
      <c r="AY118" s="109"/>
      <c r="CC118" s="27">
        <f>CD118*0.85</f>
        <v>1.2749999999999999</v>
      </c>
      <c r="CD118" s="109">
        <f>O118</f>
        <v>1.5</v>
      </c>
      <c r="CE118" s="27">
        <f>IF(CD118=0,1,CD118*1.4)</f>
        <v>2.0999999999999996</v>
      </c>
      <c r="CG118" s="126">
        <v>0</v>
      </c>
      <c r="CI118" s="27">
        <f t="shared" si="811"/>
        <v>0</v>
      </c>
    </row>
    <row r="119" spans="2:107" ht="15.5" outlineLevel="2" x14ac:dyDescent="0.35">
      <c r="C119" s="58"/>
      <c r="D119" s="58"/>
      <c r="E119" s="58"/>
      <c r="F119" s="58"/>
      <c r="G119" s="58"/>
      <c r="H119" s="58"/>
      <c r="I119" s="58"/>
      <c r="J119" s="58"/>
      <c r="K119" s="384"/>
      <c r="L119" s="528" t="s">
        <v>23</v>
      </c>
      <c r="M119" s="553">
        <v>12</v>
      </c>
      <c r="N119" s="553">
        <v>0</v>
      </c>
      <c r="O119" s="530">
        <f>M119+N119</f>
        <v>12</v>
      </c>
      <c r="P119" s="386"/>
      <c r="Q119" s="125"/>
      <c r="R119" s="125"/>
      <c r="S119" s="125"/>
      <c r="U119" s="97"/>
      <c r="AY119" s="109"/>
      <c r="CC119" s="27">
        <f>CD119*0.85</f>
        <v>10.199999999999999</v>
      </c>
      <c r="CD119" s="109">
        <f>O119</f>
        <v>12</v>
      </c>
      <c r="CE119" s="27">
        <f>IF(CD119=0,1,CD119*1.4)</f>
        <v>16.799999999999997</v>
      </c>
      <c r="CG119" s="126">
        <v>0</v>
      </c>
      <c r="CI119" s="27">
        <f t="shared" si="811"/>
        <v>0</v>
      </c>
    </row>
    <row r="120" spans="2:107" s="6" customFormat="1" ht="15.5" outlineLevel="2" x14ac:dyDescent="0.35">
      <c r="C120" s="58"/>
      <c r="D120" s="58"/>
      <c r="E120" s="58"/>
      <c r="F120" s="58"/>
      <c r="G120" s="58"/>
      <c r="H120" s="58"/>
      <c r="I120" s="58"/>
      <c r="J120" s="58"/>
      <c r="K120" s="384"/>
      <c r="L120" s="528" t="s">
        <v>19</v>
      </c>
      <c r="M120" s="525">
        <v>0.5</v>
      </c>
      <c r="N120" s="526" t="s">
        <v>12</v>
      </c>
      <c r="O120" s="530">
        <f>M120</f>
        <v>0.5</v>
      </c>
      <c r="P120" s="386"/>
      <c r="Q120" s="125"/>
      <c r="R120" s="125"/>
      <c r="S120" s="125"/>
      <c r="T120" s="27"/>
      <c r="U120" s="27"/>
      <c r="V120" s="27"/>
      <c r="W120" s="27"/>
      <c r="X120" s="93"/>
      <c r="Y120" s="93"/>
      <c r="Z120" s="93"/>
      <c r="AA120" s="93"/>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f>CD120*0.85</f>
        <v>0.42499999999999999</v>
      </c>
      <c r="CD120" s="109">
        <f>O120</f>
        <v>0.5</v>
      </c>
      <c r="CE120" s="27">
        <f>IF(CD120=0,1,CD120*1.4)</f>
        <v>0.7</v>
      </c>
      <c r="CF120" s="27"/>
      <c r="CG120" s="126">
        <v>0</v>
      </c>
      <c r="CH120" s="27"/>
      <c r="CI120" s="27">
        <f t="shared" si="811"/>
        <v>0</v>
      </c>
      <c r="CJ120" s="27"/>
      <c r="CK120" s="27"/>
      <c r="CL120" s="27"/>
      <c r="CM120" s="27"/>
      <c r="CN120" s="27"/>
      <c r="CO120" s="27"/>
      <c r="CP120" s="27"/>
      <c r="CQ120" s="27"/>
      <c r="CR120" s="27"/>
      <c r="CS120" s="27"/>
      <c r="CT120" s="27"/>
      <c r="CU120" s="27"/>
      <c r="CV120" s="27"/>
      <c r="CW120" s="27"/>
      <c r="CX120" s="27"/>
      <c r="CY120" s="27"/>
      <c r="CZ120" s="27"/>
      <c r="DA120" s="27"/>
      <c r="DB120" s="27"/>
      <c r="DC120" s="27"/>
    </row>
    <row r="121" spans="2:107" ht="15.5" outlineLevel="1" x14ac:dyDescent="0.35">
      <c r="C121" s="58"/>
      <c r="D121" s="58"/>
      <c r="E121" s="58"/>
      <c r="F121" s="58"/>
      <c r="G121" s="58"/>
      <c r="H121" s="58"/>
      <c r="I121" s="58"/>
      <c r="J121" s="58"/>
      <c r="K121" s="385"/>
      <c r="L121" s="524" t="s">
        <v>21</v>
      </c>
      <c r="M121" s="525"/>
      <c r="N121" s="526"/>
      <c r="O121" s="552"/>
      <c r="P121" s="380"/>
      <c r="Q121" s="39"/>
      <c r="R121" s="39"/>
      <c r="S121" s="39"/>
      <c r="AY121" s="98"/>
      <c r="CI121" s="27">
        <f t="shared" si="811"/>
        <v>0</v>
      </c>
    </row>
    <row r="122" spans="2:107" s="6" customFormat="1" ht="15.5" outlineLevel="2" x14ac:dyDescent="0.35">
      <c r="C122" s="58"/>
      <c r="D122" s="58"/>
      <c r="E122" s="58"/>
      <c r="F122" s="58"/>
      <c r="G122" s="58"/>
      <c r="H122" s="58"/>
      <c r="I122" s="58"/>
      <c r="J122" s="58"/>
      <c r="K122" s="384" t="s">
        <v>462</v>
      </c>
      <c r="L122" s="528" t="s">
        <v>168</v>
      </c>
      <c r="M122" s="529">
        <v>1</v>
      </c>
      <c r="N122" s="526" t="s">
        <v>12</v>
      </c>
      <c r="O122" s="530">
        <f t="shared" ref="O122:O128" si="812">IF(K122="x",SUM(M122,N122),0)</f>
        <v>1</v>
      </c>
      <c r="P122" s="380"/>
      <c r="Q122" s="39"/>
      <c r="R122" s="39"/>
      <c r="S122" s="39"/>
      <c r="T122" s="27"/>
      <c r="U122" s="97"/>
      <c r="V122" s="27"/>
      <c r="W122" s="27"/>
      <c r="X122" s="93"/>
      <c r="Y122" s="93"/>
      <c r="Z122" s="93"/>
      <c r="AA122" s="93"/>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109"/>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f t="shared" ref="CC122:CC128" si="813">CD122*0.85</f>
        <v>0.85</v>
      </c>
      <c r="CD122" s="109">
        <f t="shared" ref="CD122:CD128" si="814">O122</f>
        <v>1</v>
      </c>
      <c r="CE122" s="27">
        <f t="shared" ref="CE122:CE128" si="815">IF(CD122=0,1,CD122*1.4)</f>
        <v>1.4</v>
      </c>
      <c r="CF122" s="27"/>
      <c r="CG122" s="126">
        <v>0</v>
      </c>
      <c r="CH122" s="27"/>
      <c r="CI122" s="27">
        <f t="shared" si="811"/>
        <v>0</v>
      </c>
      <c r="CJ122" s="27"/>
      <c r="CK122" s="27"/>
      <c r="CL122" s="27"/>
      <c r="CM122" s="27"/>
      <c r="CN122" s="27"/>
      <c r="CO122" s="27"/>
      <c r="CP122" s="27"/>
      <c r="CQ122" s="27"/>
      <c r="CR122" s="27"/>
      <c r="CS122" s="27"/>
      <c r="CT122" s="27"/>
      <c r="CU122" s="27"/>
      <c r="CV122" s="27"/>
      <c r="CW122" s="27"/>
      <c r="CX122" s="27"/>
      <c r="CY122" s="27"/>
      <c r="CZ122" s="27"/>
      <c r="DA122" s="27"/>
      <c r="DB122" s="27"/>
      <c r="DC122" s="27"/>
    </row>
    <row r="123" spans="2:107" s="6" customFormat="1" ht="15.5" outlineLevel="2" x14ac:dyDescent="0.35">
      <c r="C123" s="58"/>
      <c r="D123" s="58"/>
      <c r="E123" s="58"/>
      <c r="F123" s="58"/>
      <c r="G123" s="58"/>
      <c r="H123" s="58"/>
      <c r="I123" s="58"/>
      <c r="J123" s="58"/>
      <c r="K123" s="384" t="s">
        <v>462</v>
      </c>
      <c r="L123" s="528" t="s">
        <v>27</v>
      </c>
      <c r="M123" s="529">
        <v>2</v>
      </c>
      <c r="N123" s="526" t="s">
        <v>12</v>
      </c>
      <c r="O123" s="530">
        <f t="shared" si="812"/>
        <v>2</v>
      </c>
      <c r="P123" s="380"/>
      <c r="Q123" s="39"/>
      <c r="R123" s="39"/>
      <c r="S123" s="39"/>
      <c r="T123" s="27"/>
      <c r="U123" s="97"/>
      <c r="V123" s="27"/>
      <c r="W123" s="27"/>
      <c r="X123" s="93"/>
      <c r="Y123" s="93"/>
      <c r="Z123" s="93"/>
      <c r="AA123" s="93"/>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109"/>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f t="shared" si="813"/>
        <v>1.7</v>
      </c>
      <c r="CD123" s="109">
        <f t="shared" si="814"/>
        <v>2</v>
      </c>
      <c r="CE123" s="27">
        <f t="shared" si="815"/>
        <v>2.8</v>
      </c>
      <c r="CF123" s="27"/>
      <c r="CG123" s="126">
        <v>0</v>
      </c>
      <c r="CH123" s="27"/>
      <c r="CI123" s="27">
        <f t="shared" si="811"/>
        <v>0</v>
      </c>
      <c r="CJ123" s="27"/>
      <c r="CK123" s="27"/>
      <c r="CL123" s="27"/>
      <c r="CM123" s="27"/>
      <c r="CN123" s="27"/>
      <c r="CO123" s="27"/>
      <c r="CP123" s="27"/>
      <c r="CQ123" s="27"/>
      <c r="CR123" s="27"/>
      <c r="CS123" s="27"/>
      <c r="CT123" s="27"/>
      <c r="CU123" s="27"/>
      <c r="CV123" s="27"/>
      <c r="CW123" s="27"/>
      <c r="CX123" s="27"/>
      <c r="CY123" s="27"/>
      <c r="CZ123" s="27"/>
      <c r="DA123" s="27"/>
      <c r="DB123" s="27"/>
      <c r="DC123" s="27"/>
    </row>
    <row r="124" spans="2:107" s="6" customFormat="1" ht="15" customHeight="1" outlineLevel="2" x14ac:dyDescent="0.35">
      <c r="C124" s="58"/>
      <c r="D124" s="58"/>
      <c r="E124" s="58"/>
      <c r="F124" s="58"/>
      <c r="G124" s="58"/>
      <c r="H124" s="58"/>
      <c r="I124" s="58"/>
      <c r="J124" s="58"/>
      <c r="K124" s="383"/>
      <c r="L124" s="528" t="s">
        <v>670</v>
      </c>
      <c r="M124" s="529">
        <v>1</v>
      </c>
      <c r="N124" s="526" t="s">
        <v>12</v>
      </c>
      <c r="O124" s="530">
        <f>M124</f>
        <v>1</v>
      </c>
      <c r="P124" s="386"/>
      <c r="Q124" s="39"/>
      <c r="R124" s="39"/>
      <c r="S124" s="39"/>
      <c r="T124" s="27"/>
      <c r="U124" s="27"/>
      <c r="V124" s="27"/>
      <c r="W124" s="27"/>
      <c r="X124" s="93"/>
      <c r="Y124" s="93"/>
      <c r="Z124" s="93"/>
      <c r="AA124" s="93"/>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109"/>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f t="shared" si="813"/>
        <v>0.85</v>
      </c>
      <c r="CD124" s="109">
        <f t="shared" si="814"/>
        <v>1</v>
      </c>
      <c r="CE124" s="27">
        <f t="shared" si="815"/>
        <v>1.4</v>
      </c>
      <c r="CF124" s="27"/>
      <c r="CG124" s="27"/>
      <c r="CH124" s="27"/>
      <c r="CI124" s="27">
        <f t="shared" si="811"/>
        <v>0</v>
      </c>
      <c r="CJ124" s="27"/>
      <c r="CK124" s="27"/>
      <c r="CL124" s="27"/>
      <c r="CM124" s="27"/>
      <c r="CN124" s="27"/>
      <c r="CO124" s="27"/>
      <c r="CP124" s="27"/>
      <c r="CQ124" s="27"/>
      <c r="CR124" s="27"/>
      <c r="CS124" s="27"/>
      <c r="CT124" s="27"/>
      <c r="CU124" s="27"/>
      <c r="CV124" s="27"/>
      <c r="CW124" s="27"/>
      <c r="CX124" s="27"/>
      <c r="CY124" s="27"/>
      <c r="CZ124" s="27"/>
      <c r="DA124" s="27"/>
      <c r="DB124" s="27"/>
      <c r="DC124" s="27"/>
    </row>
    <row r="125" spans="2:107" ht="15.5" outlineLevel="2" x14ac:dyDescent="0.35">
      <c r="B125" s="7"/>
      <c r="C125" s="58"/>
      <c r="D125" s="87"/>
      <c r="E125" s="87"/>
      <c r="F125" s="87"/>
      <c r="G125" s="87"/>
      <c r="H125" s="87"/>
      <c r="I125" s="87"/>
      <c r="J125" s="58"/>
      <c r="K125" s="384" t="s">
        <v>462</v>
      </c>
      <c r="L125" s="528" t="s">
        <v>28</v>
      </c>
      <c r="M125" s="529">
        <v>1</v>
      </c>
      <c r="N125" s="526" t="s">
        <v>12</v>
      </c>
      <c r="O125" s="530">
        <f>IF(K125="x",SUM(M125,N125),0)+0.2</f>
        <v>1.2</v>
      </c>
      <c r="P125" s="380"/>
      <c r="Q125" s="39"/>
      <c r="R125" s="39"/>
      <c r="S125" s="39"/>
      <c r="AY125" s="109"/>
      <c r="CC125" s="27">
        <f t="shared" si="813"/>
        <v>1.02</v>
      </c>
      <c r="CD125" s="109">
        <f t="shared" si="814"/>
        <v>1.2</v>
      </c>
      <c r="CE125" s="27">
        <f t="shared" si="815"/>
        <v>1.68</v>
      </c>
      <c r="CG125" s="126">
        <v>0</v>
      </c>
      <c r="CI125" s="27">
        <f t="shared" si="811"/>
        <v>0</v>
      </c>
    </row>
    <row r="126" spans="2:107" ht="15.5" outlineLevel="2" x14ac:dyDescent="0.35">
      <c r="C126" s="58"/>
      <c r="D126" s="58"/>
      <c r="E126" s="58"/>
      <c r="F126" s="58"/>
      <c r="G126" s="58"/>
      <c r="H126" s="58"/>
      <c r="I126" s="58"/>
      <c r="J126" s="58"/>
      <c r="K126" s="384" t="s">
        <v>462</v>
      </c>
      <c r="L126" s="528" t="s">
        <v>656</v>
      </c>
      <c r="M126" s="525" t="s">
        <v>12</v>
      </c>
      <c r="N126" s="526">
        <f>SUM(BY46:BY107)</f>
        <v>33.000000000000007</v>
      </c>
      <c r="O126" s="530">
        <f>N126*2</f>
        <v>66.000000000000014</v>
      </c>
      <c r="P126" s="380"/>
      <c r="Q126" s="39"/>
      <c r="R126" s="39"/>
      <c r="S126" s="39"/>
      <c r="U126" s="97"/>
      <c r="AB126" s="97"/>
      <c r="AY126" s="109"/>
      <c r="CC126" s="27">
        <f t="shared" si="813"/>
        <v>56.100000000000009</v>
      </c>
      <c r="CD126" s="109">
        <f t="shared" si="814"/>
        <v>66.000000000000014</v>
      </c>
      <c r="CE126" s="27">
        <f t="shared" si="815"/>
        <v>92.40000000000002</v>
      </c>
      <c r="CG126" s="126">
        <v>0</v>
      </c>
      <c r="CI126" s="27">
        <f t="shared" si="811"/>
        <v>0</v>
      </c>
    </row>
    <row r="127" spans="2:107" ht="15.5" outlineLevel="2" x14ac:dyDescent="0.35">
      <c r="C127" s="58"/>
      <c r="D127" s="58"/>
      <c r="E127" s="58"/>
      <c r="F127" s="58"/>
      <c r="G127" s="58"/>
      <c r="H127" s="58"/>
      <c r="I127" s="58"/>
      <c r="J127" s="58"/>
      <c r="K127" s="384" t="s">
        <v>462</v>
      </c>
      <c r="L127" s="528" t="s">
        <v>22</v>
      </c>
      <c r="M127" s="525">
        <f>ROUNDUP((N126)*Modelo!$H$70,1)</f>
        <v>6.6</v>
      </c>
      <c r="N127" s="526" t="s">
        <v>12</v>
      </c>
      <c r="O127" s="530">
        <f>M127</f>
        <v>6.6</v>
      </c>
      <c r="P127" s="386"/>
      <c r="Q127" s="39"/>
      <c r="R127" s="39"/>
      <c r="S127" s="39"/>
      <c r="U127" s="97"/>
      <c r="AB127" s="97"/>
      <c r="AY127" s="109"/>
      <c r="CC127" s="27">
        <f t="shared" si="813"/>
        <v>5.6099999999999994</v>
      </c>
      <c r="CD127" s="109">
        <f t="shared" si="814"/>
        <v>6.6</v>
      </c>
      <c r="CE127" s="27">
        <f t="shared" si="815"/>
        <v>9.2399999999999984</v>
      </c>
      <c r="CG127" s="126">
        <v>0</v>
      </c>
      <c r="CI127" s="27">
        <f t="shared" si="811"/>
        <v>0</v>
      </c>
    </row>
    <row r="128" spans="2:107" s="6" customFormat="1" ht="16" outlineLevel="1" thickBot="1" x14ac:dyDescent="0.4">
      <c r="C128" s="58"/>
      <c r="D128" s="58"/>
      <c r="E128" s="58"/>
      <c r="F128" s="58"/>
      <c r="G128" s="58"/>
      <c r="H128" s="58"/>
      <c r="I128" s="58"/>
      <c r="J128" s="58"/>
      <c r="K128" s="85" t="s">
        <v>462</v>
      </c>
      <c r="L128" s="524" t="s">
        <v>167</v>
      </c>
      <c r="M128" s="525">
        <f>ROUNDUP(M213,0)</f>
        <v>5</v>
      </c>
      <c r="N128" s="526" t="s">
        <v>12</v>
      </c>
      <c r="O128" s="530">
        <f t="shared" si="812"/>
        <v>5</v>
      </c>
      <c r="P128" s="380"/>
      <c r="Q128" s="39"/>
      <c r="R128" s="39"/>
      <c r="S128" s="39"/>
      <c r="T128" s="80"/>
      <c r="U128" s="27"/>
      <c r="V128" s="27"/>
      <c r="W128" s="27"/>
      <c r="X128" s="93"/>
      <c r="Y128" s="93"/>
      <c r="Z128" s="93"/>
      <c r="AA128" s="93"/>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f t="shared" si="813"/>
        <v>4.25</v>
      </c>
      <c r="CD128" s="109">
        <f t="shared" si="814"/>
        <v>5</v>
      </c>
      <c r="CE128" s="27">
        <f t="shared" si="815"/>
        <v>7</v>
      </c>
      <c r="CF128" s="27"/>
      <c r="CG128" s="126">
        <v>0</v>
      </c>
      <c r="CH128" s="27"/>
      <c r="CI128" s="27">
        <f t="shared" si="811"/>
        <v>0</v>
      </c>
      <c r="CJ128" s="27"/>
      <c r="CK128" s="27"/>
      <c r="CL128" s="27"/>
      <c r="CM128" s="27"/>
      <c r="CN128" s="27"/>
      <c r="CO128" s="27"/>
      <c r="CP128" s="27"/>
      <c r="CQ128" s="27"/>
      <c r="CR128" s="27"/>
      <c r="CS128" s="27"/>
      <c r="CT128" s="27"/>
      <c r="CU128" s="27"/>
      <c r="CV128" s="27"/>
      <c r="CW128" s="27"/>
      <c r="CX128" s="27"/>
      <c r="CY128" s="27"/>
      <c r="CZ128" s="27"/>
      <c r="DA128" s="27"/>
      <c r="DB128" s="27"/>
      <c r="DC128" s="27"/>
    </row>
    <row r="129" spans="2:107" s="4" customFormat="1" ht="26.5" customHeight="1" thickBot="1" x14ac:dyDescent="0.35">
      <c r="B129" s="3"/>
      <c r="C129" s="86"/>
      <c r="D129" s="58"/>
      <c r="E129" s="58"/>
      <c r="F129" s="58"/>
      <c r="G129" s="58"/>
      <c r="H129" s="58"/>
      <c r="I129" s="58"/>
      <c r="J129" s="58"/>
      <c r="K129" s="188"/>
      <c r="L129" s="521" t="s">
        <v>26</v>
      </c>
      <c r="M129" s="522">
        <f>SUM(M131:M146)/$P$148</f>
        <v>7.9748283752860416E-2</v>
      </c>
      <c r="N129" s="522">
        <f>SUM(N131:N146)/$P$148</f>
        <v>2.7116704805491977E-2</v>
      </c>
      <c r="O129" s="533"/>
      <c r="P129" s="372">
        <f>SUM(O131:O146)</f>
        <v>96.549999999999983</v>
      </c>
      <c r="R129" s="122"/>
      <c r="S129" s="122"/>
      <c r="T129" s="122">
        <f>SUM(O131:O146)/$P$148</f>
        <v>0.11046910755148739</v>
      </c>
      <c r="U129" s="97"/>
      <c r="V129" s="27"/>
      <c r="W129" s="80"/>
      <c r="X129" s="148"/>
      <c r="Y129" s="148"/>
      <c r="Z129" s="148"/>
      <c r="AA129" s="148"/>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1"/>
      <c r="AY129" s="109"/>
      <c r="AZ129" s="81"/>
      <c r="BA129" s="81"/>
      <c r="BB129" s="81"/>
      <c r="BC129" s="81"/>
      <c r="BD129" s="81"/>
      <c r="BE129" s="81"/>
      <c r="BF129" s="81"/>
      <c r="BG129" s="81"/>
      <c r="BH129" s="81"/>
      <c r="BI129" s="81"/>
      <c r="BJ129" s="81"/>
      <c r="BK129" s="81"/>
      <c r="BL129" s="81"/>
      <c r="BM129" s="81"/>
      <c r="BN129" s="81"/>
      <c r="BO129" s="81"/>
      <c r="BP129" s="81"/>
      <c r="BQ129" s="81"/>
      <c r="BR129" s="81"/>
      <c r="BS129" s="81"/>
      <c r="BT129" s="81"/>
      <c r="BU129" s="81"/>
      <c r="BV129" s="81"/>
      <c r="BW129" s="81"/>
      <c r="BX129" s="81"/>
      <c r="BY129" s="81"/>
      <c r="BZ129" s="81"/>
      <c r="CA129" s="81"/>
      <c r="CB129" s="81"/>
      <c r="CC129" s="81"/>
      <c r="CD129" s="81"/>
      <c r="CE129" s="27"/>
      <c r="CF129" s="81"/>
      <c r="CG129" s="81"/>
      <c r="CH129" s="81"/>
      <c r="CI129" s="27"/>
      <c r="CJ129" s="81"/>
      <c r="CK129" s="81"/>
      <c r="CL129" s="81"/>
      <c r="CM129" s="81"/>
      <c r="CN129" s="81"/>
      <c r="CO129" s="81"/>
      <c r="CP129" s="81"/>
      <c r="CQ129" s="81"/>
      <c r="CR129" s="81"/>
      <c r="CS129" s="81"/>
      <c r="CT129" s="81"/>
      <c r="CU129" s="81"/>
      <c r="CV129" s="81"/>
      <c r="CW129" s="81"/>
      <c r="CX129" s="81"/>
      <c r="CY129" s="81"/>
      <c r="CZ129" s="81"/>
      <c r="DA129" s="81"/>
      <c r="DB129" s="81"/>
      <c r="DC129" s="81"/>
    </row>
    <row r="130" spans="2:107" s="11" customFormat="1" ht="26.5" customHeight="1" thickBot="1" x14ac:dyDescent="0.35">
      <c r="B130" s="16"/>
      <c r="C130" s="86"/>
      <c r="D130" s="58"/>
      <c r="E130" s="58"/>
      <c r="F130" s="58"/>
      <c r="G130" s="58"/>
      <c r="H130" s="58"/>
      <c r="I130" s="58"/>
      <c r="J130" s="58"/>
      <c r="K130" s="188"/>
      <c r="L130" s="558" t="s">
        <v>10</v>
      </c>
      <c r="M130" s="559" t="s">
        <v>394</v>
      </c>
      <c r="N130" s="522"/>
      <c r="O130" s="558" t="s">
        <v>394</v>
      </c>
      <c r="P130" s="557"/>
      <c r="R130" s="122"/>
      <c r="S130" s="122"/>
      <c r="T130" s="122"/>
      <c r="U130" s="97"/>
      <c r="V130" s="27"/>
      <c r="W130" s="80"/>
      <c r="X130" s="148"/>
      <c r="Y130" s="148"/>
      <c r="Z130" s="148"/>
      <c r="AA130" s="148"/>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1"/>
      <c r="AY130" s="109"/>
      <c r="AZ130" s="81"/>
      <c r="BA130" s="81"/>
      <c r="BB130" s="81"/>
      <c r="BC130" s="81"/>
      <c r="BD130" s="81"/>
      <c r="BE130" s="81"/>
      <c r="BF130" s="81"/>
      <c r="BG130" s="81"/>
      <c r="BH130" s="81"/>
      <c r="BI130" s="81"/>
      <c r="BJ130" s="81"/>
      <c r="BK130" s="81"/>
      <c r="BL130" s="81"/>
      <c r="BM130" s="81"/>
      <c r="BN130" s="81"/>
      <c r="BO130" s="81"/>
      <c r="BP130" s="81"/>
      <c r="BQ130" s="81"/>
      <c r="BR130" s="81"/>
      <c r="BS130" s="81"/>
      <c r="BT130" s="81"/>
      <c r="BU130" s="81"/>
      <c r="BV130" s="81"/>
      <c r="BW130" s="81"/>
      <c r="BX130" s="81"/>
      <c r="BY130" s="81"/>
      <c r="BZ130" s="81"/>
      <c r="CA130" s="81"/>
      <c r="CB130" s="81"/>
      <c r="CC130" s="81"/>
      <c r="CD130" s="81"/>
      <c r="CE130" s="27"/>
      <c r="CF130" s="81"/>
      <c r="CG130" s="81"/>
      <c r="CH130" s="81"/>
      <c r="CI130" s="27"/>
      <c r="CJ130" s="81"/>
      <c r="CK130" s="81"/>
      <c r="CL130" s="81"/>
      <c r="CM130" s="81"/>
      <c r="CN130" s="81"/>
      <c r="CO130" s="81"/>
      <c r="CP130" s="81"/>
      <c r="CQ130" s="81"/>
      <c r="CR130" s="81"/>
      <c r="CS130" s="81"/>
      <c r="CT130" s="81"/>
      <c r="CU130" s="81"/>
      <c r="CV130" s="81"/>
      <c r="CW130" s="81"/>
      <c r="CX130" s="81"/>
      <c r="CY130" s="81"/>
      <c r="CZ130" s="81"/>
      <c r="DA130" s="81"/>
      <c r="DB130" s="81"/>
      <c r="DC130" s="81"/>
    </row>
    <row r="131" spans="2:107" ht="15.5" outlineLevel="1" x14ac:dyDescent="0.35">
      <c r="C131" s="58"/>
      <c r="D131" s="58"/>
      <c r="E131" s="58"/>
      <c r="F131" s="58"/>
      <c r="G131" s="58"/>
      <c r="H131" s="58"/>
      <c r="I131" s="58"/>
      <c r="J131" s="58"/>
      <c r="K131" s="188"/>
      <c r="L131" s="524" t="s">
        <v>616</v>
      </c>
      <c r="M131" s="525"/>
      <c r="N131" s="526"/>
      <c r="O131" s="527"/>
      <c r="P131" s="380"/>
      <c r="Q131" s="39"/>
      <c r="R131" s="39"/>
      <c r="S131" s="39"/>
      <c r="AY131" s="98"/>
    </row>
    <row r="132" spans="2:107" s="6" customFormat="1" ht="15.5" outlineLevel="2" x14ac:dyDescent="0.35">
      <c r="C132" s="58"/>
      <c r="D132" s="58"/>
      <c r="E132" s="58"/>
      <c r="F132" s="58"/>
      <c r="G132" s="58"/>
      <c r="H132" s="58"/>
      <c r="I132" s="58"/>
      <c r="J132" s="58"/>
      <c r="K132" s="384" t="s">
        <v>462</v>
      </c>
      <c r="L132" s="528" t="s">
        <v>619</v>
      </c>
      <c r="M132" s="529">
        <v>1</v>
      </c>
      <c r="N132" s="526" t="s">
        <v>12</v>
      </c>
      <c r="O132" s="530">
        <f>IF(K132="x",SUM(M132,N132),0)</f>
        <v>1</v>
      </c>
      <c r="P132" s="381"/>
      <c r="Q132" s="39"/>
      <c r="R132" s="39"/>
      <c r="S132" s="39"/>
      <c r="T132" s="27"/>
      <c r="U132" s="27"/>
      <c r="V132" s="27"/>
      <c r="W132" s="27"/>
      <c r="X132" s="93"/>
      <c r="Y132" s="93"/>
      <c r="Z132" s="93"/>
      <c r="AA132" s="93"/>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109"/>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f t="shared" ref="CC132:CC137" si="816">CD132*0.85</f>
        <v>0.85</v>
      </c>
      <c r="CD132" s="109">
        <f t="shared" ref="CD132:CD137" si="817">O132</f>
        <v>1</v>
      </c>
      <c r="CE132" s="27">
        <f t="shared" ref="CE132:CE137" si="818">IF(CD132=0,1,CD132*1.4)</f>
        <v>1.4</v>
      </c>
      <c r="CF132" s="27"/>
      <c r="CG132" s="126">
        <v>0</v>
      </c>
      <c r="CH132" s="27"/>
      <c r="CI132" s="27">
        <f t="shared" ref="CI132:CI137" si="819">IF(CF132&lt;&gt;"",CF132,CG132)</f>
        <v>0</v>
      </c>
      <c r="CJ132" s="27"/>
      <c r="CK132" s="27"/>
      <c r="CL132" s="27"/>
      <c r="CM132" s="27"/>
      <c r="CN132" s="27"/>
      <c r="CO132" s="27"/>
      <c r="CP132" s="27"/>
      <c r="CQ132" s="27"/>
      <c r="CR132" s="27"/>
      <c r="CS132" s="27"/>
      <c r="CT132" s="27"/>
      <c r="CU132" s="27"/>
      <c r="CV132" s="27"/>
      <c r="CW132" s="27"/>
      <c r="CX132" s="27"/>
      <c r="CY132" s="27"/>
      <c r="CZ132" s="27"/>
      <c r="DA132" s="27"/>
      <c r="DB132" s="27"/>
      <c r="DC132" s="27"/>
    </row>
    <row r="133" spans="2:107" ht="37.9" customHeight="1" outlineLevel="2" x14ac:dyDescent="0.35">
      <c r="B133" s="7"/>
      <c r="C133" s="58"/>
      <c r="D133" s="87"/>
      <c r="E133" s="87"/>
      <c r="F133" s="87"/>
      <c r="G133" s="87"/>
      <c r="H133" s="87"/>
      <c r="I133" s="87"/>
      <c r="J133" s="58"/>
      <c r="K133" s="383"/>
      <c r="L133" s="528" t="s">
        <v>727</v>
      </c>
      <c r="M133" s="529">
        <v>8</v>
      </c>
      <c r="N133" s="526" t="s">
        <v>12</v>
      </c>
      <c r="O133" s="530">
        <f>M133</f>
        <v>8</v>
      </c>
      <c r="P133" s="386"/>
      <c r="Q133" s="39"/>
      <c r="R133" s="39"/>
      <c r="S133" s="39"/>
      <c r="U133" s="97"/>
      <c r="AY133" s="109"/>
      <c r="CC133" s="27">
        <f t="shared" si="816"/>
        <v>6.8</v>
      </c>
      <c r="CD133" s="109">
        <f t="shared" si="817"/>
        <v>8</v>
      </c>
      <c r="CE133" s="27">
        <f t="shared" si="818"/>
        <v>11.2</v>
      </c>
      <c r="CG133" s="126">
        <v>0</v>
      </c>
      <c r="CI133" s="27">
        <f t="shared" si="819"/>
        <v>0</v>
      </c>
    </row>
    <row r="134" spans="2:107" ht="15.5" outlineLevel="2" x14ac:dyDescent="0.35">
      <c r="B134" s="7"/>
      <c r="C134" s="58"/>
      <c r="D134" s="87"/>
      <c r="E134" s="87"/>
      <c r="F134" s="87"/>
      <c r="G134" s="87"/>
      <c r="H134" s="87"/>
      <c r="I134" s="87"/>
      <c r="J134" s="58"/>
      <c r="K134" s="384" t="s">
        <v>462</v>
      </c>
      <c r="L134" s="528" t="s">
        <v>28</v>
      </c>
      <c r="M134" s="529">
        <v>3</v>
      </c>
      <c r="N134" s="526" t="s">
        <v>12</v>
      </c>
      <c r="O134" s="530">
        <f>IF(K134="x",SUM(M134,N134),0)</f>
        <v>3</v>
      </c>
      <c r="P134" s="380"/>
      <c r="Q134" s="39"/>
      <c r="R134" s="39"/>
      <c r="S134" s="39"/>
      <c r="U134" s="97"/>
      <c r="AY134" s="109"/>
      <c r="CC134" s="27">
        <f t="shared" si="816"/>
        <v>2.5499999999999998</v>
      </c>
      <c r="CD134" s="109">
        <f t="shared" si="817"/>
        <v>3</v>
      </c>
      <c r="CE134" s="27">
        <f t="shared" si="818"/>
        <v>4.1999999999999993</v>
      </c>
      <c r="CG134" s="126">
        <v>0</v>
      </c>
      <c r="CI134" s="27">
        <f t="shared" si="819"/>
        <v>0</v>
      </c>
    </row>
    <row r="135" spans="2:107" ht="15.5" outlineLevel="2" x14ac:dyDescent="0.35">
      <c r="B135" s="7"/>
      <c r="C135" s="58"/>
      <c r="D135" s="87"/>
      <c r="E135" s="87"/>
      <c r="F135" s="87"/>
      <c r="G135" s="87"/>
      <c r="H135" s="87"/>
      <c r="I135" s="87"/>
      <c r="J135" s="58"/>
      <c r="K135" s="384" t="s">
        <v>462</v>
      </c>
      <c r="L135" s="528" t="s">
        <v>617</v>
      </c>
      <c r="M135" s="526">
        <v>0</v>
      </c>
      <c r="N135" s="526" t="s">
        <v>12</v>
      </c>
      <c r="O135" s="530">
        <f>M135</f>
        <v>0</v>
      </c>
      <c r="P135" s="382" t="s">
        <v>610</v>
      </c>
      <c r="Q135" s="125"/>
      <c r="R135" s="125"/>
      <c r="S135" s="125"/>
      <c r="AY135" s="109"/>
      <c r="CC135" s="27">
        <f t="shared" si="816"/>
        <v>0</v>
      </c>
      <c r="CD135" s="109">
        <f t="shared" si="817"/>
        <v>0</v>
      </c>
      <c r="CE135" s="27">
        <f t="shared" si="818"/>
        <v>1</v>
      </c>
      <c r="CG135" s="126">
        <v>0</v>
      </c>
      <c r="CI135" s="27">
        <f t="shared" si="819"/>
        <v>0</v>
      </c>
    </row>
    <row r="136" spans="2:107" ht="15.5" outlineLevel="2" x14ac:dyDescent="0.35">
      <c r="C136" s="58"/>
      <c r="D136" s="58"/>
      <c r="E136" s="58"/>
      <c r="F136" s="58"/>
      <c r="G136" s="58"/>
      <c r="H136" s="58"/>
      <c r="I136" s="58"/>
      <c r="J136" s="58"/>
      <c r="K136" s="384" t="s">
        <v>462</v>
      </c>
      <c r="L136" s="528" t="s">
        <v>615</v>
      </c>
      <c r="M136" s="525" t="s">
        <v>12</v>
      </c>
      <c r="N136" s="526">
        <f>SUM(BZ46:BZ107)</f>
        <v>23.199999999999989</v>
      </c>
      <c r="O136" s="530">
        <f>N136+0.35</f>
        <v>23.54999999999999</v>
      </c>
      <c r="P136" s="380"/>
      <c r="Q136" s="39"/>
      <c r="R136" s="39"/>
      <c r="S136" s="39"/>
      <c r="U136" s="97"/>
      <c r="AY136" s="109"/>
      <c r="CC136" s="27">
        <f t="shared" si="816"/>
        <v>20.017499999999991</v>
      </c>
      <c r="CD136" s="109">
        <f t="shared" si="817"/>
        <v>23.54999999999999</v>
      </c>
      <c r="CE136" s="27">
        <f t="shared" si="818"/>
        <v>32.969999999999985</v>
      </c>
      <c r="CG136" s="126">
        <v>0</v>
      </c>
      <c r="CI136" s="27">
        <f t="shared" si="819"/>
        <v>0</v>
      </c>
    </row>
    <row r="137" spans="2:107" ht="15.5" outlineLevel="2" x14ac:dyDescent="0.35">
      <c r="C137" s="58"/>
      <c r="D137" s="58"/>
      <c r="E137" s="58"/>
      <c r="F137" s="58"/>
      <c r="G137" s="58"/>
      <c r="H137" s="58"/>
      <c r="I137" s="58"/>
      <c r="J137" s="58"/>
      <c r="K137" s="384" t="s">
        <v>462</v>
      </c>
      <c r="L137" s="528" t="s">
        <v>618</v>
      </c>
      <c r="M137" s="525">
        <f>ROUNDUP((N136)*Modelo!$H$72,1)</f>
        <v>4.6999999999999993</v>
      </c>
      <c r="N137" s="526" t="s">
        <v>12</v>
      </c>
      <c r="O137" s="530">
        <v>5</v>
      </c>
      <c r="P137" s="380"/>
      <c r="Q137" s="39"/>
      <c r="R137" s="39"/>
      <c r="S137" s="39"/>
      <c r="U137" s="97"/>
      <c r="AY137" s="109"/>
      <c r="CC137" s="27">
        <f t="shared" si="816"/>
        <v>4.25</v>
      </c>
      <c r="CD137" s="109">
        <f t="shared" si="817"/>
        <v>5</v>
      </c>
      <c r="CE137" s="27">
        <f t="shared" si="818"/>
        <v>7</v>
      </c>
      <c r="CG137" s="126">
        <v>0</v>
      </c>
      <c r="CI137" s="27">
        <f t="shared" si="819"/>
        <v>0</v>
      </c>
    </row>
    <row r="138" spans="2:107" ht="15.5" outlineLevel="1" x14ac:dyDescent="0.35">
      <c r="C138" s="58"/>
      <c r="D138" s="58"/>
      <c r="E138" s="58"/>
      <c r="F138" s="58"/>
      <c r="G138" s="58"/>
      <c r="H138" s="58"/>
      <c r="I138" s="58"/>
      <c r="J138" s="58"/>
      <c r="K138" s="385"/>
      <c r="L138" s="524" t="s">
        <v>29</v>
      </c>
      <c r="M138" s="525"/>
      <c r="N138" s="526"/>
      <c r="O138" s="531"/>
      <c r="P138" s="380"/>
      <c r="AY138" s="98"/>
    </row>
    <row r="139" spans="2:107" ht="15.5" outlineLevel="2" x14ac:dyDescent="0.35">
      <c r="C139" s="58"/>
      <c r="D139" s="58"/>
      <c r="E139" s="58"/>
      <c r="F139" s="58"/>
      <c r="G139" s="58"/>
      <c r="H139" s="58"/>
      <c r="I139" s="58"/>
      <c r="J139" s="58"/>
      <c r="K139" s="384" t="s">
        <v>462</v>
      </c>
      <c r="L139" s="554" t="s">
        <v>732</v>
      </c>
      <c r="M139" s="525">
        <v>0</v>
      </c>
      <c r="N139" s="525" t="s">
        <v>12</v>
      </c>
      <c r="O139" s="555">
        <v>4</v>
      </c>
      <c r="P139" s="380" t="s">
        <v>610</v>
      </c>
      <c r="U139" s="97"/>
      <c r="AY139" s="109"/>
      <c r="CC139" s="27">
        <f>CD139*0.85</f>
        <v>3.4</v>
      </c>
      <c r="CD139" s="109">
        <f>O139</f>
        <v>4</v>
      </c>
      <c r="CE139" s="27">
        <f>IF(CD139=0,1,CD139*1.4)</f>
        <v>5.6</v>
      </c>
      <c r="CG139" s="126">
        <v>0</v>
      </c>
      <c r="CI139" s="27">
        <f>IF(CF139&lt;&gt;"",CF139,CG139)</f>
        <v>0</v>
      </c>
    </row>
    <row r="140" spans="2:107" ht="15.5" outlineLevel="1" x14ac:dyDescent="0.35">
      <c r="C140" s="58"/>
      <c r="D140" s="58"/>
      <c r="E140" s="58"/>
      <c r="F140" s="58"/>
      <c r="G140" s="58"/>
      <c r="H140" s="58"/>
      <c r="I140" s="58"/>
      <c r="J140" s="58"/>
      <c r="K140" s="385"/>
      <c r="L140" s="524" t="s">
        <v>620</v>
      </c>
      <c r="M140" s="525"/>
      <c r="N140" s="526">
        <v>0.5</v>
      </c>
      <c r="O140" s="531"/>
      <c r="P140" s="380"/>
      <c r="U140" s="97"/>
      <c r="AY140" s="98"/>
    </row>
    <row r="141" spans="2:107" s="6" customFormat="1" ht="15.5" hidden="1" outlineLevel="2" x14ac:dyDescent="0.35">
      <c r="C141" s="58"/>
      <c r="D141" s="58"/>
      <c r="E141" s="58"/>
      <c r="F141" s="58"/>
      <c r="G141" s="58"/>
      <c r="H141" s="58"/>
      <c r="I141" s="58"/>
      <c r="J141" s="58"/>
      <c r="K141" s="384" t="s">
        <v>462</v>
      </c>
      <c r="L141" s="528" t="s">
        <v>170</v>
      </c>
      <c r="M141" s="529">
        <v>0</v>
      </c>
      <c r="N141" s="526" t="s">
        <v>12</v>
      </c>
      <c r="O141" s="530">
        <f t="shared" ref="O141:O146" si="820">IF(K141="x",SUM(M141,N141),0)</f>
        <v>0</v>
      </c>
      <c r="P141" s="380"/>
      <c r="Q141" s="27"/>
      <c r="R141" s="27"/>
      <c r="S141" s="27"/>
      <c r="T141" s="27"/>
      <c r="U141" s="97"/>
      <c r="V141" s="27"/>
      <c r="W141" s="27"/>
      <c r="X141" s="93"/>
      <c r="Y141" s="93"/>
      <c r="Z141" s="93"/>
      <c r="AA141" s="93"/>
      <c r="AB141" s="9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109"/>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f t="shared" ref="CC141:CC146" si="821">CD141*0.85</f>
        <v>0</v>
      </c>
      <c r="CD141" s="109">
        <f t="shared" ref="CD141:CD146" si="822">O141</f>
        <v>0</v>
      </c>
      <c r="CE141" s="27">
        <f t="shared" ref="CE141:CE146" si="823">IF(CD141=0,1,CD141*1.4)</f>
        <v>1</v>
      </c>
      <c r="CF141" s="27"/>
      <c r="CG141" s="126">
        <v>0</v>
      </c>
      <c r="CH141" s="27"/>
      <c r="CI141" s="27">
        <f t="shared" ref="CI141:CI146" si="824">IF(CF141&lt;&gt;"",CF141,CG141)</f>
        <v>0</v>
      </c>
      <c r="CJ141" s="27"/>
      <c r="CK141" s="27"/>
      <c r="CL141" s="27"/>
      <c r="CM141" s="27"/>
      <c r="CN141" s="27"/>
      <c r="CO141" s="27"/>
      <c r="CP141" s="27"/>
      <c r="CQ141" s="27"/>
      <c r="CR141" s="27"/>
      <c r="CS141" s="27"/>
      <c r="CT141" s="27"/>
      <c r="CU141" s="27"/>
      <c r="CV141" s="27"/>
      <c r="CW141" s="27"/>
      <c r="CX141" s="27"/>
      <c r="CY141" s="27"/>
      <c r="CZ141" s="27"/>
      <c r="DA141" s="27"/>
      <c r="DB141" s="27"/>
      <c r="DC141" s="27"/>
    </row>
    <row r="142" spans="2:107" s="6" customFormat="1" ht="15.5" outlineLevel="2" x14ac:dyDescent="0.35">
      <c r="C142" s="58"/>
      <c r="D142" s="58"/>
      <c r="E142" s="58"/>
      <c r="F142" s="58"/>
      <c r="G142" s="58"/>
      <c r="H142" s="58"/>
      <c r="I142" s="58"/>
      <c r="J142" s="58"/>
      <c r="K142" s="384" t="s">
        <v>462</v>
      </c>
      <c r="L142" s="528" t="s">
        <v>621</v>
      </c>
      <c r="M142" s="529">
        <v>2</v>
      </c>
      <c r="N142" s="526" t="s">
        <v>12</v>
      </c>
      <c r="O142" s="530">
        <v>1</v>
      </c>
      <c r="P142" s="380"/>
      <c r="Q142" s="27"/>
      <c r="R142" s="27"/>
      <c r="S142" s="27"/>
      <c r="T142" s="27"/>
      <c r="U142" s="97"/>
      <c r="V142" s="27"/>
      <c r="W142" s="27"/>
      <c r="X142" s="93"/>
      <c r="Y142" s="93"/>
      <c r="Z142" s="93"/>
      <c r="AA142" s="93"/>
      <c r="AB142" s="9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109"/>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f t="shared" si="821"/>
        <v>0.85</v>
      </c>
      <c r="CD142" s="109">
        <f t="shared" si="822"/>
        <v>1</v>
      </c>
      <c r="CE142" s="27">
        <f t="shared" si="823"/>
        <v>1.4</v>
      </c>
      <c r="CF142" s="27"/>
      <c r="CG142" s="126">
        <v>0</v>
      </c>
      <c r="CH142" s="27"/>
      <c r="CI142" s="27">
        <f t="shared" si="824"/>
        <v>0</v>
      </c>
      <c r="CJ142" s="27"/>
      <c r="CK142" s="27"/>
      <c r="CL142" s="27"/>
      <c r="CM142" s="27"/>
      <c r="CN142" s="27"/>
      <c r="CO142" s="27"/>
      <c r="CP142" s="27"/>
      <c r="CQ142" s="27"/>
      <c r="CR142" s="27"/>
      <c r="CS142" s="27"/>
      <c r="CT142" s="27"/>
      <c r="CU142" s="27"/>
      <c r="CV142" s="27"/>
      <c r="CW142" s="27"/>
      <c r="CX142" s="27"/>
      <c r="CY142" s="27"/>
      <c r="CZ142" s="27"/>
      <c r="DA142" s="27"/>
      <c r="DB142" s="27"/>
      <c r="DC142" s="27"/>
    </row>
    <row r="143" spans="2:107" ht="15" hidden="1" customHeight="1" outlineLevel="2" x14ac:dyDescent="0.35">
      <c r="B143" s="7"/>
      <c r="C143" s="58"/>
      <c r="D143" s="87"/>
      <c r="E143" s="87"/>
      <c r="F143" s="87"/>
      <c r="G143" s="87"/>
      <c r="H143" s="87"/>
      <c r="I143" s="87"/>
      <c r="J143" s="58"/>
      <c r="K143" s="383"/>
      <c r="L143" s="528" t="s">
        <v>169</v>
      </c>
      <c r="M143" s="529">
        <v>0</v>
      </c>
      <c r="N143" s="526" t="s">
        <v>12</v>
      </c>
      <c r="O143" s="530">
        <f t="shared" si="820"/>
        <v>0</v>
      </c>
      <c r="P143" s="386" t="s">
        <v>514</v>
      </c>
      <c r="Q143" s="39"/>
      <c r="R143" s="39"/>
      <c r="S143" s="39"/>
      <c r="AY143" s="109"/>
      <c r="CC143" s="27">
        <f t="shared" si="821"/>
        <v>0</v>
      </c>
      <c r="CD143" s="109">
        <f t="shared" si="822"/>
        <v>0</v>
      </c>
      <c r="CE143" s="27">
        <f t="shared" si="823"/>
        <v>1</v>
      </c>
      <c r="CI143" s="27">
        <f t="shared" si="824"/>
        <v>0</v>
      </c>
    </row>
    <row r="144" spans="2:107" ht="15.5" hidden="1" outlineLevel="2" x14ac:dyDescent="0.35">
      <c r="B144" s="7"/>
      <c r="C144" s="58"/>
      <c r="D144" s="87"/>
      <c r="E144" s="87"/>
      <c r="F144" s="87"/>
      <c r="G144" s="87"/>
      <c r="H144" s="87"/>
      <c r="I144" s="87"/>
      <c r="J144" s="58"/>
      <c r="K144" s="384" t="s">
        <v>462</v>
      </c>
      <c r="L144" s="528" t="s">
        <v>28</v>
      </c>
      <c r="M144" s="529">
        <v>0</v>
      </c>
      <c r="N144" s="526" t="s">
        <v>12</v>
      </c>
      <c r="O144" s="530">
        <f t="shared" si="820"/>
        <v>0</v>
      </c>
      <c r="P144" s="380"/>
      <c r="Q144" s="39"/>
      <c r="R144" s="39"/>
      <c r="S144" s="39"/>
      <c r="U144" s="97"/>
      <c r="AY144" s="109"/>
      <c r="CC144" s="27">
        <f t="shared" si="821"/>
        <v>0</v>
      </c>
      <c r="CD144" s="109">
        <f t="shared" si="822"/>
        <v>0</v>
      </c>
      <c r="CE144" s="27">
        <f t="shared" si="823"/>
        <v>1</v>
      </c>
      <c r="CG144" s="126">
        <v>0</v>
      </c>
      <c r="CI144" s="27">
        <f t="shared" si="824"/>
        <v>0</v>
      </c>
    </row>
    <row r="145" spans="2:107" ht="29" outlineLevel="2" x14ac:dyDescent="0.35">
      <c r="B145" s="7"/>
      <c r="C145" s="58"/>
      <c r="D145" s="87"/>
      <c r="E145" s="87"/>
      <c r="F145" s="87"/>
      <c r="G145" s="87"/>
      <c r="H145" s="87"/>
      <c r="I145" s="87"/>
      <c r="J145" s="58"/>
      <c r="K145" s="384" t="s">
        <v>462</v>
      </c>
      <c r="L145" s="528" t="s">
        <v>755</v>
      </c>
      <c r="M145" s="529">
        <v>50</v>
      </c>
      <c r="N145" s="526" t="s">
        <v>12</v>
      </c>
      <c r="O145" s="530">
        <f t="shared" si="820"/>
        <v>50</v>
      </c>
      <c r="P145" s="382"/>
      <c r="Q145" s="125"/>
      <c r="R145" s="125"/>
      <c r="S145" s="125"/>
      <c r="AY145" s="109"/>
      <c r="CC145" s="27">
        <f t="shared" si="821"/>
        <v>42.5</v>
      </c>
      <c r="CD145" s="109">
        <f t="shared" si="822"/>
        <v>50</v>
      </c>
      <c r="CE145" s="27">
        <f t="shared" si="823"/>
        <v>70</v>
      </c>
      <c r="CG145" s="126">
        <v>0</v>
      </c>
      <c r="CI145" s="27">
        <f t="shared" si="824"/>
        <v>0</v>
      </c>
    </row>
    <row r="146" spans="2:107" s="6" customFormat="1" ht="15.5" outlineLevel="1" x14ac:dyDescent="0.35">
      <c r="C146" s="58"/>
      <c r="D146" s="58"/>
      <c r="E146" s="58"/>
      <c r="F146" s="58"/>
      <c r="G146" s="58"/>
      <c r="H146" s="58"/>
      <c r="I146" s="58"/>
      <c r="J146" s="58"/>
      <c r="K146" s="384" t="s">
        <v>462</v>
      </c>
      <c r="L146" s="524" t="s">
        <v>622</v>
      </c>
      <c r="M146" s="525">
        <v>1</v>
      </c>
      <c r="N146" s="526" t="s">
        <v>12</v>
      </c>
      <c r="O146" s="530">
        <f t="shared" si="820"/>
        <v>1</v>
      </c>
      <c r="P146" s="382"/>
      <c r="Q146" s="125"/>
      <c r="R146" s="125"/>
      <c r="S146" s="125"/>
      <c r="T146" s="27"/>
      <c r="U146" s="27"/>
      <c r="V146" s="27"/>
      <c r="W146" s="27"/>
      <c r="X146" s="93"/>
      <c r="Y146" s="93"/>
      <c r="Z146" s="93"/>
      <c r="AA146" s="93"/>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f t="shared" si="821"/>
        <v>0.85</v>
      </c>
      <c r="CD146" s="109">
        <f t="shared" si="822"/>
        <v>1</v>
      </c>
      <c r="CE146" s="27">
        <f t="shared" si="823"/>
        <v>1.4</v>
      </c>
      <c r="CF146" s="27"/>
      <c r="CG146" s="126">
        <v>0</v>
      </c>
      <c r="CH146" s="27"/>
      <c r="CI146" s="27">
        <f t="shared" si="824"/>
        <v>0</v>
      </c>
      <c r="CJ146" s="27"/>
      <c r="CK146" s="27"/>
      <c r="CL146" s="27"/>
      <c r="CM146" s="27"/>
      <c r="CN146" s="27"/>
      <c r="CO146" s="27"/>
      <c r="CP146" s="27"/>
      <c r="CQ146" s="27"/>
      <c r="CR146" s="27"/>
      <c r="CS146" s="27"/>
      <c r="CT146" s="27"/>
      <c r="CU146" s="27"/>
      <c r="CV146" s="27"/>
      <c r="CW146" s="27"/>
      <c r="CX146" s="27"/>
      <c r="CY146" s="27"/>
      <c r="CZ146" s="27"/>
      <c r="DA146" s="27"/>
      <c r="DB146" s="27"/>
      <c r="DC146" s="27"/>
    </row>
    <row r="147" spans="2:107" ht="15.5" thickBot="1" x14ac:dyDescent="0.35">
      <c r="C147" s="58"/>
      <c r="D147" s="58"/>
      <c r="E147" s="58"/>
      <c r="F147" s="58"/>
      <c r="G147" s="58"/>
      <c r="H147" s="58"/>
      <c r="I147" s="58"/>
      <c r="J147" s="58"/>
      <c r="K147" s="58"/>
      <c r="L147" s="56"/>
      <c r="M147" s="88"/>
      <c r="N147" s="88"/>
      <c r="O147" s="516"/>
      <c r="P147" s="60"/>
      <c r="Q147" s="39"/>
      <c r="R147" s="39"/>
      <c r="S147" s="39"/>
      <c r="T147" s="83"/>
      <c r="AY147" s="98"/>
    </row>
    <row r="148" spans="2:107" ht="20.5" thickBot="1" x14ac:dyDescent="0.45">
      <c r="C148" s="89"/>
      <c r="D148" s="58"/>
      <c r="E148" s="58"/>
      <c r="F148" s="58"/>
      <c r="G148" s="58"/>
      <c r="H148" s="58"/>
      <c r="I148" s="58"/>
      <c r="J148" s="58"/>
      <c r="K148" s="58"/>
      <c r="L148" s="56"/>
      <c r="M148" s="58"/>
      <c r="N148" s="58"/>
      <c r="O148" s="168" t="s">
        <v>516</v>
      </c>
      <c r="P148" s="387">
        <f>SUM(P11,P41,P114,P129)</f>
        <v>874</v>
      </c>
      <c r="Q148" s="149"/>
      <c r="R148" s="149"/>
      <c r="S148" s="149"/>
      <c r="T148" s="83"/>
      <c r="U148" s="83"/>
      <c r="V148" s="83"/>
      <c r="W148" s="83"/>
      <c r="X148" s="150"/>
      <c r="Y148" s="150"/>
      <c r="Z148" s="150"/>
      <c r="AA148" s="150"/>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CC148" s="109">
        <f>SUM(CC14:CC146)</f>
        <v>742.87874999999997</v>
      </c>
      <c r="CD148" s="109">
        <f>SUM(CD14:CD146)</f>
        <v>873.97500000000048</v>
      </c>
      <c r="CE148" s="109">
        <f>SUM(CE14:CE146)</f>
        <v>1250.5650000000005</v>
      </c>
      <c r="CG148" s="151">
        <f>SUM(CG14:CG146)</f>
        <v>0</v>
      </c>
      <c r="CI148" s="151">
        <f>SUM(CI14:CI146)</f>
        <v>0</v>
      </c>
    </row>
    <row r="149" spans="2:107" ht="17.5" x14ac:dyDescent="0.35">
      <c r="C149" s="27"/>
      <c r="D149" s="27"/>
      <c r="E149" s="27"/>
      <c r="F149" s="27"/>
      <c r="G149" s="27"/>
      <c r="H149" s="27"/>
      <c r="I149" s="27"/>
      <c r="J149" s="27"/>
      <c r="K149" s="27"/>
      <c r="L149" s="90"/>
      <c r="M149" s="27"/>
      <c r="N149" s="91"/>
      <c r="O149" s="517"/>
      <c r="Q149" s="92"/>
      <c r="R149" s="92"/>
      <c r="S149" s="92"/>
    </row>
    <row r="150" spans="2:107" x14ac:dyDescent="0.3">
      <c r="C150" s="27"/>
      <c r="D150" s="27"/>
      <c r="E150" s="27"/>
      <c r="F150" s="27"/>
      <c r="G150" s="27"/>
      <c r="H150" s="27"/>
      <c r="I150" s="27"/>
      <c r="J150" s="27"/>
      <c r="K150" s="27"/>
      <c r="L150" s="90"/>
      <c r="M150" s="94" t="s">
        <v>31</v>
      </c>
      <c r="N150" s="95">
        <f>COUNTIF($D$42:$D$73,"C")</f>
        <v>1</v>
      </c>
      <c r="O150" s="518"/>
      <c r="P150" s="96">
        <f>P148*0.2</f>
        <v>174.8</v>
      </c>
      <c r="Q150" s="97">
        <f>P148-P150</f>
        <v>699.2</v>
      </c>
      <c r="R150" s="97"/>
      <c r="S150" s="97"/>
      <c r="X150" s="27"/>
      <c r="Y150" s="27"/>
      <c r="Z150" s="27"/>
      <c r="AA150" s="27"/>
      <c r="AY150" s="98"/>
    </row>
    <row r="151" spans="2:107" x14ac:dyDescent="0.3">
      <c r="C151" s="27"/>
      <c r="D151" s="27"/>
      <c r="E151" s="27"/>
      <c r="F151" s="27"/>
      <c r="G151" s="27"/>
      <c r="H151" s="27"/>
      <c r="I151" s="27"/>
      <c r="J151" s="27"/>
      <c r="K151" s="27"/>
      <c r="L151" s="90"/>
      <c r="M151" s="94" t="s">
        <v>32</v>
      </c>
      <c r="N151" s="95">
        <f>COUNTIF($D$42:$D$73,"P")</f>
        <v>21</v>
      </c>
      <c r="O151" s="518"/>
      <c r="P151" s="99"/>
      <c r="X151" s="27"/>
      <c r="Y151" s="27"/>
      <c r="Z151" s="27"/>
      <c r="AA151" s="27"/>
      <c r="AY151" s="98"/>
    </row>
    <row r="152" spans="2:107" x14ac:dyDescent="0.3">
      <c r="C152" s="27"/>
      <c r="D152" s="27"/>
      <c r="E152" s="27"/>
      <c r="F152" s="27"/>
      <c r="G152" s="27"/>
      <c r="H152" s="27"/>
      <c r="I152" s="27"/>
      <c r="J152" s="27"/>
      <c r="K152" s="27"/>
      <c r="L152" s="90"/>
      <c r="M152" s="94" t="s">
        <v>33</v>
      </c>
      <c r="N152" s="95">
        <f>COUNTIF($D$42:$D$73,"R")</f>
        <v>0</v>
      </c>
      <c r="O152" s="518"/>
      <c r="X152" s="27"/>
      <c r="Y152" s="27"/>
      <c r="Z152" s="27"/>
      <c r="AA152" s="27"/>
      <c r="AY152" s="98"/>
    </row>
    <row r="153" spans="2:107" x14ac:dyDescent="0.3">
      <c r="C153" s="27"/>
      <c r="D153" s="27"/>
      <c r="E153" s="27"/>
      <c r="F153" s="27"/>
      <c r="G153" s="27"/>
      <c r="H153" s="27"/>
      <c r="I153" s="27"/>
      <c r="J153" s="27"/>
      <c r="K153" s="27"/>
      <c r="L153" s="90"/>
      <c r="M153" s="100" t="s">
        <v>34</v>
      </c>
      <c r="N153" s="101">
        <f>SUM(N150:N152)</f>
        <v>22</v>
      </c>
      <c r="O153" s="518"/>
      <c r="P153" s="96"/>
      <c r="Q153" s="97"/>
      <c r="R153" s="97"/>
      <c r="S153" s="97"/>
      <c r="X153" s="27"/>
      <c r="Y153" s="27"/>
      <c r="Z153" s="27"/>
      <c r="AA153" s="27"/>
      <c r="AY153" s="98"/>
    </row>
    <row r="154" spans="2:107" x14ac:dyDescent="0.3">
      <c r="C154" s="27"/>
      <c r="D154" s="27"/>
      <c r="E154" s="27"/>
      <c r="F154" s="27"/>
      <c r="G154" s="27"/>
      <c r="H154" s="27"/>
      <c r="I154" s="27"/>
      <c r="J154" s="27"/>
      <c r="K154" s="27"/>
      <c r="L154" s="90"/>
      <c r="M154" s="102" t="s">
        <v>86</v>
      </c>
      <c r="N154" s="95">
        <f>COUNTIF($D$42:$D$73,"M")</f>
        <v>1</v>
      </c>
      <c r="O154" s="518"/>
      <c r="X154" s="27"/>
      <c r="Y154" s="27"/>
      <c r="Z154" s="27"/>
      <c r="AA154" s="27"/>
      <c r="AY154" s="98"/>
    </row>
    <row r="155" spans="2:107" x14ac:dyDescent="0.3">
      <c r="C155" s="27"/>
      <c r="D155" s="27"/>
      <c r="E155" s="27"/>
      <c r="F155" s="27"/>
      <c r="G155" s="27"/>
      <c r="H155" s="27"/>
      <c r="I155" s="27"/>
      <c r="J155" s="27"/>
      <c r="K155" s="27"/>
      <c r="L155" s="90"/>
      <c r="M155" s="25"/>
      <c r="N155" s="25"/>
      <c r="O155" s="25"/>
    </row>
    <row r="156" spans="2:107" x14ac:dyDescent="0.3">
      <c r="C156" s="27"/>
      <c r="D156" s="27"/>
      <c r="E156" s="27"/>
      <c r="F156" s="27"/>
      <c r="G156" s="27"/>
      <c r="H156" s="27"/>
      <c r="I156" s="27"/>
      <c r="J156" s="27"/>
      <c r="K156" s="27"/>
      <c r="L156" s="28"/>
      <c r="M156" s="103" t="s">
        <v>327</v>
      </c>
      <c r="N156" s="103" t="s">
        <v>328</v>
      </c>
      <c r="O156" s="25"/>
      <c r="AD156" s="104"/>
    </row>
    <row r="157" spans="2:107" x14ac:dyDescent="0.3">
      <c r="C157" s="27"/>
      <c r="D157" s="27"/>
      <c r="E157" s="27"/>
      <c r="F157" s="27"/>
      <c r="G157" s="27"/>
      <c r="H157" s="27"/>
      <c r="I157" s="27"/>
      <c r="J157" s="27"/>
      <c r="K157" s="27"/>
      <c r="L157" s="27"/>
      <c r="M157" s="105">
        <f>SUM(M10:M147,-M11,-M41,-M114,-M129)</f>
        <v>681.60000000000036</v>
      </c>
      <c r="N157" s="105">
        <f>SUM(N10:N147,-N11,-N41,-N114,-N129)</f>
        <v>244.60000000000005</v>
      </c>
      <c r="O157" s="25"/>
    </row>
    <row r="158" spans="2:107" x14ac:dyDescent="0.3">
      <c r="C158" s="27"/>
      <c r="D158" s="27"/>
      <c r="E158" s="27"/>
      <c r="F158" s="27"/>
      <c r="G158" s="27"/>
      <c r="H158" s="27"/>
      <c r="I158" s="27"/>
      <c r="J158" s="27"/>
      <c r="K158" s="27"/>
      <c r="L158" s="27"/>
      <c r="M158" s="106">
        <f>M157/(M157+N157)</f>
        <v>0.73591017058950559</v>
      </c>
      <c r="N158" s="106">
        <f>N157/(M157+N157)</f>
        <v>0.26408982941049441</v>
      </c>
      <c r="O158" s="25"/>
      <c r="AD158" s="104"/>
    </row>
    <row r="159" spans="2:107" x14ac:dyDescent="0.3">
      <c r="C159" s="27"/>
      <c r="D159" s="27"/>
      <c r="E159" s="27"/>
      <c r="F159" s="27"/>
      <c r="G159" s="27"/>
      <c r="H159" s="27"/>
      <c r="I159" s="27"/>
      <c r="J159" s="27"/>
      <c r="K159" s="27"/>
      <c r="L159" s="27"/>
      <c r="M159" s="25"/>
      <c r="N159" s="25"/>
      <c r="O159" s="25"/>
    </row>
    <row r="160" spans="2:107" x14ac:dyDescent="0.3">
      <c r="C160" s="27"/>
      <c r="D160" s="27"/>
      <c r="E160" s="27"/>
      <c r="F160" s="27"/>
      <c r="G160" s="27"/>
      <c r="H160" s="27"/>
      <c r="I160" s="27"/>
      <c r="J160" s="27"/>
      <c r="K160" s="27"/>
      <c r="L160" s="27"/>
      <c r="M160" s="25"/>
      <c r="N160" s="25"/>
      <c r="O160" s="25"/>
    </row>
    <row r="161" spans="3:28" x14ac:dyDescent="0.3">
      <c r="C161" s="27"/>
      <c r="D161" s="27"/>
      <c r="E161" s="27"/>
      <c r="F161" s="27"/>
      <c r="G161" s="27"/>
      <c r="H161" s="27"/>
      <c r="I161" s="27"/>
      <c r="J161" s="27"/>
      <c r="K161" s="27"/>
      <c r="L161" s="27"/>
      <c r="M161" s="25"/>
      <c r="N161" s="25"/>
      <c r="O161" s="25"/>
      <c r="P161" s="26" t="s">
        <v>419</v>
      </c>
      <c r="Q161" s="107">
        <v>0</v>
      </c>
      <c r="R161" s="107"/>
      <c r="S161" s="107"/>
    </row>
    <row r="162" spans="3:28" x14ac:dyDescent="0.3">
      <c r="C162" s="27"/>
      <c r="D162" s="27"/>
      <c r="E162" s="27"/>
      <c r="F162" s="27"/>
      <c r="G162" s="27"/>
      <c r="H162" s="27"/>
      <c r="I162" s="27"/>
      <c r="J162" s="27"/>
      <c r="K162" s="27"/>
      <c r="L162" s="27"/>
      <c r="M162" s="27"/>
      <c r="N162" s="27" t="s">
        <v>277</v>
      </c>
      <c r="O162" s="108"/>
      <c r="P162" s="26" t="s">
        <v>157</v>
      </c>
      <c r="Q162" s="108" t="s">
        <v>158</v>
      </c>
      <c r="R162" s="108"/>
      <c r="S162" s="108"/>
    </row>
    <row r="163" spans="3:28" x14ac:dyDescent="0.3">
      <c r="C163" s="27"/>
      <c r="D163" s="27"/>
      <c r="E163" s="27"/>
      <c r="F163" s="27"/>
      <c r="G163" s="27"/>
      <c r="H163" s="27"/>
      <c r="I163" s="27"/>
      <c r="J163" s="27"/>
      <c r="K163" s="27"/>
      <c r="L163" s="27"/>
      <c r="M163" s="27" t="s">
        <v>333</v>
      </c>
      <c r="N163" s="109">
        <f>M187</f>
        <v>3.8</v>
      </c>
      <c r="O163" s="108"/>
      <c r="P163" s="110">
        <v>45323</v>
      </c>
      <c r="Q163" s="104">
        <f>$P$163+ROUNDDOWN(SUM($N$163:N164),0)*7+(SUM($N$163:N164)-ROUNDDOWN(SUM($N$163:N164),0))/0.2+IF((Q161+(SUM($N$163:N164)-ROUNDDOWN(SUM($N$163:N164),0))*5)&gt;=5,2,0)</f>
        <v>45351</v>
      </c>
      <c r="R163" s="104"/>
      <c r="S163" s="104"/>
      <c r="T163" s="27">
        <f>TRUNC(((N163+N164)/$N$172)*100,1)</f>
        <v>24.4</v>
      </c>
      <c r="U163" s="27" t="s">
        <v>300</v>
      </c>
    </row>
    <row r="164" spans="3:28" x14ac:dyDescent="0.3">
      <c r="C164" s="27"/>
      <c r="D164" s="27"/>
      <c r="E164" s="27"/>
      <c r="F164" s="27"/>
      <c r="G164" s="27"/>
      <c r="H164" s="27"/>
      <c r="I164" s="27"/>
      <c r="J164" s="27"/>
      <c r="K164" s="27"/>
      <c r="L164" s="27"/>
      <c r="M164" s="111" t="s">
        <v>292</v>
      </c>
      <c r="N164" s="109">
        <f>O164/5</f>
        <v>0.2</v>
      </c>
      <c r="O164" s="519">
        <v>1</v>
      </c>
      <c r="Q164" s="104"/>
      <c r="R164" s="104"/>
      <c r="S164" s="104"/>
    </row>
    <row r="165" spans="3:28" x14ac:dyDescent="0.3">
      <c r="C165" s="27"/>
      <c r="D165" s="27"/>
      <c r="E165" s="27"/>
      <c r="F165" s="27"/>
      <c r="G165" s="27"/>
      <c r="H165" s="27"/>
      <c r="I165" s="27"/>
      <c r="J165" s="27"/>
      <c r="K165" s="27"/>
      <c r="L165" s="27"/>
      <c r="M165" s="27" t="s">
        <v>259</v>
      </c>
      <c r="N165" s="109">
        <f>M202</f>
        <v>5.9</v>
      </c>
      <c r="O165" s="108"/>
      <c r="P165" s="112">
        <f>Q163+1</f>
        <v>45352</v>
      </c>
      <c r="Q165" s="104">
        <f>$P$163+ROUNDDOWN(SUM($N$163:N166),0)*7+(SUM($N$163:N166)-ROUNDDOWN(SUM($N$163:N166),0))/0.2+IF((Q161+(SUM($N$163:N166)-ROUNDDOWN(SUM($N$163:N166),0))*5)&gt;=5,2,0)</f>
        <v>45390.5</v>
      </c>
      <c r="R165" s="104"/>
      <c r="S165" s="104"/>
      <c r="T165" s="27">
        <f>TRUNC(((N165+N166)/$N$172)*100,1)</f>
        <v>35.9</v>
      </c>
      <c r="U165" s="27" t="s">
        <v>300</v>
      </c>
    </row>
    <row r="166" spans="3:28" x14ac:dyDescent="0.3">
      <c r="C166" s="27"/>
      <c r="D166" s="27"/>
      <c r="E166" s="27"/>
      <c r="F166" s="27"/>
      <c r="G166" s="27"/>
      <c r="H166" s="27"/>
      <c r="I166" s="27"/>
      <c r="J166" s="27"/>
      <c r="K166" s="27"/>
      <c r="L166" s="27"/>
      <c r="M166" s="111" t="s">
        <v>292</v>
      </c>
      <c r="N166" s="109">
        <f>O166/5</f>
        <v>0</v>
      </c>
      <c r="O166" s="519">
        <v>0</v>
      </c>
    </row>
    <row r="167" spans="3:28" x14ac:dyDescent="0.3">
      <c r="C167" s="27"/>
      <c r="D167" s="27"/>
      <c r="E167" s="27"/>
      <c r="F167" s="27"/>
      <c r="G167" s="27"/>
      <c r="H167" s="27"/>
      <c r="I167" s="27"/>
      <c r="J167" s="27"/>
      <c r="K167" s="27"/>
      <c r="L167" s="27"/>
      <c r="M167" s="27" t="s">
        <v>260</v>
      </c>
      <c r="N167" s="109">
        <f>M215</f>
        <v>2.9097794609044336</v>
      </c>
      <c r="O167" s="108"/>
      <c r="P167" s="112">
        <f>Q165+1</f>
        <v>45391.5</v>
      </c>
      <c r="Q167" s="104">
        <f>$P$163+ROUNDDOWN(SUM($N$163:N168),0)*7+(SUM($N$163:N168)-ROUNDDOWN(SUM($N$163:N168),0))/0.2+IF((Q161+(SUM($N$163:N168)-ROUNDDOWN(SUM($N$163:N168),0))*5)&gt;=5,2,0)</f>
        <v>45416.048897304521</v>
      </c>
      <c r="R167" s="104"/>
      <c r="S167" s="104"/>
      <c r="T167" s="27">
        <f>TRUNC(((N167+N168)/$N$172)*100,1)</f>
        <v>21.4</v>
      </c>
      <c r="U167" s="27" t="s">
        <v>300</v>
      </c>
    </row>
    <row r="168" spans="3:28" x14ac:dyDescent="0.3">
      <c r="C168" s="27"/>
      <c r="D168" s="27"/>
      <c r="E168" s="27"/>
      <c r="F168" s="27"/>
      <c r="G168" s="27"/>
      <c r="H168" s="27"/>
      <c r="I168" s="27"/>
      <c r="J168" s="27"/>
      <c r="K168" s="27"/>
      <c r="L168" s="27"/>
      <c r="M168" s="111" t="s">
        <v>292</v>
      </c>
      <c r="N168" s="109">
        <f>O168/5</f>
        <v>0.6</v>
      </c>
      <c r="O168" s="519">
        <v>3</v>
      </c>
      <c r="T168" s="97"/>
      <c r="V168" s="104"/>
      <c r="W168" s="104"/>
      <c r="X168" s="113"/>
      <c r="Y168" s="113"/>
      <c r="Z168" s="113"/>
      <c r="AA168" s="113"/>
      <c r="AB168" s="104"/>
    </row>
    <row r="169" spans="3:28" x14ac:dyDescent="0.3">
      <c r="C169" s="27"/>
      <c r="D169" s="27"/>
      <c r="E169" s="27"/>
      <c r="F169" s="27"/>
      <c r="G169" s="27"/>
      <c r="H169" s="27"/>
      <c r="I169" s="27"/>
      <c r="J169" s="27"/>
      <c r="K169" s="27"/>
      <c r="L169" s="27"/>
      <c r="M169" s="27" t="s">
        <v>261</v>
      </c>
      <c r="N169" s="109">
        <f>M230</f>
        <v>2.9799509913120956</v>
      </c>
      <c r="O169" s="108"/>
      <c r="P169" s="112">
        <f>Q167+1</f>
        <v>45417.048897304521</v>
      </c>
      <c r="Q169" s="104">
        <f>$P$163+ROUNDDOWN(SUM($N$163:N170),0)*7+(SUM($N$163:N170)-ROUNDDOWN(SUM($N$163:N170),0))/0.2+IF((Q161+(SUM($N$163:N170)-ROUNDDOWN(SUM($N$163:N170),0))*5)&gt;=5,2,0)</f>
        <v>45436.948652261082</v>
      </c>
      <c r="R169" s="104"/>
      <c r="S169" s="104"/>
      <c r="T169" s="27">
        <f>TRUNC(((N169+N170)/$N$172)*100,1)</f>
        <v>18.100000000000001</v>
      </c>
      <c r="U169" s="27" t="s">
        <v>300</v>
      </c>
    </row>
    <row r="170" spans="3:28" x14ac:dyDescent="0.3">
      <c r="C170" s="27"/>
      <c r="D170" s="27"/>
      <c r="E170" s="27"/>
      <c r="F170" s="27"/>
      <c r="G170" s="27"/>
      <c r="H170" s="27"/>
      <c r="I170" s="27"/>
      <c r="J170" s="27"/>
      <c r="K170" s="27"/>
      <c r="L170" s="27"/>
      <c r="M170" s="111" t="s">
        <v>292</v>
      </c>
      <c r="N170" s="109">
        <f>O170/5</f>
        <v>0</v>
      </c>
      <c r="O170" s="519">
        <v>0</v>
      </c>
      <c r="T170" s="97"/>
    </row>
    <row r="171" spans="3:28" x14ac:dyDescent="0.3">
      <c r="C171" s="27"/>
      <c r="D171" s="27"/>
      <c r="E171" s="27"/>
      <c r="F171" s="27"/>
      <c r="G171" s="27"/>
      <c r="H171" s="27"/>
      <c r="I171" s="27"/>
      <c r="J171" s="27"/>
      <c r="K171" s="27"/>
      <c r="L171" s="27"/>
      <c r="M171" s="27"/>
      <c r="N171" s="27"/>
      <c r="O171" s="108"/>
    </row>
    <row r="172" spans="3:28" x14ac:dyDescent="0.3">
      <c r="C172" s="27"/>
      <c r="D172" s="27"/>
      <c r="E172" s="27"/>
      <c r="F172" s="27"/>
      <c r="G172" s="27"/>
      <c r="H172" s="27"/>
      <c r="I172" s="27"/>
      <c r="J172" s="27"/>
      <c r="K172" s="27"/>
      <c r="L172" s="27"/>
      <c r="M172" s="27"/>
      <c r="N172" s="97">
        <f>SUM(N163:N170)</f>
        <v>16.389730452216529</v>
      </c>
      <c r="O172" s="108" t="s">
        <v>274</v>
      </c>
      <c r="T172" s="97"/>
    </row>
    <row r="173" spans="3:28" x14ac:dyDescent="0.3">
      <c r="C173" s="27"/>
      <c r="D173" s="27"/>
      <c r="E173" s="27"/>
      <c r="F173" s="27"/>
      <c r="G173" s="27"/>
      <c r="H173" s="27"/>
      <c r="I173" s="27"/>
      <c r="J173" s="27"/>
      <c r="K173" s="27"/>
      <c r="L173" s="27"/>
      <c r="M173" s="27"/>
      <c r="N173" s="27">
        <f>ROUNDUP(N172*7,1)</f>
        <v>114.8</v>
      </c>
      <c r="O173" s="108" t="s">
        <v>293</v>
      </c>
    </row>
    <row r="174" spans="3:28" x14ac:dyDescent="0.3">
      <c r="C174" s="27"/>
      <c r="D174" s="27"/>
      <c r="E174" s="27"/>
      <c r="F174" s="27"/>
      <c r="G174" s="27"/>
      <c r="H174" s="27"/>
      <c r="I174" s="27"/>
      <c r="J174" s="27"/>
      <c r="K174" s="27"/>
      <c r="L174" s="27"/>
      <c r="M174" s="27"/>
      <c r="N174" s="27">
        <f>ROUNDUP(N172/4.35,1)</f>
        <v>3.8000000000000003</v>
      </c>
      <c r="O174" s="108" t="s">
        <v>40</v>
      </c>
    </row>
    <row r="175" spans="3:28" x14ac:dyDescent="0.3">
      <c r="C175" s="27"/>
      <c r="D175" s="27"/>
      <c r="E175" s="27"/>
      <c r="F175" s="27"/>
      <c r="G175" s="27"/>
      <c r="H175" s="27"/>
      <c r="I175" s="27"/>
      <c r="J175" s="27"/>
      <c r="K175" s="27"/>
      <c r="L175" s="27"/>
      <c r="M175" s="114">
        <v>33.5</v>
      </c>
      <c r="N175" s="27" t="s">
        <v>454</v>
      </c>
      <c r="O175" s="25"/>
    </row>
    <row r="176" spans="3:28" x14ac:dyDescent="0.3">
      <c r="C176" s="27"/>
      <c r="D176" s="27"/>
      <c r="E176" s="27"/>
      <c r="F176" s="27"/>
      <c r="G176" s="27"/>
      <c r="H176" s="27"/>
      <c r="I176" s="27"/>
      <c r="J176" s="27"/>
      <c r="K176" s="27"/>
      <c r="L176" s="27"/>
      <c r="M176" s="25"/>
      <c r="N176" s="25"/>
      <c r="O176" s="25"/>
    </row>
    <row r="177" spans="3:107" x14ac:dyDescent="0.3">
      <c r="C177" s="27"/>
      <c r="D177" s="27"/>
      <c r="E177" s="27"/>
      <c r="F177" s="27"/>
      <c r="G177" s="27"/>
      <c r="H177" s="27"/>
      <c r="I177" s="27"/>
      <c r="J177" s="27"/>
      <c r="K177" s="27"/>
      <c r="L177" s="27"/>
      <c r="M177" s="114">
        <v>2</v>
      </c>
      <c r="N177" s="27" t="s">
        <v>264</v>
      </c>
      <c r="O177" s="520"/>
    </row>
    <row r="178" spans="3:107" x14ac:dyDescent="0.3">
      <c r="C178" s="27"/>
      <c r="D178" s="27"/>
      <c r="E178" s="27"/>
      <c r="F178" s="27"/>
      <c r="G178" s="27"/>
      <c r="H178" s="27"/>
      <c r="I178" s="27"/>
      <c r="J178" s="27"/>
      <c r="K178" s="27"/>
      <c r="L178" s="27"/>
      <c r="M178" s="97">
        <f>N153</f>
        <v>22</v>
      </c>
      <c r="N178" s="27" t="s">
        <v>267</v>
      </c>
      <c r="O178" s="520"/>
    </row>
    <row r="179" spans="3:107" x14ac:dyDescent="0.3">
      <c r="C179" s="27"/>
      <c r="D179" s="27"/>
      <c r="E179" s="27"/>
      <c r="F179" s="27"/>
      <c r="G179" s="27"/>
      <c r="H179" s="27"/>
      <c r="I179" s="27"/>
      <c r="J179" s="27"/>
      <c r="K179" s="27"/>
      <c r="L179" s="27"/>
      <c r="M179" s="115">
        <f>O14+O16+O21+O26+O35</f>
        <v>29.750000000000004</v>
      </c>
      <c r="N179" s="27" t="s">
        <v>265</v>
      </c>
      <c r="O179" s="520"/>
      <c r="U179" s="109">
        <f>U16+U26</f>
        <v>0</v>
      </c>
      <c r="X179" s="109">
        <f>X16+X26</f>
        <v>0</v>
      </c>
      <c r="Y179" s="109"/>
      <c r="Z179" s="109"/>
      <c r="AA179" s="109"/>
      <c r="AD179" s="109">
        <f>AD16+AD26</f>
        <v>0</v>
      </c>
      <c r="AG179" s="109">
        <f>AG16+AG26</f>
        <v>0</v>
      </c>
      <c r="AJ179" s="109">
        <f>AJ16+AJ26</f>
        <v>0</v>
      </c>
      <c r="AM179" s="109">
        <f>AM16+AM26</f>
        <v>0</v>
      </c>
      <c r="AP179" s="109">
        <f>AP16+AP26</f>
        <v>0</v>
      </c>
      <c r="AS179" s="109">
        <f>AS16+AS26</f>
        <v>0</v>
      </c>
    </row>
    <row r="180" spans="3:107" x14ac:dyDescent="0.3">
      <c r="C180" s="27"/>
      <c r="D180" s="27"/>
      <c r="E180" s="27"/>
      <c r="F180" s="27"/>
      <c r="G180" s="27"/>
      <c r="H180" s="27"/>
      <c r="I180" s="27"/>
      <c r="J180" s="27"/>
      <c r="K180" s="27"/>
      <c r="L180" s="27"/>
      <c r="M180" s="115">
        <f>O15+O18+O17+O23+O22+O24+O27+O28+O29+O30+O31+O32+O36+O37+O38+O39</f>
        <v>167.12500000000003</v>
      </c>
      <c r="N180" s="27" t="s">
        <v>266</v>
      </c>
      <c r="O180" s="520"/>
      <c r="U180" s="109">
        <f>U15+U18+U17+U23+U22+U24+U27+U29+U30+U32+U36+T37+U39</f>
        <v>0</v>
      </c>
      <c r="X180" s="109">
        <f>X15+X18+X17+X23+X22+X24+X27+X29+X30+X32+X36+X37+X39</f>
        <v>0</v>
      </c>
      <c r="Y180" s="109"/>
      <c r="Z180" s="109"/>
      <c r="AA180" s="109"/>
      <c r="AD180" s="109">
        <f>AD15+AD18+AD17+AD23+AD22+AD24+AD27+AD29+AD30+AD32+AD36+AD37+AD39</f>
        <v>0</v>
      </c>
      <c r="AG180" s="109">
        <f>AG15+AG18+AG17+AG23+AG22+AG24+AG27+AG29+AG30+AG32+AG36+AG37+AG39</f>
        <v>0</v>
      </c>
      <c r="AJ180" s="109">
        <f>AJ15+AJ18+AJ17+AJ23+AJ22+AJ24+AJ27+AJ29+AJ30+AJ32+AJ36+AJ37+AJ39</f>
        <v>0</v>
      </c>
      <c r="AM180" s="109">
        <f>AM15+AM18+AM17+AM23+AM22+AM24+AM27+AM29+AM30+AM32+AM36+AM37+AM39</f>
        <v>0</v>
      </c>
      <c r="AP180" s="109">
        <f>AP15+AP18+AP17+AP23+AP22+AP24+AP27+AP29+AP30+AP32+AP36+AP37+AP39</f>
        <v>0</v>
      </c>
      <c r="AS180" s="109">
        <f>AS15+AS18+AS17+AS23+AS22+AS24+AS27+AS29+AS30+AS32+AS36+AS37+AS39</f>
        <v>0</v>
      </c>
    </row>
    <row r="181" spans="3:107" s="16" customFormat="1" x14ac:dyDescent="0.3">
      <c r="C181" s="27"/>
      <c r="D181" s="27"/>
      <c r="E181" s="27"/>
      <c r="F181" s="27"/>
      <c r="G181" s="27"/>
      <c r="H181" s="27"/>
      <c r="I181" s="27"/>
      <c r="J181" s="27"/>
      <c r="K181" s="27"/>
      <c r="L181" s="27"/>
      <c r="M181" s="115">
        <f>O19+O33</f>
        <v>22</v>
      </c>
      <c r="N181" s="27" t="s">
        <v>434</v>
      </c>
      <c r="O181" s="520"/>
      <c r="P181" s="26"/>
      <c r="Q181" s="27"/>
      <c r="R181" s="27"/>
      <c r="S181" s="27"/>
      <c r="T181" s="27"/>
      <c r="U181" s="97">
        <f>U19+U33</f>
        <v>0</v>
      </c>
      <c r="V181" s="27"/>
      <c r="W181" s="27"/>
      <c r="X181" s="97">
        <f>X19+X33</f>
        <v>0</v>
      </c>
      <c r="Y181" s="97"/>
      <c r="Z181" s="97"/>
      <c r="AA181" s="97"/>
      <c r="AB181" s="27"/>
      <c r="AC181" s="27"/>
      <c r="AD181" s="97">
        <f>AD19+AD33</f>
        <v>0</v>
      </c>
      <c r="AE181" s="27"/>
      <c r="AF181" s="27"/>
      <c r="AG181" s="97">
        <f>AG19+AG33</f>
        <v>0</v>
      </c>
      <c r="AH181" s="27"/>
      <c r="AI181" s="27"/>
      <c r="AJ181" s="97">
        <f>AJ19+AJ33</f>
        <v>0</v>
      </c>
      <c r="AK181" s="27"/>
      <c r="AL181" s="27"/>
      <c r="AM181" s="97">
        <f>AM19+AM33</f>
        <v>0</v>
      </c>
      <c r="AN181" s="27"/>
      <c r="AO181" s="27"/>
      <c r="AP181" s="97">
        <f>AP19+AP33</f>
        <v>0</v>
      </c>
      <c r="AQ181" s="27"/>
      <c r="AR181" s="27"/>
      <c r="AS181" s="97">
        <f>AS19+AS33</f>
        <v>0</v>
      </c>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c r="CZ181" s="27"/>
      <c r="DA181" s="27"/>
      <c r="DB181" s="27"/>
      <c r="DC181" s="27"/>
    </row>
    <row r="182" spans="3:107" x14ac:dyDescent="0.3">
      <c r="C182" s="27"/>
      <c r="D182" s="27"/>
      <c r="E182" s="27"/>
      <c r="F182" s="27"/>
      <c r="G182" s="27"/>
      <c r="H182" s="27"/>
      <c r="I182" s="27"/>
      <c r="J182" s="27"/>
      <c r="K182" s="27"/>
      <c r="L182" s="27"/>
      <c r="M182" s="115">
        <f>M179/M177/M175</f>
        <v>0.44402985074626872</v>
      </c>
      <c r="N182" s="27" t="s">
        <v>273</v>
      </c>
      <c r="O182" s="25"/>
      <c r="U182" s="115">
        <f>U179/$M177/$M175</f>
        <v>0</v>
      </c>
      <c r="X182" s="115">
        <f>X179/$M177/$M175</f>
        <v>0</v>
      </c>
      <c r="Y182" s="115"/>
      <c r="Z182" s="115"/>
      <c r="AA182" s="115"/>
      <c r="AD182" s="115">
        <f>AD179/$M177/$M175</f>
        <v>0</v>
      </c>
      <c r="AG182" s="115">
        <f>AG179/$M177/$M175</f>
        <v>0</v>
      </c>
      <c r="AJ182" s="115">
        <f>AJ179/$M177/$M175</f>
        <v>0</v>
      </c>
      <c r="AM182" s="115">
        <f>AM179/$M177/$M175</f>
        <v>0</v>
      </c>
      <c r="AP182" s="115">
        <f>AP179/$M177/$M175</f>
        <v>0</v>
      </c>
      <c r="AS182" s="115">
        <f>AS179/$M177/$M175</f>
        <v>0</v>
      </c>
    </row>
    <row r="183" spans="3:107" x14ac:dyDescent="0.3">
      <c r="C183" s="27"/>
      <c r="D183" s="27"/>
      <c r="E183" s="27"/>
      <c r="F183" s="27"/>
      <c r="G183" s="27"/>
      <c r="H183" s="27"/>
      <c r="I183" s="27"/>
      <c r="J183" s="27"/>
      <c r="K183" s="27"/>
      <c r="L183" s="27"/>
      <c r="M183" s="115">
        <f>M180/M177/M175</f>
        <v>2.4944029850746272</v>
      </c>
      <c r="N183" s="116" t="s">
        <v>269</v>
      </c>
      <c r="O183" s="25"/>
      <c r="U183" s="115">
        <f>U180/$M177/$M175</f>
        <v>0</v>
      </c>
      <c r="X183" s="115">
        <f>X180/$M177/$M175</f>
        <v>0</v>
      </c>
      <c r="Y183" s="115"/>
      <c r="Z183" s="115"/>
      <c r="AA183" s="115"/>
      <c r="AD183" s="115">
        <f>AD180/$M177/$M175</f>
        <v>0</v>
      </c>
      <c r="AG183" s="115">
        <f>AG180/$M177/$M175</f>
        <v>0</v>
      </c>
      <c r="AJ183" s="115">
        <f>AJ180/$M177/$M175</f>
        <v>0</v>
      </c>
      <c r="AM183" s="115">
        <f>AM180/$M177/$M175</f>
        <v>0</v>
      </c>
      <c r="AP183" s="115">
        <f>AP180/$M177/$M175</f>
        <v>0</v>
      </c>
      <c r="AS183" s="115">
        <f>AS180/$M177/$M175</f>
        <v>0</v>
      </c>
    </row>
    <row r="184" spans="3:107" x14ac:dyDescent="0.3">
      <c r="C184" s="27"/>
      <c r="D184" s="27"/>
      <c r="E184" s="27"/>
      <c r="F184" s="27"/>
      <c r="G184" s="27"/>
      <c r="H184" s="27"/>
      <c r="I184" s="27"/>
      <c r="J184" s="27"/>
      <c r="K184" s="27"/>
      <c r="L184" s="27"/>
      <c r="M184" s="115">
        <f>M181/M175</f>
        <v>0.65671641791044777</v>
      </c>
      <c r="N184" s="27" t="s">
        <v>270</v>
      </c>
      <c r="O184" s="25"/>
      <c r="U184" s="115">
        <f>U181/$M175</f>
        <v>0</v>
      </c>
      <c r="X184" s="115">
        <f>X181/$M175</f>
        <v>0</v>
      </c>
      <c r="Y184" s="115"/>
      <c r="Z184" s="115"/>
      <c r="AA184" s="115"/>
      <c r="AD184" s="115">
        <f>AD181/$M175</f>
        <v>0</v>
      </c>
      <c r="AG184" s="115">
        <f>AG181/$M175</f>
        <v>0</v>
      </c>
      <c r="AJ184" s="115">
        <f>AJ181/$M175</f>
        <v>0</v>
      </c>
      <c r="AM184" s="115">
        <f>AM181/$M175</f>
        <v>0</v>
      </c>
      <c r="AP184" s="115">
        <f>AP181/$M175</f>
        <v>0</v>
      </c>
      <c r="AS184" s="115">
        <f>AS181/$M175</f>
        <v>0</v>
      </c>
    </row>
    <row r="185" spans="3:107" x14ac:dyDescent="0.3">
      <c r="C185" s="27"/>
      <c r="D185" s="27"/>
      <c r="E185" s="27"/>
      <c r="F185" s="27"/>
      <c r="G185" s="27"/>
      <c r="H185" s="27"/>
      <c r="I185" s="27"/>
      <c r="J185" s="27"/>
      <c r="K185" s="27"/>
      <c r="L185" s="27"/>
      <c r="M185" s="115">
        <f>SUM(M182,M183,M184)*1.5</f>
        <v>5.3927238805970159</v>
      </c>
      <c r="N185" s="27" t="s">
        <v>271</v>
      </c>
      <c r="O185" s="25"/>
      <c r="U185" s="115">
        <f>SUM(U182,U183,U184)*1.5</f>
        <v>0</v>
      </c>
      <c r="X185" s="115">
        <f>SUM(X182,X183,X184)*1.5</f>
        <v>0</v>
      </c>
      <c r="Y185" s="115"/>
      <c r="Z185" s="115"/>
      <c r="AA185" s="115"/>
      <c r="AD185" s="115">
        <f>SUM(AD182,AD183,AD184)*1.5</f>
        <v>0</v>
      </c>
      <c r="AG185" s="115">
        <f>SUM(AG182,AG183,AG184)*1.5</f>
        <v>0</v>
      </c>
      <c r="AJ185" s="115">
        <f>SUM(AJ182,AJ183,AJ184)*1.5</f>
        <v>0</v>
      </c>
      <c r="AM185" s="115">
        <f>SUM(AM182,AM183,AM184)*1.5</f>
        <v>0</v>
      </c>
      <c r="AP185" s="115">
        <f>SUM(AP182,AP183,AP184)*1.5</f>
        <v>0</v>
      </c>
      <c r="AS185" s="115">
        <f>SUM(AS182,AS183,AS184)*1.5</f>
        <v>0</v>
      </c>
    </row>
    <row r="186" spans="3:107" x14ac:dyDescent="0.3">
      <c r="C186" s="27"/>
      <c r="D186" s="27"/>
      <c r="E186" s="27"/>
      <c r="F186" s="27"/>
      <c r="G186" s="27"/>
      <c r="H186" s="27"/>
      <c r="I186" s="27"/>
      <c r="J186" s="27"/>
      <c r="K186" s="27"/>
      <c r="L186" s="27"/>
      <c r="M186" s="115">
        <f>M185/M175</f>
        <v>0.16097683225662734</v>
      </c>
      <c r="N186" s="27" t="s">
        <v>272</v>
      </c>
      <c r="O186" s="25"/>
    </row>
    <row r="187" spans="3:107" x14ac:dyDescent="0.3">
      <c r="C187" s="27"/>
      <c r="D187" s="27"/>
      <c r="E187" s="27"/>
      <c r="F187" s="27"/>
      <c r="G187" s="27"/>
      <c r="H187" s="27"/>
      <c r="I187" s="27"/>
      <c r="J187" s="27"/>
      <c r="K187" s="27"/>
      <c r="L187" s="27"/>
      <c r="M187" s="117">
        <f>ROUND(SUM(M182,M183,M184,M186),1)</f>
        <v>3.8</v>
      </c>
      <c r="N187" s="118" t="s">
        <v>285</v>
      </c>
      <c r="O187" s="25"/>
    </row>
    <row r="188" spans="3:107" x14ac:dyDescent="0.3">
      <c r="C188" s="27"/>
      <c r="D188" s="27"/>
      <c r="E188" s="27"/>
      <c r="F188" s="27"/>
      <c r="G188" s="27"/>
      <c r="H188" s="27"/>
      <c r="I188" s="27"/>
      <c r="J188" s="27"/>
      <c r="K188" s="27"/>
      <c r="L188" s="27"/>
      <c r="M188" s="27"/>
      <c r="N188" s="27"/>
      <c r="O188" s="25"/>
    </row>
    <row r="189" spans="3:107" x14ac:dyDescent="0.3">
      <c r="C189" s="27"/>
      <c r="D189" s="27"/>
      <c r="E189" s="27"/>
      <c r="F189" s="27"/>
      <c r="G189" s="27"/>
      <c r="H189" s="27"/>
      <c r="I189" s="27"/>
      <c r="J189" s="27"/>
      <c r="K189" s="27"/>
      <c r="L189" s="27"/>
      <c r="M189" s="114">
        <v>2</v>
      </c>
      <c r="N189" s="27" t="s">
        <v>275</v>
      </c>
      <c r="O189" s="25"/>
    </row>
    <row r="190" spans="3:107" x14ac:dyDescent="0.3">
      <c r="C190" s="27"/>
      <c r="D190" s="27"/>
      <c r="E190" s="27"/>
      <c r="F190" s="27"/>
      <c r="G190" s="27"/>
      <c r="H190" s="27"/>
      <c r="I190" s="27"/>
      <c r="J190" s="27"/>
      <c r="K190" s="27"/>
      <c r="L190" s="27"/>
      <c r="M190" s="97">
        <f>N153</f>
        <v>22</v>
      </c>
      <c r="N190" s="27" t="s">
        <v>267</v>
      </c>
      <c r="O190" s="25"/>
    </row>
    <row r="191" spans="3:107" x14ac:dyDescent="0.3">
      <c r="C191" s="27"/>
      <c r="D191" s="27"/>
      <c r="E191" s="27"/>
      <c r="F191" s="27"/>
      <c r="G191" s="27"/>
      <c r="H191" s="27"/>
      <c r="I191" s="27"/>
      <c r="J191" s="27"/>
      <c r="K191" s="27"/>
      <c r="L191" s="27"/>
      <c r="M191" s="97">
        <f>SUM(M46:M107)</f>
        <v>285.30000000000007</v>
      </c>
      <c r="N191" s="27" t="s">
        <v>266</v>
      </c>
      <c r="O191" s="25"/>
    </row>
    <row r="192" spans="3:107" s="16" customFormat="1" x14ac:dyDescent="0.3">
      <c r="C192" s="27"/>
      <c r="D192" s="27"/>
      <c r="E192" s="27"/>
      <c r="F192" s="27"/>
      <c r="G192" s="27"/>
      <c r="H192" s="27"/>
      <c r="I192" s="27"/>
      <c r="J192" s="27"/>
      <c r="K192" s="27"/>
      <c r="L192" s="27"/>
      <c r="M192" s="97">
        <f>M190*0.5</f>
        <v>11</v>
      </c>
      <c r="N192" s="27" t="s">
        <v>434</v>
      </c>
      <c r="O192" s="25"/>
      <c r="P192" s="26"/>
      <c r="Q192" s="27"/>
      <c r="R192" s="27"/>
      <c r="S192" s="27"/>
      <c r="T192" s="27"/>
      <c r="U192" s="27"/>
      <c r="V192" s="27"/>
      <c r="W192" s="27"/>
      <c r="X192" s="93"/>
      <c r="Y192" s="93"/>
      <c r="Z192" s="93"/>
      <c r="AA192" s="93"/>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row>
    <row r="193" spans="3:107" s="16" customFormat="1" x14ac:dyDescent="0.3">
      <c r="C193" s="27"/>
      <c r="D193" s="27"/>
      <c r="E193" s="27"/>
      <c r="F193" s="27"/>
      <c r="G193" s="27"/>
      <c r="H193" s="27"/>
      <c r="I193" s="27"/>
      <c r="J193" s="27"/>
      <c r="K193" s="27"/>
      <c r="L193" s="27"/>
      <c r="M193" s="97">
        <f>M110+N111</f>
        <v>18.099999999999994</v>
      </c>
      <c r="N193" s="27" t="s">
        <v>435</v>
      </c>
      <c r="O193" s="25"/>
      <c r="P193" s="26"/>
      <c r="Q193" s="27"/>
      <c r="R193" s="27"/>
      <c r="S193" s="27"/>
      <c r="T193" s="27"/>
      <c r="U193" s="27"/>
      <c r="V193" s="27"/>
      <c r="W193" s="27"/>
      <c r="X193" s="93"/>
      <c r="Y193" s="93"/>
      <c r="Z193" s="93"/>
      <c r="AA193" s="93"/>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c r="CZ193" s="27"/>
      <c r="DA193" s="27"/>
      <c r="DB193" s="27"/>
      <c r="DC193" s="27"/>
    </row>
    <row r="194" spans="3:107" s="16" customFormat="1" x14ac:dyDescent="0.3">
      <c r="C194" s="27"/>
      <c r="D194" s="27"/>
      <c r="E194" s="27"/>
      <c r="F194" s="27"/>
      <c r="G194" s="27"/>
      <c r="H194" s="27"/>
      <c r="I194" s="27"/>
      <c r="J194" s="27"/>
      <c r="K194" s="27"/>
      <c r="L194" s="27"/>
      <c r="M194" s="97">
        <f>N113</f>
        <v>0</v>
      </c>
      <c r="N194" s="27" t="s">
        <v>471</v>
      </c>
      <c r="O194" s="25"/>
      <c r="P194" s="26"/>
      <c r="Q194" s="27"/>
      <c r="R194" s="27"/>
      <c r="S194" s="27"/>
      <c r="T194" s="27"/>
      <c r="U194" s="27"/>
      <c r="V194" s="27"/>
      <c r="W194" s="27"/>
      <c r="X194" s="93"/>
      <c r="Y194" s="93"/>
      <c r="Z194" s="93"/>
      <c r="AA194" s="93"/>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row>
    <row r="195" spans="3:107" x14ac:dyDescent="0.3">
      <c r="C195" s="27"/>
      <c r="D195" s="27"/>
      <c r="E195" s="27"/>
      <c r="F195" s="27"/>
      <c r="G195" s="27"/>
      <c r="H195" s="27"/>
      <c r="I195" s="27"/>
      <c r="J195" s="27"/>
      <c r="K195" s="27"/>
      <c r="L195" s="27"/>
      <c r="M195" s="97">
        <f>M191/M189/M175</f>
        <v>4.258208955223882</v>
      </c>
      <c r="N195" s="116" t="s">
        <v>269</v>
      </c>
      <c r="O195" s="25"/>
    </row>
    <row r="196" spans="3:107" x14ac:dyDescent="0.3">
      <c r="C196" s="27"/>
      <c r="D196" s="27"/>
      <c r="E196" s="27"/>
      <c r="F196" s="27"/>
      <c r="G196" s="27"/>
      <c r="H196" s="27"/>
      <c r="I196" s="27"/>
      <c r="J196" s="27"/>
      <c r="K196" s="27"/>
      <c r="L196" s="27"/>
      <c r="M196" s="109">
        <f>M192/M175</f>
        <v>0.32835820895522388</v>
      </c>
      <c r="N196" s="27" t="s">
        <v>270</v>
      </c>
      <c r="O196" s="25"/>
    </row>
    <row r="197" spans="3:107" s="16" customFormat="1" x14ac:dyDescent="0.3">
      <c r="C197" s="27"/>
      <c r="D197" s="27"/>
      <c r="E197" s="27"/>
      <c r="F197" s="27"/>
      <c r="G197" s="27"/>
      <c r="H197" s="27"/>
      <c r="I197" s="27"/>
      <c r="J197" s="27"/>
      <c r="K197" s="27"/>
      <c r="L197" s="27"/>
      <c r="M197" s="109">
        <f>M193/M175</f>
        <v>0.54029850746268637</v>
      </c>
      <c r="N197" s="27" t="s">
        <v>437</v>
      </c>
      <c r="O197" s="25"/>
      <c r="P197" s="26"/>
      <c r="Q197" s="27"/>
      <c r="R197" s="27"/>
      <c r="S197" s="27"/>
      <c r="T197" s="27"/>
      <c r="U197" s="27"/>
      <c r="V197" s="27"/>
      <c r="W197" s="27"/>
      <c r="X197" s="93"/>
      <c r="Y197" s="93"/>
      <c r="Z197" s="93"/>
      <c r="AA197" s="93"/>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c r="CZ197" s="27"/>
      <c r="DA197" s="27"/>
      <c r="DB197" s="27"/>
      <c r="DC197" s="27"/>
    </row>
    <row r="198" spans="3:107" s="16" customFormat="1" x14ac:dyDescent="0.3">
      <c r="C198" s="27"/>
      <c r="D198" s="27"/>
      <c r="E198" s="27"/>
      <c r="F198" s="27"/>
      <c r="G198" s="27"/>
      <c r="H198" s="27"/>
      <c r="I198" s="27"/>
      <c r="J198" s="27"/>
      <c r="K198" s="27"/>
      <c r="L198" s="27" t="s">
        <v>455</v>
      </c>
      <c r="M198" s="97">
        <f>M189/7</f>
        <v>0.2857142857142857</v>
      </c>
      <c r="N198" s="27" t="s">
        <v>436</v>
      </c>
      <c r="O198" s="25"/>
      <c r="P198" s="26"/>
      <c r="Q198" s="27"/>
      <c r="R198" s="27"/>
      <c r="S198" s="27"/>
      <c r="T198" s="27"/>
      <c r="U198" s="27"/>
      <c r="V198" s="27"/>
      <c r="W198" s="27"/>
      <c r="X198" s="93"/>
      <c r="Y198" s="93"/>
      <c r="Z198" s="93"/>
      <c r="AA198" s="93"/>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c r="CZ198" s="27"/>
      <c r="DA198" s="27"/>
      <c r="DB198" s="27"/>
      <c r="DC198" s="27"/>
    </row>
    <row r="199" spans="3:107" s="16" customFormat="1" x14ac:dyDescent="0.3">
      <c r="C199" s="27"/>
      <c r="D199" s="27"/>
      <c r="E199" s="27"/>
      <c r="F199" s="27"/>
      <c r="G199" s="27"/>
      <c r="H199" s="27"/>
      <c r="I199" s="27"/>
      <c r="J199" s="27"/>
      <c r="K199" s="27"/>
      <c r="L199" s="27"/>
      <c r="M199" s="109">
        <f>M194/M189/M175</f>
        <v>0</v>
      </c>
      <c r="N199" s="27" t="s">
        <v>481</v>
      </c>
      <c r="O199" s="25"/>
      <c r="P199" s="26"/>
      <c r="Q199" s="27"/>
      <c r="R199" s="27"/>
      <c r="S199" s="27"/>
      <c r="T199" s="27"/>
      <c r="U199" s="27"/>
      <c r="V199" s="27"/>
      <c r="W199" s="27"/>
      <c r="X199" s="93"/>
      <c r="Y199" s="93"/>
      <c r="Z199" s="93"/>
      <c r="AA199" s="93"/>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c r="CZ199" s="27"/>
      <c r="DA199" s="27"/>
      <c r="DB199" s="27"/>
      <c r="DC199" s="27"/>
    </row>
    <row r="200" spans="3:107" x14ac:dyDescent="0.3">
      <c r="C200" s="27"/>
      <c r="D200" s="27"/>
      <c r="E200" s="27"/>
      <c r="F200" s="27"/>
      <c r="G200" s="27"/>
      <c r="H200" s="27"/>
      <c r="I200" s="27"/>
      <c r="J200" s="27"/>
      <c r="K200" s="27"/>
      <c r="L200" s="27"/>
      <c r="M200" s="97">
        <f>SUM(M195:M199)*3</f>
        <v>16.237739872068232</v>
      </c>
      <c r="N200" s="27" t="s">
        <v>271</v>
      </c>
      <c r="O200" s="25"/>
    </row>
    <row r="201" spans="3:107" x14ac:dyDescent="0.3">
      <c r="C201" s="27"/>
      <c r="D201" s="27"/>
      <c r="E201" s="27"/>
      <c r="F201" s="27"/>
      <c r="G201" s="27"/>
      <c r="H201" s="27"/>
      <c r="I201" s="27"/>
      <c r="J201" s="27"/>
      <c r="K201" s="27"/>
      <c r="L201" s="27"/>
      <c r="M201" s="97">
        <f>M200/M175</f>
        <v>0.48470865289755916</v>
      </c>
      <c r="N201" s="27" t="s">
        <v>272</v>
      </c>
      <c r="O201" s="25"/>
    </row>
    <row r="202" spans="3:107" x14ac:dyDescent="0.3">
      <c r="C202" s="27"/>
      <c r="D202" s="27"/>
      <c r="E202" s="27"/>
      <c r="F202" s="27"/>
      <c r="G202" s="27"/>
      <c r="H202" s="27"/>
      <c r="I202" s="27"/>
      <c r="J202" s="27"/>
      <c r="K202" s="27"/>
      <c r="L202" s="27"/>
      <c r="M202" s="117">
        <f>ROUND(SUM(M195,M196,M197,M198,M199,M201),1)</f>
        <v>5.9</v>
      </c>
      <c r="N202" s="118" t="s">
        <v>286</v>
      </c>
      <c r="O202" s="25"/>
    </row>
    <row r="203" spans="3:107" x14ac:dyDescent="0.3">
      <c r="C203" s="27"/>
      <c r="D203" s="27"/>
      <c r="E203" s="27"/>
      <c r="F203" s="27"/>
      <c r="G203" s="27"/>
      <c r="H203" s="27"/>
      <c r="I203" s="27"/>
      <c r="J203" s="27"/>
      <c r="K203" s="27"/>
      <c r="L203" s="27"/>
      <c r="M203" s="27"/>
      <c r="N203" s="27"/>
      <c r="O203" s="25"/>
    </row>
    <row r="204" spans="3:107" x14ac:dyDescent="0.3">
      <c r="C204" s="27"/>
      <c r="D204" s="27"/>
      <c r="E204" s="27"/>
      <c r="F204" s="27"/>
      <c r="G204" s="27"/>
      <c r="H204" s="27"/>
      <c r="I204" s="27"/>
      <c r="J204" s="27"/>
      <c r="K204" s="27"/>
      <c r="L204" s="27"/>
      <c r="M204" s="114">
        <v>1</v>
      </c>
      <c r="N204" s="27" t="s">
        <v>307</v>
      </c>
      <c r="O204" s="25"/>
    </row>
    <row r="205" spans="3:107" x14ac:dyDescent="0.3">
      <c r="C205" s="27"/>
      <c r="D205" s="27"/>
      <c r="E205" s="27"/>
      <c r="F205" s="27"/>
      <c r="G205" s="27"/>
      <c r="H205" s="27"/>
      <c r="I205" s="27"/>
      <c r="J205" s="27"/>
      <c r="K205" s="27"/>
      <c r="L205" s="27"/>
      <c r="M205" s="97">
        <f>SUM(O117:O120)</f>
        <v>15.5</v>
      </c>
      <c r="N205" s="27" t="s">
        <v>276</v>
      </c>
      <c r="O205" s="25"/>
    </row>
    <row r="206" spans="3:107" x14ac:dyDescent="0.3">
      <c r="C206" s="27"/>
      <c r="D206" s="27"/>
      <c r="E206" s="27"/>
      <c r="F206" s="27"/>
      <c r="G206" s="27"/>
      <c r="H206" s="27"/>
      <c r="I206" s="27"/>
      <c r="J206" s="27"/>
      <c r="K206" s="27"/>
      <c r="L206" s="27"/>
      <c r="M206" s="97">
        <f>SUM(O122:O125)</f>
        <v>5.2</v>
      </c>
      <c r="N206" s="27" t="s">
        <v>323</v>
      </c>
      <c r="O206" s="25"/>
    </row>
    <row r="207" spans="3:107" s="16" customFormat="1" x14ac:dyDescent="0.3">
      <c r="C207" s="27"/>
      <c r="D207" s="27"/>
      <c r="E207" s="27"/>
      <c r="F207" s="27"/>
      <c r="G207" s="27"/>
      <c r="H207" s="27"/>
      <c r="I207" s="27"/>
      <c r="J207" s="27"/>
      <c r="K207" s="27"/>
      <c r="L207" s="27"/>
      <c r="M207" s="97">
        <f>O126</f>
        <v>66.000000000000014</v>
      </c>
      <c r="N207" s="27" t="s">
        <v>241</v>
      </c>
      <c r="O207" s="25"/>
      <c r="P207" s="26"/>
      <c r="Q207" s="27"/>
      <c r="R207" s="27"/>
      <c r="S207" s="27"/>
      <c r="T207" s="27"/>
      <c r="U207" s="27"/>
      <c r="V207" s="27"/>
      <c r="W207" s="27"/>
      <c r="X207" s="93"/>
      <c r="Y207" s="93"/>
      <c r="Z207" s="93"/>
      <c r="AA207" s="93"/>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row>
    <row r="208" spans="3:107" s="16" customFormat="1" x14ac:dyDescent="0.3">
      <c r="C208" s="27"/>
      <c r="D208" s="27"/>
      <c r="E208" s="27"/>
      <c r="F208" s="27"/>
      <c r="G208" s="27"/>
      <c r="H208" s="27"/>
      <c r="I208" s="27"/>
      <c r="J208" s="27"/>
      <c r="K208" s="27"/>
      <c r="L208" s="27"/>
      <c r="M208" s="97">
        <f>O127</f>
        <v>6.6</v>
      </c>
      <c r="N208" s="27" t="s">
        <v>438</v>
      </c>
      <c r="O208" s="25"/>
      <c r="P208" s="26"/>
      <c r="Q208" s="27"/>
      <c r="R208" s="27"/>
      <c r="S208" s="27"/>
      <c r="T208" s="27"/>
      <c r="U208" s="27"/>
      <c r="V208" s="27"/>
      <c r="W208" s="27"/>
      <c r="X208" s="93"/>
      <c r="Y208" s="93"/>
      <c r="Z208" s="93"/>
      <c r="AA208" s="93"/>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c r="CZ208" s="27"/>
      <c r="DA208" s="27"/>
      <c r="DB208" s="27"/>
      <c r="DC208" s="27"/>
    </row>
    <row r="209" spans="3:107" x14ac:dyDescent="0.3">
      <c r="C209" s="27"/>
      <c r="D209" s="27"/>
      <c r="E209" s="27"/>
      <c r="F209" s="27"/>
      <c r="G209" s="27"/>
      <c r="H209" s="27"/>
      <c r="I209" s="27"/>
      <c r="J209" s="27"/>
      <c r="K209" s="27"/>
      <c r="L209" s="27"/>
      <c r="M209" s="97">
        <f>M205/M204/M175</f>
        <v>0.46268656716417911</v>
      </c>
      <c r="N209" s="27" t="s">
        <v>287</v>
      </c>
      <c r="O209" s="25"/>
    </row>
    <row r="210" spans="3:107" x14ac:dyDescent="0.3">
      <c r="C210" s="27"/>
      <c r="D210" s="27"/>
      <c r="E210" s="27"/>
      <c r="F210" s="27"/>
      <c r="G210" s="27"/>
      <c r="H210" s="27"/>
      <c r="I210" s="27"/>
      <c r="J210" s="27"/>
      <c r="K210" s="27"/>
      <c r="L210" s="28"/>
      <c r="M210" s="97">
        <f>M206/M175</f>
        <v>0.15522388059701492</v>
      </c>
      <c r="N210" s="27" t="s">
        <v>324</v>
      </c>
      <c r="O210" s="25"/>
    </row>
    <row r="211" spans="3:107" x14ac:dyDescent="0.3">
      <c r="C211" s="27"/>
      <c r="D211" s="27"/>
      <c r="E211" s="27"/>
      <c r="F211" s="27"/>
      <c r="G211" s="27"/>
      <c r="H211" s="27"/>
      <c r="I211" s="27"/>
      <c r="J211" s="27"/>
      <c r="K211" s="27"/>
      <c r="L211" s="28"/>
      <c r="M211" s="97">
        <f>M207/M204/M175</f>
        <v>1.9701492537313436</v>
      </c>
      <c r="N211" s="27" t="s">
        <v>288</v>
      </c>
      <c r="O211" s="25"/>
    </row>
    <row r="212" spans="3:107" x14ac:dyDescent="0.3">
      <c r="C212" s="27"/>
      <c r="D212" s="27"/>
      <c r="E212" s="27"/>
      <c r="F212" s="27"/>
      <c r="G212" s="27"/>
      <c r="H212" s="27"/>
      <c r="I212" s="27"/>
      <c r="J212" s="27"/>
      <c r="K212" s="27"/>
      <c r="L212" s="28"/>
      <c r="M212" s="97">
        <f>M208/M204/M175</f>
        <v>0.19701492537313431</v>
      </c>
      <c r="N212" s="27" t="s">
        <v>289</v>
      </c>
      <c r="O212" s="25"/>
    </row>
    <row r="213" spans="3:107" x14ac:dyDescent="0.3">
      <c r="C213" s="27"/>
      <c r="D213" s="27"/>
      <c r="E213" s="27"/>
      <c r="F213" s="27"/>
      <c r="G213" s="27"/>
      <c r="H213" s="27"/>
      <c r="I213" s="27"/>
      <c r="J213" s="27"/>
      <c r="K213" s="27"/>
      <c r="L213" s="28"/>
      <c r="M213" s="97">
        <f>SUM(M209+M210+M211+M212)*1.5</f>
        <v>4.1776119402985081</v>
      </c>
      <c r="N213" s="27" t="s">
        <v>271</v>
      </c>
      <c r="O213" s="25"/>
    </row>
    <row r="214" spans="3:107" x14ac:dyDescent="0.3">
      <c r="C214" s="27"/>
      <c r="D214" s="27"/>
      <c r="E214" s="27"/>
      <c r="F214" s="27"/>
      <c r="G214" s="27"/>
      <c r="H214" s="27"/>
      <c r="I214" s="27"/>
      <c r="J214" s="27"/>
      <c r="K214" s="27"/>
      <c r="L214" s="28"/>
      <c r="M214" s="97">
        <f>M213/M175</f>
        <v>0.12470483403876144</v>
      </c>
      <c r="N214" s="27" t="s">
        <v>272</v>
      </c>
      <c r="O214" s="25"/>
    </row>
    <row r="215" spans="3:107" x14ac:dyDescent="0.3">
      <c r="C215" s="27"/>
      <c r="D215" s="27"/>
      <c r="E215" s="27"/>
      <c r="F215" s="27"/>
      <c r="G215" s="27"/>
      <c r="H215" s="27"/>
      <c r="I215" s="27"/>
      <c r="J215" s="27"/>
      <c r="K215" s="27"/>
      <c r="L215" s="28"/>
      <c r="M215" s="117">
        <f>M209+M210+M211+M212+M214</f>
        <v>2.9097794609044336</v>
      </c>
      <c r="N215" s="118" t="s">
        <v>290</v>
      </c>
      <c r="O215" s="25"/>
    </row>
    <row r="216" spans="3:107" x14ac:dyDescent="0.3">
      <c r="C216" s="27"/>
      <c r="D216" s="27"/>
      <c r="E216" s="27"/>
      <c r="F216" s="27"/>
      <c r="G216" s="27"/>
      <c r="H216" s="27"/>
      <c r="I216" s="27"/>
      <c r="J216" s="27"/>
      <c r="K216" s="27"/>
      <c r="L216" s="28"/>
      <c r="M216" s="27"/>
      <c r="N216" s="28"/>
      <c r="O216" s="25"/>
    </row>
    <row r="217" spans="3:107" x14ac:dyDescent="0.3">
      <c r="C217" s="27"/>
      <c r="D217" s="27"/>
      <c r="E217" s="27"/>
      <c r="F217" s="27"/>
      <c r="G217" s="27"/>
      <c r="H217" s="27"/>
      <c r="I217" s="27"/>
      <c r="J217" s="27"/>
      <c r="K217" s="27"/>
      <c r="L217" s="28"/>
      <c r="M217" s="114">
        <v>1</v>
      </c>
      <c r="N217" s="27" t="s">
        <v>307</v>
      </c>
      <c r="O217" s="25"/>
    </row>
    <row r="218" spans="3:107" x14ac:dyDescent="0.3">
      <c r="C218" s="27"/>
      <c r="D218" s="27"/>
      <c r="E218" s="27"/>
      <c r="F218" s="27"/>
      <c r="G218" s="27"/>
      <c r="H218" s="27"/>
      <c r="I218" s="27"/>
      <c r="J218" s="27"/>
      <c r="K218" s="27"/>
      <c r="L218" s="28"/>
      <c r="M218" s="97">
        <f>SUM(O132:O135)</f>
        <v>12</v>
      </c>
      <c r="N218" s="27" t="s">
        <v>325</v>
      </c>
      <c r="O218" s="25"/>
    </row>
    <row r="219" spans="3:107" s="16" customFormat="1" x14ac:dyDescent="0.3">
      <c r="C219" s="27"/>
      <c r="D219" s="27"/>
      <c r="E219" s="27"/>
      <c r="F219" s="27"/>
      <c r="G219" s="27"/>
      <c r="H219" s="27"/>
      <c r="I219" s="27"/>
      <c r="J219" s="27"/>
      <c r="K219" s="27"/>
      <c r="L219" s="28"/>
      <c r="M219" s="97">
        <f>O136</f>
        <v>23.54999999999999</v>
      </c>
      <c r="N219" s="27" t="s">
        <v>241</v>
      </c>
      <c r="O219" s="25"/>
      <c r="P219" s="26"/>
      <c r="Q219" s="27"/>
      <c r="R219" s="27"/>
      <c r="S219" s="27"/>
      <c r="T219" s="27"/>
      <c r="U219" s="27"/>
      <c r="V219" s="27"/>
      <c r="W219" s="27"/>
      <c r="X219" s="93"/>
      <c r="Y219" s="93"/>
      <c r="Z219" s="93"/>
      <c r="AA219" s="93"/>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row>
    <row r="220" spans="3:107" s="16" customFormat="1" x14ac:dyDescent="0.3">
      <c r="C220" s="27"/>
      <c r="D220" s="27"/>
      <c r="E220" s="27"/>
      <c r="F220" s="27"/>
      <c r="G220" s="27"/>
      <c r="H220" s="27"/>
      <c r="I220" s="27"/>
      <c r="J220" s="27"/>
      <c r="K220" s="27"/>
      <c r="L220" s="28"/>
      <c r="M220" s="97">
        <f>O137</f>
        <v>5</v>
      </c>
      <c r="N220" s="27" t="s">
        <v>438</v>
      </c>
      <c r="O220" s="25"/>
      <c r="P220" s="26"/>
      <c r="Q220" s="27"/>
      <c r="R220" s="27"/>
      <c r="S220" s="27"/>
      <c r="T220" s="27"/>
      <c r="U220" s="27"/>
      <c r="V220" s="27"/>
      <c r="W220" s="27"/>
      <c r="X220" s="93"/>
      <c r="Y220" s="93"/>
      <c r="Z220" s="93"/>
      <c r="AA220" s="93"/>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row>
    <row r="221" spans="3:107" s="16" customFormat="1" x14ac:dyDescent="0.3">
      <c r="C221" s="27"/>
      <c r="D221" s="27"/>
      <c r="E221" s="27"/>
      <c r="F221" s="27"/>
      <c r="G221" s="27"/>
      <c r="H221" s="27"/>
      <c r="I221" s="27"/>
      <c r="J221" s="27"/>
      <c r="K221" s="27"/>
      <c r="L221" s="28"/>
      <c r="M221" s="97">
        <f>O139</f>
        <v>4</v>
      </c>
      <c r="N221" s="27" t="s">
        <v>439</v>
      </c>
      <c r="O221" s="25"/>
      <c r="P221" s="26"/>
      <c r="Q221" s="27"/>
      <c r="R221" s="27"/>
      <c r="S221" s="27"/>
      <c r="T221" s="27"/>
      <c r="U221" s="27"/>
      <c r="V221" s="27"/>
      <c r="W221" s="27"/>
      <c r="X221" s="93"/>
      <c r="Y221" s="93"/>
      <c r="Z221" s="93"/>
      <c r="AA221" s="93"/>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row>
    <row r="222" spans="3:107" x14ac:dyDescent="0.3">
      <c r="C222" s="27"/>
      <c r="D222" s="27"/>
      <c r="E222" s="27"/>
      <c r="F222" s="27"/>
      <c r="G222" s="27"/>
      <c r="H222" s="27"/>
      <c r="I222" s="27"/>
      <c r="J222" s="27"/>
      <c r="K222" s="27"/>
      <c r="L222" s="28"/>
      <c r="M222" s="97">
        <f>SUM(O141:O145)</f>
        <v>51</v>
      </c>
      <c r="N222" s="27" t="s">
        <v>278</v>
      </c>
      <c r="O222" s="25"/>
    </row>
    <row r="223" spans="3:107" x14ac:dyDescent="0.3">
      <c r="C223" s="27"/>
      <c r="D223" s="27"/>
      <c r="E223" s="27"/>
      <c r="F223" s="27"/>
      <c r="G223" s="27"/>
      <c r="H223" s="27"/>
      <c r="I223" s="27"/>
      <c r="J223" s="27"/>
      <c r="K223" s="27"/>
      <c r="L223" s="28"/>
      <c r="M223" s="97">
        <f>M218/M175</f>
        <v>0.35820895522388058</v>
      </c>
      <c r="N223" s="27" t="s">
        <v>326</v>
      </c>
      <c r="O223" s="25"/>
    </row>
    <row r="224" spans="3:107" x14ac:dyDescent="0.3">
      <c r="C224" s="27"/>
      <c r="D224" s="27"/>
      <c r="E224" s="27"/>
      <c r="F224" s="27"/>
      <c r="G224" s="27"/>
      <c r="H224" s="27"/>
      <c r="I224" s="27"/>
      <c r="J224" s="27"/>
      <c r="K224" s="27"/>
      <c r="L224" s="28"/>
      <c r="M224" s="97">
        <f>M219/M217/M175</f>
        <v>0.70298507462686532</v>
      </c>
      <c r="N224" s="27" t="s">
        <v>288</v>
      </c>
      <c r="O224" s="25"/>
    </row>
    <row r="225" spans="3:15" x14ac:dyDescent="0.3">
      <c r="C225" s="27"/>
      <c r="D225" s="27"/>
      <c r="E225" s="27"/>
      <c r="F225" s="27"/>
      <c r="G225" s="27"/>
      <c r="H225" s="27"/>
      <c r="I225" s="27"/>
      <c r="J225" s="27"/>
      <c r="K225" s="27"/>
      <c r="L225" s="28"/>
      <c r="M225" s="97">
        <f>M220/M217/M175</f>
        <v>0.14925373134328357</v>
      </c>
      <c r="N225" s="27" t="s">
        <v>289</v>
      </c>
      <c r="O225" s="25"/>
    </row>
    <row r="226" spans="3:15" x14ac:dyDescent="0.3">
      <c r="C226" s="27"/>
      <c r="D226" s="27"/>
      <c r="E226" s="27"/>
      <c r="F226" s="27"/>
      <c r="G226" s="27"/>
      <c r="H226" s="27"/>
      <c r="I226" s="27"/>
      <c r="J226" s="27"/>
      <c r="K226" s="27"/>
      <c r="L226" s="28"/>
      <c r="M226" s="97">
        <f>M221/M175</f>
        <v>0.11940298507462686</v>
      </c>
      <c r="N226" s="27" t="s">
        <v>296</v>
      </c>
      <c r="O226" s="25"/>
    </row>
    <row r="227" spans="3:15" x14ac:dyDescent="0.3">
      <c r="C227" s="27"/>
      <c r="D227" s="27"/>
      <c r="E227" s="27"/>
      <c r="F227" s="27"/>
      <c r="G227" s="27"/>
      <c r="H227" s="27"/>
      <c r="I227" s="27"/>
      <c r="J227" s="27"/>
      <c r="K227" s="27"/>
      <c r="L227" s="28"/>
      <c r="M227" s="97">
        <f>M222/M175</f>
        <v>1.5223880597014925</v>
      </c>
      <c r="N227" s="27" t="s">
        <v>277</v>
      </c>
      <c r="O227" s="25"/>
    </row>
    <row r="228" spans="3:15" x14ac:dyDescent="0.3">
      <c r="C228" s="27"/>
      <c r="D228" s="27"/>
      <c r="E228" s="27"/>
      <c r="F228" s="27"/>
      <c r="G228" s="27"/>
      <c r="H228" s="27"/>
      <c r="I228" s="27"/>
      <c r="J228" s="27"/>
      <c r="K228" s="27"/>
      <c r="L228" s="28"/>
      <c r="M228" s="97">
        <f>SUM(M223+M224+M225+M226+M227)*1.5</f>
        <v>4.2783582089552228</v>
      </c>
      <c r="N228" s="27" t="s">
        <v>271</v>
      </c>
      <c r="O228" s="25"/>
    </row>
    <row r="229" spans="3:15" x14ac:dyDescent="0.3">
      <c r="C229" s="27"/>
      <c r="D229" s="27"/>
      <c r="E229" s="27"/>
      <c r="F229" s="27"/>
      <c r="G229" s="27"/>
      <c r="H229" s="27"/>
      <c r="I229" s="27"/>
      <c r="J229" s="27"/>
      <c r="K229" s="27"/>
      <c r="L229" s="28"/>
      <c r="M229" s="97">
        <f>M228/M175</f>
        <v>0.12771218534194695</v>
      </c>
      <c r="N229" s="27" t="s">
        <v>272</v>
      </c>
      <c r="O229" s="25"/>
    </row>
    <row r="230" spans="3:15" x14ac:dyDescent="0.3">
      <c r="C230" s="27"/>
      <c r="D230" s="27"/>
      <c r="E230" s="27"/>
      <c r="F230" s="27"/>
      <c r="G230" s="27"/>
      <c r="H230" s="27"/>
      <c r="I230" s="27"/>
      <c r="J230" s="27"/>
      <c r="K230" s="27"/>
      <c r="L230" s="28"/>
      <c r="M230" s="117">
        <f>M223+M224+M225+M226+M227+M229</f>
        <v>2.9799509913120956</v>
      </c>
      <c r="N230" s="118" t="s">
        <v>291</v>
      </c>
      <c r="O230" s="25"/>
    </row>
    <row r="231" spans="3:15" x14ac:dyDescent="0.3">
      <c r="C231" s="27"/>
      <c r="D231" s="27"/>
      <c r="E231" s="27"/>
      <c r="F231" s="27"/>
      <c r="G231" s="27"/>
      <c r="H231" s="27"/>
      <c r="I231" s="27"/>
      <c r="J231" s="27"/>
      <c r="K231" s="27"/>
      <c r="L231" s="28"/>
      <c r="M231" s="27"/>
      <c r="N231" s="28"/>
      <c r="O231" s="25"/>
    </row>
    <row r="232" spans="3:15" x14ac:dyDescent="0.3">
      <c r="C232" s="27"/>
      <c r="D232" s="27"/>
      <c r="E232" s="27"/>
      <c r="F232" s="27"/>
      <c r="G232" s="27"/>
      <c r="H232" s="27"/>
      <c r="I232" s="27"/>
      <c r="J232" s="27"/>
      <c r="K232" s="27"/>
      <c r="L232" s="28"/>
      <c r="M232" s="27"/>
      <c r="N232" s="28"/>
      <c r="O232" s="25"/>
    </row>
  </sheetData>
  <dataConsolidate link="1"/>
  <mergeCells count="12">
    <mergeCell ref="L6:O6"/>
    <mergeCell ref="L7:P7"/>
    <mergeCell ref="AX40:BA40"/>
    <mergeCell ref="BB40:BK40"/>
    <mergeCell ref="BV40:BX40"/>
    <mergeCell ref="BT40:BU40"/>
    <mergeCell ref="BL40:BS40"/>
    <mergeCell ref="BV111:BX111"/>
    <mergeCell ref="BT111:BU111"/>
    <mergeCell ref="AX111:BA111"/>
    <mergeCell ref="BB111:BK111"/>
    <mergeCell ref="BL111:BS111"/>
  </mergeCells>
  <dataValidations count="1">
    <dataValidation type="list" allowBlank="1" showInputMessage="1" showErrorMessage="1" sqref="E43:I108" xr:uid="{00000000-0002-0000-0300-000000000000}">
      <formula1>"A,M,B"</formula1>
    </dataValidation>
  </dataValidations>
  <pageMargins left="0.87" right="0.64" top="0.35433070866141736" bottom="0.74803149606299213" header="0.12" footer="0.59055118110236227"/>
  <pageSetup scale="57" orientation="portrait" horizontalDpi="300" verticalDpi="300" r:id="rId1"/>
  <headerFooter alignWithMargins="0">
    <oddHeader>&amp;R</oddHeader>
  </headerFooter>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2000000}">
          <x14:formula1>
            <xm:f>Modelo!$F$54:$F$56</xm:f>
          </x14:formula1>
          <xm:sqref>AI42 AI89:AI92 AI97:AI98 AI105:AI108 AI47:AI86</xm:sqref>
        </x14:dataValidation>
        <x14:dataValidation type="list" allowBlank="1" showInputMessage="1" showErrorMessage="1" xr:uid="{00000000-0002-0000-0300-000003000000}">
          <x14:formula1>
            <xm:f>Modelo!$F$58:$F$60</xm:f>
          </x14:formula1>
          <xm:sqref>AJ42 AJ89:AJ92 AJ97:AJ98 AJ105:AJ108 AJ47:AJ86</xm:sqref>
        </x14:dataValidation>
        <x14:dataValidation type="list" allowBlank="1" showInputMessage="1" showErrorMessage="1" xr:uid="{00000000-0002-0000-0300-000004000000}">
          <x14:formula1>
            <xm:f>Modelo!$F$23:$F$25</xm:f>
          </x14:formula1>
          <xm:sqref>AC42 AC89:AC92 AC97:AC98 AC105:AC108 AC47:AC86</xm:sqref>
        </x14:dataValidation>
        <x14:dataValidation type="list" allowBlank="1" showInputMessage="1" showErrorMessage="1" xr:uid="{00000000-0002-0000-0300-000005000000}">
          <x14:formula1>
            <xm:f>Modelo!$F$26:$F$28</xm:f>
          </x14:formula1>
          <xm:sqref>AD42 AD89:AD92 AD97:AD98 AD105:AD108 AD47:AD86</xm:sqref>
        </x14:dataValidation>
        <x14:dataValidation type="list" allowBlank="1" showInputMessage="1" showErrorMessage="1" xr:uid="{00000000-0002-0000-0300-000006000000}">
          <x14:formula1>
            <xm:f>Modelo!$F$30:$F$32</xm:f>
          </x14:formula1>
          <xm:sqref>AE42 AE89:AE92 AE97:AE98 AE105:AE108 AE47:AE86</xm:sqref>
        </x14:dataValidation>
        <x14:dataValidation type="list" allowBlank="1" showInputMessage="1" showErrorMessage="1" xr:uid="{00000000-0002-0000-0300-000007000000}">
          <x14:formula1>
            <xm:f>Modelo!$F$40:$F$42</xm:f>
          </x14:formula1>
          <xm:sqref>AH42 AH89:AH92 AH97:AH98 AH105:AH108 AH47:AH86</xm:sqref>
        </x14:dataValidation>
        <x14:dataValidation type="list" allowBlank="1" showInputMessage="1" showErrorMessage="1" xr:uid="{00000000-0002-0000-0300-000008000000}">
          <x14:formula1>
            <xm:f>Modelo!$F$37:$F$39</xm:f>
          </x14:formula1>
          <xm:sqref>AG42 AG89:AG92 AG97:AG98 AG105:AG108 AG47:AG86</xm:sqref>
        </x14:dataValidation>
        <x14:dataValidation type="list" allowBlank="1" showInputMessage="1" showErrorMessage="1" xr:uid="{00000000-0002-0000-0300-000009000000}">
          <x14:formula1>
            <xm:f>Modelo!$F$33:$F$35</xm:f>
          </x14:formula1>
          <xm:sqref>AF42 AF89:AF92 AF97:AF98 AF105:AF108 AF47:AF86</xm:sqref>
        </x14:dataValidation>
        <x14:dataValidation type="list" allowBlank="1" showErrorMessage="1" xr:uid="{00000000-0002-0000-0300-000001000000}">
          <x14:formula1>
            <xm:f>Modelo!$F$44:$F$53</xm:f>
          </x14:formula1>
          <xm:sqref>C43:C44 C46:C108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D052B-ED68-4DB7-9FFA-61ADA5F26D7A}">
  <dimension ref="A1:A58"/>
  <sheetViews>
    <sheetView workbookViewId="0">
      <selection activeCell="A5" sqref="A5"/>
    </sheetView>
  </sheetViews>
  <sheetFormatPr baseColWidth="10" defaultColWidth="11.453125" defaultRowHeight="14.5" x14ac:dyDescent="0.35"/>
  <cols>
    <col min="1" max="1" width="103" style="511" customWidth="1"/>
    <col min="2" max="16384" width="11.453125" style="511"/>
  </cols>
  <sheetData>
    <row r="1" spans="1:1" ht="15.5" x14ac:dyDescent="0.35">
      <c r="A1" s="464" t="s">
        <v>706</v>
      </c>
    </row>
    <row r="2" spans="1:1" ht="30" x14ac:dyDescent="0.35">
      <c r="A2" s="504" t="s">
        <v>721</v>
      </c>
    </row>
    <row r="3" spans="1:1" ht="15" x14ac:dyDescent="0.35">
      <c r="A3" s="504" t="s">
        <v>722</v>
      </c>
    </row>
    <row r="4" spans="1:1" ht="75" x14ac:dyDescent="0.35">
      <c r="A4" s="504" t="s">
        <v>703</v>
      </c>
    </row>
    <row r="5" spans="1:1" ht="30" x14ac:dyDescent="0.35">
      <c r="A5" s="504" t="s">
        <v>704</v>
      </c>
    </row>
    <row r="6" spans="1:1" ht="60" x14ac:dyDescent="0.35">
      <c r="A6" s="504" t="s">
        <v>705</v>
      </c>
    </row>
    <row r="7" spans="1:1" ht="30" x14ac:dyDescent="0.35">
      <c r="A7" s="504" t="s">
        <v>707</v>
      </c>
    </row>
    <row r="8" spans="1:1" ht="15.5" x14ac:dyDescent="0.35">
      <c r="A8" s="507" t="s">
        <v>668</v>
      </c>
    </row>
    <row r="9" spans="1:1" ht="45" x14ac:dyDescent="0.35">
      <c r="A9" s="505" t="s">
        <v>709</v>
      </c>
    </row>
    <row r="10" spans="1:1" ht="126.75" customHeight="1" x14ac:dyDescent="0.35">
      <c r="A10" s="505" t="s">
        <v>708</v>
      </c>
    </row>
    <row r="11" spans="1:1" ht="30" x14ac:dyDescent="0.35">
      <c r="A11" s="505" t="s">
        <v>710</v>
      </c>
    </row>
    <row r="12" spans="1:1" ht="30" x14ac:dyDescent="0.35">
      <c r="A12" s="505" t="s">
        <v>674</v>
      </c>
    </row>
    <row r="13" spans="1:1" ht="15" x14ac:dyDescent="0.35">
      <c r="A13" s="499" t="s">
        <v>673</v>
      </c>
    </row>
    <row r="14" spans="1:1" ht="15" x14ac:dyDescent="0.35">
      <c r="A14" s="499" t="s">
        <v>687</v>
      </c>
    </row>
    <row r="15" spans="1:1" ht="30" x14ac:dyDescent="0.35">
      <c r="A15" s="505" t="s">
        <v>675</v>
      </c>
    </row>
    <row r="16" spans="1:1" ht="15" x14ac:dyDescent="0.35">
      <c r="A16" s="499" t="s">
        <v>676</v>
      </c>
    </row>
    <row r="17" spans="1:1" ht="15.5" x14ac:dyDescent="0.35">
      <c r="A17" s="467" t="s">
        <v>693</v>
      </c>
    </row>
    <row r="18" spans="1:1" ht="30" x14ac:dyDescent="0.35">
      <c r="A18" s="505" t="s">
        <v>719</v>
      </c>
    </row>
    <row r="19" spans="1:1" ht="15" x14ac:dyDescent="0.35">
      <c r="A19" s="499" t="s">
        <v>720</v>
      </c>
    </row>
    <row r="20" spans="1:1" ht="15" x14ac:dyDescent="0.35">
      <c r="A20" s="499" t="s">
        <v>723</v>
      </c>
    </row>
    <row r="21" spans="1:1" ht="30" x14ac:dyDescent="0.35">
      <c r="A21" s="505" t="s">
        <v>724</v>
      </c>
    </row>
    <row r="22" spans="1:1" ht="30" x14ac:dyDescent="0.35">
      <c r="A22" s="505" t="s">
        <v>711</v>
      </c>
    </row>
    <row r="23" spans="1:1" ht="15" x14ac:dyDescent="0.35">
      <c r="A23" s="499" t="s">
        <v>691</v>
      </c>
    </row>
    <row r="24" spans="1:1" ht="15" x14ac:dyDescent="0.35">
      <c r="A24" s="499" t="s">
        <v>692</v>
      </c>
    </row>
    <row r="25" spans="1:1" ht="30" x14ac:dyDescent="0.35">
      <c r="A25" s="512" t="s">
        <v>712</v>
      </c>
    </row>
    <row r="26" spans="1:1" ht="15" x14ac:dyDescent="0.35">
      <c r="A26" s="499" t="s">
        <v>667</v>
      </c>
    </row>
    <row r="27" spans="1:1" ht="30" x14ac:dyDescent="0.35">
      <c r="A27" s="499" t="s">
        <v>669</v>
      </c>
    </row>
    <row r="28" spans="1:1" ht="15" x14ac:dyDescent="0.35">
      <c r="A28" s="500" t="s">
        <v>694</v>
      </c>
    </row>
    <row r="29" spans="1:1" ht="30.5" x14ac:dyDescent="0.35">
      <c r="A29" s="502" t="s">
        <v>681</v>
      </c>
    </row>
    <row r="30" spans="1:1" ht="15" x14ac:dyDescent="0.35">
      <c r="A30" s="499" t="s">
        <v>682</v>
      </c>
    </row>
    <row r="31" spans="1:1" ht="30.5" x14ac:dyDescent="0.35">
      <c r="A31" s="502" t="s">
        <v>677</v>
      </c>
    </row>
    <row r="32" spans="1:1" ht="45" x14ac:dyDescent="0.35">
      <c r="A32" s="499" t="s">
        <v>680</v>
      </c>
    </row>
    <row r="33" spans="1:1" ht="15" x14ac:dyDescent="0.35">
      <c r="A33" s="499" t="s">
        <v>679</v>
      </c>
    </row>
    <row r="34" spans="1:1" ht="15" x14ac:dyDescent="0.35">
      <c r="A34" s="499" t="s">
        <v>678</v>
      </c>
    </row>
    <row r="35" spans="1:1" ht="15.5" x14ac:dyDescent="0.35">
      <c r="A35" s="502" t="s">
        <v>688</v>
      </c>
    </row>
    <row r="36" spans="1:1" ht="15" x14ac:dyDescent="0.35">
      <c r="A36" s="499" t="s">
        <v>686</v>
      </c>
    </row>
    <row r="37" spans="1:1" ht="15" x14ac:dyDescent="0.35">
      <c r="A37" s="499" t="s">
        <v>683</v>
      </c>
    </row>
    <row r="38" spans="1:1" ht="15" x14ac:dyDescent="0.35">
      <c r="A38" s="499" t="s">
        <v>684</v>
      </c>
    </row>
    <row r="39" spans="1:1" ht="15" x14ac:dyDescent="0.35">
      <c r="A39" s="499" t="s">
        <v>685</v>
      </c>
    </row>
    <row r="40" spans="1:1" ht="15.5" x14ac:dyDescent="0.35">
      <c r="A40" s="502" t="s">
        <v>689</v>
      </c>
    </row>
    <row r="41" spans="1:1" ht="15" x14ac:dyDescent="0.35">
      <c r="A41" s="499" t="s">
        <v>686</v>
      </c>
    </row>
    <row r="42" spans="1:1" ht="15" x14ac:dyDescent="0.35">
      <c r="A42" s="499" t="s">
        <v>683</v>
      </c>
    </row>
    <row r="43" spans="1:1" ht="15.5" x14ac:dyDescent="0.35">
      <c r="A43" s="502" t="s">
        <v>690</v>
      </c>
    </row>
    <row r="44" spans="1:1" ht="15" x14ac:dyDescent="0.35">
      <c r="A44" s="499" t="s">
        <v>686</v>
      </c>
    </row>
    <row r="45" spans="1:1" ht="15" x14ac:dyDescent="0.35">
      <c r="A45" s="499" t="s">
        <v>683</v>
      </c>
    </row>
    <row r="46" spans="1:1" ht="15" x14ac:dyDescent="0.35">
      <c r="A46" s="500" t="s">
        <v>713</v>
      </c>
    </row>
    <row r="47" spans="1:1" ht="75" x14ac:dyDescent="0.35">
      <c r="A47" s="465" t="s">
        <v>714</v>
      </c>
    </row>
    <row r="48" spans="1:1" ht="105" x14ac:dyDescent="0.35">
      <c r="A48" s="465" t="s">
        <v>715</v>
      </c>
    </row>
    <row r="49" spans="1:1" ht="30" x14ac:dyDescent="0.35">
      <c r="A49" s="465" t="s">
        <v>716</v>
      </c>
    </row>
    <row r="50" spans="1:1" ht="15" x14ac:dyDescent="0.35">
      <c r="A50" s="500" t="s">
        <v>717</v>
      </c>
    </row>
    <row r="51" spans="1:1" ht="15" x14ac:dyDescent="0.35">
      <c r="A51" s="465" t="s">
        <v>725</v>
      </c>
    </row>
    <row r="52" spans="1:1" ht="15" x14ac:dyDescent="0.35">
      <c r="A52" s="499" t="s">
        <v>699</v>
      </c>
    </row>
    <row r="53" spans="1:1" ht="15" x14ac:dyDescent="0.35">
      <c r="A53" s="499" t="s">
        <v>696</v>
      </c>
    </row>
    <row r="54" spans="1:1" ht="15" x14ac:dyDescent="0.35">
      <c r="A54" s="499" t="s">
        <v>695</v>
      </c>
    </row>
    <row r="55" spans="1:1" ht="15" x14ac:dyDescent="0.35">
      <c r="A55" s="499" t="s">
        <v>697</v>
      </c>
    </row>
    <row r="56" spans="1:1" ht="15" x14ac:dyDescent="0.35">
      <c r="A56" s="508" t="s">
        <v>698</v>
      </c>
    </row>
    <row r="57" spans="1:1" ht="105" x14ac:dyDescent="0.35">
      <c r="A57" s="466" t="s">
        <v>718</v>
      </c>
    </row>
    <row r="58" spans="1:1" ht="15" x14ac:dyDescent="0.35">
      <c r="A58" s="466" t="s">
        <v>700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23391-0D97-43B5-983B-880D085F8512}">
  <dimension ref="C1:R80"/>
  <sheetViews>
    <sheetView showGridLines="0" topLeftCell="A7" zoomScale="90" zoomScaleNormal="90" workbookViewId="0">
      <selection activeCell="F20" sqref="F20"/>
    </sheetView>
  </sheetViews>
  <sheetFormatPr baseColWidth="10" defaultColWidth="10" defaultRowHeight="15" x14ac:dyDescent="0.3"/>
  <cols>
    <col min="1" max="2" width="1.7265625" style="58" customWidth="1"/>
    <col min="3" max="3" width="5.26953125" style="56" hidden="1" customWidth="1"/>
    <col min="4" max="4" width="37.7265625" style="57" customWidth="1"/>
    <col min="5" max="5" width="30.7265625" style="57" customWidth="1"/>
    <col min="6" max="6" width="24.26953125" style="57" customWidth="1"/>
    <col min="7" max="7" width="24.26953125" style="57" bestFit="1" customWidth="1"/>
    <col min="8" max="8" width="28.7265625" style="58" hidden="1" customWidth="1"/>
    <col min="9" max="9" width="22.453125" style="58" customWidth="1"/>
    <col min="10" max="10" width="26.26953125" style="58" customWidth="1"/>
    <col min="11" max="11" width="32.7265625" style="58" customWidth="1"/>
    <col min="12" max="12" width="15" style="58" bestFit="1" customWidth="1"/>
    <col min="13" max="13" width="10.26953125" style="58" bestFit="1" customWidth="1"/>
    <col min="14" max="14" width="12.26953125" style="58" bestFit="1" customWidth="1"/>
    <col min="15" max="15" width="18.7265625" style="58" bestFit="1" customWidth="1"/>
    <col min="16" max="16" width="1.7265625" style="58" customWidth="1"/>
    <col min="17" max="17" width="18.7265625" style="58" bestFit="1" customWidth="1"/>
    <col min="18" max="16384" width="10" style="58"/>
  </cols>
  <sheetData>
    <row r="1" spans="3:17" ht="15" customHeight="1" x14ac:dyDescent="0.3">
      <c r="C1" s="58"/>
      <c r="D1" s="56"/>
      <c r="E1" s="56"/>
      <c r="F1" s="56"/>
      <c r="G1" s="56"/>
      <c r="H1" s="57"/>
      <c r="I1" s="57"/>
      <c r="J1" s="57"/>
      <c r="K1" s="57"/>
    </row>
    <row r="2" spans="3:17" ht="15" customHeight="1" x14ac:dyDescent="0.3">
      <c r="C2" s="58"/>
      <c r="D2" s="56"/>
      <c r="E2" s="56"/>
      <c r="F2" s="56"/>
      <c r="G2" s="56"/>
      <c r="H2" s="57"/>
      <c r="I2" s="57"/>
      <c r="J2" s="57"/>
      <c r="K2" s="29" t="s">
        <v>0</v>
      </c>
    </row>
    <row r="3" spans="3:17" ht="15" customHeight="1" x14ac:dyDescent="0.3">
      <c r="C3" s="152"/>
      <c r="D3" s="152"/>
      <c r="E3" s="152"/>
      <c r="F3" s="152"/>
      <c r="G3" s="152"/>
      <c r="H3" s="57"/>
      <c r="I3" s="57"/>
      <c r="J3" s="57"/>
      <c r="K3" s="59" t="str">
        <f>'[2]Información proyecto'!D3</f>
        <v>Versión: 0.1</v>
      </c>
    </row>
    <row r="4" spans="3:17" ht="1.5" customHeight="1" x14ac:dyDescent="0.3">
      <c r="C4" s="153"/>
      <c r="D4" s="153"/>
      <c r="E4" s="153"/>
      <c r="F4" s="153"/>
      <c r="G4" s="153"/>
      <c r="H4" s="153"/>
      <c r="I4" s="153"/>
      <c r="J4" s="153"/>
      <c r="K4" s="153">
        <f>'[2]Información proyecto'!D4</f>
        <v>0</v>
      </c>
    </row>
    <row r="5" spans="3:17" ht="15" customHeight="1" x14ac:dyDescent="0.3">
      <c r="C5" s="152"/>
      <c r="D5" s="152"/>
      <c r="E5" s="152"/>
      <c r="F5" s="152"/>
      <c r="G5" s="152"/>
      <c r="H5" s="57"/>
      <c r="I5" s="57"/>
      <c r="J5" s="57"/>
      <c r="K5" s="59" t="str">
        <f>'[3]Información proyecto'!D5</f>
        <v>Proyecto:  Metas - Super Lo Tengo - Celula de Trabajo</v>
      </c>
    </row>
    <row r="6" spans="3:17" ht="12.75" customHeight="1" x14ac:dyDescent="0.3">
      <c r="C6" s="58"/>
      <c r="D6" s="152"/>
      <c r="E6" s="152"/>
      <c r="F6" s="152"/>
      <c r="G6" s="152"/>
      <c r="H6" s="57"/>
      <c r="I6" s="57"/>
      <c r="J6" s="57"/>
      <c r="K6" s="62"/>
    </row>
    <row r="7" spans="3:17" x14ac:dyDescent="0.3">
      <c r="C7" s="611" t="s">
        <v>35</v>
      </c>
      <c r="D7" s="611"/>
      <c r="E7" s="611"/>
      <c r="F7" s="611"/>
      <c r="G7" s="611"/>
      <c r="H7" s="611"/>
      <c r="I7" s="611"/>
      <c r="J7" s="611"/>
      <c r="K7" s="611"/>
    </row>
    <row r="8" spans="3:17" ht="18" customHeight="1" x14ac:dyDescent="0.3">
      <c r="C8" s="69"/>
      <c r="D8" s="154"/>
      <c r="E8" s="154"/>
      <c r="F8" s="154"/>
      <c r="G8" s="154"/>
    </row>
    <row r="9" spans="3:17" ht="15" customHeight="1" x14ac:dyDescent="0.3">
      <c r="C9" s="610" t="s">
        <v>36</v>
      </c>
      <c r="D9" s="610"/>
      <c r="E9" s="610"/>
      <c r="F9" s="610"/>
      <c r="G9" s="610"/>
      <c r="H9" s="610"/>
      <c r="I9" s="610"/>
      <c r="J9" s="610"/>
      <c r="K9" s="610"/>
    </row>
    <row r="10" spans="3:17" ht="15.5" thickBot="1" x14ac:dyDescent="0.35">
      <c r="C10" s="69"/>
      <c r="D10" s="154"/>
      <c r="E10" s="154"/>
      <c r="F10" s="154"/>
      <c r="G10" s="154"/>
      <c r="N10" s="155"/>
    </row>
    <row r="11" spans="3:17" ht="24" customHeight="1" thickBot="1" x14ac:dyDescent="0.35">
      <c r="C11" s="69"/>
      <c r="E11" s="436" t="s">
        <v>37</v>
      </c>
      <c r="F11" s="436" t="s">
        <v>38</v>
      </c>
      <c r="G11" s="436" t="s">
        <v>39</v>
      </c>
      <c r="H11" s="436" t="s">
        <v>277</v>
      </c>
      <c r="I11" s="436" t="s">
        <v>40</v>
      </c>
      <c r="N11" s="155"/>
    </row>
    <row r="12" spans="3:17" ht="21.75" customHeight="1" thickBot="1" x14ac:dyDescent="0.35">
      <c r="C12" s="69"/>
      <c r="E12" s="178">
        <f>'Fechas y costos'!E12</f>
        <v>45323</v>
      </c>
      <c r="F12" s="178">
        <f>'Fechas y costos'!F12</f>
        <v>45436.948652261082</v>
      </c>
      <c r="G12" s="437">
        <f>(F12-E12)</f>
        <v>113.94865226108232</v>
      </c>
      <c r="H12" s="405">
        <f>ROUND(G12/7,1)</f>
        <v>16.3</v>
      </c>
      <c r="I12" s="405">
        <f>ROUND(G12/30,1)</f>
        <v>3.8</v>
      </c>
      <c r="N12" s="155"/>
    </row>
    <row r="13" spans="3:17" x14ac:dyDescent="0.3">
      <c r="C13" s="69"/>
      <c r="F13" s="324"/>
      <c r="G13" s="324"/>
      <c r="N13" s="155"/>
    </row>
    <row r="14" spans="3:17" x14ac:dyDescent="0.3">
      <c r="C14" s="157"/>
      <c r="G14" s="438"/>
      <c r="N14" s="155"/>
    </row>
    <row r="15" spans="3:17" x14ac:dyDescent="0.3">
      <c r="C15" s="157"/>
      <c r="N15" s="155"/>
    </row>
    <row r="16" spans="3:17" ht="12.75" customHeight="1" x14ac:dyDescent="0.3">
      <c r="C16" s="610" t="s">
        <v>624</v>
      </c>
      <c r="D16" s="610"/>
      <c r="E16" s="610"/>
      <c r="F16" s="610"/>
      <c r="G16" s="610"/>
      <c r="H16" s="610"/>
      <c r="I16" s="610"/>
      <c r="J16" s="610"/>
      <c r="K16" s="610"/>
      <c r="N16" s="155"/>
      <c r="Q16" s="612"/>
    </row>
    <row r="17" spans="3:18" ht="15" customHeight="1" thickBot="1" x14ac:dyDescent="0.35">
      <c r="N17" s="155"/>
      <c r="Q17" s="612"/>
    </row>
    <row r="18" spans="3:18" ht="34.5" customHeight="1" thickBot="1" x14ac:dyDescent="0.35">
      <c r="C18" s="193" t="s">
        <v>42</v>
      </c>
      <c r="D18" s="439" t="s">
        <v>641</v>
      </c>
      <c r="E18" s="439" t="s">
        <v>625</v>
      </c>
      <c r="F18" s="439" t="s">
        <v>626</v>
      </c>
      <c r="G18" s="439" t="s">
        <v>627</v>
      </c>
      <c r="H18" s="439" t="s">
        <v>628</v>
      </c>
      <c r="I18" s="439" t="s">
        <v>629</v>
      </c>
      <c r="J18" s="439" t="s">
        <v>630</v>
      </c>
      <c r="K18" s="439" t="s">
        <v>631</v>
      </c>
      <c r="Q18" s="612"/>
    </row>
    <row r="19" spans="3:18" ht="28.5" customHeight="1" x14ac:dyDescent="0.3">
      <c r="C19" s="440">
        <v>1</v>
      </c>
      <c r="D19" s="441" t="s">
        <v>640</v>
      </c>
      <c r="E19" s="442">
        <v>1</v>
      </c>
      <c r="F19" s="442">
        <v>40</v>
      </c>
      <c r="G19" s="442">
        <v>3</v>
      </c>
      <c r="H19" s="443">
        <v>45000</v>
      </c>
      <c r="I19" s="444">
        <v>64592</v>
      </c>
      <c r="J19" s="444">
        <f>(I19*E19)* (F19/100)</f>
        <v>25836.800000000003</v>
      </c>
      <c r="K19" s="445">
        <f>J19*G19</f>
        <v>77510.400000000009</v>
      </c>
      <c r="O19" s="446"/>
      <c r="P19" s="446"/>
      <c r="Q19" s="446"/>
      <c r="R19" s="86"/>
    </row>
    <row r="20" spans="3:18" ht="25.5" customHeight="1" x14ac:dyDescent="0.3">
      <c r="C20" s="181">
        <v>2</v>
      </c>
      <c r="D20" s="441" t="s">
        <v>311</v>
      </c>
      <c r="E20" s="442">
        <v>1</v>
      </c>
      <c r="F20" s="442">
        <v>100</v>
      </c>
      <c r="G20" s="442">
        <v>1</v>
      </c>
      <c r="H20" s="443">
        <v>35000</v>
      </c>
      <c r="I20" s="444">
        <v>42000</v>
      </c>
      <c r="J20" s="444">
        <f>(I20*E20)* (F20/100)</f>
        <v>42000</v>
      </c>
      <c r="K20" s="445">
        <f>J20*G20</f>
        <v>42000</v>
      </c>
      <c r="O20" s="446"/>
      <c r="P20" s="446"/>
      <c r="Q20" s="446"/>
      <c r="R20" s="86"/>
    </row>
    <row r="21" spans="3:18" ht="31.15" customHeight="1" x14ac:dyDescent="0.3">
      <c r="C21" s="181">
        <v>3</v>
      </c>
      <c r="D21" s="441" t="s">
        <v>87</v>
      </c>
      <c r="E21" s="442">
        <v>1</v>
      </c>
      <c r="F21" s="442">
        <v>100</v>
      </c>
      <c r="G21" s="442">
        <v>2</v>
      </c>
      <c r="H21" s="443">
        <v>35000</v>
      </c>
      <c r="I21" s="444">
        <v>65000</v>
      </c>
      <c r="J21" s="444">
        <f>(I21*E21)* (F21/100)</f>
        <v>65000</v>
      </c>
      <c r="K21" s="445">
        <f>J21*G21</f>
        <v>130000</v>
      </c>
      <c r="O21" s="446"/>
      <c r="P21" s="446"/>
      <c r="Q21" s="446"/>
      <c r="R21" s="86"/>
    </row>
    <row r="22" spans="3:18" ht="35.25" customHeight="1" thickBot="1" x14ac:dyDescent="0.35">
      <c r="C22" s="199">
        <v>3</v>
      </c>
      <c r="D22" s="441" t="s">
        <v>633</v>
      </c>
      <c r="E22" s="442">
        <v>1</v>
      </c>
      <c r="F22" s="442">
        <v>100</v>
      </c>
      <c r="G22" s="442">
        <v>1.5</v>
      </c>
      <c r="H22" s="443">
        <v>35000</v>
      </c>
      <c r="I22" s="444">
        <v>42000</v>
      </c>
      <c r="J22" s="444">
        <f>(I22*E22)* (F22/100)</f>
        <v>42000</v>
      </c>
      <c r="K22" s="445">
        <f>J22*G22</f>
        <v>63000</v>
      </c>
      <c r="O22" s="446"/>
      <c r="P22" s="446"/>
      <c r="Q22" s="446"/>
      <c r="R22" s="446"/>
    </row>
    <row r="23" spans="3:18" ht="9.75" customHeight="1" x14ac:dyDescent="0.3">
      <c r="C23" s="447"/>
      <c r="D23" s="447"/>
      <c r="E23" s="447"/>
      <c r="F23" s="447"/>
      <c r="G23" s="447"/>
      <c r="H23" s="324"/>
      <c r="I23" s="324"/>
      <c r="J23" s="324"/>
      <c r="K23" s="324"/>
      <c r="O23" s="446"/>
      <c r="P23" s="446"/>
      <c r="Q23" s="155"/>
      <c r="R23" s="446"/>
    </row>
    <row r="24" spans="3:18" ht="28.5" customHeight="1" x14ac:dyDescent="0.3">
      <c r="C24" s="181"/>
      <c r="D24" s="448"/>
      <c r="E24" s="448"/>
      <c r="F24" s="448"/>
      <c r="G24" s="448"/>
      <c r="O24" s="446"/>
      <c r="P24" s="446"/>
      <c r="Q24" s="446"/>
      <c r="R24" s="446"/>
    </row>
    <row r="25" spans="3:18" ht="22.5" hidden="1" customHeight="1" x14ac:dyDescent="0.3">
      <c r="C25" s="181"/>
      <c r="D25" s="448"/>
      <c r="E25" s="448"/>
      <c r="F25" s="448"/>
      <c r="G25" s="613" t="s">
        <v>634</v>
      </c>
      <c r="H25" s="613"/>
      <c r="I25" s="613"/>
      <c r="J25" s="613"/>
      <c r="K25" s="449"/>
      <c r="O25" s="446"/>
      <c r="P25" s="446"/>
      <c r="Q25" s="446"/>
      <c r="R25" s="446"/>
    </row>
    <row r="26" spans="3:18" ht="17.5" x14ac:dyDescent="0.3">
      <c r="G26" s="450"/>
      <c r="H26" s="450"/>
      <c r="I26" s="450" t="s">
        <v>519</v>
      </c>
      <c r="J26" s="450" t="s">
        <v>519</v>
      </c>
      <c r="K26" s="449">
        <f>SUM(K19:K22)</f>
        <v>312510.40000000002</v>
      </c>
      <c r="N26" s="165"/>
      <c r="O26" s="446"/>
      <c r="P26" s="446"/>
      <c r="Q26" s="155"/>
      <c r="R26" s="446"/>
    </row>
    <row r="27" spans="3:18" ht="17.5" x14ac:dyDescent="0.3">
      <c r="G27" s="450"/>
      <c r="H27" s="450"/>
      <c r="I27" s="450" t="s">
        <v>602</v>
      </c>
      <c r="J27" s="450" t="s">
        <v>602</v>
      </c>
      <c r="K27" s="449">
        <f>K26*0.16</f>
        <v>50001.664000000004</v>
      </c>
      <c r="O27" s="446"/>
      <c r="P27" s="446"/>
      <c r="Q27" s="446"/>
      <c r="R27" s="446"/>
    </row>
    <row r="28" spans="3:18" ht="17.5" x14ac:dyDescent="0.3">
      <c r="G28" s="450"/>
      <c r="H28" s="450"/>
      <c r="I28" s="450" t="s">
        <v>518</v>
      </c>
      <c r="J28" s="450" t="s">
        <v>518</v>
      </c>
      <c r="K28" s="449">
        <f>K26+K27</f>
        <v>362512.06400000001</v>
      </c>
      <c r="L28" s="165"/>
      <c r="O28" s="446"/>
      <c r="P28" s="446"/>
      <c r="Q28" s="446"/>
      <c r="R28" s="446"/>
    </row>
    <row r="29" spans="3:18" x14ac:dyDescent="0.3">
      <c r="K29" s="155"/>
      <c r="O29" s="446"/>
      <c r="P29" s="446"/>
      <c r="Q29" s="446"/>
      <c r="R29" s="446"/>
    </row>
    <row r="30" spans="3:18" x14ac:dyDescent="0.3">
      <c r="K30" s="155"/>
      <c r="O30" s="446"/>
      <c r="P30" s="446"/>
      <c r="Q30" s="446"/>
      <c r="R30" s="446"/>
    </row>
    <row r="31" spans="3:18" x14ac:dyDescent="0.3">
      <c r="K31" s="168"/>
      <c r="O31" s="446"/>
      <c r="P31" s="446"/>
      <c r="Q31" s="155"/>
      <c r="R31" s="446"/>
    </row>
    <row r="32" spans="3:18" x14ac:dyDescent="0.3">
      <c r="D32" s="610" t="s">
        <v>635</v>
      </c>
      <c r="E32" s="610"/>
      <c r="F32" s="610"/>
      <c r="G32" s="610"/>
      <c r="H32" s="610"/>
      <c r="I32" s="610"/>
      <c r="J32" s="610"/>
      <c r="K32" s="610"/>
      <c r="L32" s="610"/>
      <c r="O32" s="171"/>
      <c r="P32" s="171"/>
      <c r="Q32" s="171"/>
    </row>
    <row r="33" spans="4:11" ht="15.5" thickBot="1" x14ac:dyDescent="0.35">
      <c r="H33" s="169" t="s">
        <v>74</v>
      </c>
      <c r="I33" s="169"/>
      <c r="J33" s="169"/>
      <c r="K33" s="451"/>
    </row>
    <row r="34" spans="4:11" ht="18" thickBot="1" x14ac:dyDescent="0.35">
      <c r="E34" s="439" t="s">
        <v>636</v>
      </c>
      <c r="F34" s="439" t="s">
        <v>637</v>
      </c>
      <c r="G34" s="439" t="s">
        <v>638</v>
      </c>
      <c r="H34" s="452"/>
      <c r="I34" s="439"/>
    </row>
    <row r="35" spans="4:11" ht="17.5" x14ac:dyDescent="0.35">
      <c r="D35" s="441" t="s">
        <v>632</v>
      </c>
      <c r="E35" s="453">
        <f>J19</f>
        <v>25836.800000000003</v>
      </c>
      <c r="F35" s="453">
        <f>J19</f>
        <v>25836.800000000003</v>
      </c>
      <c r="G35" s="453">
        <f>J19</f>
        <v>25836.800000000003</v>
      </c>
      <c r="H35" s="454"/>
      <c r="I35" s="455"/>
    </row>
    <row r="36" spans="4:11" ht="17.5" x14ac:dyDescent="0.35">
      <c r="D36" s="441" t="s">
        <v>311</v>
      </c>
      <c r="E36" s="456">
        <f>J20</f>
        <v>42000</v>
      </c>
      <c r="F36" s="457"/>
      <c r="G36" s="457"/>
      <c r="H36" s="454"/>
      <c r="I36" s="454"/>
    </row>
    <row r="37" spans="4:11" ht="17.5" x14ac:dyDescent="0.35">
      <c r="D37" s="441" t="s">
        <v>87</v>
      </c>
      <c r="E37" s="453">
        <v>0</v>
      </c>
      <c r="F37" s="453">
        <f>J21</f>
        <v>65000</v>
      </c>
      <c r="G37" s="453">
        <f>J21</f>
        <v>65000</v>
      </c>
      <c r="H37" s="454"/>
      <c r="I37" s="455"/>
    </row>
    <row r="38" spans="4:11" ht="17.5" x14ac:dyDescent="0.35">
      <c r="D38" s="441" t="s">
        <v>633</v>
      </c>
      <c r="E38" s="457"/>
      <c r="F38" s="453">
        <f>J22*0.5</f>
        <v>21000</v>
      </c>
      <c r="G38" s="453">
        <f>J22</f>
        <v>42000</v>
      </c>
      <c r="H38" s="454"/>
      <c r="I38" s="454"/>
    </row>
    <row r="39" spans="4:11" ht="17.5" x14ac:dyDescent="0.35">
      <c r="E39" s="457"/>
      <c r="F39" s="457"/>
      <c r="G39" s="457"/>
      <c r="H39" s="454"/>
      <c r="I39" s="454"/>
    </row>
    <row r="40" spans="4:11" ht="17.5" x14ac:dyDescent="0.3">
      <c r="D40" s="450" t="s">
        <v>519</v>
      </c>
      <c r="E40" s="458">
        <f>SUM(E35:E38)</f>
        <v>67836.800000000003</v>
      </c>
      <c r="F40" s="458">
        <f>SUM(F35:F38)</f>
        <v>111836.8</v>
      </c>
      <c r="G40" s="458">
        <f>SUM(G35:G38)</f>
        <v>132836.79999999999</v>
      </c>
      <c r="H40" s="458">
        <f>SUM(H35:H38)</f>
        <v>0</v>
      </c>
      <c r="I40" s="458"/>
    </row>
    <row r="41" spans="4:11" ht="17.5" x14ac:dyDescent="0.3">
      <c r="D41" s="450" t="s">
        <v>639</v>
      </c>
      <c r="E41" s="458">
        <f>E40*0.16</f>
        <v>10853.888000000001</v>
      </c>
      <c r="F41" s="458">
        <f>F40*0.16</f>
        <v>17893.888000000003</v>
      </c>
      <c r="G41" s="458">
        <f>G40*0.16</f>
        <v>21253.887999999999</v>
      </c>
      <c r="H41" s="458">
        <f>H40*0.16</f>
        <v>0</v>
      </c>
      <c r="I41" s="458"/>
    </row>
    <row r="42" spans="4:11" ht="17.5" x14ac:dyDescent="0.3">
      <c r="D42" s="450" t="s">
        <v>518</v>
      </c>
      <c r="E42" s="458">
        <f>E40+E41</f>
        <v>78690.688000000009</v>
      </c>
      <c r="F42" s="458">
        <f>F40+F41</f>
        <v>129730.68800000001</v>
      </c>
      <c r="G42" s="458">
        <f>G40+G41</f>
        <v>154090.68799999999</v>
      </c>
      <c r="H42" s="458">
        <f>H40+H41</f>
        <v>0</v>
      </c>
      <c r="I42" s="458"/>
    </row>
    <row r="80" spans="4:18" s="56" customFormat="1" x14ac:dyDescent="0.3">
      <c r="D80" s="57"/>
      <c r="E80" s="57"/>
      <c r="F80" s="57"/>
      <c r="G80" s="57"/>
      <c r="H80" s="58"/>
      <c r="I80" s="58"/>
      <c r="J80" s="58"/>
      <c r="K80" s="58"/>
      <c r="L80" s="58"/>
      <c r="M80" s="58"/>
      <c r="N80" s="58"/>
      <c r="O80" s="58"/>
      <c r="P80" s="58"/>
      <c r="Q80" s="58"/>
      <c r="R80" s="58"/>
    </row>
  </sheetData>
  <mergeCells count="6">
    <mergeCell ref="D32:L32"/>
    <mergeCell ref="C7:K7"/>
    <mergeCell ref="C9:K9"/>
    <mergeCell ref="C16:K16"/>
    <mergeCell ref="Q16:Q18"/>
    <mergeCell ref="G25:J2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4"/>
  <sheetViews>
    <sheetView showGridLines="0" topLeftCell="A16" zoomScale="90" zoomScaleNormal="90" workbookViewId="0">
      <selection activeCell="K46" sqref="K45:K46"/>
    </sheetView>
  </sheetViews>
  <sheetFormatPr baseColWidth="10" defaultColWidth="10" defaultRowHeight="15" x14ac:dyDescent="0.3"/>
  <cols>
    <col min="1" max="2" width="1.7265625" style="58" customWidth="1"/>
    <col min="3" max="3" width="5.26953125" style="56" customWidth="1"/>
    <col min="4" max="4" width="26.1796875" style="57" customWidth="1"/>
    <col min="5" max="5" width="27.26953125" style="57" bestFit="1" customWidth="1"/>
    <col min="6" max="6" width="24.1796875" style="57" bestFit="1" customWidth="1"/>
    <col min="7" max="7" width="20.26953125" style="57" bestFit="1" customWidth="1"/>
    <col min="8" max="8" width="20" style="57" customWidth="1"/>
    <col min="9" max="9" width="10.26953125" style="57" bestFit="1" customWidth="1"/>
    <col min="10" max="10" width="18.7265625" style="58" customWidth="1"/>
    <col min="11" max="11" width="20.1796875" style="58" customWidth="1"/>
    <col min="12" max="12" width="21.7265625" style="58" customWidth="1"/>
    <col min="13" max="13" width="14.81640625" style="58" bestFit="1" customWidth="1"/>
    <col min="14" max="14" width="17.7265625" style="58" bestFit="1" customWidth="1"/>
    <col min="15" max="15" width="11" style="58" bestFit="1" customWidth="1"/>
    <col min="16" max="16" width="10.26953125" style="58" bestFit="1" customWidth="1"/>
    <col min="17" max="17" width="12.26953125" style="58" bestFit="1" customWidth="1"/>
    <col min="18" max="18" width="18.7265625" style="58" bestFit="1" customWidth="1"/>
    <col min="19" max="19" width="1.7265625" style="58" customWidth="1"/>
    <col min="20" max="20" width="18.7265625" style="58" bestFit="1" customWidth="1"/>
    <col min="21" max="16384" width="10" style="58"/>
  </cols>
  <sheetData>
    <row r="1" spans="3:20" ht="15" customHeight="1" x14ac:dyDescent="0.3">
      <c r="C1" s="58"/>
      <c r="D1" s="56"/>
      <c r="E1" s="56"/>
      <c r="F1" s="56"/>
      <c r="G1" s="56"/>
      <c r="H1" s="56"/>
      <c r="J1" s="57"/>
      <c r="K1" s="57"/>
    </row>
    <row r="2" spans="3:20" ht="15" customHeight="1" x14ac:dyDescent="0.3">
      <c r="C2" s="58"/>
      <c r="D2" s="56"/>
      <c r="E2" s="56"/>
      <c r="F2" s="56"/>
      <c r="G2" s="56"/>
      <c r="H2" s="56"/>
      <c r="J2" s="57"/>
      <c r="K2" s="29" t="s">
        <v>0</v>
      </c>
    </row>
    <row r="3" spans="3:20" ht="15" customHeight="1" x14ac:dyDescent="0.3">
      <c r="C3" s="152"/>
      <c r="D3" s="152"/>
      <c r="E3" s="152"/>
      <c r="F3" s="152"/>
      <c r="G3" s="152"/>
      <c r="H3" s="152"/>
      <c r="J3" s="57"/>
      <c r="K3" s="59" t="str">
        <f>'Información proyecto'!D3</f>
        <v>Versión: 0.1</v>
      </c>
      <c r="N3" s="60"/>
    </row>
    <row r="4" spans="3:20" ht="1.5" customHeight="1" x14ac:dyDescent="0.3">
      <c r="C4" s="153"/>
      <c r="D4" s="153"/>
      <c r="E4" s="153"/>
      <c r="F4" s="153"/>
      <c r="G4" s="153"/>
      <c r="H4" s="153"/>
      <c r="I4" s="153"/>
      <c r="J4" s="153"/>
      <c r="K4" s="153">
        <f>'Información proyecto'!D4</f>
        <v>0</v>
      </c>
    </row>
    <row r="5" spans="3:20" ht="15" customHeight="1" x14ac:dyDescent="0.3">
      <c r="C5" s="152"/>
      <c r="D5" s="152"/>
      <c r="E5" s="152"/>
      <c r="F5" s="152"/>
      <c r="G5" s="152"/>
      <c r="H5" s="152"/>
      <c r="J5" s="57"/>
      <c r="K5" s="59" t="str">
        <f>'Información proyecto'!D5</f>
        <v>Proyecto:  Admin Eventos</v>
      </c>
      <c r="N5" s="60"/>
    </row>
    <row r="6" spans="3:20" ht="12.75" customHeight="1" x14ac:dyDescent="0.3">
      <c r="C6" s="58"/>
      <c r="D6" s="152"/>
      <c r="E6" s="152"/>
      <c r="F6" s="152"/>
      <c r="G6" s="152"/>
      <c r="H6" s="152"/>
      <c r="J6" s="57"/>
      <c r="K6" s="62"/>
      <c r="N6" s="60"/>
    </row>
    <row r="7" spans="3:20" x14ac:dyDescent="0.3">
      <c r="C7" s="611" t="s">
        <v>35</v>
      </c>
      <c r="D7" s="611"/>
      <c r="E7" s="611"/>
      <c r="F7" s="611"/>
      <c r="G7" s="611"/>
      <c r="H7" s="611"/>
      <c r="I7" s="611"/>
      <c r="J7" s="611"/>
      <c r="K7" s="611"/>
    </row>
    <row r="8" spans="3:20" ht="18" customHeight="1" x14ac:dyDescent="0.3">
      <c r="C8" s="69"/>
      <c r="D8" s="154"/>
      <c r="E8" s="154"/>
      <c r="F8" s="154"/>
      <c r="G8" s="154"/>
      <c r="H8" s="154"/>
      <c r="I8" s="154"/>
    </row>
    <row r="9" spans="3:20" ht="15" customHeight="1" x14ac:dyDescent="0.3">
      <c r="C9" s="614" t="s">
        <v>36</v>
      </c>
      <c r="D9" s="614"/>
      <c r="E9" s="614"/>
      <c r="F9" s="614"/>
      <c r="G9" s="614"/>
      <c r="H9" s="614"/>
      <c r="I9" s="614"/>
      <c r="J9" s="614"/>
      <c r="K9" s="614"/>
    </row>
    <row r="10" spans="3:20" ht="15.5" thickBot="1" x14ac:dyDescent="0.35">
      <c r="C10" s="69"/>
      <c r="D10" s="154"/>
      <c r="E10" s="154"/>
      <c r="F10" s="154"/>
      <c r="G10" s="154"/>
      <c r="H10" s="154"/>
      <c r="I10" s="154"/>
      <c r="Q10" s="155"/>
    </row>
    <row r="11" spans="3:20" ht="24" customHeight="1" thickBot="1" x14ac:dyDescent="0.35">
      <c r="C11" s="69"/>
      <c r="E11" s="177" t="s">
        <v>37</v>
      </c>
      <c r="F11" s="177" t="s">
        <v>38</v>
      </c>
      <c r="G11" s="177" t="s">
        <v>39</v>
      </c>
      <c r="H11" s="177" t="s">
        <v>277</v>
      </c>
      <c r="I11" s="177" t="s">
        <v>40</v>
      </c>
      <c r="L11" s="395" t="s">
        <v>277</v>
      </c>
      <c r="M11" s="395" t="s">
        <v>277</v>
      </c>
      <c r="Q11" s="155"/>
    </row>
    <row r="12" spans="3:20" ht="21.75" customHeight="1" thickBot="1" x14ac:dyDescent="0.35">
      <c r="C12" s="69"/>
      <c r="E12" s="178">
        <f>'Alcance y tiempo'!P163</f>
        <v>45323</v>
      </c>
      <c r="F12" s="178">
        <f>F33</f>
        <v>45436.948652261082</v>
      </c>
      <c r="G12" s="179">
        <f>(F12-E12)</f>
        <v>113.94865226108232</v>
      </c>
      <c r="H12" s="180">
        <f>ROUND(G12/7,1)</f>
        <v>16.3</v>
      </c>
      <c r="I12" s="180">
        <f>ROUND(G12/30,1)</f>
        <v>3.8</v>
      </c>
      <c r="J12" s="156"/>
      <c r="L12" s="405">
        <f>H12</f>
        <v>16.3</v>
      </c>
      <c r="M12" s="406">
        <v>6.4</v>
      </c>
      <c r="Q12" s="155"/>
    </row>
    <row r="13" spans="3:20" x14ac:dyDescent="0.3">
      <c r="C13" s="69"/>
      <c r="E13" s="176"/>
      <c r="F13" s="176"/>
      <c r="G13" s="176"/>
      <c r="H13" s="176"/>
      <c r="I13" s="176"/>
      <c r="L13" s="407">
        <f>K41</f>
        <v>340228.62499999994</v>
      </c>
      <c r="M13" s="407">
        <f>(L13/L12)*M12</f>
        <v>133586.69938650305</v>
      </c>
      <c r="Q13" s="155"/>
    </row>
    <row r="14" spans="3:20" ht="15.5" thickBot="1" x14ac:dyDescent="0.35">
      <c r="C14" s="157"/>
      <c r="E14" s="159"/>
      <c r="F14" s="175"/>
      <c r="G14" s="159"/>
      <c r="H14" s="159"/>
      <c r="I14" s="159"/>
      <c r="L14" s="408">
        <f>1- (L13/L46)</f>
        <v>0.67560199752097638</v>
      </c>
      <c r="M14" s="408">
        <f>1-(M13/L46)</f>
        <v>0.87262900516161035</v>
      </c>
      <c r="Q14" s="155"/>
    </row>
    <row r="15" spans="3:20" x14ac:dyDescent="0.3">
      <c r="C15" s="157"/>
      <c r="Q15" s="155"/>
    </row>
    <row r="16" spans="3:20" ht="12.75" customHeight="1" x14ac:dyDescent="0.3">
      <c r="C16" s="614" t="s">
        <v>41</v>
      </c>
      <c r="D16" s="614"/>
      <c r="E16" s="614"/>
      <c r="F16" s="614"/>
      <c r="G16" s="614"/>
      <c r="H16" s="614"/>
      <c r="I16" s="614"/>
      <c r="J16" s="614"/>
      <c r="K16" s="614"/>
      <c r="Q16" s="155"/>
      <c r="T16" s="612"/>
    </row>
    <row r="17" spans="3:21" ht="15" customHeight="1" thickBot="1" x14ac:dyDescent="0.35">
      <c r="C17" s="158"/>
      <c r="D17" s="159"/>
      <c r="E17" s="159"/>
      <c r="F17" s="159"/>
      <c r="G17" s="159"/>
      <c r="H17" s="159"/>
      <c r="I17" s="159"/>
      <c r="Q17" s="155"/>
      <c r="T17" s="612"/>
    </row>
    <row r="18" spans="3:21" ht="34.5" customHeight="1" thickBot="1" x14ac:dyDescent="0.35">
      <c r="C18" s="193" t="s">
        <v>42</v>
      </c>
      <c r="D18" s="193" t="s">
        <v>43</v>
      </c>
      <c r="E18" s="193" t="s">
        <v>157</v>
      </c>
      <c r="F18" s="193" t="s">
        <v>158</v>
      </c>
      <c r="G18" s="193" t="s">
        <v>39</v>
      </c>
      <c r="H18" s="193" t="s">
        <v>277</v>
      </c>
      <c r="I18" s="193" t="s">
        <v>40</v>
      </c>
      <c r="J18" s="193" t="s">
        <v>44</v>
      </c>
      <c r="K18" s="193" t="s">
        <v>45</v>
      </c>
      <c r="L18" s="58" t="s">
        <v>305</v>
      </c>
      <c r="N18" s="58" t="s">
        <v>306</v>
      </c>
      <c r="T18" s="612"/>
    </row>
    <row r="19" spans="3:21" x14ac:dyDescent="0.3">
      <c r="C19" s="194" t="s">
        <v>262</v>
      </c>
      <c r="D19" s="195" t="s">
        <v>283</v>
      </c>
      <c r="E19" s="196">
        <f>'Alcance y tiempo'!P163</f>
        <v>45323</v>
      </c>
      <c r="F19" s="196">
        <f>'Alcance y tiempo'!Q163</f>
        <v>45351</v>
      </c>
      <c r="G19" s="194">
        <f>ROUNDUP(F19-E19,0)</f>
        <v>28</v>
      </c>
      <c r="H19" s="197">
        <f>G19/7</f>
        <v>4</v>
      </c>
      <c r="I19" s="194">
        <f t="shared" ref="I19:I28" si="0">ROUND(G19/30,1)</f>
        <v>0.9</v>
      </c>
      <c r="J19" s="198"/>
      <c r="K19" s="198"/>
      <c r="L19" s="165">
        <f>ROUND(SUM('Fechas y costos'!K20:K23)/'Alcance y tiempo'!P11,1)</f>
        <v>336.2</v>
      </c>
      <c r="M19" s="165"/>
      <c r="N19" s="165">
        <f>ROUND(L19*100/40,0)*1.15</f>
        <v>967.15</v>
      </c>
      <c r="T19" s="166"/>
    </row>
    <row r="20" spans="3:21" ht="13.15" customHeight="1" x14ac:dyDescent="0.3">
      <c r="C20" s="181">
        <v>1</v>
      </c>
      <c r="D20" s="182" t="s">
        <v>313</v>
      </c>
      <c r="E20" s="183">
        <f>$E$19</f>
        <v>45323</v>
      </c>
      <c r="F20" s="183">
        <f>$F$19</f>
        <v>45351</v>
      </c>
      <c r="G20" s="184">
        <f>$G$19</f>
        <v>28</v>
      </c>
      <c r="H20" s="184">
        <f>ROUND(G20/7,1)</f>
        <v>4</v>
      </c>
      <c r="I20" s="184">
        <f t="shared" si="0"/>
        <v>0.9</v>
      </c>
      <c r="J20" s="403">
        <v>20185</v>
      </c>
      <c r="K20" s="185">
        <f>I20*J20</f>
        <v>18166.5</v>
      </c>
      <c r="L20" s="165"/>
      <c r="M20" s="165"/>
      <c r="N20" s="165"/>
      <c r="R20" s="167"/>
      <c r="S20" s="167"/>
      <c r="T20" s="167"/>
      <c r="U20" s="86"/>
    </row>
    <row r="21" spans="3:21" ht="13.75" customHeight="1" x14ac:dyDescent="0.3">
      <c r="C21" s="181">
        <v>2</v>
      </c>
      <c r="D21" s="182" t="s">
        <v>311</v>
      </c>
      <c r="E21" s="183">
        <f>$E$19</f>
        <v>45323</v>
      </c>
      <c r="F21" s="183">
        <f>$F$19</f>
        <v>45351</v>
      </c>
      <c r="G21" s="184">
        <f>$G$19</f>
        <v>28</v>
      </c>
      <c r="H21" s="184">
        <f>ROUND(G21/7,1)</f>
        <v>4</v>
      </c>
      <c r="I21" s="184">
        <f t="shared" si="0"/>
        <v>0.9</v>
      </c>
      <c r="J21" s="403">
        <v>26038</v>
      </c>
      <c r="K21" s="185">
        <f>I21*J21</f>
        <v>23434.2</v>
      </c>
      <c r="L21" s="165"/>
      <c r="M21" s="165"/>
      <c r="N21" s="165"/>
      <c r="R21" s="167"/>
      <c r="S21" s="167"/>
      <c r="T21" s="167"/>
      <c r="U21" s="86"/>
    </row>
    <row r="22" spans="3:21" ht="13.75" customHeight="1" x14ac:dyDescent="0.3">
      <c r="C22" s="181">
        <v>2</v>
      </c>
      <c r="D22" s="182" t="s">
        <v>311</v>
      </c>
      <c r="E22" s="183">
        <f>$E$19</f>
        <v>45323</v>
      </c>
      <c r="F22" s="183">
        <f>$F$19</f>
        <v>45351</v>
      </c>
      <c r="G22" s="184">
        <f>$G$19</f>
        <v>28</v>
      </c>
      <c r="H22" s="184">
        <f>ROUND(G22/7,1)</f>
        <v>4</v>
      </c>
      <c r="I22" s="184">
        <f t="shared" ref="I22" si="1">ROUND(G22/30,1)</f>
        <v>0.9</v>
      </c>
      <c r="J22" s="403">
        <v>26038</v>
      </c>
      <c r="K22" s="185">
        <f>I22*J22</f>
        <v>23434.2</v>
      </c>
      <c r="L22" s="165"/>
      <c r="M22" s="165"/>
      <c r="N22" s="165"/>
      <c r="R22" s="167"/>
      <c r="S22" s="167"/>
      <c r="T22" s="167"/>
      <c r="U22" s="86"/>
    </row>
    <row r="23" spans="3:21" ht="13.75" customHeight="1" x14ac:dyDescent="0.3">
      <c r="C23" s="181">
        <v>3</v>
      </c>
      <c r="D23" s="182" t="s">
        <v>728</v>
      </c>
      <c r="E23" s="183">
        <f>$E$19</f>
        <v>45323</v>
      </c>
      <c r="F23" s="183">
        <f>$F$19</f>
        <v>45351</v>
      </c>
      <c r="G23" s="184">
        <f>$G$19</f>
        <v>28</v>
      </c>
      <c r="H23" s="184">
        <f>ROUND(G23/7,1)</f>
        <v>4</v>
      </c>
      <c r="I23" s="184">
        <f t="shared" si="0"/>
        <v>0.9</v>
      </c>
      <c r="J23" s="403">
        <v>9500</v>
      </c>
      <c r="K23" s="185">
        <f>I23*J23</f>
        <v>8550</v>
      </c>
      <c r="L23" s="165"/>
      <c r="M23" s="165"/>
      <c r="N23" s="165"/>
      <c r="R23" s="167"/>
      <c r="S23" s="167"/>
      <c r="T23" s="167"/>
      <c r="U23" s="86"/>
    </row>
    <row r="24" spans="3:21" x14ac:dyDescent="0.3">
      <c r="C24" s="160" t="s">
        <v>308</v>
      </c>
      <c r="D24" s="161" t="s">
        <v>15</v>
      </c>
      <c r="E24" s="162">
        <f>'Alcance y tiempo'!P165</f>
        <v>45352</v>
      </c>
      <c r="F24" s="162">
        <f>'Alcance y tiempo'!Q165</f>
        <v>45390.5</v>
      </c>
      <c r="G24" s="160">
        <f>ROUNDUP(F24-E24,0)</f>
        <v>39</v>
      </c>
      <c r="H24" s="163">
        <f>ROUNDUP(G24/7,1)</f>
        <v>5.6</v>
      </c>
      <c r="I24" s="160">
        <f t="shared" si="0"/>
        <v>1.3</v>
      </c>
      <c r="J24" s="404"/>
      <c r="K24" s="164"/>
      <c r="L24" s="165">
        <f>ROUND(SUM('Fechas y costos'!K25:K28)/'Alcance y tiempo'!P41,1)</f>
        <v>242.1</v>
      </c>
      <c r="M24" s="165"/>
      <c r="N24" s="165">
        <f>ROUND(L24*100/40,0)*1.15</f>
        <v>695.75</v>
      </c>
      <c r="P24" s="58">
        <v>529.4</v>
      </c>
      <c r="Q24" s="58">
        <v>1522.6</v>
      </c>
      <c r="T24" s="166"/>
    </row>
    <row r="25" spans="3:21" ht="13.75" customHeight="1" x14ac:dyDescent="0.3">
      <c r="C25" s="181">
        <v>1</v>
      </c>
      <c r="D25" s="182" t="s">
        <v>313</v>
      </c>
      <c r="E25" s="183">
        <f>$E$24</f>
        <v>45352</v>
      </c>
      <c r="F25" s="183">
        <f>$F$24</f>
        <v>45390.5</v>
      </c>
      <c r="G25" s="184">
        <f>$G$24</f>
        <v>39</v>
      </c>
      <c r="H25" s="184">
        <f>ROUND(G25/7,1)</f>
        <v>5.6</v>
      </c>
      <c r="I25" s="184">
        <f t="shared" si="0"/>
        <v>1.3</v>
      </c>
      <c r="J25" s="403">
        <v>20185</v>
      </c>
      <c r="K25" s="185">
        <f>I25*J25</f>
        <v>26240.5</v>
      </c>
      <c r="L25" s="165"/>
      <c r="M25" s="165"/>
      <c r="N25" s="165"/>
      <c r="R25" s="167"/>
      <c r="S25" s="167"/>
      <c r="T25" s="167"/>
      <c r="U25" s="86"/>
    </row>
    <row r="26" spans="3:21" ht="13.75" customHeight="1" x14ac:dyDescent="0.3">
      <c r="C26" s="181">
        <v>2</v>
      </c>
      <c r="D26" s="182" t="s">
        <v>87</v>
      </c>
      <c r="E26" s="183">
        <f>$E$24</f>
        <v>45352</v>
      </c>
      <c r="F26" s="183">
        <f>$F$24</f>
        <v>45390.5</v>
      </c>
      <c r="G26" s="184">
        <f>$G$24</f>
        <v>39</v>
      </c>
      <c r="H26" s="184">
        <f>ROUND(G26/7,1)</f>
        <v>5.6</v>
      </c>
      <c r="I26" s="184">
        <f t="shared" si="0"/>
        <v>1.3</v>
      </c>
      <c r="J26" s="403">
        <v>27626</v>
      </c>
      <c r="K26" s="185">
        <f>I26*J26</f>
        <v>35913.800000000003</v>
      </c>
      <c r="L26" s="165"/>
      <c r="M26" s="165"/>
      <c r="N26" s="165"/>
      <c r="R26" s="167"/>
      <c r="S26" s="167"/>
      <c r="T26" s="167"/>
    </row>
    <row r="27" spans="3:21" ht="13.75" customHeight="1" x14ac:dyDescent="0.3">
      <c r="C27" s="181">
        <v>2</v>
      </c>
      <c r="D27" s="182" t="s">
        <v>87</v>
      </c>
      <c r="E27" s="183">
        <f>$E$24</f>
        <v>45352</v>
      </c>
      <c r="F27" s="183">
        <f>$F$24</f>
        <v>45390.5</v>
      </c>
      <c r="G27" s="184">
        <f>$G$24</f>
        <v>39</v>
      </c>
      <c r="H27" s="184">
        <f>ROUND(G27/7,1)</f>
        <v>5.6</v>
      </c>
      <c r="I27" s="184">
        <f t="shared" ref="I27" si="2">ROUND(G27/30,1)</f>
        <v>1.3</v>
      </c>
      <c r="J27" s="403">
        <v>27626</v>
      </c>
      <c r="K27" s="185">
        <f>I27*J27</f>
        <v>35913.800000000003</v>
      </c>
      <c r="L27" s="165"/>
      <c r="M27" s="165"/>
      <c r="N27" s="165"/>
      <c r="R27" s="167"/>
      <c r="S27" s="167"/>
      <c r="T27" s="167"/>
    </row>
    <row r="28" spans="3:21" ht="13.75" customHeight="1" x14ac:dyDescent="0.3">
      <c r="C28" s="181">
        <v>3</v>
      </c>
      <c r="D28" s="182" t="s">
        <v>447</v>
      </c>
      <c r="E28" s="183">
        <f>$E$24</f>
        <v>45352</v>
      </c>
      <c r="F28" s="183">
        <f>$F$24</f>
        <v>45390.5</v>
      </c>
      <c r="G28" s="184">
        <f>$G$24</f>
        <v>39</v>
      </c>
      <c r="H28" s="184">
        <f>ROUND(G28/7,1)</f>
        <v>5.6</v>
      </c>
      <c r="I28" s="184">
        <f t="shared" si="0"/>
        <v>1.3</v>
      </c>
      <c r="J28" s="403">
        <f>20581/2</f>
        <v>10290.5</v>
      </c>
      <c r="K28" s="185">
        <f>I28*J28</f>
        <v>13377.65</v>
      </c>
      <c r="L28" s="165"/>
      <c r="M28" s="165"/>
      <c r="N28" s="165"/>
      <c r="R28" s="167"/>
      <c r="S28" s="167"/>
      <c r="T28" s="167"/>
    </row>
    <row r="29" spans="3:21" x14ac:dyDescent="0.3">
      <c r="C29" s="160" t="s">
        <v>309</v>
      </c>
      <c r="D29" s="161" t="s">
        <v>20</v>
      </c>
      <c r="E29" s="162">
        <f>'Alcance y tiempo'!P167</f>
        <v>45391.5</v>
      </c>
      <c r="F29" s="162">
        <f>'Alcance y tiempo'!Q167</f>
        <v>45416.048897304521</v>
      </c>
      <c r="G29" s="160">
        <f>ROUNDUP(F29-E29,0)</f>
        <v>25</v>
      </c>
      <c r="H29" s="163">
        <f>ROUNDUP(G29/7,1)</f>
        <v>3.6</v>
      </c>
      <c r="I29" s="160">
        <f t="shared" ref="I29:I36" si="3">ROUND(G29/30,1)</f>
        <v>0.8</v>
      </c>
      <c r="J29" s="404"/>
      <c r="K29" s="164"/>
      <c r="L29" s="165">
        <f>ROUND(SUM('Fechas y costos'!K30:K32)/'Alcance y tiempo'!P114,1)</f>
        <v>472.9</v>
      </c>
      <c r="M29" s="165"/>
      <c r="N29" s="165">
        <f>ROUND(L29*100/40,0)*1.15</f>
        <v>1359.3</v>
      </c>
      <c r="T29" s="166"/>
    </row>
    <row r="30" spans="3:21" ht="13.75" customHeight="1" x14ac:dyDescent="0.3">
      <c r="C30" s="181">
        <v>1</v>
      </c>
      <c r="D30" s="182" t="s">
        <v>313</v>
      </c>
      <c r="E30" s="183">
        <f>$E$29</f>
        <v>45391.5</v>
      </c>
      <c r="F30" s="183">
        <f>$F$29</f>
        <v>45416.048897304521</v>
      </c>
      <c r="G30" s="184">
        <f>$G$29</f>
        <v>25</v>
      </c>
      <c r="H30" s="184">
        <f t="shared" ref="H30:H36" si="4">ROUND(G30/7,1)</f>
        <v>3.6</v>
      </c>
      <c r="I30" s="184">
        <f t="shared" si="3"/>
        <v>0.8</v>
      </c>
      <c r="J30" s="403">
        <v>20185</v>
      </c>
      <c r="K30" s="185">
        <f>I30*J30</f>
        <v>16148</v>
      </c>
      <c r="L30" s="165"/>
      <c r="M30" s="165"/>
      <c r="N30" s="165"/>
      <c r="R30" s="167"/>
      <c r="S30" s="167"/>
      <c r="T30" s="167"/>
      <c r="U30" s="86"/>
    </row>
    <row r="31" spans="3:21" ht="13.75" customHeight="1" x14ac:dyDescent="0.3">
      <c r="C31" s="181">
        <v>2</v>
      </c>
      <c r="D31" s="182" t="s">
        <v>312</v>
      </c>
      <c r="E31" s="183">
        <f>$E$29</f>
        <v>45391.5</v>
      </c>
      <c r="F31" s="183">
        <f>$F$29</f>
        <v>45416.048897304521</v>
      </c>
      <c r="G31" s="184">
        <f>$G$29</f>
        <v>25</v>
      </c>
      <c r="H31" s="184">
        <f t="shared" si="4"/>
        <v>3.6</v>
      </c>
      <c r="I31" s="184">
        <f t="shared" si="3"/>
        <v>0.8</v>
      </c>
      <c r="J31" s="403">
        <v>27626</v>
      </c>
      <c r="K31" s="185">
        <f>I31*J31</f>
        <v>22100.800000000003</v>
      </c>
      <c r="L31" s="165"/>
      <c r="M31" s="165"/>
      <c r="N31" s="165"/>
      <c r="R31" s="167"/>
      <c r="S31" s="167"/>
      <c r="T31" s="167"/>
    </row>
    <row r="32" spans="3:21" ht="13.75" customHeight="1" x14ac:dyDescent="0.3">
      <c r="C32" s="181">
        <v>3</v>
      </c>
      <c r="D32" s="182" t="s">
        <v>447</v>
      </c>
      <c r="E32" s="183">
        <f>$E$29</f>
        <v>45391.5</v>
      </c>
      <c r="F32" s="183">
        <f>$F$29</f>
        <v>45416.048897304521</v>
      </c>
      <c r="G32" s="184">
        <f>$G$29</f>
        <v>25</v>
      </c>
      <c r="H32" s="184">
        <f>ROUND(G32/7,1)</f>
        <v>3.6</v>
      </c>
      <c r="I32" s="184">
        <f>ROUND(G32/30,1)</f>
        <v>0.8</v>
      </c>
      <c r="J32" s="403">
        <f>20581/2</f>
        <v>10290.5</v>
      </c>
      <c r="K32" s="185">
        <f>I32*J32</f>
        <v>8232.4</v>
      </c>
      <c r="L32" s="165"/>
      <c r="M32" s="165"/>
      <c r="N32" s="165"/>
      <c r="R32" s="167"/>
      <c r="S32" s="167"/>
      <c r="T32" s="167"/>
    </row>
    <row r="33" spans="3:21" x14ac:dyDescent="0.3">
      <c r="C33" s="160" t="s">
        <v>310</v>
      </c>
      <c r="D33" s="161" t="s">
        <v>26</v>
      </c>
      <c r="E33" s="162">
        <f>'Alcance y tiempo'!P169</f>
        <v>45417.048897304521</v>
      </c>
      <c r="F33" s="162">
        <f>'Alcance y tiempo'!Q169</f>
        <v>45436.948652261082</v>
      </c>
      <c r="G33" s="160">
        <f>ROUNDUP(F33-E33,0)</f>
        <v>20</v>
      </c>
      <c r="H33" s="163">
        <f>ROUNDUP(G33/7,1)</f>
        <v>2.9</v>
      </c>
      <c r="I33" s="160">
        <f t="shared" si="3"/>
        <v>0.7</v>
      </c>
      <c r="J33" s="404"/>
      <c r="K33" s="164"/>
      <c r="L33" s="165">
        <f>ROUND(SUM('Fechas y costos'!K34:K36)/'Alcance y tiempo'!P129,1)</f>
        <v>421.2</v>
      </c>
      <c r="M33" s="165"/>
      <c r="N33" s="165">
        <f>ROUND(L33*100/40,0)*1.15</f>
        <v>1210.9499999999998</v>
      </c>
      <c r="T33" s="166"/>
    </row>
    <row r="34" spans="3:21" ht="13.75" customHeight="1" x14ac:dyDescent="0.3">
      <c r="C34" s="181">
        <v>1</v>
      </c>
      <c r="D34" s="182" t="s">
        <v>313</v>
      </c>
      <c r="E34" s="183">
        <f>$E$33</f>
        <v>45417.048897304521</v>
      </c>
      <c r="F34" s="183">
        <f>$F$33</f>
        <v>45436.948652261082</v>
      </c>
      <c r="G34" s="184">
        <f>$G$33</f>
        <v>20</v>
      </c>
      <c r="H34" s="184">
        <f t="shared" si="4"/>
        <v>2.9</v>
      </c>
      <c r="I34" s="184">
        <f t="shared" si="3"/>
        <v>0.7</v>
      </c>
      <c r="J34" s="403">
        <v>20185</v>
      </c>
      <c r="K34" s="185">
        <f>I34*J34</f>
        <v>14129.5</v>
      </c>
      <c r="L34" s="165"/>
      <c r="M34" s="165"/>
      <c r="N34" s="165"/>
      <c r="R34" s="167"/>
      <c r="S34" s="167"/>
      <c r="T34" s="167"/>
      <c r="U34" s="86"/>
    </row>
    <row r="35" spans="3:21" ht="13.75" customHeight="1" x14ac:dyDescent="0.3">
      <c r="C35" s="181">
        <v>2</v>
      </c>
      <c r="D35" s="182" t="s">
        <v>312</v>
      </c>
      <c r="E35" s="183">
        <f>$E$33</f>
        <v>45417.048897304521</v>
      </c>
      <c r="F35" s="183">
        <f>$F$33</f>
        <v>45436.948652261082</v>
      </c>
      <c r="G35" s="184">
        <f>$G$33</f>
        <v>20</v>
      </c>
      <c r="H35" s="184">
        <f>ROUND(G35/7,1)</f>
        <v>2.9</v>
      </c>
      <c r="I35" s="184">
        <f>ROUND(G35/30,1)</f>
        <v>0.7</v>
      </c>
      <c r="J35" s="403">
        <v>27626</v>
      </c>
      <c r="K35" s="185">
        <f>I35*J35</f>
        <v>19338.199999999997</v>
      </c>
      <c r="L35" s="165"/>
      <c r="M35" s="165"/>
      <c r="N35" s="165"/>
      <c r="R35" s="167"/>
      <c r="S35" s="167"/>
      <c r="T35" s="167"/>
      <c r="U35" s="167"/>
    </row>
    <row r="36" spans="3:21" ht="13.75" customHeight="1" thickBot="1" x14ac:dyDescent="0.35">
      <c r="C36" s="199">
        <v>3</v>
      </c>
      <c r="D36" s="200" t="s">
        <v>447</v>
      </c>
      <c r="E36" s="201">
        <f>$E$33</f>
        <v>45417.048897304521</v>
      </c>
      <c r="F36" s="201">
        <f>$F$33</f>
        <v>45436.948652261082</v>
      </c>
      <c r="G36" s="202">
        <f>$G$33</f>
        <v>20</v>
      </c>
      <c r="H36" s="202">
        <f t="shared" si="4"/>
        <v>2.9</v>
      </c>
      <c r="I36" s="202">
        <f t="shared" si="3"/>
        <v>0.7</v>
      </c>
      <c r="J36" s="203">
        <f>20581/2</f>
        <v>10290.5</v>
      </c>
      <c r="K36" s="204">
        <f>I36*J36</f>
        <v>7203.3499999999995</v>
      </c>
      <c r="L36" s="165"/>
      <c r="M36" s="165"/>
      <c r="N36" s="165"/>
      <c r="R36" s="167"/>
      <c r="S36" s="167"/>
      <c r="T36" s="167"/>
      <c r="U36" s="167"/>
    </row>
    <row r="37" spans="3:21" ht="9.75" customHeight="1" x14ac:dyDescent="0.3">
      <c r="C37" s="192"/>
      <c r="D37" s="192"/>
      <c r="E37" s="192"/>
      <c r="F37" s="192"/>
      <c r="G37" s="192"/>
      <c r="H37" s="192"/>
      <c r="I37" s="192"/>
      <c r="J37" s="176"/>
      <c r="K37" s="176"/>
      <c r="R37" s="167"/>
      <c r="S37" s="167"/>
      <c r="T37" s="155"/>
      <c r="U37" s="167"/>
    </row>
    <row r="38" spans="3:21" ht="13.75" customHeight="1" x14ac:dyDescent="0.3">
      <c r="C38" s="181"/>
      <c r="D38" s="186"/>
      <c r="E38" s="186"/>
      <c r="F38" s="186"/>
      <c r="G38" s="186"/>
      <c r="H38" s="186"/>
      <c r="I38" s="187"/>
      <c r="J38" s="188"/>
      <c r="K38" s="188"/>
      <c r="L38" s="58" t="s">
        <v>76</v>
      </c>
      <c r="N38" s="58" t="s">
        <v>18</v>
      </c>
      <c r="R38" s="167"/>
      <c r="S38" s="167"/>
      <c r="T38" s="167"/>
      <c r="U38" s="167"/>
    </row>
    <row r="39" spans="3:21" x14ac:dyDescent="0.3">
      <c r="C39" s="158"/>
      <c r="D39" s="159"/>
      <c r="E39" s="159"/>
      <c r="F39" s="159"/>
      <c r="G39" s="159"/>
      <c r="H39" s="159"/>
      <c r="I39" s="159"/>
      <c r="J39" s="189" t="s">
        <v>428</v>
      </c>
      <c r="K39" s="190">
        <f>SUM(K20:K36)</f>
        <v>272182.89999999997</v>
      </c>
      <c r="L39" s="165">
        <f>SUM(K20:K36)</f>
        <v>272182.89999999997</v>
      </c>
      <c r="N39" s="58">
        <v>166880</v>
      </c>
      <c r="O39" s="58" t="s">
        <v>482</v>
      </c>
      <c r="R39" s="167"/>
      <c r="S39" s="167"/>
      <c r="T39" s="155"/>
      <c r="U39" s="167"/>
    </row>
    <row r="40" spans="3:21" x14ac:dyDescent="0.3">
      <c r="C40" s="158"/>
      <c r="D40" s="159"/>
      <c r="E40" s="159"/>
      <c r="F40" s="159"/>
      <c r="G40" s="159"/>
      <c r="H40" s="159"/>
      <c r="I40" s="159"/>
      <c r="J40" s="188"/>
      <c r="K40" s="191"/>
      <c r="L40" s="165"/>
      <c r="N40" s="58">
        <v>171624</v>
      </c>
      <c r="O40" s="58" t="s">
        <v>483</v>
      </c>
      <c r="R40" s="167"/>
      <c r="S40" s="167"/>
      <c r="T40" s="167"/>
      <c r="U40" s="167"/>
    </row>
    <row r="41" spans="3:21" x14ac:dyDescent="0.3">
      <c r="C41" s="158"/>
      <c r="D41" s="159"/>
      <c r="E41" s="159"/>
      <c r="F41" s="159"/>
      <c r="G41" s="159"/>
      <c r="H41" s="159"/>
      <c r="I41" s="159"/>
      <c r="J41" s="189" t="s">
        <v>427</v>
      </c>
      <c r="K41" s="190">
        <f>K39*1.25</f>
        <v>340228.62499999994</v>
      </c>
      <c r="L41" s="165">
        <f>L39*1.25</f>
        <v>340228.62499999994</v>
      </c>
      <c r="R41" s="167"/>
      <c r="S41" s="167"/>
      <c r="T41" s="167"/>
      <c r="U41" s="167"/>
    </row>
    <row r="42" spans="3:21" x14ac:dyDescent="0.3">
      <c r="K42" s="155"/>
      <c r="R42" s="167"/>
      <c r="S42" s="167"/>
      <c r="T42" s="167"/>
      <c r="U42" s="167"/>
    </row>
    <row r="43" spans="3:21" x14ac:dyDescent="0.3">
      <c r="K43" s="155"/>
      <c r="R43" s="167"/>
      <c r="S43" s="167"/>
      <c r="T43" s="167"/>
      <c r="U43" s="167"/>
    </row>
    <row r="44" spans="3:21" x14ac:dyDescent="0.3">
      <c r="K44" s="168" t="s">
        <v>298</v>
      </c>
      <c r="L44" s="168" t="s">
        <v>299</v>
      </c>
      <c r="N44" s="168"/>
      <c r="R44" s="167"/>
      <c r="S44" s="167"/>
      <c r="T44" s="155"/>
      <c r="U44" s="167"/>
    </row>
    <row r="45" spans="3:21" x14ac:dyDescent="0.3">
      <c r="J45" s="169" t="s">
        <v>75</v>
      </c>
      <c r="K45" s="170">
        <v>0.6</v>
      </c>
      <c r="L45" s="170">
        <f>1-K41/L46</f>
        <v>0.67560199752097638</v>
      </c>
      <c r="M45" s="170">
        <f>1-K41/M46</f>
        <v>0.65806168341708549</v>
      </c>
      <c r="N45" s="170">
        <f>1-L41/N46</f>
        <v>0.67560199752097638</v>
      </c>
      <c r="R45" s="171"/>
      <c r="S45" s="171"/>
      <c r="T45" s="171"/>
    </row>
    <row r="46" spans="3:21" x14ac:dyDescent="0.3">
      <c r="J46" s="169" t="s">
        <v>74</v>
      </c>
      <c r="K46" s="172">
        <f>K41/(1-K45)</f>
        <v>850571.56249999977</v>
      </c>
      <c r="L46" s="173">
        <f>Inversión!N10</f>
        <v>1048800</v>
      </c>
      <c r="M46" s="58">
        <v>995000</v>
      </c>
      <c r="N46" s="173">
        <f>Inversión!N10</f>
        <v>1048800</v>
      </c>
    </row>
    <row r="50" spans="11:11" x14ac:dyDescent="0.3">
      <c r="K50" s="165"/>
    </row>
    <row r="93" spans="1:12" x14ac:dyDescent="0.3">
      <c r="A93" s="158"/>
      <c r="B93" s="158"/>
    </row>
    <row r="94" spans="1:12" x14ac:dyDescent="0.3">
      <c r="L94" s="158"/>
    </row>
  </sheetData>
  <mergeCells count="4">
    <mergeCell ref="C7:K7"/>
    <mergeCell ref="C16:K16"/>
    <mergeCell ref="C9:K9"/>
    <mergeCell ref="T16:T1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7922-87FF-4149-88E7-F445E8A44B7A}">
  <dimension ref="C1:S149"/>
  <sheetViews>
    <sheetView showGridLines="0" topLeftCell="A93" zoomScale="90" zoomScaleNormal="90" workbookViewId="0">
      <selection activeCell="N109" sqref="N109"/>
    </sheetView>
  </sheetViews>
  <sheetFormatPr baseColWidth="10" defaultColWidth="10" defaultRowHeight="15" x14ac:dyDescent="0.3"/>
  <cols>
    <col min="1" max="2" width="1.7265625" style="58" customWidth="1"/>
    <col min="3" max="3" width="5.26953125" style="56" hidden="1" customWidth="1"/>
    <col min="4" max="4" width="20.54296875" style="57" customWidth="1"/>
    <col min="5" max="5" width="22" style="57" customWidth="1"/>
    <col min="6" max="6" width="23.26953125" style="57" customWidth="1"/>
    <col min="7" max="7" width="24.26953125" style="57" bestFit="1" customWidth="1"/>
    <col min="8" max="8" width="28.7265625" style="58" hidden="1" customWidth="1"/>
    <col min="9" max="9" width="22.453125" style="58" customWidth="1"/>
    <col min="10" max="10" width="26.26953125" style="58" customWidth="1"/>
    <col min="11" max="11" width="25.1796875" style="58" customWidth="1"/>
    <col min="12" max="12" width="22.453125" style="58" customWidth="1"/>
    <col min="13" max="13" width="19.81640625" style="58" customWidth="1"/>
    <col min="14" max="14" width="19.453125" style="58" customWidth="1"/>
    <col min="15" max="15" width="18.7265625" style="58" bestFit="1" customWidth="1"/>
    <col min="16" max="16" width="11.54296875" style="58" customWidth="1"/>
    <col min="17" max="17" width="18.7265625" style="58" bestFit="1" customWidth="1"/>
    <col min="18" max="18" width="11.7265625" style="58" bestFit="1" customWidth="1"/>
    <col min="19" max="16384" width="10" style="58"/>
  </cols>
  <sheetData>
    <row r="1" spans="3:17" ht="15" customHeight="1" x14ac:dyDescent="0.3">
      <c r="C1" s="58"/>
      <c r="D1" s="56"/>
      <c r="E1" s="56"/>
      <c r="F1" s="56"/>
      <c r="G1" s="56"/>
      <c r="H1" s="57"/>
      <c r="I1" s="57"/>
      <c r="J1" s="57"/>
      <c r="K1" s="57"/>
    </row>
    <row r="2" spans="3:17" ht="15" customHeight="1" x14ac:dyDescent="0.3">
      <c r="C2" s="58"/>
      <c r="D2" s="56"/>
      <c r="E2" s="56"/>
      <c r="F2" s="56"/>
      <c r="G2" s="56"/>
      <c r="H2" s="57"/>
      <c r="I2" s="57"/>
      <c r="J2" s="57"/>
      <c r="K2" s="29" t="s">
        <v>0</v>
      </c>
    </row>
    <row r="3" spans="3:17" ht="15" customHeight="1" x14ac:dyDescent="0.3">
      <c r="C3" s="152"/>
      <c r="D3" s="152"/>
      <c r="E3" s="152"/>
      <c r="F3" s="152"/>
      <c r="G3" s="152"/>
      <c r="H3" s="57"/>
      <c r="I3" s="57"/>
      <c r="J3" s="57"/>
      <c r="K3" s="59" t="str">
        <f>'[2]Información proyecto'!D3</f>
        <v>Versión: 0.1</v>
      </c>
    </row>
    <row r="4" spans="3:17" ht="1.5" customHeight="1" x14ac:dyDescent="0.3">
      <c r="C4" s="153"/>
      <c r="D4" s="153"/>
      <c r="E4" s="153"/>
      <c r="F4" s="153"/>
      <c r="G4" s="153"/>
      <c r="H4" s="153"/>
      <c r="I4" s="153"/>
      <c r="J4" s="153"/>
      <c r="K4" s="153">
        <f>'[2]Información proyecto'!D4</f>
        <v>0</v>
      </c>
    </row>
    <row r="5" spans="3:17" ht="15" customHeight="1" x14ac:dyDescent="0.3">
      <c r="C5" s="152"/>
      <c r="D5" s="152"/>
      <c r="E5" s="152"/>
      <c r="F5" s="152"/>
      <c r="G5" s="152"/>
      <c r="H5" s="57"/>
      <c r="I5" s="57"/>
      <c r="J5" s="57"/>
      <c r="K5" s="59" t="str">
        <f>'[3]Información proyecto'!D5</f>
        <v>Proyecto:  Metas - Super Lo Tengo - Celula de Trabajo</v>
      </c>
    </row>
    <row r="6" spans="3:17" ht="12.75" customHeight="1" x14ac:dyDescent="0.3">
      <c r="C6" s="58"/>
      <c r="D6" s="152"/>
      <c r="E6" s="152"/>
      <c r="F6" s="152"/>
      <c r="G6" s="152"/>
      <c r="H6" s="57"/>
      <c r="I6" s="57"/>
      <c r="J6" s="57"/>
      <c r="K6" s="62"/>
    </row>
    <row r="7" spans="3:17" x14ac:dyDescent="0.3">
      <c r="C7" s="611" t="s">
        <v>35</v>
      </c>
      <c r="D7" s="611"/>
      <c r="E7" s="611"/>
      <c r="F7" s="611"/>
      <c r="G7" s="611"/>
      <c r="H7" s="611"/>
      <c r="I7" s="611"/>
      <c r="J7" s="611"/>
      <c r="K7" s="611"/>
    </row>
    <row r="8" spans="3:17" ht="18" customHeight="1" x14ac:dyDescent="0.3">
      <c r="C8" s="69"/>
      <c r="D8" s="154"/>
      <c r="E8" s="154"/>
      <c r="F8" s="154"/>
      <c r="G8" s="154"/>
    </row>
    <row r="9" spans="3:17" ht="15" customHeight="1" x14ac:dyDescent="0.3">
      <c r="C9" s="610" t="s">
        <v>36</v>
      </c>
      <c r="D9" s="610"/>
      <c r="E9" s="610"/>
      <c r="F9" s="610"/>
      <c r="G9" s="610"/>
      <c r="H9" s="610"/>
      <c r="I9" s="610"/>
      <c r="J9" s="610"/>
      <c r="K9" s="610"/>
    </row>
    <row r="10" spans="3:17" ht="15.5" thickBot="1" x14ac:dyDescent="0.35">
      <c r="C10" s="69"/>
      <c r="D10" s="154"/>
      <c r="E10" s="154"/>
      <c r="F10" s="154"/>
      <c r="G10" s="154"/>
      <c r="N10" s="155"/>
    </row>
    <row r="11" spans="3:17" ht="24" customHeight="1" thickBot="1" x14ac:dyDescent="0.35">
      <c r="C11" s="69"/>
      <c r="E11" s="435" t="s">
        <v>37</v>
      </c>
      <c r="F11" s="435" t="s">
        <v>38</v>
      </c>
      <c r="G11" s="435" t="s">
        <v>39</v>
      </c>
      <c r="H11" s="435" t="s">
        <v>277</v>
      </c>
      <c r="I11" s="435" t="s">
        <v>40</v>
      </c>
      <c r="N11" s="155"/>
    </row>
    <row r="12" spans="3:17" ht="21.75" customHeight="1" thickBot="1" x14ac:dyDescent="0.35">
      <c r="C12" s="69"/>
      <c r="E12" s="178">
        <f>'Fechas y costos'!E12</f>
        <v>45323</v>
      </c>
      <c r="F12" s="178">
        <f>'Fechas y costos'!F12</f>
        <v>45436.948652261082</v>
      </c>
      <c r="G12" s="437">
        <f>(F12-E12)</f>
        <v>113.94865226108232</v>
      </c>
      <c r="H12" s="405">
        <f>ROUND(G12/7,1)</f>
        <v>16.3</v>
      </c>
      <c r="I12" s="405">
        <f>ROUND(G12/30,1)</f>
        <v>3.8</v>
      </c>
      <c r="N12" s="155"/>
    </row>
    <row r="13" spans="3:17" x14ac:dyDescent="0.3">
      <c r="C13" s="69"/>
      <c r="F13" s="324"/>
      <c r="G13" s="324"/>
      <c r="N13" s="155"/>
    </row>
    <row r="14" spans="3:17" x14ac:dyDescent="0.3">
      <c r="C14" s="157"/>
      <c r="G14" s="438"/>
      <c r="N14" s="155"/>
    </row>
    <row r="15" spans="3:17" x14ac:dyDescent="0.3">
      <c r="C15" s="157"/>
      <c r="N15" s="155"/>
    </row>
    <row r="16" spans="3:17" ht="12.75" customHeight="1" x14ac:dyDescent="0.3">
      <c r="C16" s="610" t="s">
        <v>624</v>
      </c>
      <c r="D16" s="610"/>
      <c r="E16" s="610"/>
      <c r="F16" s="610"/>
      <c r="G16" s="610"/>
      <c r="H16" s="610"/>
      <c r="I16" s="610"/>
      <c r="J16" s="610"/>
      <c r="K16" s="610"/>
      <c r="L16" s="58" t="s">
        <v>644</v>
      </c>
      <c r="N16" s="155"/>
      <c r="Q16" s="612"/>
    </row>
    <row r="17" spans="3:19" ht="15" customHeight="1" thickBot="1" x14ac:dyDescent="0.35">
      <c r="N17" s="155"/>
      <c r="Q17" s="612"/>
    </row>
    <row r="18" spans="3:19" ht="34.5" customHeight="1" thickBot="1" x14ac:dyDescent="0.35">
      <c r="C18" s="193" t="s">
        <v>42</v>
      </c>
      <c r="D18" s="439" t="s">
        <v>43</v>
      </c>
      <c r="E18" s="439" t="s">
        <v>625</v>
      </c>
      <c r="F18" s="439" t="s">
        <v>626</v>
      </c>
      <c r="G18" s="439" t="s">
        <v>627</v>
      </c>
      <c r="H18" s="439" t="s">
        <v>628</v>
      </c>
      <c r="I18" s="439" t="s">
        <v>629</v>
      </c>
      <c r="J18" s="439" t="s">
        <v>630</v>
      </c>
      <c r="K18" s="439" t="s">
        <v>631</v>
      </c>
      <c r="M18" s="439" t="s">
        <v>636</v>
      </c>
      <c r="N18" s="439" t="s">
        <v>645</v>
      </c>
      <c r="Q18" s="612"/>
    </row>
    <row r="19" spans="3:19" ht="28.5" customHeight="1" x14ac:dyDescent="0.3">
      <c r="C19" s="440">
        <v>1</v>
      </c>
      <c r="D19" s="441" t="s">
        <v>632</v>
      </c>
      <c r="E19" s="442">
        <v>1</v>
      </c>
      <c r="F19" s="442">
        <v>30</v>
      </c>
      <c r="G19" s="442">
        <v>6.5</v>
      </c>
      <c r="H19" s="443">
        <v>45000</v>
      </c>
      <c r="I19" s="444">
        <v>64592</v>
      </c>
      <c r="J19" s="444">
        <f t="shared" ref="J19:J24" si="0">(I19*E19)* (F19/100)</f>
        <v>19377.599999999999</v>
      </c>
      <c r="K19" s="445">
        <f t="shared" ref="K19:K24" si="1">J19*G19</f>
        <v>125954.4</v>
      </c>
      <c r="O19" s="446"/>
      <c r="P19" s="446" t="s">
        <v>658</v>
      </c>
      <c r="Q19" s="492">
        <v>40370</v>
      </c>
      <c r="R19" s="492">
        <f>Q19*1.4</f>
        <v>56518</v>
      </c>
      <c r="S19" s="58">
        <f>R19*2</f>
        <v>113036</v>
      </c>
    </row>
    <row r="20" spans="3:19" ht="25.5" customHeight="1" x14ac:dyDescent="0.3">
      <c r="C20" s="181">
        <v>2</v>
      </c>
      <c r="D20" s="441" t="s">
        <v>311</v>
      </c>
      <c r="E20" s="442">
        <v>1</v>
      </c>
      <c r="F20" s="442">
        <v>100</v>
      </c>
      <c r="G20" s="442">
        <v>3</v>
      </c>
      <c r="H20" s="443">
        <v>35000</v>
      </c>
      <c r="I20" s="444">
        <v>42000</v>
      </c>
      <c r="J20" s="444">
        <f t="shared" si="0"/>
        <v>42000</v>
      </c>
      <c r="K20" s="445">
        <f t="shared" si="1"/>
        <v>126000</v>
      </c>
      <c r="O20" s="446"/>
      <c r="P20" s="446" t="s">
        <v>311</v>
      </c>
      <c r="Q20" s="492">
        <v>40371</v>
      </c>
      <c r="R20" s="492">
        <f>Q20*1.4</f>
        <v>56519.399999999994</v>
      </c>
      <c r="S20" s="58">
        <f>R20*2</f>
        <v>113038.79999999999</v>
      </c>
    </row>
    <row r="21" spans="3:19" ht="25.5" customHeight="1" x14ac:dyDescent="0.3">
      <c r="C21" s="181">
        <v>2</v>
      </c>
      <c r="D21" s="441" t="s">
        <v>597</v>
      </c>
      <c r="E21" s="442">
        <v>1</v>
      </c>
      <c r="F21" s="442">
        <v>100</v>
      </c>
      <c r="G21" s="442">
        <v>3</v>
      </c>
      <c r="H21" s="443">
        <v>35000</v>
      </c>
      <c r="I21" s="444">
        <v>42000</v>
      </c>
      <c r="J21" s="444">
        <f t="shared" si="0"/>
        <v>42000</v>
      </c>
      <c r="K21" s="445">
        <f t="shared" si="1"/>
        <v>126000</v>
      </c>
      <c r="O21" s="446"/>
      <c r="P21" s="446"/>
      <c r="Q21" s="446"/>
      <c r="R21" s="86"/>
    </row>
    <row r="22" spans="3:19" ht="31.15" customHeight="1" x14ac:dyDescent="0.3">
      <c r="C22" s="181">
        <v>3</v>
      </c>
      <c r="D22" s="441" t="s">
        <v>642</v>
      </c>
      <c r="E22" s="442">
        <v>1</v>
      </c>
      <c r="F22" s="442">
        <v>100</v>
      </c>
      <c r="G22" s="442">
        <v>6</v>
      </c>
      <c r="H22" s="443">
        <v>35000</v>
      </c>
      <c r="I22" s="444">
        <v>57000</v>
      </c>
      <c r="J22" s="444">
        <f t="shared" si="0"/>
        <v>57000</v>
      </c>
      <c r="K22" s="445">
        <f t="shared" si="1"/>
        <v>342000</v>
      </c>
      <c r="O22" s="446"/>
      <c r="P22" s="446"/>
      <c r="Q22" s="446"/>
      <c r="R22" s="86"/>
    </row>
    <row r="23" spans="3:19" ht="31.15" customHeight="1" x14ac:dyDescent="0.3">
      <c r="C23" s="181">
        <v>3</v>
      </c>
      <c r="D23" s="441" t="s">
        <v>643</v>
      </c>
      <c r="E23" s="442">
        <v>1</v>
      </c>
      <c r="F23" s="442">
        <v>100</v>
      </c>
      <c r="G23" s="442">
        <v>3</v>
      </c>
      <c r="H23" s="443">
        <v>35000</v>
      </c>
      <c r="I23" s="444">
        <v>45000</v>
      </c>
      <c r="J23" s="444">
        <f t="shared" si="0"/>
        <v>45000</v>
      </c>
      <c r="K23" s="445">
        <f t="shared" si="1"/>
        <v>135000</v>
      </c>
      <c r="O23" s="446"/>
      <c r="P23" s="446"/>
      <c r="Q23" s="446"/>
      <c r="R23" s="86"/>
    </row>
    <row r="24" spans="3:19" ht="35.25" customHeight="1" thickBot="1" x14ac:dyDescent="0.35">
      <c r="C24" s="199">
        <v>3</v>
      </c>
      <c r="D24" s="441" t="s">
        <v>633</v>
      </c>
      <c r="E24" s="442">
        <v>1</v>
      </c>
      <c r="F24" s="442">
        <v>100</v>
      </c>
      <c r="G24" s="442">
        <v>5</v>
      </c>
      <c r="H24" s="443">
        <v>35000</v>
      </c>
      <c r="I24" s="444">
        <v>42000</v>
      </c>
      <c r="J24" s="444">
        <f t="shared" si="0"/>
        <v>42000</v>
      </c>
      <c r="K24" s="445">
        <f t="shared" si="1"/>
        <v>210000</v>
      </c>
      <c r="O24" s="446"/>
      <c r="P24" s="446"/>
      <c r="Q24" s="446"/>
      <c r="R24" s="446"/>
    </row>
    <row r="25" spans="3:19" ht="9.75" customHeight="1" x14ac:dyDescent="0.3">
      <c r="C25" s="447"/>
      <c r="D25" s="447"/>
      <c r="E25" s="447"/>
      <c r="F25" s="447"/>
      <c r="G25" s="447"/>
      <c r="H25" s="324"/>
      <c r="I25" s="324"/>
      <c r="J25" s="324"/>
      <c r="K25" s="324"/>
      <c r="O25" s="446"/>
      <c r="P25" s="446"/>
      <c r="Q25" s="155"/>
      <c r="R25" s="446"/>
    </row>
    <row r="26" spans="3:19" ht="28.5" customHeight="1" x14ac:dyDescent="0.3">
      <c r="C26" s="181"/>
      <c r="D26" s="448"/>
      <c r="E26" s="448"/>
      <c r="F26" s="448"/>
      <c r="G26" s="448"/>
      <c r="O26" s="446"/>
      <c r="P26" s="446"/>
      <c r="Q26" s="446"/>
      <c r="R26" s="446"/>
    </row>
    <row r="27" spans="3:19" ht="22.5" hidden="1" customHeight="1" x14ac:dyDescent="0.3">
      <c r="C27" s="181"/>
      <c r="D27" s="448"/>
      <c r="E27" s="448"/>
      <c r="F27" s="448"/>
      <c r="G27" s="613" t="s">
        <v>634</v>
      </c>
      <c r="H27" s="613"/>
      <c r="I27" s="613"/>
      <c r="J27" s="613"/>
      <c r="K27" s="449"/>
      <c r="O27" s="446"/>
      <c r="P27" s="446"/>
      <c r="Q27" s="446"/>
      <c r="R27" s="446"/>
    </row>
    <row r="28" spans="3:19" ht="17.5" x14ac:dyDescent="0.3">
      <c r="G28" s="450"/>
      <c r="H28" s="450"/>
      <c r="I28" s="450" t="s">
        <v>519</v>
      </c>
      <c r="J28" s="450" t="s">
        <v>519</v>
      </c>
      <c r="K28" s="449">
        <f>SUM(K19:K24)</f>
        <v>1064954.3999999999</v>
      </c>
      <c r="N28" s="165"/>
      <c r="O28" s="446"/>
      <c r="P28" s="446"/>
      <c r="Q28" s="155"/>
      <c r="R28" s="446"/>
    </row>
    <row r="29" spans="3:19" ht="17.5" x14ac:dyDescent="0.3">
      <c r="G29" s="450"/>
      <c r="H29" s="450"/>
      <c r="I29" s="450" t="s">
        <v>602</v>
      </c>
      <c r="J29" s="450" t="s">
        <v>639</v>
      </c>
      <c r="K29" s="449">
        <f>K28*0.16</f>
        <v>170392.704</v>
      </c>
      <c r="O29" s="446"/>
      <c r="P29" s="446"/>
      <c r="Q29" s="446"/>
      <c r="R29" s="446"/>
    </row>
    <row r="30" spans="3:19" ht="17.5" x14ac:dyDescent="0.3">
      <c r="G30" s="450"/>
      <c r="H30" s="450"/>
      <c r="I30" s="450" t="s">
        <v>518</v>
      </c>
      <c r="J30" s="450" t="s">
        <v>518</v>
      </c>
      <c r="K30" s="449">
        <f>K28+K29</f>
        <v>1235347.1039999998</v>
      </c>
      <c r="L30" s="165"/>
      <c r="O30" s="446"/>
      <c r="P30" s="446"/>
      <c r="Q30" s="446"/>
      <c r="R30" s="446"/>
    </row>
    <row r="31" spans="3:19" x14ac:dyDescent="0.3">
      <c r="K31" s="155"/>
      <c r="O31" s="446"/>
      <c r="P31" s="446"/>
      <c r="Q31" s="446"/>
      <c r="R31" s="446"/>
    </row>
    <row r="32" spans="3:19" x14ac:dyDescent="0.3">
      <c r="K32" s="155"/>
      <c r="O32" s="446"/>
      <c r="P32" s="446"/>
      <c r="Q32" s="446"/>
      <c r="R32" s="446"/>
    </row>
    <row r="33" spans="3:18" ht="15" customHeight="1" thickBot="1" x14ac:dyDescent="0.35">
      <c r="N33" s="155"/>
      <c r="Q33" s="446"/>
    </row>
    <row r="34" spans="3:18" ht="34.5" customHeight="1" thickBot="1" x14ac:dyDescent="0.35">
      <c r="C34" s="193" t="s">
        <v>42</v>
      </c>
      <c r="D34" s="439" t="s">
        <v>43</v>
      </c>
      <c r="E34" s="439" t="s">
        <v>625</v>
      </c>
      <c r="F34" s="439" t="s">
        <v>626</v>
      </c>
      <c r="G34" s="439" t="s">
        <v>627</v>
      </c>
      <c r="H34" s="439" t="s">
        <v>628</v>
      </c>
      <c r="I34" s="439" t="s">
        <v>629</v>
      </c>
      <c r="J34" s="439" t="s">
        <v>630</v>
      </c>
      <c r="K34" s="439" t="s">
        <v>631</v>
      </c>
      <c r="Q34" s="446"/>
    </row>
    <row r="35" spans="3:18" ht="28.5" customHeight="1" x14ac:dyDescent="0.3">
      <c r="C35" s="440">
        <v>1</v>
      </c>
      <c r="D35" s="441" t="s">
        <v>632</v>
      </c>
      <c r="E35" s="442">
        <v>1</v>
      </c>
      <c r="F35" s="442">
        <v>30</v>
      </c>
      <c r="G35" s="442">
        <v>2</v>
      </c>
      <c r="H35" s="443">
        <v>45000</v>
      </c>
      <c r="I35" s="444">
        <v>64592</v>
      </c>
      <c r="J35" s="444">
        <f>(I35*E35)* (F35/100)</f>
        <v>19377.599999999999</v>
      </c>
      <c r="K35" s="445">
        <f t="shared" ref="K35:K40" si="2">J35*G35</f>
        <v>38755.199999999997</v>
      </c>
      <c r="O35" s="446"/>
      <c r="P35" s="446"/>
      <c r="Q35" s="446"/>
      <c r="R35" s="86"/>
    </row>
    <row r="36" spans="3:18" ht="25.5" customHeight="1" x14ac:dyDescent="0.3">
      <c r="C36" s="181">
        <v>2</v>
      </c>
      <c r="D36" s="441" t="s">
        <v>311</v>
      </c>
      <c r="E36" s="442">
        <v>1</v>
      </c>
      <c r="F36" s="442">
        <v>100</v>
      </c>
      <c r="G36" s="442">
        <v>1</v>
      </c>
      <c r="H36" s="443">
        <v>35000</v>
      </c>
      <c r="I36" s="444">
        <v>42000</v>
      </c>
      <c r="J36" s="444">
        <f>(I36*E36)* (F36/100)</f>
        <v>42000</v>
      </c>
      <c r="K36" s="445">
        <f t="shared" si="2"/>
        <v>42000</v>
      </c>
      <c r="O36" s="446"/>
      <c r="P36" s="446"/>
      <c r="Q36" s="446"/>
      <c r="R36" s="86"/>
    </row>
    <row r="37" spans="3:18" ht="25.5" customHeight="1" x14ac:dyDescent="0.3">
      <c r="C37" s="181">
        <v>2</v>
      </c>
      <c r="D37" s="441" t="s">
        <v>597</v>
      </c>
      <c r="E37" s="442">
        <v>1</v>
      </c>
      <c r="F37" s="442">
        <v>100</v>
      </c>
      <c r="G37" s="442">
        <v>1</v>
      </c>
      <c r="H37" s="443">
        <v>35000</v>
      </c>
      <c r="I37" s="444">
        <v>42000</v>
      </c>
      <c r="J37" s="444">
        <f>(I37*E37)* (F37/100)</f>
        <v>42000</v>
      </c>
      <c r="K37" s="445">
        <f t="shared" si="2"/>
        <v>42000</v>
      </c>
      <c r="O37" s="446"/>
      <c r="P37" s="446"/>
      <c r="Q37" s="446"/>
      <c r="R37" s="86"/>
    </row>
    <row r="38" spans="3:18" ht="31.15" customHeight="1" x14ac:dyDescent="0.3">
      <c r="C38" s="181">
        <v>3</v>
      </c>
      <c r="D38" s="441" t="s">
        <v>642</v>
      </c>
      <c r="E38" s="442">
        <v>1</v>
      </c>
      <c r="F38" s="442">
        <v>100</v>
      </c>
      <c r="G38" s="442">
        <v>1.5</v>
      </c>
      <c r="H38" s="443">
        <v>35000</v>
      </c>
      <c r="I38" s="444">
        <v>57000</v>
      </c>
      <c r="J38" s="444">
        <f>(I38*E38)* (F38/100)</f>
        <v>57000</v>
      </c>
      <c r="K38" s="445">
        <f t="shared" si="2"/>
        <v>85500</v>
      </c>
      <c r="O38" s="446"/>
      <c r="P38" s="446"/>
      <c r="Q38" s="446"/>
      <c r="R38" s="86"/>
    </row>
    <row r="39" spans="3:18" ht="31.15" customHeight="1" x14ac:dyDescent="0.3">
      <c r="C39" s="181">
        <v>3</v>
      </c>
      <c r="D39" s="441" t="s">
        <v>643</v>
      </c>
      <c r="E39" s="442">
        <v>1</v>
      </c>
      <c r="F39" s="442">
        <v>100</v>
      </c>
      <c r="G39" s="442">
        <v>0</v>
      </c>
      <c r="H39" s="443">
        <v>35000</v>
      </c>
      <c r="I39" s="444">
        <v>45000</v>
      </c>
      <c r="J39" s="444">
        <v>45000</v>
      </c>
      <c r="K39" s="445">
        <f t="shared" si="2"/>
        <v>0</v>
      </c>
      <c r="O39" s="446"/>
      <c r="P39" s="446"/>
      <c r="Q39" s="446"/>
      <c r="R39" s="86"/>
    </row>
    <row r="40" spans="3:18" ht="35.25" customHeight="1" thickBot="1" x14ac:dyDescent="0.35">
      <c r="C40" s="199">
        <v>3</v>
      </c>
      <c r="D40" s="441" t="s">
        <v>633</v>
      </c>
      <c r="E40" s="442">
        <v>1</v>
      </c>
      <c r="F40" s="442">
        <v>100</v>
      </c>
      <c r="G40" s="442">
        <v>1</v>
      </c>
      <c r="H40" s="443">
        <v>35000</v>
      </c>
      <c r="I40" s="444">
        <v>42000</v>
      </c>
      <c r="J40" s="444">
        <f>(I40*E40)* (F40/100)</f>
        <v>42000</v>
      </c>
      <c r="K40" s="445">
        <f t="shared" si="2"/>
        <v>42000</v>
      </c>
      <c r="O40" s="446"/>
      <c r="P40" s="446"/>
      <c r="Q40" s="446"/>
      <c r="R40" s="446"/>
    </row>
    <row r="41" spans="3:18" ht="9.75" customHeight="1" x14ac:dyDescent="0.3">
      <c r="C41" s="447"/>
      <c r="D41" s="447"/>
      <c r="E41" s="447"/>
      <c r="F41" s="447"/>
      <c r="G41" s="447"/>
      <c r="H41" s="324"/>
      <c r="I41" s="324"/>
      <c r="J41" s="324"/>
      <c r="K41" s="324"/>
      <c r="O41" s="446"/>
      <c r="P41" s="446"/>
      <c r="Q41" s="155"/>
      <c r="R41" s="446"/>
    </row>
    <row r="42" spans="3:18" ht="28.5" customHeight="1" x14ac:dyDescent="0.3">
      <c r="C42" s="181"/>
      <c r="D42" s="448"/>
      <c r="E42" s="448"/>
      <c r="F42" s="448"/>
      <c r="G42" s="448"/>
      <c r="O42" s="446"/>
      <c r="P42" s="446"/>
      <c r="Q42" s="446"/>
      <c r="R42" s="446"/>
    </row>
    <row r="43" spans="3:18" ht="22.5" hidden="1" customHeight="1" x14ac:dyDescent="0.3">
      <c r="C43" s="181"/>
      <c r="D43" s="448"/>
      <c r="E43" s="448"/>
      <c r="F43" s="448"/>
      <c r="G43" s="613" t="s">
        <v>634</v>
      </c>
      <c r="H43" s="613"/>
      <c r="I43" s="613"/>
      <c r="J43" s="613"/>
      <c r="K43" s="449"/>
      <c r="O43" s="446"/>
      <c r="P43" s="446"/>
      <c r="Q43" s="446"/>
      <c r="R43" s="446"/>
    </row>
    <row r="44" spans="3:18" ht="17.5" x14ac:dyDescent="0.3">
      <c r="G44" s="450"/>
      <c r="H44" s="450"/>
      <c r="I44" s="450" t="s">
        <v>519</v>
      </c>
      <c r="J44" s="450" t="s">
        <v>519</v>
      </c>
      <c r="K44" s="449">
        <f>SUM(K35:K40)</f>
        <v>250255.2</v>
      </c>
      <c r="N44" s="165"/>
      <c r="O44" s="446"/>
      <c r="P44" s="446"/>
      <c r="Q44" s="155"/>
      <c r="R44" s="446"/>
    </row>
    <row r="45" spans="3:18" ht="17.5" x14ac:dyDescent="0.3">
      <c r="G45" s="450"/>
      <c r="H45" s="450"/>
      <c r="I45" s="450" t="s">
        <v>602</v>
      </c>
      <c r="J45" s="450" t="s">
        <v>602</v>
      </c>
      <c r="K45" s="449">
        <f>K44*0.16</f>
        <v>40040.832000000002</v>
      </c>
      <c r="O45" s="446"/>
      <c r="P45" s="446"/>
      <c r="Q45" s="446"/>
      <c r="R45" s="446"/>
    </row>
    <row r="46" spans="3:18" ht="17.5" x14ac:dyDescent="0.3">
      <c r="G46" s="450"/>
      <c r="H46" s="450"/>
      <c r="I46" s="450" t="s">
        <v>518</v>
      </c>
      <c r="J46" s="450" t="s">
        <v>518</v>
      </c>
      <c r="K46" s="449">
        <f>K44+K45</f>
        <v>290296.03200000001</v>
      </c>
      <c r="L46" s="165"/>
      <c r="O46" s="446"/>
      <c r="P46" s="446"/>
      <c r="Q46" s="446"/>
      <c r="R46" s="446"/>
    </row>
    <row r="47" spans="3:18" x14ac:dyDescent="0.3">
      <c r="K47" s="155"/>
      <c r="O47" s="446"/>
      <c r="P47" s="446"/>
      <c r="Q47" s="446"/>
      <c r="R47" s="446"/>
    </row>
    <row r="48" spans="3:18" x14ac:dyDescent="0.3">
      <c r="K48" s="155"/>
      <c r="O48" s="446"/>
      <c r="P48" s="446"/>
      <c r="Q48" s="446"/>
      <c r="R48" s="446"/>
    </row>
    <row r="49" spans="3:18" x14ac:dyDescent="0.3">
      <c r="K49" s="168"/>
      <c r="O49" s="446"/>
      <c r="P49" s="446"/>
      <c r="Q49" s="155"/>
      <c r="R49" s="446"/>
    </row>
    <row r="50" spans="3:18" ht="15" customHeight="1" thickBot="1" x14ac:dyDescent="0.35">
      <c r="N50" s="155"/>
      <c r="Q50" s="446"/>
    </row>
    <row r="51" spans="3:18" ht="34.5" customHeight="1" thickBot="1" x14ac:dyDescent="0.35">
      <c r="C51" s="193" t="s">
        <v>42</v>
      </c>
      <c r="D51" s="439" t="s">
        <v>43</v>
      </c>
      <c r="E51" s="439" t="s">
        <v>625</v>
      </c>
      <c r="F51" s="439" t="s">
        <v>626</v>
      </c>
      <c r="G51" s="439" t="s">
        <v>627</v>
      </c>
      <c r="H51" s="439" t="s">
        <v>628</v>
      </c>
      <c r="I51" s="439" t="s">
        <v>629</v>
      </c>
      <c r="J51" s="439" t="s">
        <v>630</v>
      </c>
      <c r="K51" s="439" t="s">
        <v>631</v>
      </c>
      <c r="Q51" s="446"/>
    </row>
    <row r="52" spans="3:18" ht="28.5" customHeight="1" x14ac:dyDescent="0.3">
      <c r="C52" s="440">
        <v>1</v>
      </c>
      <c r="D52" s="441" t="s">
        <v>632</v>
      </c>
      <c r="E52" s="442">
        <v>1</v>
      </c>
      <c r="F52" s="442">
        <v>30</v>
      </c>
      <c r="G52" s="442">
        <v>1</v>
      </c>
      <c r="H52" s="443">
        <v>45000</v>
      </c>
      <c r="I52" s="444">
        <v>64592</v>
      </c>
      <c r="J52" s="444">
        <f>(I52*E52)* (F52/100)</f>
        <v>19377.599999999999</v>
      </c>
      <c r="K52" s="445">
        <f t="shared" ref="K52:K57" si="3">J52*G52</f>
        <v>19377.599999999999</v>
      </c>
      <c r="O52" s="446"/>
      <c r="P52" s="446"/>
      <c r="Q52" s="446"/>
      <c r="R52" s="86"/>
    </row>
    <row r="53" spans="3:18" ht="25.5" customHeight="1" x14ac:dyDescent="0.3">
      <c r="C53" s="181">
        <v>2</v>
      </c>
      <c r="D53" s="441" t="s">
        <v>311</v>
      </c>
      <c r="E53" s="442">
        <v>1</v>
      </c>
      <c r="F53" s="442">
        <v>100</v>
      </c>
      <c r="G53" s="442">
        <v>0.5</v>
      </c>
      <c r="H53" s="443">
        <v>35000</v>
      </c>
      <c r="I53" s="444">
        <v>42000</v>
      </c>
      <c r="J53" s="444">
        <f>(I53*E53)* (F53/100)</f>
        <v>42000</v>
      </c>
      <c r="K53" s="445">
        <f t="shared" si="3"/>
        <v>21000</v>
      </c>
      <c r="O53" s="446"/>
      <c r="P53" s="446"/>
      <c r="Q53" s="446"/>
      <c r="R53" s="86"/>
    </row>
    <row r="54" spans="3:18" ht="25.5" customHeight="1" x14ac:dyDescent="0.3">
      <c r="C54" s="181">
        <v>2</v>
      </c>
      <c r="D54" s="441" t="s">
        <v>597</v>
      </c>
      <c r="E54" s="442">
        <v>1</v>
      </c>
      <c r="F54" s="442">
        <v>100</v>
      </c>
      <c r="G54" s="442">
        <v>0.5</v>
      </c>
      <c r="H54" s="443">
        <v>35000</v>
      </c>
      <c r="I54" s="444">
        <v>42000</v>
      </c>
      <c r="J54" s="444">
        <f>(I54*E54)* (F54/100)</f>
        <v>42000</v>
      </c>
      <c r="K54" s="445">
        <f t="shared" si="3"/>
        <v>21000</v>
      </c>
      <c r="O54" s="446"/>
      <c r="P54" s="446"/>
      <c r="Q54" s="446"/>
      <c r="R54" s="86"/>
    </row>
    <row r="55" spans="3:18" ht="31.15" customHeight="1" x14ac:dyDescent="0.3">
      <c r="C55" s="181">
        <v>3</v>
      </c>
      <c r="D55" s="441" t="s">
        <v>642</v>
      </c>
      <c r="E55" s="442">
        <v>1</v>
      </c>
      <c r="F55" s="442">
        <v>100</v>
      </c>
      <c r="G55" s="442">
        <v>1</v>
      </c>
      <c r="H55" s="443">
        <v>35000</v>
      </c>
      <c r="I55" s="444">
        <v>57000</v>
      </c>
      <c r="J55" s="444">
        <f>(I55*E55)* (F55/100)</f>
        <v>57000</v>
      </c>
      <c r="K55" s="445">
        <f t="shared" si="3"/>
        <v>57000</v>
      </c>
      <c r="O55" s="446"/>
      <c r="P55" s="446"/>
      <c r="Q55" s="446"/>
      <c r="R55" s="86"/>
    </row>
    <row r="56" spans="3:18" ht="31.15" customHeight="1" x14ac:dyDescent="0.3">
      <c r="C56" s="181">
        <v>3</v>
      </c>
      <c r="D56" s="441" t="s">
        <v>643</v>
      </c>
      <c r="E56" s="442">
        <v>1</v>
      </c>
      <c r="F56" s="442">
        <v>100</v>
      </c>
      <c r="G56" s="442">
        <v>1</v>
      </c>
      <c r="H56" s="443">
        <v>35000</v>
      </c>
      <c r="I56" s="444">
        <v>45000</v>
      </c>
      <c r="J56" s="444">
        <v>45000</v>
      </c>
      <c r="K56" s="445">
        <f t="shared" si="3"/>
        <v>45000</v>
      </c>
      <c r="O56" s="446"/>
      <c r="P56" s="446"/>
      <c r="Q56" s="446"/>
      <c r="R56" s="86"/>
    </row>
    <row r="57" spans="3:18" ht="35.25" customHeight="1" thickBot="1" x14ac:dyDescent="0.35">
      <c r="C57" s="199">
        <v>3</v>
      </c>
      <c r="D57" s="441" t="s">
        <v>633</v>
      </c>
      <c r="E57" s="442">
        <v>1</v>
      </c>
      <c r="F57" s="442">
        <v>100</v>
      </c>
      <c r="G57" s="442">
        <v>1</v>
      </c>
      <c r="H57" s="443">
        <v>35000</v>
      </c>
      <c r="I57" s="444">
        <v>42000</v>
      </c>
      <c r="J57" s="444">
        <f>(I57*E57)* (F57/100)</f>
        <v>42000</v>
      </c>
      <c r="K57" s="445">
        <f t="shared" si="3"/>
        <v>42000</v>
      </c>
      <c r="O57" s="446"/>
      <c r="P57" s="446"/>
      <c r="Q57" s="446"/>
      <c r="R57" s="446"/>
    </row>
    <row r="58" spans="3:18" ht="9.75" customHeight="1" x14ac:dyDescent="0.3">
      <c r="C58" s="447"/>
      <c r="D58" s="447"/>
      <c r="E58" s="447"/>
      <c r="F58" s="447"/>
      <c r="G58" s="447"/>
      <c r="H58" s="324"/>
      <c r="I58" s="324"/>
      <c r="J58" s="324"/>
      <c r="K58" s="324"/>
      <c r="O58" s="446"/>
      <c r="P58" s="446"/>
      <c r="Q58" s="155"/>
      <c r="R58" s="446"/>
    </row>
    <row r="59" spans="3:18" ht="28.5" customHeight="1" x14ac:dyDescent="0.3">
      <c r="C59" s="181"/>
      <c r="D59" s="448"/>
      <c r="E59" s="448"/>
      <c r="F59" s="448"/>
      <c r="G59" s="448"/>
      <c r="O59" s="446"/>
      <c r="P59" s="446"/>
      <c r="Q59" s="446"/>
      <c r="R59" s="446"/>
    </row>
    <row r="60" spans="3:18" ht="22.5" hidden="1" customHeight="1" x14ac:dyDescent="0.3">
      <c r="C60" s="181"/>
      <c r="D60" s="448"/>
      <c r="E60" s="448"/>
      <c r="F60" s="448"/>
      <c r="G60" s="613" t="s">
        <v>634</v>
      </c>
      <c r="H60" s="613"/>
      <c r="I60" s="613"/>
      <c r="J60" s="613"/>
      <c r="K60" s="449"/>
      <c r="O60" s="446"/>
      <c r="P60" s="446"/>
      <c r="Q60" s="446"/>
      <c r="R60" s="446"/>
    </row>
    <row r="61" spans="3:18" ht="17.5" x14ac:dyDescent="0.3">
      <c r="G61" s="450"/>
      <c r="H61" s="450"/>
      <c r="I61" s="450" t="s">
        <v>519</v>
      </c>
      <c r="J61" s="450" t="s">
        <v>519</v>
      </c>
      <c r="K61" s="449">
        <f>SUM(K52:K57)</f>
        <v>205377.6</v>
      </c>
      <c r="N61" s="165"/>
      <c r="O61" s="446"/>
      <c r="P61" s="446"/>
      <c r="Q61" s="155"/>
      <c r="R61" s="446"/>
    </row>
    <row r="62" spans="3:18" ht="17.5" x14ac:dyDescent="0.3">
      <c r="G62" s="450"/>
      <c r="H62" s="450"/>
      <c r="I62" s="450" t="s">
        <v>602</v>
      </c>
      <c r="J62" s="450" t="s">
        <v>602</v>
      </c>
      <c r="K62" s="449">
        <f>K61*0.16</f>
        <v>32860.416000000005</v>
      </c>
      <c r="O62" s="446"/>
      <c r="P62" s="446"/>
      <c r="Q62" s="446"/>
      <c r="R62" s="446"/>
    </row>
    <row r="63" spans="3:18" ht="17.5" x14ac:dyDescent="0.3">
      <c r="G63" s="450"/>
      <c r="H63" s="450"/>
      <c r="I63" s="450" t="s">
        <v>518</v>
      </c>
      <c r="J63" s="450" t="s">
        <v>518</v>
      </c>
      <c r="K63" s="449">
        <f>K61+K62</f>
        <v>238238.016</v>
      </c>
      <c r="L63" s="165"/>
      <c r="O63" s="446"/>
      <c r="P63" s="446"/>
      <c r="Q63" s="446"/>
      <c r="R63" s="446"/>
    </row>
    <row r="64" spans="3:18" x14ac:dyDescent="0.3">
      <c r="K64" s="155"/>
      <c r="O64" s="446"/>
      <c r="P64" s="446"/>
      <c r="Q64" s="446"/>
      <c r="R64" s="446"/>
    </row>
    <row r="65" spans="3:18" x14ac:dyDescent="0.3">
      <c r="K65" s="168"/>
      <c r="O65" s="446"/>
      <c r="P65" s="446"/>
      <c r="Q65" s="155"/>
      <c r="R65" s="446"/>
    </row>
    <row r="66" spans="3:18" ht="15" customHeight="1" thickBot="1" x14ac:dyDescent="0.35">
      <c r="N66" s="155"/>
      <c r="Q66" s="446"/>
    </row>
    <row r="67" spans="3:18" ht="34.5" customHeight="1" thickBot="1" x14ac:dyDescent="0.35">
      <c r="C67" s="193" t="s">
        <v>42</v>
      </c>
      <c r="D67" s="439" t="s">
        <v>43</v>
      </c>
      <c r="E67" s="439" t="s">
        <v>625</v>
      </c>
      <c r="F67" s="439" t="s">
        <v>626</v>
      </c>
      <c r="G67" s="439" t="s">
        <v>627</v>
      </c>
      <c r="H67" s="439" t="s">
        <v>628</v>
      </c>
      <c r="I67" s="439" t="s">
        <v>629</v>
      </c>
      <c r="J67" s="439" t="s">
        <v>630</v>
      </c>
      <c r="K67" s="439" t="s">
        <v>631</v>
      </c>
      <c r="Q67" s="446"/>
    </row>
    <row r="68" spans="3:18" ht="28.5" customHeight="1" x14ac:dyDescent="0.3">
      <c r="C68" s="440">
        <v>1</v>
      </c>
      <c r="D68" s="441" t="s">
        <v>632</v>
      </c>
      <c r="E68" s="442">
        <v>1</v>
      </c>
      <c r="F68" s="442">
        <v>30</v>
      </c>
      <c r="G68" s="442">
        <v>2</v>
      </c>
      <c r="H68" s="443">
        <v>45000</v>
      </c>
      <c r="I68" s="444">
        <v>64592</v>
      </c>
      <c r="J68" s="444">
        <f>(I68*E68)* (F68/100)</f>
        <v>19377.599999999999</v>
      </c>
      <c r="K68" s="445">
        <f t="shared" ref="K68:K73" si="4">J68*G68</f>
        <v>38755.199999999997</v>
      </c>
      <c r="O68" s="446"/>
      <c r="P68" s="446"/>
      <c r="Q68" s="446"/>
      <c r="R68" s="86"/>
    </row>
    <row r="69" spans="3:18" ht="25.5" customHeight="1" x14ac:dyDescent="0.3">
      <c r="C69" s="181">
        <v>2</v>
      </c>
      <c r="D69" s="441" t="s">
        <v>311</v>
      </c>
      <c r="E69" s="442">
        <v>1</v>
      </c>
      <c r="F69" s="442">
        <v>100</v>
      </c>
      <c r="G69" s="442">
        <v>1</v>
      </c>
      <c r="H69" s="443">
        <v>35000</v>
      </c>
      <c r="I69" s="444">
        <v>42000</v>
      </c>
      <c r="J69" s="444">
        <f>(I69*E69)* (F69/100)</f>
        <v>42000</v>
      </c>
      <c r="K69" s="445">
        <f t="shared" si="4"/>
        <v>42000</v>
      </c>
      <c r="O69" s="446"/>
      <c r="P69" s="446"/>
      <c r="Q69" s="446"/>
      <c r="R69" s="86"/>
    </row>
    <row r="70" spans="3:18" ht="25.5" customHeight="1" x14ac:dyDescent="0.3">
      <c r="C70" s="181">
        <v>2</v>
      </c>
      <c r="D70" s="441" t="s">
        <v>597</v>
      </c>
      <c r="E70" s="442">
        <v>1</v>
      </c>
      <c r="F70" s="442">
        <v>100</v>
      </c>
      <c r="G70" s="442">
        <v>1</v>
      </c>
      <c r="H70" s="443">
        <v>35000</v>
      </c>
      <c r="I70" s="444">
        <v>42000</v>
      </c>
      <c r="J70" s="444">
        <f>(I70*E70)* (F70/100)</f>
        <v>42000</v>
      </c>
      <c r="K70" s="445">
        <f t="shared" si="4"/>
        <v>42000</v>
      </c>
      <c r="O70" s="446"/>
      <c r="P70" s="446"/>
      <c r="Q70" s="446"/>
      <c r="R70" s="86"/>
    </row>
    <row r="71" spans="3:18" ht="31.15" customHeight="1" x14ac:dyDescent="0.3">
      <c r="C71" s="181">
        <v>3</v>
      </c>
      <c r="D71" s="441" t="s">
        <v>642</v>
      </c>
      <c r="E71" s="442">
        <v>1</v>
      </c>
      <c r="F71" s="442">
        <v>100</v>
      </c>
      <c r="G71" s="442">
        <v>2</v>
      </c>
      <c r="H71" s="443">
        <v>35000</v>
      </c>
      <c r="I71" s="444">
        <v>57000</v>
      </c>
      <c r="J71" s="444">
        <f>(I71*E71)* (F71/100)</f>
        <v>57000</v>
      </c>
      <c r="K71" s="445">
        <f t="shared" si="4"/>
        <v>114000</v>
      </c>
      <c r="O71" s="446"/>
      <c r="P71" s="446"/>
      <c r="Q71" s="446"/>
      <c r="R71" s="86"/>
    </row>
    <row r="72" spans="3:18" ht="31.15" customHeight="1" x14ac:dyDescent="0.3">
      <c r="C72" s="181">
        <v>3</v>
      </c>
      <c r="D72" s="441" t="s">
        <v>643</v>
      </c>
      <c r="E72" s="442">
        <v>1</v>
      </c>
      <c r="F72" s="442">
        <v>100</v>
      </c>
      <c r="G72" s="442">
        <v>2</v>
      </c>
      <c r="H72" s="443">
        <v>35000</v>
      </c>
      <c r="I72" s="444">
        <v>45000</v>
      </c>
      <c r="J72" s="444">
        <v>45000</v>
      </c>
      <c r="K72" s="445">
        <f t="shared" si="4"/>
        <v>90000</v>
      </c>
      <c r="O72" s="446"/>
      <c r="P72" s="446"/>
      <c r="Q72" s="446"/>
      <c r="R72" s="86"/>
    </row>
    <row r="73" spans="3:18" ht="35.25" customHeight="1" thickBot="1" x14ac:dyDescent="0.35">
      <c r="C73" s="199">
        <v>3</v>
      </c>
      <c r="D73" s="441" t="s">
        <v>633</v>
      </c>
      <c r="E73" s="442">
        <v>1</v>
      </c>
      <c r="F73" s="442">
        <v>100</v>
      </c>
      <c r="G73" s="442">
        <v>2</v>
      </c>
      <c r="H73" s="443">
        <v>35000</v>
      </c>
      <c r="I73" s="444">
        <v>42000</v>
      </c>
      <c r="J73" s="444">
        <f>(I73*E73)* (F73/100)</f>
        <v>42000</v>
      </c>
      <c r="K73" s="445">
        <f t="shared" si="4"/>
        <v>84000</v>
      </c>
      <c r="O73" s="446"/>
      <c r="P73" s="446"/>
      <c r="Q73" s="446"/>
      <c r="R73" s="446"/>
    </row>
    <row r="74" spans="3:18" ht="9.75" customHeight="1" x14ac:dyDescent="0.3">
      <c r="C74" s="447"/>
      <c r="D74" s="447"/>
      <c r="E74" s="447"/>
      <c r="F74" s="447"/>
      <c r="G74" s="447"/>
      <c r="H74" s="324"/>
      <c r="I74" s="324"/>
      <c r="J74" s="324"/>
      <c r="K74" s="324"/>
      <c r="O74" s="446"/>
      <c r="P74" s="446"/>
      <c r="Q74" s="155"/>
      <c r="R74" s="446"/>
    </row>
    <row r="75" spans="3:18" ht="28.5" customHeight="1" x14ac:dyDescent="0.3">
      <c r="C75" s="181"/>
      <c r="D75" s="448"/>
      <c r="E75" s="448"/>
      <c r="F75" s="448"/>
      <c r="G75" s="448"/>
      <c r="O75" s="446"/>
      <c r="P75" s="446"/>
      <c r="Q75" s="446"/>
      <c r="R75" s="446"/>
    </row>
    <row r="76" spans="3:18" ht="22.5" hidden="1" customHeight="1" x14ac:dyDescent="0.3">
      <c r="C76" s="181"/>
      <c r="D76" s="448"/>
      <c r="E76" s="448"/>
      <c r="F76" s="448"/>
      <c r="G76" s="613" t="s">
        <v>634</v>
      </c>
      <c r="H76" s="613"/>
      <c r="I76" s="613"/>
      <c r="J76" s="613"/>
      <c r="K76" s="449"/>
      <c r="O76" s="446"/>
      <c r="P76" s="446"/>
      <c r="Q76" s="446"/>
      <c r="R76" s="446"/>
    </row>
    <row r="77" spans="3:18" ht="17.5" x14ac:dyDescent="0.3">
      <c r="G77" s="450"/>
      <c r="H77" s="450"/>
      <c r="I77" s="450" t="s">
        <v>519</v>
      </c>
      <c r="J77" s="450" t="s">
        <v>519</v>
      </c>
      <c r="K77" s="449">
        <f>SUM(K68:K73)</f>
        <v>410755.2</v>
      </c>
      <c r="N77" s="165"/>
      <c r="O77" s="446"/>
      <c r="P77" s="446"/>
      <c r="Q77" s="155"/>
      <c r="R77" s="446"/>
    </row>
    <row r="78" spans="3:18" ht="17.5" x14ac:dyDescent="0.3">
      <c r="G78" s="450"/>
      <c r="H78" s="450"/>
      <c r="I78" s="450" t="s">
        <v>602</v>
      </c>
      <c r="J78" s="450" t="s">
        <v>602</v>
      </c>
      <c r="K78" s="449">
        <f>K77*0.16</f>
        <v>65720.832000000009</v>
      </c>
      <c r="O78" s="446"/>
      <c r="P78" s="446"/>
      <c r="Q78" s="446"/>
      <c r="R78" s="446"/>
    </row>
    <row r="79" spans="3:18" ht="17.5" x14ac:dyDescent="0.3">
      <c r="G79" s="450"/>
      <c r="H79" s="450"/>
      <c r="I79" s="450" t="s">
        <v>518</v>
      </c>
      <c r="J79" s="450" t="s">
        <v>518</v>
      </c>
      <c r="K79" s="449">
        <f>K77+K78</f>
        <v>476476.03200000001</v>
      </c>
      <c r="L79" s="165"/>
      <c r="O79" s="446"/>
      <c r="P79" s="446"/>
      <c r="Q79" s="446"/>
      <c r="R79" s="446"/>
    </row>
    <row r="80" spans="3:18" x14ac:dyDescent="0.3">
      <c r="K80" s="155"/>
      <c r="O80" s="446"/>
      <c r="P80" s="446"/>
      <c r="Q80" s="446"/>
      <c r="R80" s="446"/>
    </row>
    <row r="81" spans="3:18" ht="15" customHeight="1" thickBot="1" x14ac:dyDescent="0.35">
      <c r="N81" s="155"/>
      <c r="Q81" s="446"/>
    </row>
    <row r="82" spans="3:18" ht="34.5" customHeight="1" thickBot="1" x14ac:dyDescent="0.35">
      <c r="C82" s="193" t="s">
        <v>42</v>
      </c>
      <c r="D82" s="439" t="s">
        <v>43</v>
      </c>
      <c r="E82" s="439" t="s">
        <v>625</v>
      </c>
      <c r="F82" s="439" t="s">
        <v>626</v>
      </c>
      <c r="G82" s="439" t="s">
        <v>627</v>
      </c>
      <c r="H82" s="439" t="s">
        <v>628</v>
      </c>
      <c r="I82" s="439" t="s">
        <v>629</v>
      </c>
      <c r="J82" s="439" t="s">
        <v>630</v>
      </c>
      <c r="K82" s="439" t="s">
        <v>631</v>
      </c>
      <c r="Q82" s="446"/>
    </row>
    <row r="83" spans="3:18" ht="28.5" customHeight="1" x14ac:dyDescent="0.3">
      <c r="C83" s="440">
        <v>1</v>
      </c>
      <c r="D83" s="441" t="s">
        <v>632</v>
      </c>
      <c r="E83" s="442">
        <v>1</v>
      </c>
      <c r="F83" s="442">
        <v>30</v>
      </c>
      <c r="G83" s="442">
        <v>1.5</v>
      </c>
      <c r="H83" s="443">
        <v>45000</v>
      </c>
      <c r="I83" s="444">
        <v>64592</v>
      </c>
      <c r="J83" s="444">
        <f>(I83*E83)* (F83/100)</f>
        <v>19377.599999999999</v>
      </c>
      <c r="K83" s="445">
        <f t="shared" ref="K83:K88" si="5">J83*G83</f>
        <v>29066.399999999998</v>
      </c>
      <c r="O83" s="446"/>
      <c r="P83" s="446"/>
      <c r="Q83" s="446"/>
      <c r="R83" s="86"/>
    </row>
    <row r="84" spans="3:18" ht="25.5" customHeight="1" x14ac:dyDescent="0.3">
      <c r="C84" s="181">
        <v>2</v>
      </c>
      <c r="D84" s="441" t="s">
        <v>311</v>
      </c>
      <c r="E84" s="442">
        <v>1</v>
      </c>
      <c r="F84" s="442">
        <v>100</v>
      </c>
      <c r="G84" s="442">
        <v>0.5</v>
      </c>
      <c r="H84" s="443">
        <v>35000</v>
      </c>
      <c r="I84" s="444">
        <v>42000</v>
      </c>
      <c r="J84" s="444">
        <f>(I84*E84)* (F84/100)</f>
        <v>42000</v>
      </c>
      <c r="K84" s="445">
        <f t="shared" si="5"/>
        <v>21000</v>
      </c>
      <c r="O84" s="446"/>
      <c r="P84" s="446"/>
      <c r="Q84" s="446"/>
      <c r="R84" s="86"/>
    </row>
    <row r="85" spans="3:18" ht="25.5" customHeight="1" x14ac:dyDescent="0.3">
      <c r="C85" s="181">
        <v>2</v>
      </c>
      <c r="D85" s="441" t="s">
        <v>597</v>
      </c>
      <c r="E85" s="442">
        <v>1</v>
      </c>
      <c r="F85" s="442">
        <v>100</v>
      </c>
      <c r="G85" s="442">
        <v>0.5</v>
      </c>
      <c r="H85" s="443">
        <v>35000</v>
      </c>
      <c r="I85" s="444">
        <v>42000</v>
      </c>
      <c r="J85" s="444">
        <f>(I85*E85)* (F85/100)</f>
        <v>42000</v>
      </c>
      <c r="K85" s="445">
        <f t="shared" si="5"/>
        <v>21000</v>
      </c>
      <c r="O85" s="446"/>
      <c r="P85" s="446"/>
      <c r="Q85" s="446"/>
      <c r="R85" s="86"/>
    </row>
    <row r="86" spans="3:18" ht="31.15" customHeight="1" x14ac:dyDescent="0.3">
      <c r="C86" s="181">
        <v>3</v>
      </c>
      <c r="D86" s="441" t="s">
        <v>642</v>
      </c>
      <c r="E86" s="442">
        <v>1</v>
      </c>
      <c r="F86" s="442">
        <v>100</v>
      </c>
      <c r="G86" s="442">
        <v>1.5</v>
      </c>
      <c r="H86" s="443">
        <v>35000</v>
      </c>
      <c r="I86" s="444">
        <v>57000</v>
      </c>
      <c r="J86" s="444">
        <f>(I86*E86)* (F86/100)</f>
        <v>57000</v>
      </c>
      <c r="K86" s="445">
        <f t="shared" si="5"/>
        <v>85500</v>
      </c>
      <c r="O86" s="446"/>
      <c r="P86" s="446"/>
      <c r="Q86" s="446"/>
      <c r="R86" s="86"/>
    </row>
    <row r="87" spans="3:18" ht="31.15" customHeight="1" x14ac:dyDescent="0.3">
      <c r="C87" s="181">
        <v>3</v>
      </c>
      <c r="D87" s="441" t="s">
        <v>643</v>
      </c>
      <c r="E87" s="442">
        <v>1</v>
      </c>
      <c r="F87" s="442">
        <v>100</v>
      </c>
      <c r="G87" s="442">
        <v>0</v>
      </c>
      <c r="H87" s="443">
        <v>35000</v>
      </c>
      <c r="I87" s="444">
        <v>45000</v>
      </c>
      <c r="J87" s="444">
        <v>45000</v>
      </c>
      <c r="K87" s="445">
        <f t="shared" si="5"/>
        <v>0</v>
      </c>
      <c r="O87" s="446"/>
      <c r="P87" s="446"/>
      <c r="Q87" s="446"/>
      <c r="R87" s="86"/>
    </row>
    <row r="88" spans="3:18" ht="35.25" customHeight="1" thickBot="1" x14ac:dyDescent="0.35">
      <c r="C88" s="199">
        <v>3</v>
      </c>
      <c r="D88" s="441" t="s">
        <v>633</v>
      </c>
      <c r="E88" s="442">
        <v>1</v>
      </c>
      <c r="F88" s="442">
        <v>100</v>
      </c>
      <c r="G88" s="442">
        <v>1</v>
      </c>
      <c r="H88" s="443">
        <v>35000</v>
      </c>
      <c r="I88" s="444">
        <v>42000</v>
      </c>
      <c r="J88" s="444">
        <f>(I88*E88)* (F88/100)</f>
        <v>42000</v>
      </c>
      <c r="K88" s="445">
        <f t="shared" si="5"/>
        <v>42000</v>
      </c>
      <c r="O88" s="446"/>
      <c r="P88" s="446"/>
      <c r="Q88" s="446"/>
      <c r="R88" s="446"/>
    </row>
    <row r="89" spans="3:18" ht="9.75" customHeight="1" x14ac:dyDescent="0.3">
      <c r="C89" s="447"/>
      <c r="D89" s="447"/>
      <c r="E89" s="447"/>
      <c r="F89" s="447"/>
      <c r="G89" s="447"/>
      <c r="H89" s="324"/>
      <c r="I89" s="324"/>
      <c r="J89" s="324"/>
      <c r="K89" s="324"/>
      <c r="O89" s="446"/>
      <c r="P89" s="446"/>
      <c r="Q89" s="155"/>
      <c r="R89" s="446"/>
    </row>
    <row r="90" spans="3:18" ht="28.5" customHeight="1" x14ac:dyDescent="0.3">
      <c r="C90" s="181"/>
      <c r="D90" s="448"/>
      <c r="E90" s="448"/>
      <c r="F90" s="448"/>
      <c r="G90" s="448"/>
      <c r="O90" s="446"/>
      <c r="P90" s="446"/>
      <c r="Q90" s="446"/>
      <c r="R90" s="446"/>
    </row>
    <row r="91" spans="3:18" ht="22.5" hidden="1" customHeight="1" x14ac:dyDescent="0.3">
      <c r="C91" s="181"/>
      <c r="D91" s="448"/>
      <c r="E91" s="448"/>
      <c r="F91" s="448"/>
      <c r="G91" s="613" t="s">
        <v>634</v>
      </c>
      <c r="H91" s="613"/>
      <c r="I91" s="613"/>
      <c r="J91" s="613"/>
      <c r="K91" s="449"/>
      <c r="O91" s="446"/>
      <c r="P91" s="446"/>
      <c r="Q91" s="446"/>
      <c r="R91" s="446"/>
    </row>
    <row r="92" spans="3:18" ht="17.5" x14ac:dyDescent="0.3">
      <c r="G92" s="450"/>
      <c r="H92" s="450"/>
      <c r="I92" s="450" t="s">
        <v>519</v>
      </c>
      <c r="J92" s="450" t="s">
        <v>519</v>
      </c>
      <c r="K92" s="449">
        <f>SUM(K83:K88)</f>
        <v>198566.39999999999</v>
      </c>
      <c r="N92" s="165"/>
      <c r="O92" s="446"/>
      <c r="P92" s="446"/>
      <c r="Q92" s="155"/>
      <c r="R92" s="446"/>
    </row>
    <row r="93" spans="3:18" ht="17.5" x14ac:dyDescent="0.3">
      <c r="G93" s="450"/>
      <c r="H93" s="450"/>
      <c r="I93" s="450" t="s">
        <v>602</v>
      </c>
      <c r="J93" s="450" t="s">
        <v>602</v>
      </c>
      <c r="K93" s="449">
        <f>K92*0.16</f>
        <v>31770.624</v>
      </c>
      <c r="O93" s="446"/>
      <c r="P93" s="446"/>
      <c r="Q93" s="446"/>
      <c r="R93" s="446"/>
    </row>
    <row r="94" spans="3:18" ht="17.5" x14ac:dyDescent="0.3">
      <c r="G94" s="450"/>
      <c r="H94" s="450"/>
      <c r="I94" s="450" t="s">
        <v>518</v>
      </c>
      <c r="J94" s="450" t="s">
        <v>518</v>
      </c>
      <c r="K94" s="449">
        <f>K92+K93</f>
        <v>230337.024</v>
      </c>
      <c r="L94" s="165"/>
      <c r="O94" s="446"/>
      <c r="P94" s="446"/>
      <c r="Q94" s="446"/>
      <c r="R94" s="446"/>
    </row>
    <row r="95" spans="3:18" x14ac:dyDescent="0.3">
      <c r="K95" s="155"/>
      <c r="O95" s="446"/>
      <c r="P95" s="446"/>
      <c r="Q95" s="446"/>
      <c r="R95" s="446"/>
    </row>
    <row r="96" spans="3:18" x14ac:dyDescent="0.3">
      <c r="K96" s="155"/>
      <c r="O96" s="446"/>
      <c r="P96" s="446"/>
      <c r="Q96" s="446"/>
      <c r="R96" s="446"/>
    </row>
    <row r="97" spans="4:18" x14ac:dyDescent="0.3">
      <c r="K97" s="168"/>
      <c r="O97" s="446"/>
      <c r="P97" s="446"/>
      <c r="Q97" s="155"/>
      <c r="R97" s="446"/>
    </row>
    <row r="98" spans="4:18" x14ac:dyDescent="0.3">
      <c r="D98" s="610" t="s">
        <v>635</v>
      </c>
      <c r="E98" s="610"/>
      <c r="F98" s="610"/>
      <c r="G98" s="610"/>
      <c r="H98" s="610"/>
      <c r="I98" s="610"/>
      <c r="J98" s="610"/>
      <c r="K98" s="610"/>
      <c r="L98" s="610"/>
      <c r="O98" s="171"/>
      <c r="P98" s="171"/>
      <c r="Q98" s="171"/>
    </row>
    <row r="99" spans="4:18" x14ac:dyDescent="0.3">
      <c r="H99" s="169" t="s">
        <v>74</v>
      </c>
      <c r="I99" s="169"/>
      <c r="J99" s="169"/>
      <c r="K99" s="451"/>
    </row>
    <row r="100" spans="4:18" ht="18" thickBot="1" x14ac:dyDescent="0.35">
      <c r="E100" s="615" t="s">
        <v>640</v>
      </c>
      <c r="F100" s="615"/>
      <c r="G100" s="470" t="s">
        <v>653</v>
      </c>
      <c r="H100" s="469"/>
      <c r="I100" s="615" t="s">
        <v>654</v>
      </c>
      <c r="J100" s="615"/>
      <c r="K100" s="616" t="s">
        <v>655</v>
      </c>
      <c r="L100" s="616"/>
    </row>
    <row r="101" spans="4:18" ht="18" thickBot="1" x14ac:dyDescent="0.35">
      <c r="E101" s="480" t="s">
        <v>636</v>
      </c>
      <c r="F101" s="481" t="s">
        <v>637</v>
      </c>
      <c r="G101" s="471" t="s">
        <v>638</v>
      </c>
      <c r="H101" s="439" t="s">
        <v>646</v>
      </c>
      <c r="I101" s="480" t="s">
        <v>646</v>
      </c>
      <c r="J101" s="481" t="s">
        <v>647</v>
      </c>
      <c r="K101" s="474" t="s">
        <v>648</v>
      </c>
      <c r="L101" s="475" t="s">
        <v>649</v>
      </c>
    </row>
    <row r="102" spans="4:18" ht="17.5" x14ac:dyDescent="0.35">
      <c r="D102" s="441" t="s">
        <v>632</v>
      </c>
      <c r="E102" s="486">
        <f>K35/2</f>
        <v>19377.599999999999</v>
      </c>
      <c r="F102" s="487">
        <f>K35/2</f>
        <v>19377.599999999999</v>
      </c>
      <c r="G102" s="472">
        <f t="shared" ref="G102:G107" si="6">K52</f>
        <v>19377.599999999999</v>
      </c>
      <c r="H102" s="454"/>
      <c r="I102" s="482">
        <f t="shared" ref="I102:I107" si="7">K68/2</f>
        <v>19377.599999999999</v>
      </c>
      <c r="J102" s="483">
        <f t="shared" ref="J102:J107" si="8">K68/2</f>
        <v>19377.599999999999</v>
      </c>
      <c r="K102" s="476">
        <f t="shared" ref="K102:K107" si="9">K83/1.5</f>
        <v>19377.599999999999</v>
      </c>
      <c r="L102" s="477">
        <f t="shared" ref="L102:L107" si="10">K83-K102</f>
        <v>9688.7999999999993</v>
      </c>
    </row>
    <row r="103" spans="4:18" ht="17.5" x14ac:dyDescent="0.35">
      <c r="D103" s="441" t="s">
        <v>311</v>
      </c>
      <c r="E103" s="486">
        <f>K36/2</f>
        <v>21000</v>
      </c>
      <c r="F103" s="487">
        <f>K36/2</f>
        <v>21000</v>
      </c>
      <c r="G103" s="472">
        <f t="shared" si="6"/>
        <v>21000</v>
      </c>
      <c r="H103" s="454"/>
      <c r="I103" s="482">
        <f t="shared" si="7"/>
        <v>21000</v>
      </c>
      <c r="J103" s="483">
        <f t="shared" si="8"/>
        <v>21000</v>
      </c>
      <c r="K103" s="476">
        <f t="shared" si="9"/>
        <v>14000</v>
      </c>
      <c r="L103" s="477">
        <f t="shared" si="10"/>
        <v>7000</v>
      </c>
    </row>
    <row r="104" spans="4:18" ht="17.5" x14ac:dyDescent="0.35">
      <c r="D104" s="441" t="s">
        <v>597</v>
      </c>
      <c r="E104" s="486">
        <f>K37/2</f>
        <v>21000</v>
      </c>
      <c r="F104" s="487">
        <f>K37/2</f>
        <v>21000</v>
      </c>
      <c r="G104" s="472">
        <f t="shared" si="6"/>
        <v>21000</v>
      </c>
      <c r="H104" s="454"/>
      <c r="I104" s="482">
        <f t="shared" si="7"/>
        <v>21000</v>
      </c>
      <c r="J104" s="483">
        <f t="shared" si="8"/>
        <v>21000</v>
      </c>
      <c r="K104" s="476">
        <f t="shared" si="9"/>
        <v>14000</v>
      </c>
      <c r="L104" s="477">
        <f t="shared" si="10"/>
        <v>7000</v>
      </c>
    </row>
    <row r="105" spans="4:18" ht="17.5" x14ac:dyDescent="0.35">
      <c r="D105" s="441" t="s">
        <v>650</v>
      </c>
      <c r="E105" s="486">
        <f>K38-F105</f>
        <v>28500</v>
      </c>
      <c r="F105" s="487">
        <f>J38</f>
        <v>57000</v>
      </c>
      <c r="G105" s="472">
        <f t="shared" si="6"/>
        <v>57000</v>
      </c>
      <c r="H105" s="454"/>
      <c r="I105" s="482">
        <f t="shared" si="7"/>
        <v>57000</v>
      </c>
      <c r="J105" s="483">
        <f t="shared" si="8"/>
        <v>57000</v>
      </c>
      <c r="K105" s="476">
        <f t="shared" si="9"/>
        <v>57000</v>
      </c>
      <c r="L105" s="477">
        <f t="shared" si="10"/>
        <v>28500</v>
      </c>
    </row>
    <row r="106" spans="4:18" ht="17.5" x14ac:dyDescent="0.35">
      <c r="D106" s="441" t="s">
        <v>652</v>
      </c>
      <c r="E106" s="486">
        <f>K39/2</f>
        <v>0</v>
      </c>
      <c r="F106" s="487">
        <f>K39/2</f>
        <v>0</v>
      </c>
      <c r="G106" s="472">
        <f t="shared" si="6"/>
        <v>45000</v>
      </c>
      <c r="H106" s="454"/>
      <c r="I106" s="482">
        <f t="shared" si="7"/>
        <v>45000</v>
      </c>
      <c r="J106" s="483">
        <f t="shared" si="8"/>
        <v>45000</v>
      </c>
      <c r="K106" s="476">
        <f t="shared" si="9"/>
        <v>0</v>
      </c>
      <c r="L106" s="477">
        <f t="shared" si="10"/>
        <v>0</v>
      </c>
    </row>
    <row r="107" spans="4:18" ht="17.5" x14ac:dyDescent="0.35">
      <c r="D107" s="441" t="s">
        <v>651</v>
      </c>
      <c r="E107" s="488">
        <f>K40/2</f>
        <v>21000</v>
      </c>
      <c r="F107" s="489">
        <f>K40/2</f>
        <v>21000</v>
      </c>
      <c r="G107" s="473">
        <f t="shared" si="6"/>
        <v>42000</v>
      </c>
      <c r="H107" s="454"/>
      <c r="I107" s="484">
        <f t="shared" si="7"/>
        <v>42000</v>
      </c>
      <c r="J107" s="485">
        <f t="shared" si="8"/>
        <v>42000</v>
      </c>
      <c r="K107" s="478">
        <f t="shared" si="9"/>
        <v>28000</v>
      </c>
      <c r="L107" s="479">
        <f t="shared" si="10"/>
        <v>14000</v>
      </c>
    </row>
    <row r="108" spans="4:18" ht="17.5" x14ac:dyDescent="0.35">
      <c r="E108" s="457"/>
      <c r="F108" s="457"/>
      <c r="G108" s="457"/>
      <c r="H108" s="454"/>
      <c r="I108" s="454"/>
    </row>
    <row r="109" spans="4:18" ht="17.5" x14ac:dyDescent="0.3">
      <c r="D109" s="450" t="s">
        <v>519</v>
      </c>
      <c r="E109" s="468">
        <f t="shared" ref="E109:L109" si="11">SUM(E102:E107)</f>
        <v>110877.6</v>
      </c>
      <c r="F109" s="468">
        <f t="shared" si="11"/>
        <v>139377.60000000001</v>
      </c>
      <c r="G109" s="468">
        <f t="shared" si="11"/>
        <v>205377.6</v>
      </c>
      <c r="H109" s="468">
        <f t="shared" si="11"/>
        <v>0</v>
      </c>
      <c r="I109" s="468">
        <f t="shared" si="11"/>
        <v>205377.6</v>
      </c>
      <c r="J109" s="468">
        <f t="shared" si="11"/>
        <v>205377.6</v>
      </c>
      <c r="K109" s="468">
        <f t="shared" si="11"/>
        <v>132377.60000000001</v>
      </c>
      <c r="L109" s="468">
        <f t="shared" si="11"/>
        <v>66188.800000000003</v>
      </c>
      <c r="N109" s="494">
        <f>SUM(E109:L109)</f>
        <v>1064954.3999999999</v>
      </c>
    </row>
    <row r="110" spans="4:18" ht="17.5" x14ac:dyDescent="0.3">
      <c r="D110" s="450" t="s">
        <v>639</v>
      </c>
      <c r="E110" s="468">
        <f t="shared" ref="E110:L110" si="12">E109*0.16</f>
        <v>17740.416000000001</v>
      </c>
      <c r="F110" s="468">
        <f t="shared" si="12"/>
        <v>22300.416000000001</v>
      </c>
      <c r="G110" s="468">
        <f t="shared" si="12"/>
        <v>32860.416000000005</v>
      </c>
      <c r="H110" s="468">
        <f t="shared" si="12"/>
        <v>0</v>
      </c>
      <c r="I110" s="468">
        <f t="shared" si="12"/>
        <v>32860.416000000005</v>
      </c>
      <c r="J110" s="468">
        <f t="shared" si="12"/>
        <v>32860.416000000005</v>
      </c>
      <c r="K110" s="468">
        <f t="shared" si="12"/>
        <v>21180.416000000001</v>
      </c>
      <c r="L110" s="468">
        <f t="shared" si="12"/>
        <v>10590.208000000001</v>
      </c>
      <c r="N110" s="494">
        <f>SUM(E110:L110)</f>
        <v>170392.70400000003</v>
      </c>
    </row>
    <row r="111" spans="4:18" ht="17.5" x14ac:dyDescent="0.3">
      <c r="D111" s="450" t="s">
        <v>518</v>
      </c>
      <c r="E111" s="468">
        <f t="shared" ref="E111:L111" si="13">E109+E110</f>
        <v>128618.016</v>
      </c>
      <c r="F111" s="468">
        <f t="shared" si="13"/>
        <v>161678.016</v>
      </c>
      <c r="G111" s="468">
        <f t="shared" si="13"/>
        <v>238238.016</v>
      </c>
      <c r="H111" s="468">
        <f t="shared" si="13"/>
        <v>0</v>
      </c>
      <c r="I111" s="468">
        <f t="shared" si="13"/>
        <v>238238.016</v>
      </c>
      <c r="J111" s="468">
        <f t="shared" si="13"/>
        <v>238238.016</v>
      </c>
      <c r="K111" s="468">
        <f t="shared" si="13"/>
        <v>153558.016</v>
      </c>
      <c r="L111" s="468">
        <f t="shared" si="13"/>
        <v>76779.008000000002</v>
      </c>
      <c r="N111" s="494">
        <f>SUM(E111:L111)</f>
        <v>1235347.1040000001</v>
      </c>
    </row>
    <row r="113" spans="14:14" x14ac:dyDescent="0.3">
      <c r="N113" s="494">
        <f>N109/'Alcance y tiempo'!P148</f>
        <v>1218.4832951945079</v>
      </c>
    </row>
    <row r="149" spans="4:18" s="56" customFormat="1" x14ac:dyDescent="0.3">
      <c r="D149" s="57"/>
      <c r="E149" s="57"/>
      <c r="F149" s="57"/>
      <c r="G149" s="57"/>
      <c r="H149" s="58"/>
      <c r="I149" s="58"/>
      <c r="J149" s="58"/>
      <c r="K149" s="58"/>
      <c r="L149" s="58"/>
      <c r="M149" s="58"/>
      <c r="N149" s="58"/>
      <c r="O149" s="58"/>
      <c r="P149" s="58"/>
      <c r="Q149" s="58"/>
      <c r="R149" s="58"/>
    </row>
  </sheetData>
  <mergeCells count="13">
    <mergeCell ref="C7:K7"/>
    <mergeCell ref="C9:K9"/>
    <mergeCell ref="C16:K16"/>
    <mergeCell ref="Q16:Q18"/>
    <mergeCell ref="G27:J27"/>
    <mergeCell ref="E100:F100"/>
    <mergeCell ref="I100:J100"/>
    <mergeCell ref="K100:L100"/>
    <mergeCell ref="D98:L98"/>
    <mergeCell ref="G43:J43"/>
    <mergeCell ref="G60:J60"/>
    <mergeCell ref="G76:J76"/>
    <mergeCell ref="G91:J91"/>
  </mergeCells>
  <phoneticPr fontId="37" type="noConversion"/>
  <pageMargins left="0.7" right="0.7" top="0.75" bottom="0.75" header="0.3" footer="0.3"/>
  <pageSetup paperSize="9" orientation="portrait" r:id="rId1"/>
  <ignoredErrors>
    <ignoredError sqref="E105"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055F-1789-4478-AB6F-4AE8B62BBF01}">
  <dimension ref="C1:S149"/>
  <sheetViews>
    <sheetView showGridLines="0" topLeftCell="A95" zoomScale="70" zoomScaleNormal="70" workbookViewId="0">
      <selection activeCell="N114" sqref="N114"/>
    </sheetView>
  </sheetViews>
  <sheetFormatPr baseColWidth="10" defaultColWidth="10" defaultRowHeight="15" x14ac:dyDescent="0.3"/>
  <cols>
    <col min="1" max="2" width="1.7265625" style="58" customWidth="1"/>
    <col min="3" max="3" width="5.26953125" style="56" hidden="1" customWidth="1"/>
    <col min="4" max="4" width="20.54296875" style="57" customWidth="1"/>
    <col min="5" max="5" width="22" style="57" customWidth="1"/>
    <col min="6" max="6" width="23.26953125" style="57" customWidth="1"/>
    <col min="7" max="7" width="24.26953125" style="57" bestFit="1" customWidth="1"/>
    <col min="8" max="8" width="28.7265625" style="58" hidden="1" customWidth="1"/>
    <col min="9" max="9" width="22.453125" style="58" customWidth="1"/>
    <col min="10" max="10" width="26.26953125" style="58" customWidth="1"/>
    <col min="11" max="11" width="25.1796875" style="58" customWidth="1"/>
    <col min="12" max="12" width="22.453125" style="58" customWidth="1"/>
    <col min="13" max="13" width="19.81640625" style="58" customWidth="1"/>
    <col min="14" max="14" width="19.453125" style="58" customWidth="1"/>
    <col min="15" max="15" width="18.7265625" style="58" bestFit="1" customWidth="1"/>
    <col min="16" max="16" width="11.54296875" style="58" customWidth="1"/>
    <col min="17" max="17" width="18.7265625" style="58" bestFit="1" customWidth="1"/>
    <col min="18" max="18" width="13.7265625" style="58" bestFit="1" customWidth="1"/>
    <col min="19" max="19" width="14.81640625" style="58" bestFit="1" customWidth="1"/>
    <col min="20" max="16384" width="10" style="58"/>
  </cols>
  <sheetData>
    <row r="1" spans="3:19" ht="15" customHeight="1" x14ac:dyDescent="0.3">
      <c r="C1" s="58"/>
      <c r="D1" s="56"/>
      <c r="E1" s="56"/>
      <c r="F1" s="56"/>
      <c r="G1" s="56"/>
      <c r="H1" s="57"/>
      <c r="I1" s="57"/>
      <c r="J1" s="57"/>
      <c r="K1" s="57"/>
    </row>
    <row r="2" spans="3:19" ht="15" customHeight="1" x14ac:dyDescent="0.3">
      <c r="C2" s="58"/>
      <c r="D2" s="56"/>
      <c r="E2" s="56"/>
      <c r="F2" s="56"/>
      <c r="G2" s="56"/>
      <c r="H2" s="57"/>
      <c r="I2" s="57"/>
      <c r="J2" s="57"/>
      <c r="K2" s="29" t="s">
        <v>0</v>
      </c>
    </row>
    <row r="3" spans="3:19" ht="15" customHeight="1" x14ac:dyDescent="0.3">
      <c r="C3" s="152"/>
      <c r="D3" s="152"/>
      <c r="E3" s="152"/>
      <c r="F3" s="152"/>
      <c r="G3" s="152"/>
      <c r="H3" s="57"/>
      <c r="I3" s="57"/>
      <c r="J3" s="57"/>
      <c r="K3" s="59" t="str">
        <f>'[2]Información proyecto'!D3</f>
        <v>Versión: 0.1</v>
      </c>
    </row>
    <row r="4" spans="3:19" ht="1.5" customHeight="1" x14ac:dyDescent="0.3">
      <c r="C4" s="153"/>
      <c r="D4" s="153"/>
      <c r="E4" s="153"/>
      <c r="F4" s="153"/>
      <c r="G4" s="153"/>
      <c r="H4" s="153"/>
      <c r="I4" s="153"/>
      <c r="J4" s="153"/>
      <c r="K4" s="153">
        <f>'[2]Información proyecto'!D4</f>
        <v>0</v>
      </c>
    </row>
    <row r="5" spans="3:19" ht="15" customHeight="1" x14ac:dyDescent="0.3">
      <c r="C5" s="152"/>
      <c r="D5" s="152"/>
      <c r="E5" s="152"/>
      <c r="F5" s="152"/>
      <c r="G5" s="152"/>
      <c r="H5" s="57"/>
      <c r="I5" s="57"/>
      <c r="J5" s="57"/>
      <c r="K5" s="59" t="str">
        <f>'[3]Información proyecto'!D5</f>
        <v>Proyecto:  Metas - Super Lo Tengo - Celula de Trabajo</v>
      </c>
    </row>
    <row r="6" spans="3:19" ht="12.75" customHeight="1" x14ac:dyDescent="0.3">
      <c r="C6" s="58"/>
      <c r="D6" s="152"/>
      <c r="E6" s="152"/>
      <c r="F6" s="152"/>
      <c r="G6" s="152"/>
      <c r="H6" s="57"/>
      <c r="I6" s="57"/>
      <c r="J6" s="57"/>
      <c r="K6" s="62"/>
    </row>
    <row r="7" spans="3:19" x14ac:dyDescent="0.3">
      <c r="C7" s="611" t="s">
        <v>35</v>
      </c>
      <c r="D7" s="611"/>
      <c r="E7" s="611"/>
      <c r="F7" s="611"/>
      <c r="G7" s="611"/>
      <c r="H7" s="611"/>
      <c r="I7" s="611"/>
      <c r="J7" s="611"/>
      <c r="K7" s="611"/>
    </row>
    <row r="8" spans="3:19" ht="18" customHeight="1" x14ac:dyDescent="0.3">
      <c r="C8" s="69"/>
      <c r="D8" s="154"/>
      <c r="E8" s="154"/>
      <c r="F8" s="154"/>
      <c r="G8" s="154"/>
    </row>
    <row r="9" spans="3:19" ht="15" customHeight="1" x14ac:dyDescent="0.3">
      <c r="C9" s="610" t="s">
        <v>36</v>
      </c>
      <c r="D9" s="610"/>
      <c r="E9" s="610"/>
      <c r="F9" s="610"/>
      <c r="G9" s="610"/>
      <c r="H9" s="610"/>
      <c r="I9" s="610"/>
      <c r="J9" s="610"/>
      <c r="K9" s="610"/>
    </row>
    <row r="10" spans="3:19" ht="15.5" thickBot="1" x14ac:dyDescent="0.35">
      <c r="C10" s="69"/>
      <c r="D10" s="154"/>
      <c r="E10" s="154"/>
      <c r="F10" s="154"/>
      <c r="G10" s="154"/>
      <c r="N10" s="155"/>
    </row>
    <row r="11" spans="3:19" ht="24" customHeight="1" thickBot="1" x14ac:dyDescent="0.35">
      <c r="C11" s="69"/>
      <c r="E11" s="459" t="s">
        <v>37</v>
      </c>
      <c r="F11" s="459" t="s">
        <v>38</v>
      </c>
      <c r="G11" s="459" t="s">
        <v>39</v>
      </c>
      <c r="H11" s="459" t="s">
        <v>277</v>
      </c>
      <c r="I11" s="459" t="s">
        <v>40</v>
      </c>
      <c r="N11" s="155"/>
    </row>
    <row r="12" spans="3:19" ht="21.75" customHeight="1" thickBot="1" x14ac:dyDescent="0.35">
      <c r="C12" s="69"/>
      <c r="E12" s="178">
        <f>'Fechas y costos'!E12</f>
        <v>45323</v>
      </c>
      <c r="F12" s="178">
        <f>'Fechas y costos'!F12</f>
        <v>45436.948652261082</v>
      </c>
      <c r="G12" s="437">
        <f>(F12-E12)</f>
        <v>113.94865226108232</v>
      </c>
      <c r="H12" s="405">
        <f>ROUND(G12/7,1)</f>
        <v>16.3</v>
      </c>
      <c r="I12" s="405">
        <f>ROUND(G12/30,1)</f>
        <v>3.8</v>
      </c>
      <c r="N12" s="155"/>
    </row>
    <row r="13" spans="3:19" x14ac:dyDescent="0.3">
      <c r="C13" s="69"/>
      <c r="F13" s="324"/>
      <c r="G13" s="324"/>
      <c r="N13" s="155"/>
    </row>
    <row r="14" spans="3:19" x14ac:dyDescent="0.3">
      <c r="C14" s="157"/>
      <c r="G14" s="438"/>
      <c r="N14" s="155"/>
    </row>
    <row r="15" spans="3:19" x14ac:dyDescent="0.3">
      <c r="C15" s="157"/>
      <c r="N15" s="155"/>
    </row>
    <row r="16" spans="3:19" ht="12.75" customHeight="1" x14ac:dyDescent="0.3">
      <c r="C16" s="610" t="s">
        <v>624</v>
      </c>
      <c r="D16" s="610"/>
      <c r="E16" s="610"/>
      <c r="F16" s="610"/>
      <c r="G16" s="610"/>
      <c r="H16" s="610"/>
      <c r="I16" s="610"/>
      <c r="J16" s="610"/>
      <c r="K16" s="610"/>
      <c r="L16" s="58" t="s">
        <v>644</v>
      </c>
      <c r="N16" s="155"/>
      <c r="Q16" s="617" t="s">
        <v>263</v>
      </c>
      <c r="R16" s="495"/>
      <c r="S16" s="495"/>
    </row>
    <row r="17" spans="3:19" ht="15" customHeight="1" thickBot="1" x14ac:dyDescent="0.35">
      <c r="N17" s="155"/>
      <c r="Q17" s="617"/>
      <c r="R17" s="495"/>
      <c r="S17" s="495"/>
    </row>
    <row r="18" spans="3:19" ht="31.9" customHeight="1" thickBot="1" x14ac:dyDescent="0.35">
      <c r="C18" s="193" t="s">
        <v>42</v>
      </c>
      <c r="D18" s="439" t="s">
        <v>43</v>
      </c>
      <c r="E18" s="439" t="s">
        <v>625</v>
      </c>
      <c r="F18" s="439" t="s">
        <v>626</v>
      </c>
      <c r="G18" s="439" t="s">
        <v>627</v>
      </c>
      <c r="H18" s="439" t="s">
        <v>628</v>
      </c>
      <c r="I18" s="439" t="s">
        <v>629</v>
      </c>
      <c r="J18" s="439" t="s">
        <v>630</v>
      </c>
      <c r="K18" s="439" t="s">
        <v>631</v>
      </c>
      <c r="M18" s="439" t="s">
        <v>636</v>
      </c>
      <c r="N18" s="439" t="s">
        <v>645</v>
      </c>
      <c r="Q18" s="617"/>
      <c r="R18" s="495" t="s">
        <v>662</v>
      </c>
      <c r="S18" s="495" t="s">
        <v>284</v>
      </c>
    </row>
    <row r="19" spans="3:19" ht="28.5" customHeight="1" x14ac:dyDescent="0.3">
      <c r="C19" s="440">
        <v>1</v>
      </c>
      <c r="D19" s="441" t="s">
        <v>632</v>
      </c>
      <c r="E19" s="442">
        <v>1</v>
      </c>
      <c r="F19" s="442">
        <v>30</v>
      </c>
      <c r="G19" s="442">
        <v>6.5</v>
      </c>
      <c r="H19" s="443">
        <v>45000</v>
      </c>
      <c r="I19" s="444">
        <v>113036</v>
      </c>
      <c r="J19" s="444">
        <f t="shared" ref="J19:J24" si="0">(I19*E19)* (F19/100)</f>
        <v>33910.799999999996</v>
      </c>
      <c r="K19" s="445">
        <f t="shared" ref="K19:K24" si="1">J19*G19</f>
        <v>220420.19999999998</v>
      </c>
      <c r="O19" s="446"/>
      <c r="P19" s="446" t="s">
        <v>658</v>
      </c>
      <c r="Q19" s="493">
        <v>40370</v>
      </c>
      <c r="R19" s="493">
        <f t="shared" ref="R19:R24" si="2">Q19*1.4</f>
        <v>56518</v>
      </c>
      <c r="S19" s="494">
        <f t="shared" ref="S19:S24" si="3">R19*2</f>
        <v>113036</v>
      </c>
    </row>
    <row r="20" spans="3:19" ht="25.5" customHeight="1" x14ac:dyDescent="0.3">
      <c r="C20" s="181">
        <v>2</v>
      </c>
      <c r="D20" s="441" t="s">
        <v>311</v>
      </c>
      <c r="E20" s="442">
        <v>1</v>
      </c>
      <c r="F20" s="442">
        <v>100</v>
      </c>
      <c r="G20" s="442">
        <v>3</v>
      </c>
      <c r="H20" s="443">
        <v>35000</v>
      </c>
      <c r="I20" s="444">
        <v>72906</v>
      </c>
      <c r="J20" s="444">
        <f t="shared" si="0"/>
        <v>72906</v>
      </c>
      <c r="K20" s="445">
        <f t="shared" si="1"/>
        <v>218718</v>
      </c>
      <c r="O20" s="446"/>
      <c r="P20" s="446" t="s">
        <v>311</v>
      </c>
      <c r="Q20" s="493">
        <v>26038</v>
      </c>
      <c r="R20" s="493">
        <f t="shared" si="2"/>
        <v>36453.199999999997</v>
      </c>
      <c r="S20" s="494">
        <f t="shared" si="3"/>
        <v>72906.399999999994</v>
      </c>
    </row>
    <row r="21" spans="3:19" ht="25.5" customHeight="1" x14ac:dyDescent="0.3">
      <c r="C21" s="181">
        <v>2</v>
      </c>
      <c r="D21" s="441" t="s">
        <v>597</v>
      </c>
      <c r="E21" s="442">
        <v>1</v>
      </c>
      <c r="F21" s="442">
        <v>100</v>
      </c>
      <c r="G21" s="442">
        <v>3</v>
      </c>
      <c r="H21" s="443">
        <v>35000</v>
      </c>
      <c r="I21" s="444">
        <v>58800</v>
      </c>
      <c r="J21" s="444">
        <f t="shared" si="0"/>
        <v>58800</v>
      </c>
      <c r="K21" s="445">
        <f t="shared" si="1"/>
        <v>176400</v>
      </c>
      <c r="O21" s="446"/>
      <c r="P21" s="446" t="s">
        <v>597</v>
      </c>
      <c r="Q21" s="493">
        <v>21000</v>
      </c>
      <c r="R21" s="493">
        <f t="shared" si="2"/>
        <v>29399.999999999996</v>
      </c>
      <c r="S21" s="494">
        <f t="shared" si="3"/>
        <v>58799.999999999993</v>
      </c>
    </row>
    <row r="22" spans="3:19" ht="31.15" customHeight="1" x14ac:dyDescent="0.3">
      <c r="C22" s="181">
        <v>3</v>
      </c>
      <c r="D22" s="441" t="s">
        <v>642</v>
      </c>
      <c r="E22" s="442">
        <v>1</v>
      </c>
      <c r="F22" s="442">
        <v>100</v>
      </c>
      <c r="G22" s="442">
        <v>6</v>
      </c>
      <c r="H22" s="443">
        <v>35000</v>
      </c>
      <c r="I22" s="444">
        <v>98000</v>
      </c>
      <c r="J22" s="444">
        <f t="shared" si="0"/>
        <v>98000</v>
      </c>
      <c r="K22" s="445">
        <f t="shared" si="1"/>
        <v>588000</v>
      </c>
      <c r="O22" s="446"/>
      <c r="P22" s="446" t="s">
        <v>659</v>
      </c>
      <c r="Q22" s="493">
        <v>35000</v>
      </c>
      <c r="R22" s="493">
        <f t="shared" si="2"/>
        <v>49000</v>
      </c>
      <c r="S22" s="494">
        <f t="shared" si="3"/>
        <v>98000</v>
      </c>
    </row>
    <row r="23" spans="3:19" ht="31.15" customHeight="1" x14ac:dyDescent="0.3">
      <c r="C23" s="181">
        <v>3</v>
      </c>
      <c r="D23" s="441" t="s">
        <v>643</v>
      </c>
      <c r="E23" s="442">
        <v>1</v>
      </c>
      <c r="F23" s="442">
        <v>100</v>
      </c>
      <c r="G23" s="442">
        <v>3</v>
      </c>
      <c r="H23" s="443">
        <v>35000</v>
      </c>
      <c r="I23" s="444">
        <v>75600</v>
      </c>
      <c r="J23" s="444">
        <f t="shared" si="0"/>
        <v>75600</v>
      </c>
      <c r="K23" s="445">
        <f t="shared" si="1"/>
        <v>226800</v>
      </c>
      <c r="O23" s="446"/>
      <c r="P23" s="446" t="s">
        <v>661</v>
      </c>
      <c r="Q23" s="493">
        <v>27000</v>
      </c>
      <c r="R23" s="493">
        <f t="shared" si="2"/>
        <v>37800</v>
      </c>
      <c r="S23" s="494">
        <f t="shared" si="3"/>
        <v>75600</v>
      </c>
    </row>
    <row r="24" spans="3:19" ht="35.25" customHeight="1" thickBot="1" x14ac:dyDescent="0.35">
      <c r="C24" s="199">
        <v>3</v>
      </c>
      <c r="D24" s="441" t="s">
        <v>633</v>
      </c>
      <c r="E24" s="442">
        <v>1</v>
      </c>
      <c r="F24" s="442">
        <v>100</v>
      </c>
      <c r="G24" s="442">
        <v>5</v>
      </c>
      <c r="H24" s="443">
        <v>35000</v>
      </c>
      <c r="I24" s="444">
        <v>58800</v>
      </c>
      <c r="J24" s="444">
        <f t="shared" si="0"/>
        <v>58800</v>
      </c>
      <c r="K24" s="445">
        <f t="shared" si="1"/>
        <v>294000</v>
      </c>
      <c r="O24" s="446"/>
      <c r="P24" s="446" t="s">
        <v>660</v>
      </c>
      <c r="Q24" s="493">
        <v>21000</v>
      </c>
      <c r="R24" s="493">
        <f t="shared" si="2"/>
        <v>29399.999999999996</v>
      </c>
      <c r="S24" s="494">
        <f t="shared" si="3"/>
        <v>58799.999999999993</v>
      </c>
    </row>
    <row r="25" spans="3:19" ht="9.75" customHeight="1" x14ac:dyDescent="0.3">
      <c r="C25" s="447"/>
      <c r="D25" s="447"/>
      <c r="E25" s="447"/>
      <c r="F25" s="447"/>
      <c r="G25" s="447"/>
      <c r="H25" s="324"/>
      <c r="I25" s="324"/>
      <c r="J25" s="324"/>
      <c r="K25" s="324"/>
      <c r="O25" s="446"/>
      <c r="P25" s="446"/>
      <c r="Q25" s="155"/>
      <c r="R25" s="446"/>
    </row>
    <row r="26" spans="3:19" ht="28.5" customHeight="1" x14ac:dyDescent="0.3">
      <c r="C26" s="181"/>
      <c r="D26" s="448"/>
      <c r="E26" s="448"/>
      <c r="F26" s="448"/>
      <c r="G26" s="448"/>
      <c r="O26" s="446"/>
    </row>
    <row r="27" spans="3:19" ht="22.5" hidden="1" customHeight="1" x14ac:dyDescent="0.3">
      <c r="C27" s="181"/>
      <c r="D27" s="448"/>
      <c r="E27" s="448"/>
      <c r="F27" s="448"/>
      <c r="G27" s="613" t="s">
        <v>634</v>
      </c>
      <c r="H27" s="613"/>
      <c r="I27" s="613"/>
      <c r="J27" s="613"/>
      <c r="K27" s="449"/>
      <c r="O27" s="446"/>
      <c r="P27" s="446"/>
      <c r="Q27" s="446"/>
      <c r="R27" s="446"/>
    </row>
    <row r="28" spans="3:19" ht="17.5" x14ac:dyDescent="0.3">
      <c r="G28" s="450"/>
      <c r="H28" s="450"/>
      <c r="I28" s="450" t="s">
        <v>519</v>
      </c>
      <c r="J28" s="450" t="s">
        <v>519</v>
      </c>
      <c r="K28" s="449">
        <f>SUM(K19:K24)</f>
        <v>1724338.2</v>
      </c>
      <c r="N28" s="165"/>
      <c r="O28" s="446"/>
      <c r="P28" s="446"/>
      <c r="Q28" s="155"/>
      <c r="R28" s="446"/>
    </row>
    <row r="29" spans="3:19" ht="17.5" x14ac:dyDescent="0.3">
      <c r="G29" s="450"/>
      <c r="H29" s="450"/>
      <c r="I29" s="450" t="s">
        <v>602</v>
      </c>
      <c r="J29" s="450" t="s">
        <v>639</v>
      </c>
      <c r="K29" s="449">
        <f>K28*0.16</f>
        <v>275894.11200000002</v>
      </c>
      <c r="O29" s="446"/>
      <c r="P29" s="446"/>
      <c r="Q29" s="446"/>
      <c r="R29" s="446"/>
    </row>
    <row r="30" spans="3:19" ht="17.5" x14ac:dyDescent="0.3">
      <c r="G30" s="450"/>
      <c r="H30" s="450"/>
      <c r="I30" s="450" t="s">
        <v>518</v>
      </c>
      <c r="J30" s="450" t="s">
        <v>518</v>
      </c>
      <c r="K30" s="449">
        <f>K28+K29</f>
        <v>2000232.3119999999</v>
      </c>
      <c r="L30" s="165"/>
      <c r="O30" s="446"/>
      <c r="P30" s="446"/>
      <c r="Q30" s="446"/>
      <c r="R30" s="446"/>
    </row>
    <row r="31" spans="3:19" x14ac:dyDescent="0.3">
      <c r="K31" s="155"/>
      <c r="O31" s="446"/>
      <c r="P31" s="446"/>
      <c r="Q31" s="446"/>
      <c r="R31" s="446"/>
    </row>
    <row r="32" spans="3:19" x14ac:dyDescent="0.3">
      <c r="K32" s="155"/>
      <c r="O32" s="446"/>
      <c r="P32" s="446"/>
      <c r="Q32" s="446"/>
      <c r="R32" s="446"/>
    </row>
    <row r="33" spans="3:18" ht="15" customHeight="1" thickBot="1" x14ac:dyDescent="0.35">
      <c r="N33" s="155"/>
      <c r="Q33" s="446"/>
    </row>
    <row r="34" spans="3:18" ht="34.5" customHeight="1" thickBot="1" x14ac:dyDescent="0.35">
      <c r="C34" s="193" t="s">
        <v>42</v>
      </c>
      <c r="D34" s="439" t="s">
        <v>43</v>
      </c>
      <c r="E34" s="439" t="s">
        <v>625</v>
      </c>
      <c r="F34" s="439" t="s">
        <v>626</v>
      </c>
      <c r="G34" s="439" t="s">
        <v>627</v>
      </c>
      <c r="H34" s="439" t="s">
        <v>628</v>
      </c>
      <c r="I34" s="439" t="s">
        <v>629</v>
      </c>
      <c r="J34" s="439" t="s">
        <v>630</v>
      </c>
      <c r="K34" s="439" t="s">
        <v>631</v>
      </c>
      <c r="Q34" s="446"/>
    </row>
    <row r="35" spans="3:18" ht="28.5" customHeight="1" x14ac:dyDescent="0.3">
      <c r="C35" s="440">
        <v>1</v>
      </c>
      <c r="D35" s="441" t="s">
        <v>632</v>
      </c>
      <c r="E35" s="442">
        <v>1</v>
      </c>
      <c r="F35" s="442">
        <v>30</v>
      </c>
      <c r="G35" s="442">
        <v>2</v>
      </c>
      <c r="H35" s="443">
        <v>45000</v>
      </c>
      <c r="I35" s="444">
        <v>113036</v>
      </c>
      <c r="J35" s="444">
        <f>(I35*E35)* (F35/100)</f>
        <v>33910.799999999996</v>
      </c>
      <c r="K35" s="445">
        <f t="shared" ref="K35:K40" si="4">J35*G35</f>
        <v>67821.599999999991</v>
      </c>
      <c r="O35" s="446"/>
      <c r="P35" s="446"/>
      <c r="Q35" s="446"/>
      <c r="R35" s="86"/>
    </row>
    <row r="36" spans="3:18" ht="25.5" customHeight="1" x14ac:dyDescent="0.3">
      <c r="C36" s="181">
        <v>2</v>
      </c>
      <c r="D36" s="441" t="s">
        <v>311</v>
      </c>
      <c r="E36" s="442">
        <v>1</v>
      </c>
      <c r="F36" s="442">
        <v>100</v>
      </c>
      <c r="G36" s="442">
        <v>1</v>
      </c>
      <c r="H36" s="443">
        <v>35000</v>
      </c>
      <c r="I36" s="444">
        <v>72906</v>
      </c>
      <c r="J36" s="444">
        <f>(I36*E36)* (F36/100)</f>
        <v>72906</v>
      </c>
      <c r="K36" s="445">
        <f t="shared" si="4"/>
        <v>72906</v>
      </c>
      <c r="O36" s="446"/>
      <c r="P36" s="446"/>
      <c r="Q36" s="446"/>
      <c r="R36" s="86"/>
    </row>
    <row r="37" spans="3:18" ht="25.5" customHeight="1" x14ac:dyDescent="0.3">
      <c r="C37" s="181">
        <v>2</v>
      </c>
      <c r="D37" s="441" t="s">
        <v>597</v>
      </c>
      <c r="E37" s="442">
        <v>1</v>
      </c>
      <c r="F37" s="442">
        <v>100</v>
      </c>
      <c r="G37" s="442">
        <v>1</v>
      </c>
      <c r="H37" s="443">
        <v>35000</v>
      </c>
      <c r="I37" s="444">
        <v>58800</v>
      </c>
      <c r="J37" s="444">
        <f>(I37*E37)* (F37/100)</f>
        <v>58800</v>
      </c>
      <c r="K37" s="445">
        <f t="shared" si="4"/>
        <v>58800</v>
      </c>
      <c r="O37" s="446"/>
      <c r="P37" s="446"/>
      <c r="Q37" s="446"/>
      <c r="R37" s="86"/>
    </row>
    <row r="38" spans="3:18" ht="31.15" customHeight="1" x14ac:dyDescent="0.3">
      <c r="C38" s="181">
        <v>3</v>
      </c>
      <c r="D38" s="441" t="s">
        <v>642</v>
      </c>
      <c r="E38" s="442">
        <v>1</v>
      </c>
      <c r="F38" s="442">
        <v>100</v>
      </c>
      <c r="G38" s="442">
        <v>1.5</v>
      </c>
      <c r="H38" s="443">
        <v>35000</v>
      </c>
      <c r="I38" s="444">
        <v>98000</v>
      </c>
      <c r="J38" s="444">
        <f>(I38*E38)* (F38/100)</f>
        <v>98000</v>
      </c>
      <c r="K38" s="445">
        <f t="shared" si="4"/>
        <v>147000</v>
      </c>
      <c r="O38" s="446"/>
      <c r="P38" s="446"/>
      <c r="Q38" s="446"/>
      <c r="R38" s="86"/>
    </row>
    <row r="39" spans="3:18" ht="31.15" customHeight="1" x14ac:dyDescent="0.3">
      <c r="C39" s="181">
        <v>3</v>
      </c>
      <c r="D39" s="441" t="s">
        <v>643</v>
      </c>
      <c r="E39" s="442">
        <v>1</v>
      </c>
      <c r="F39" s="442">
        <v>100</v>
      </c>
      <c r="G39" s="442">
        <v>0</v>
      </c>
      <c r="H39" s="443">
        <v>35000</v>
      </c>
      <c r="I39" s="444">
        <v>75600</v>
      </c>
      <c r="J39" s="444">
        <v>45000</v>
      </c>
      <c r="K39" s="445">
        <f t="shared" si="4"/>
        <v>0</v>
      </c>
      <c r="O39" s="446"/>
      <c r="P39" s="446"/>
      <c r="Q39" s="446"/>
      <c r="R39" s="86"/>
    </row>
    <row r="40" spans="3:18" ht="35.25" customHeight="1" thickBot="1" x14ac:dyDescent="0.35">
      <c r="C40" s="199">
        <v>3</v>
      </c>
      <c r="D40" s="441" t="s">
        <v>633</v>
      </c>
      <c r="E40" s="442">
        <v>1</v>
      </c>
      <c r="F40" s="442">
        <v>100</v>
      </c>
      <c r="G40" s="442">
        <v>1</v>
      </c>
      <c r="H40" s="443">
        <v>35000</v>
      </c>
      <c r="I40" s="444">
        <v>58800</v>
      </c>
      <c r="J40" s="444">
        <f>(I40*E40)* (F40/100)</f>
        <v>58800</v>
      </c>
      <c r="K40" s="445">
        <f t="shared" si="4"/>
        <v>58800</v>
      </c>
      <c r="O40" s="446"/>
      <c r="P40" s="446"/>
      <c r="Q40" s="446"/>
      <c r="R40" s="446"/>
    </row>
    <row r="41" spans="3:18" ht="9.75" customHeight="1" x14ac:dyDescent="0.3">
      <c r="C41" s="447"/>
      <c r="D41" s="447"/>
      <c r="E41" s="447"/>
      <c r="F41" s="447"/>
      <c r="G41" s="447"/>
      <c r="H41" s="324"/>
      <c r="I41" s="324"/>
      <c r="J41" s="324"/>
      <c r="K41" s="324"/>
      <c r="O41" s="446"/>
      <c r="P41" s="446"/>
      <c r="Q41" s="155"/>
      <c r="R41" s="446"/>
    </row>
    <row r="42" spans="3:18" ht="28.5" customHeight="1" x14ac:dyDescent="0.3">
      <c r="C42" s="181"/>
      <c r="D42" s="448"/>
      <c r="E42" s="448"/>
      <c r="F42" s="448"/>
      <c r="G42" s="448"/>
      <c r="O42" s="446"/>
      <c r="P42" s="446"/>
      <c r="Q42" s="446"/>
      <c r="R42" s="446"/>
    </row>
    <row r="43" spans="3:18" ht="22.5" hidden="1" customHeight="1" x14ac:dyDescent="0.3">
      <c r="C43" s="181"/>
      <c r="D43" s="448"/>
      <c r="E43" s="448"/>
      <c r="F43" s="448"/>
      <c r="G43" s="613" t="s">
        <v>634</v>
      </c>
      <c r="H43" s="613"/>
      <c r="I43" s="613"/>
      <c r="J43" s="613"/>
      <c r="K43" s="449"/>
      <c r="O43" s="446"/>
      <c r="P43" s="446"/>
      <c r="Q43" s="446"/>
      <c r="R43" s="446"/>
    </row>
    <row r="44" spans="3:18" ht="17.5" x14ac:dyDescent="0.3">
      <c r="G44" s="450"/>
      <c r="H44" s="450"/>
      <c r="I44" s="450" t="s">
        <v>519</v>
      </c>
      <c r="J44" s="450" t="s">
        <v>519</v>
      </c>
      <c r="K44" s="449">
        <f>SUM(K35:K40)</f>
        <v>405327.6</v>
      </c>
      <c r="N44" s="165"/>
      <c r="O44" s="446"/>
      <c r="P44" s="446"/>
      <c r="Q44" s="155"/>
      <c r="R44" s="446"/>
    </row>
    <row r="45" spans="3:18" ht="17.5" x14ac:dyDescent="0.3">
      <c r="G45" s="450"/>
      <c r="H45" s="450"/>
      <c r="I45" s="450" t="s">
        <v>602</v>
      </c>
      <c r="J45" s="450" t="s">
        <v>602</v>
      </c>
      <c r="K45" s="449">
        <f>K44*0.16</f>
        <v>64852.415999999997</v>
      </c>
      <c r="O45" s="446"/>
      <c r="P45" s="446"/>
      <c r="Q45" s="446"/>
      <c r="R45" s="446"/>
    </row>
    <row r="46" spans="3:18" ht="17.5" x14ac:dyDescent="0.3">
      <c r="G46" s="450"/>
      <c r="H46" s="450"/>
      <c r="I46" s="450" t="s">
        <v>518</v>
      </c>
      <c r="J46" s="450" t="s">
        <v>518</v>
      </c>
      <c r="K46" s="449">
        <f>K44+K45</f>
        <v>470180.01599999995</v>
      </c>
      <c r="L46" s="165"/>
      <c r="O46" s="446"/>
      <c r="P46" s="446"/>
      <c r="Q46" s="446"/>
      <c r="R46" s="446"/>
    </row>
    <row r="47" spans="3:18" x14ac:dyDescent="0.3">
      <c r="K47" s="155"/>
      <c r="O47" s="446"/>
      <c r="P47" s="446"/>
      <c r="Q47" s="446"/>
      <c r="R47" s="446"/>
    </row>
    <row r="48" spans="3:18" x14ac:dyDescent="0.3">
      <c r="K48" s="155"/>
      <c r="O48" s="446"/>
      <c r="P48" s="446"/>
      <c r="Q48" s="446"/>
      <c r="R48" s="446"/>
    </row>
    <row r="49" spans="3:18" x14ac:dyDescent="0.3">
      <c r="K49" s="168"/>
      <c r="O49" s="446"/>
      <c r="P49" s="446"/>
      <c r="Q49" s="155"/>
      <c r="R49" s="446"/>
    </row>
    <row r="50" spans="3:18" ht="15" customHeight="1" thickBot="1" x14ac:dyDescent="0.35">
      <c r="N50" s="155"/>
      <c r="Q50" s="446"/>
    </row>
    <row r="51" spans="3:18" ht="34.5" customHeight="1" thickBot="1" x14ac:dyDescent="0.35">
      <c r="C51" s="193" t="s">
        <v>42</v>
      </c>
      <c r="D51" s="439" t="s">
        <v>43</v>
      </c>
      <c r="E51" s="439" t="s">
        <v>625</v>
      </c>
      <c r="F51" s="439" t="s">
        <v>626</v>
      </c>
      <c r="G51" s="439" t="s">
        <v>627</v>
      </c>
      <c r="H51" s="439" t="s">
        <v>628</v>
      </c>
      <c r="I51" s="439" t="s">
        <v>629</v>
      </c>
      <c r="J51" s="439" t="s">
        <v>630</v>
      </c>
      <c r="K51" s="439" t="s">
        <v>631</v>
      </c>
      <c r="Q51" s="446"/>
    </row>
    <row r="52" spans="3:18" ht="28.5" customHeight="1" x14ac:dyDescent="0.3">
      <c r="C52" s="440">
        <v>1</v>
      </c>
      <c r="D52" s="441" t="s">
        <v>632</v>
      </c>
      <c r="E52" s="442">
        <v>1</v>
      </c>
      <c r="F52" s="442">
        <v>30</v>
      </c>
      <c r="G52" s="442">
        <v>1</v>
      </c>
      <c r="H52" s="443">
        <v>45000</v>
      </c>
      <c r="I52" s="444">
        <v>113036</v>
      </c>
      <c r="J52" s="444">
        <f>(I52*E52)* (F52/100)</f>
        <v>33910.799999999996</v>
      </c>
      <c r="K52" s="445">
        <f t="shared" ref="K52:K57" si="5">J52*G52</f>
        <v>33910.799999999996</v>
      </c>
      <c r="O52" s="446"/>
      <c r="P52" s="446"/>
      <c r="Q52" s="446"/>
      <c r="R52" s="86"/>
    </row>
    <row r="53" spans="3:18" ht="25.5" customHeight="1" x14ac:dyDescent="0.3">
      <c r="C53" s="181">
        <v>2</v>
      </c>
      <c r="D53" s="441" t="s">
        <v>311</v>
      </c>
      <c r="E53" s="442">
        <v>1</v>
      </c>
      <c r="F53" s="442">
        <v>100</v>
      </c>
      <c r="G53" s="442">
        <v>0.5</v>
      </c>
      <c r="H53" s="443">
        <v>35000</v>
      </c>
      <c r="I53" s="444">
        <v>72906</v>
      </c>
      <c r="J53" s="444">
        <f>(I53*E53)* (F53/100)</f>
        <v>72906</v>
      </c>
      <c r="K53" s="445">
        <f t="shared" si="5"/>
        <v>36453</v>
      </c>
      <c r="O53" s="446"/>
      <c r="P53" s="446"/>
      <c r="Q53" s="446"/>
      <c r="R53" s="86"/>
    </row>
    <row r="54" spans="3:18" ht="25.5" customHeight="1" x14ac:dyDescent="0.3">
      <c r="C54" s="181">
        <v>2</v>
      </c>
      <c r="D54" s="441" t="s">
        <v>597</v>
      </c>
      <c r="E54" s="442">
        <v>1</v>
      </c>
      <c r="F54" s="442">
        <v>100</v>
      </c>
      <c r="G54" s="442">
        <v>0.5</v>
      </c>
      <c r="H54" s="443">
        <v>35000</v>
      </c>
      <c r="I54" s="444">
        <v>58800</v>
      </c>
      <c r="J54" s="444">
        <f>(I54*E54)* (F54/100)</f>
        <v>58800</v>
      </c>
      <c r="K54" s="445">
        <f t="shared" si="5"/>
        <v>29400</v>
      </c>
      <c r="O54" s="446"/>
      <c r="P54" s="446"/>
      <c r="Q54" s="446"/>
      <c r="R54" s="86"/>
    </row>
    <row r="55" spans="3:18" ht="31.15" customHeight="1" x14ac:dyDescent="0.3">
      <c r="C55" s="181">
        <v>3</v>
      </c>
      <c r="D55" s="441" t="s">
        <v>642</v>
      </c>
      <c r="E55" s="442">
        <v>1</v>
      </c>
      <c r="F55" s="442">
        <v>100</v>
      </c>
      <c r="G55" s="442">
        <v>1</v>
      </c>
      <c r="H55" s="443">
        <v>35000</v>
      </c>
      <c r="I55" s="444">
        <v>98000</v>
      </c>
      <c r="J55" s="444">
        <f>(I55*E55)* (F55/100)</f>
        <v>98000</v>
      </c>
      <c r="K55" s="445">
        <f t="shared" si="5"/>
        <v>98000</v>
      </c>
      <c r="O55" s="446"/>
      <c r="P55" s="446"/>
      <c r="Q55" s="446"/>
      <c r="R55" s="86"/>
    </row>
    <row r="56" spans="3:18" ht="31.15" customHeight="1" x14ac:dyDescent="0.3">
      <c r="C56" s="181">
        <v>3</v>
      </c>
      <c r="D56" s="441" t="s">
        <v>643</v>
      </c>
      <c r="E56" s="442">
        <v>1</v>
      </c>
      <c r="F56" s="442">
        <v>100</v>
      </c>
      <c r="G56" s="442">
        <v>1</v>
      </c>
      <c r="H56" s="443">
        <v>35000</v>
      </c>
      <c r="I56" s="444">
        <v>75600</v>
      </c>
      <c r="J56" s="444">
        <v>45000</v>
      </c>
      <c r="K56" s="445">
        <f t="shared" si="5"/>
        <v>45000</v>
      </c>
      <c r="O56" s="446"/>
      <c r="P56" s="446"/>
      <c r="Q56" s="446"/>
      <c r="R56" s="86"/>
    </row>
    <row r="57" spans="3:18" ht="35.25" customHeight="1" thickBot="1" x14ac:dyDescent="0.35">
      <c r="C57" s="199">
        <v>3</v>
      </c>
      <c r="D57" s="441" t="s">
        <v>633</v>
      </c>
      <c r="E57" s="442">
        <v>1</v>
      </c>
      <c r="F57" s="442">
        <v>100</v>
      </c>
      <c r="G57" s="442">
        <v>1</v>
      </c>
      <c r="H57" s="443">
        <v>35000</v>
      </c>
      <c r="I57" s="444">
        <v>58800</v>
      </c>
      <c r="J57" s="444">
        <f>(I57*E57)* (F57/100)</f>
        <v>58800</v>
      </c>
      <c r="K57" s="445">
        <f t="shared" si="5"/>
        <v>58800</v>
      </c>
      <c r="O57" s="446"/>
      <c r="P57" s="446"/>
      <c r="Q57" s="446"/>
      <c r="R57" s="446"/>
    </row>
    <row r="58" spans="3:18" ht="9.75" customHeight="1" x14ac:dyDescent="0.3">
      <c r="C58" s="447"/>
      <c r="D58" s="447"/>
      <c r="E58" s="447"/>
      <c r="F58" s="447"/>
      <c r="G58" s="447"/>
      <c r="H58" s="324"/>
      <c r="I58" s="324"/>
      <c r="J58" s="324"/>
      <c r="K58" s="324"/>
      <c r="O58" s="446"/>
      <c r="P58" s="446"/>
      <c r="Q58" s="155"/>
      <c r="R58" s="446"/>
    </row>
    <row r="59" spans="3:18" ht="28.5" customHeight="1" x14ac:dyDescent="0.3">
      <c r="C59" s="181"/>
      <c r="D59" s="448"/>
      <c r="E59" s="448"/>
      <c r="F59" s="448"/>
      <c r="G59" s="448"/>
      <c r="O59" s="446"/>
      <c r="P59" s="446"/>
      <c r="Q59" s="446"/>
      <c r="R59" s="446"/>
    </row>
    <row r="60" spans="3:18" ht="22.5" hidden="1" customHeight="1" x14ac:dyDescent="0.3">
      <c r="C60" s="181"/>
      <c r="D60" s="448"/>
      <c r="E60" s="448"/>
      <c r="F60" s="448"/>
      <c r="G60" s="613" t="s">
        <v>634</v>
      </c>
      <c r="H60" s="613"/>
      <c r="I60" s="613"/>
      <c r="J60" s="613"/>
      <c r="K60" s="449"/>
      <c r="O60" s="446"/>
      <c r="P60" s="446"/>
      <c r="Q60" s="446"/>
      <c r="R60" s="446"/>
    </row>
    <row r="61" spans="3:18" ht="17.5" x14ac:dyDescent="0.3">
      <c r="G61" s="450"/>
      <c r="H61" s="450"/>
      <c r="I61" s="450" t="s">
        <v>519</v>
      </c>
      <c r="J61" s="450" t="s">
        <v>519</v>
      </c>
      <c r="K61" s="449">
        <f>SUM(K52:K57)</f>
        <v>301563.8</v>
      </c>
      <c r="N61" s="165"/>
      <c r="O61" s="446"/>
      <c r="P61" s="446"/>
      <c r="Q61" s="155"/>
      <c r="R61" s="446"/>
    </row>
    <row r="62" spans="3:18" ht="17.5" x14ac:dyDescent="0.3">
      <c r="G62" s="450"/>
      <c r="H62" s="450"/>
      <c r="I62" s="450" t="s">
        <v>602</v>
      </c>
      <c r="J62" s="450" t="s">
        <v>602</v>
      </c>
      <c r="K62" s="449">
        <f>K61*0.16</f>
        <v>48250.207999999999</v>
      </c>
      <c r="O62" s="446"/>
      <c r="P62" s="446"/>
      <c r="Q62" s="446"/>
      <c r="R62" s="446"/>
    </row>
    <row r="63" spans="3:18" ht="17.5" x14ac:dyDescent="0.3">
      <c r="G63" s="450"/>
      <c r="H63" s="450"/>
      <c r="I63" s="450" t="s">
        <v>518</v>
      </c>
      <c r="J63" s="450" t="s">
        <v>518</v>
      </c>
      <c r="K63" s="449">
        <f>K61+K62</f>
        <v>349814.00799999997</v>
      </c>
      <c r="L63" s="165"/>
      <c r="O63" s="446"/>
      <c r="P63" s="446"/>
      <c r="Q63" s="446"/>
      <c r="R63" s="446"/>
    </row>
    <row r="64" spans="3:18" x14ac:dyDescent="0.3">
      <c r="K64" s="155"/>
      <c r="O64" s="446"/>
      <c r="P64" s="446"/>
      <c r="Q64" s="446"/>
      <c r="R64" s="446"/>
    </row>
    <row r="65" spans="3:18" x14ac:dyDescent="0.3">
      <c r="K65" s="168"/>
      <c r="O65" s="446"/>
      <c r="P65" s="446"/>
      <c r="Q65" s="155"/>
      <c r="R65" s="446"/>
    </row>
    <row r="66" spans="3:18" ht="15" customHeight="1" thickBot="1" x14ac:dyDescent="0.35">
      <c r="N66" s="155"/>
      <c r="Q66" s="446"/>
    </row>
    <row r="67" spans="3:18" ht="34.5" customHeight="1" thickBot="1" x14ac:dyDescent="0.35">
      <c r="C67" s="193" t="s">
        <v>42</v>
      </c>
      <c r="D67" s="439" t="s">
        <v>43</v>
      </c>
      <c r="E67" s="439" t="s">
        <v>625</v>
      </c>
      <c r="F67" s="439" t="s">
        <v>626</v>
      </c>
      <c r="G67" s="439" t="s">
        <v>627</v>
      </c>
      <c r="H67" s="439" t="s">
        <v>628</v>
      </c>
      <c r="I67" s="439" t="s">
        <v>629</v>
      </c>
      <c r="J67" s="439" t="s">
        <v>630</v>
      </c>
      <c r="K67" s="439" t="s">
        <v>631</v>
      </c>
      <c r="Q67" s="446"/>
    </row>
    <row r="68" spans="3:18" ht="28.5" customHeight="1" x14ac:dyDescent="0.3">
      <c r="C68" s="440">
        <v>1</v>
      </c>
      <c r="D68" s="441" t="s">
        <v>632</v>
      </c>
      <c r="E68" s="442">
        <v>1</v>
      </c>
      <c r="F68" s="442">
        <v>30</v>
      </c>
      <c r="G68" s="442">
        <v>2</v>
      </c>
      <c r="H68" s="443">
        <v>45000</v>
      </c>
      <c r="I68" s="444">
        <v>113036</v>
      </c>
      <c r="J68" s="444">
        <f>(I68*E68)* (F68/100)</f>
        <v>33910.799999999996</v>
      </c>
      <c r="K68" s="445">
        <f t="shared" ref="K68:K73" si="6">J68*G68</f>
        <v>67821.599999999991</v>
      </c>
      <c r="O68" s="446"/>
      <c r="P68" s="446"/>
      <c r="Q68" s="446"/>
      <c r="R68" s="86"/>
    </row>
    <row r="69" spans="3:18" ht="25.5" customHeight="1" x14ac:dyDescent="0.3">
      <c r="C69" s="181">
        <v>2</v>
      </c>
      <c r="D69" s="441" t="s">
        <v>311</v>
      </c>
      <c r="E69" s="442">
        <v>1</v>
      </c>
      <c r="F69" s="442">
        <v>100</v>
      </c>
      <c r="G69" s="442">
        <v>1</v>
      </c>
      <c r="H69" s="443">
        <v>35000</v>
      </c>
      <c r="I69" s="444">
        <v>72906</v>
      </c>
      <c r="J69" s="444">
        <f>(I69*E69)* (F69/100)</f>
        <v>72906</v>
      </c>
      <c r="K69" s="445">
        <f t="shared" si="6"/>
        <v>72906</v>
      </c>
      <c r="O69" s="446"/>
      <c r="P69" s="446"/>
      <c r="Q69" s="446"/>
      <c r="R69" s="86"/>
    </row>
    <row r="70" spans="3:18" ht="25.5" customHeight="1" x14ac:dyDescent="0.3">
      <c r="C70" s="181">
        <v>2</v>
      </c>
      <c r="D70" s="441" t="s">
        <v>597</v>
      </c>
      <c r="E70" s="442">
        <v>1</v>
      </c>
      <c r="F70" s="442">
        <v>100</v>
      </c>
      <c r="G70" s="442">
        <v>1</v>
      </c>
      <c r="H70" s="443">
        <v>35000</v>
      </c>
      <c r="I70" s="444">
        <v>58800</v>
      </c>
      <c r="J70" s="444">
        <f>(I70*E70)* (F70/100)</f>
        <v>58800</v>
      </c>
      <c r="K70" s="445">
        <f t="shared" si="6"/>
        <v>58800</v>
      </c>
      <c r="O70" s="446"/>
      <c r="P70" s="446"/>
      <c r="Q70" s="446"/>
      <c r="R70" s="86"/>
    </row>
    <row r="71" spans="3:18" ht="31.15" customHeight="1" x14ac:dyDescent="0.3">
      <c r="C71" s="181">
        <v>3</v>
      </c>
      <c r="D71" s="441" t="s">
        <v>642</v>
      </c>
      <c r="E71" s="442">
        <v>1</v>
      </c>
      <c r="F71" s="442">
        <v>100</v>
      </c>
      <c r="G71" s="442">
        <v>2</v>
      </c>
      <c r="H71" s="443">
        <v>35000</v>
      </c>
      <c r="I71" s="444">
        <v>98000</v>
      </c>
      <c r="J71" s="444">
        <f>(I71*E71)* (F71/100)</f>
        <v>98000</v>
      </c>
      <c r="K71" s="445">
        <f t="shared" si="6"/>
        <v>196000</v>
      </c>
      <c r="O71" s="446"/>
      <c r="P71" s="446"/>
      <c r="Q71" s="446"/>
      <c r="R71" s="86"/>
    </row>
    <row r="72" spans="3:18" ht="31.15" customHeight="1" x14ac:dyDescent="0.3">
      <c r="C72" s="181">
        <v>3</v>
      </c>
      <c r="D72" s="441" t="s">
        <v>643</v>
      </c>
      <c r="E72" s="442">
        <v>1</v>
      </c>
      <c r="F72" s="442">
        <v>100</v>
      </c>
      <c r="G72" s="442">
        <v>2</v>
      </c>
      <c r="H72" s="443">
        <v>35000</v>
      </c>
      <c r="I72" s="444">
        <v>75600</v>
      </c>
      <c r="J72" s="444">
        <v>45000</v>
      </c>
      <c r="K72" s="445">
        <f t="shared" si="6"/>
        <v>90000</v>
      </c>
      <c r="O72" s="446"/>
      <c r="P72" s="446"/>
      <c r="Q72" s="446"/>
      <c r="R72" s="86"/>
    </row>
    <row r="73" spans="3:18" ht="35.25" customHeight="1" thickBot="1" x14ac:dyDescent="0.35">
      <c r="C73" s="199">
        <v>3</v>
      </c>
      <c r="D73" s="441" t="s">
        <v>633</v>
      </c>
      <c r="E73" s="442">
        <v>1</v>
      </c>
      <c r="F73" s="442">
        <v>100</v>
      </c>
      <c r="G73" s="442">
        <v>2</v>
      </c>
      <c r="H73" s="443">
        <v>35000</v>
      </c>
      <c r="I73" s="444">
        <v>58800</v>
      </c>
      <c r="J73" s="444">
        <f>(I73*E73)* (F73/100)</f>
        <v>58800</v>
      </c>
      <c r="K73" s="445">
        <f t="shared" si="6"/>
        <v>117600</v>
      </c>
      <c r="O73" s="446"/>
      <c r="P73" s="446"/>
      <c r="Q73" s="446"/>
      <c r="R73" s="446"/>
    </row>
    <row r="74" spans="3:18" ht="9.75" customHeight="1" x14ac:dyDescent="0.3">
      <c r="C74" s="447"/>
      <c r="D74" s="447"/>
      <c r="E74" s="447"/>
      <c r="F74" s="447"/>
      <c r="G74" s="447"/>
      <c r="H74" s="324"/>
      <c r="I74" s="324"/>
      <c r="J74" s="324"/>
      <c r="K74" s="324"/>
      <c r="O74" s="446"/>
      <c r="P74" s="446"/>
      <c r="Q74" s="155"/>
      <c r="R74" s="446"/>
    </row>
    <row r="75" spans="3:18" ht="28.5" customHeight="1" x14ac:dyDescent="0.3">
      <c r="C75" s="181"/>
      <c r="D75" s="448"/>
      <c r="E75" s="448"/>
      <c r="F75" s="448"/>
      <c r="G75" s="448"/>
      <c r="O75" s="446"/>
      <c r="P75" s="446"/>
      <c r="Q75" s="446"/>
      <c r="R75" s="446"/>
    </row>
    <row r="76" spans="3:18" ht="22.5" hidden="1" customHeight="1" x14ac:dyDescent="0.3">
      <c r="C76" s="181"/>
      <c r="D76" s="448"/>
      <c r="E76" s="448"/>
      <c r="F76" s="448"/>
      <c r="G76" s="613" t="s">
        <v>634</v>
      </c>
      <c r="H76" s="613"/>
      <c r="I76" s="613"/>
      <c r="J76" s="613"/>
      <c r="K76" s="449"/>
      <c r="O76" s="446"/>
      <c r="P76" s="446"/>
      <c r="Q76" s="446"/>
      <c r="R76" s="446"/>
    </row>
    <row r="77" spans="3:18" ht="17.5" x14ac:dyDescent="0.3">
      <c r="G77" s="450"/>
      <c r="H77" s="450"/>
      <c r="I77" s="450" t="s">
        <v>519</v>
      </c>
      <c r="J77" s="450" t="s">
        <v>519</v>
      </c>
      <c r="K77" s="449">
        <f>SUM(K68:K73)</f>
        <v>603127.6</v>
      </c>
      <c r="N77" s="165"/>
      <c r="O77" s="446"/>
      <c r="P77" s="446"/>
      <c r="Q77" s="155"/>
      <c r="R77" s="446"/>
    </row>
    <row r="78" spans="3:18" ht="17.5" x14ac:dyDescent="0.3">
      <c r="G78" s="450"/>
      <c r="H78" s="450"/>
      <c r="I78" s="450" t="s">
        <v>602</v>
      </c>
      <c r="J78" s="450" t="s">
        <v>602</v>
      </c>
      <c r="K78" s="449">
        <f>K77*0.16</f>
        <v>96500.415999999997</v>
      </c>
      <c r="O78" s="446"/>
      <c r="P78" s="446"/>
      <c r="Q78" s="446"/>
      <c r="R78" s="446"/>
    </row>
    <row r="79" spans="3:18" ht="17.5" x14ac:dyDescent="0.3">
      <c r="G79" s="450"/>
      <c r="H79" s="450"/>
      <c r="I79" s="450" t="s">
        <v>518</v>
      </c>
      <c r="J79" s="450" t="s">
        <v>518</v>
      </c>
      <c r="K79" s="449">
        <f>K77+K78</f>
        <v>699628.01599999995</v>
      </c>
      <c r="L79" s="165"/>
      <c r="O79" s="446"/>
      <c r="P79" s="446"/>
      <c r="Q79" s="446"/>
      <c r="R79" s="446"/>
    </row>
    <row r="80" spans="3:18" x14ac:dyDescent="0.3">
      <c r="K80" s="155"/>
      <c r="O80" s="446"/>
      <c r="P80" s="446"/>
      <c r="Q80" s="446"/>
      <c r="R80" s="446"/>
    </row>
    <row r="81" spans="3:18" ht="15" customHeight="1" thickBot="1" x14ac:dyDescent="0.35">
      <c r="N81" s="155"/>
      <c r="Q81" s="446"/>
    </row>
    <row r="82" spans="3:18" ht="34.5" customHeight="1" thickBot="1" x14ac:dyDescent="0.35">
      <c r="C82" s="193" t="s">
        <v>42</v>
      </c>
      <c r="D82" s="439" t="s">
        <v>43</v>
      </c>
      <c r="E82" s="439" t="s">
        <v>625</v>
      </c>
      <c r="F82" s="439" t="s">
        <v>626</v>
      </c>
      <c r="G82" s="439" t="s">
        <v>627</v>
      </c>
      <c r="H82" s="439" t="s">
        <v>628</v>
      </c>
      <c r="I82" s="439" t="s">
        <v>629</v>
      </c>
      <c r="J82" s="439" t="s">
        <v>630</v>
      </c>
      <c r="K82" s="439" t="s">
        <v>631</v>
      </c>
      <c r="Q82" s="446"/>
    </row>
    <row r="83" spans="3:18" ht="28.5" customHeight="1" x14ac:dyDescent="0.3">
      <c r="C83" s="440">
        <v>1</v>
      </c>
      <c r="D83" s="441" t="s">
        <v>632</v>
      </c>
      <c r="E83" s="442">
        <v>1</v>
      </c>
      <c r="F83" s="442">
        <v>30</v>
      </c>
      <c r="G83" s="442">
        <v>1.5</v>
      </c>
      <c r="H83" s="443">
        <v>45000</v>
      </c>
      <c r="I83" s="444">
        <v>113036</v>
      </c>
      <c r="J83" s="444">
        <f>(I83*E83)* (F83/100)</f>
        <v>33910.799999999996</v>
      </c>
      <c r="K83" s="445">
        <f t="shared" ref="K83:K88" si="7">J83*G83</f>
        <v>50866.2</v>
      </c>
      <c r="O83" s="446"/>
      <c r="P83" s="446"/>
      <c r="Q83" s="446"/>
      <c r="R83" s="86"/>
    </row>
    <row r="84" spans="3:18" ht="25.5" customHeight="1" x14ac:dyDescent="0.3">
      <c r="C84" s="181">
        <v>2</v>
      </c>
      <c r="D84" s="441" t="s">
        <v>311</v>
      </c>
      <c r="E84" s="442">
        <v>1</v>
      </c>
      <c r="F84" s="442">
        <v>100</v>
      </c>
      <c r="G84" s="442">
        <v>0.5</v>
      </c>
      <c r="H84" s="443">
        <v>35000</v>
      </c>
      <c r="I84" s="444">
        <v>72906</v>
      </c>
      <c r="J84" s="444">
        <f>(I84*E84)* (F84/100)</f>
        <v>72906</v>
      </c>
      <c r="K84" s="445">
        <f t="shared" si="7"/>
        <v>36453</v>
      </c>
      <c r="O84" s="446"/>
      <c r="P84" s="446"/>
      <c r="Q84" s="446"/>
      <c r="R84" s="86"/>
    </row>
    <row r="85" spans="3:18" ht="25.5" customHeight="1" x14ac:dyDescent="0.3">
      <c r="C85" s="181">
        <v>2</v>
      </c>
      <c r="D85" s="441" t="s">
        <v>597</v>
      </c>
      <c r="E85" s="442">
        <v>1</v>
      </c>
      <c r="F85" s="442">
        <v>100</v>
      </c>
      <c r="G85" s="442">
        <v>0.5</v>
      </c>
      <c r="H85" s="443">
        <v>35000</v>
      </c>
      <c r="I85" s="444">
        <v>58800</v>
      </c>
      <c r="J85" s="444">
        <f>(I85*E85)* (F85/100)</f>
        <v>58800</v>
      </c>
      <c r="K85" s="445">
        <f t="shared" si="7"/>
        <v>29400</v>
      </c>
      <c r="O85" s="446"/>
      <c r="P85" s="446"/>
      <c r="Q85" s="446"/>
      <c r="R85" s="86"/>
    </row>
    <row r="86" spans="3:18" ht="31.15" customHeight="1" x14ac:dyDescent="0.3">
      <c r="C86" s="181">
        <v>3</v>
      </c>
      <c r="D86" s="441" t="s">
        <v>642</v>
      </c>
      <c r="E86" s="442">
        <v>1</v>
      </c>
      <c r="F86" s="442">
        <v>100</v>
      </c>
      <c r="G86" s="442">
        <v>1.5</v>
      </c>
      <c r="H86" s="443">
        <v>35000</v>
      </c>
      <c r="I86" s="444">
        <v>98000</v>
      </c>
      <c r="J86" s="444">
        <f>(I86*E86)* (F86/100)</f>
        <v>98000</v>
      </c>
      <c r="K86" s="445">
        <f t="shared" si="7"/>
        <v>147000</v>
      </c>
      <c r="O86" s="446"/>
      <c r="P86" s="446"/>
      <c r="Q86" s="446"/>
      <c r="R86" s="86"/>
    </row>
    <row r="87" spans="3:18" ht="31.15" customHeight="1" x14ac:dyDescent="0.3">
      <c r="C87" s="181">
        <v>3</v>
      </c>
      <c r="D87" s="441" t="s">
        <v>643</v>
      </c>
      <c r="E87" s="442">
        <v>1</v>
      </c>
      <c r="F87" s="442">
        <v>100</v>
      </c>
      <c r="G87" s="442">
        <v>0</v>
      </c>
      <c r="H87" s="443">
        <v>35000</v>
      </c>
      <c r="I87" s="444">
        <v>75600</v>
      </c>
      <c r="J87" s="444">
        <v>45000</v>
      </c>
      <c r="K87" s="445">
        <f t="shared" si="7"/>
        <v>0</v>
      </c>
      <c r="O87" s="446"/>
      <c r="P87" s="446"/>
      <c r="Q87" s="446"/>
      <c r="R87" s="86"/>
    </row>
    <row r="88" spans="3:18" ht="35.25" customHeight="1" thickBot="1" x14ac:dyDescent="0.35">
      <c r="C88" s="199">
        <v>3</v>
      </c>
      <c r="D88" s="441" t="s">
        <v>633</v>
      </c>
      <c r="E88" s="442">
        <v>1</v>
      </c>
      <c r="F88" s="442">
        <v>100</v>
      </c>
      <c r="G88" s="442">
        <v>1</v>
      </c>
      <c r="H88" s="443">
        <v>35000</v>
      </c>
      <c r="I88" s="444">
        <v>58800</v>
      </c>
      <c r="J88" s="444">
        <f>(I88*E88)* (F88/100)</f>
        <v>58800</v>
      </c>
      <c r="K88" s="445">
        <f t="shared" si="7"/>
        <v>58800</v>
      </c>
      <c r="O88" s="446"/>
      <c r="P88" s="446"/>
      <c r="Q88" s="446"/>
      <c r="R88" s="446"/>
    </row>
    <row r="89" spans="3:18" ht="9.75" customHeight="1" x14ac:dyDescent="0.3">
      <c r="C89" s="447"/>
      <c r="D89" s="447"/>
      <c r="E89" s="447"/>
      <c r="F89" s="447"/>
      <c r="G89" s="447"/>
      <c r="H89" s="324"/>
      <c r="I89" s="324"/>
      <c r="J89" s="324"/>
      <c r="K89" s="324"/>
      <c r="O89" s="446"/>
      <c r="P89" s="446"/>
      <c r="Q89" s="155"/>
      <c r="R89" s="446"/>
    </row>
    <row r="90" spans="3:18" ht="28.5" customHeight="1" x14ac:dyDescent="0.3">
      <c r="C90" s="181"/>
      <c r="D90" s="448"/>
      <c r="E90" s="448"/>
      <c r="F90" s="448"/>
      <c r="G90" s="448"/>
      <c r="O90" s="446"/>
      <c r="P90" s="446"/>
      <c r="Q90" s="446"/>
      <c r="R90" s="446"/>
    </row>
    <row r="91" spans="3:18" ht="22.5" hidden="1" customHeight="1" x14ac:dyDescent="0.3">
      <c r="C91" s="181"/>
      <c r="D91" s="448"/>
      <c r="E91" s="448"/>
      <c r="F91" s="448"/>
      <c r="G91" s="613" t="s">
        <v>634</v>
      </c>
      <c r="H91" s="613"/>
      <c r="I91" s="613"/>
      <c r="J91" s="613"/>
      <c r="K91" s="449"/>
      <c r="O91" s="446"/>
      <c r="P91" s="446"/>
      <c r="Q91" s="446"/>
      <c r="R91" s="446"/>
    </row>
    <row r="92" spans="3:18" ht="17.5" x14ac:dyDescent="0.3">
      <c r="G92" s="450"/>
      <c r="H92" s="450"/>
      <c r="I92" s="450" t="s">
        <v>519</v>
      </c>
      <c r="J92" s="450" t="s">
        <v>519</v>
      </c>
      <c r="K92" s="449">
        <f>SUM(K83:K88)</f>
        <v>322519.2</v>
      </c>
      <c r="N92" s="165"/>
      <c r="O92" s="446"/>
      <c r="P92" s="446"/>
      <c r="Q92" s="155"/>
      <c r="R92" s="446"/>
    </row>
    <row r="93" spans="3:18" ht="17.5" x14ac:dyDescent="0.3">
      <c r="G93" s="450"/>
      <c r="H93" s="450"/>
      <c r="I93" s="450" t="s">
        <v>602</v>
      </c>
      <c r="J93" s="450" t="s">
        <v>602</v>
      </c>
      <c r="K93" s="449">
        <f>K92*0.16</f>
        <v>51603.072</v>
      </c>
      <c r="O93" s="446"/>
      <c r="P93" s="446"/>
      <c r="Q93" s="446"/>
      <c r="R93" s="446"/>
    </row>
    <row r="94" spans="3:18" ht="17.5" x14ac:dyDescent="0.3">
      <c r="G94" s="450"/>
      <c r="H94" s="450"/>
      <c r="I94" s="450" t="s">
        <v>518</v>
      </c>
      <c r="J94" s="450" t="s">
        <v>518</v>
      </c>
      <c r="K94" s="449">
        <f>K92+K93</f>
        <v>374122.272</v>
      </c>
      <c r="L94" s="165"/>
      <c r="O94" s="446"/>
      <c r="P94" s="446"/>
      <c r="Q94" s="446"/>
      <c r="R94" s="446"/>
    </row>
    <row r="95" spans="3:18" x14ac:dyDescent="0.3">
      <c r="K95" s="155"/>
      <c r="O95" s="446"/>
      <c r="P95" s="446"/>
      <c r="Q95" s="446"/>
      <c r="R95" s="446"/>
    </row>
    <row r="96" spans="3:18" x14ac:dyDescent="0.3">
      <c r="K96" s="155"/>
      <c r="O96" s="446"/>
      <c r="P96" s="446"/>
      <c r="Q96" s="446"/>
      <c r="R96" s="446"/>
    </row>
    <row r="97" spans="4:18" x14ac:dyDescent="0.3">
      <c r="K97" s="168"/>
      <c r="O97" s="446"/>
      <c r="P97" s="446"/>
      <c r="Q97" s="155"/>
      <c r="R97" s="446"/>
    </row>
    <row r="98" spans="4:18" x14ac:dyDescent="0.3">
      <c r="D98" s="610" t="s">
        <v>635</v>
      </c>
      <c r="E98" s="610"/>
      <c r="F98" s="610"/>
      <c r="G98" s="610"/>
      <c r="H98" s="610"/>
      <c r="I98" s="610"/>
      <c r="J98" s="610"/>
      <c r="K98" s="610"/>
      <c r="L98" s="610"/>
      <c r="O98" s="171"/>
      <c r="P98" s="171"/>
      <c r="Q98" s="171"/>
    </row>
    <row r="99" spans="4:18" x14ac:dyDescent="0.3">
      <c r="H99" s="169" t="s">
        <v>74</v>
      </c>
      <c r="I99" s="169"/>
      <c r="J99" s="169"/>
      <c r="K99" s="451"/>
    </row>
    <row r="100" spans="4:18" ht="18" thickBot="1" x14ac:dyDescent="0.35">
      <c r="E100" s="615" t="s">
        <v>640</v>
      </c>
      <c r="F100" s="615"/>
      <c r="G100" s="470" t="s">
        <v>653</v>
      </c>
      <c r="H100" s="469"/>
      <c r="I100" s="615" t="s">
        <v>654</v>
      </c>
      <c r="J100" s="615"/>
      <c r="K100" s="616" t="s">
        <v>655</v>
      </c>
      <c r="L100" s="616"/>
    </row>
    <row r="101" spans="4:18" ht="18" thickBot="1" x14ac:dyDescent="0.35">
      <c r="E101" s="480" t="s">
        <v>636</v>
      </c>
      <c r="F101" s="481" t="s">
        <v>637</v>
      </c>
      <c r="G101" s="471" t="s">
        <v>638</v>
      </c>
      <c r="H101" s="439" t="s">
        <v>646</v>
      </c>
      <c r="I101" s="480" t="s">
        <v>646</v>
      </c>
      <c r="J101" s="481" t="s">
        <v>647</v>
      </c>
      <c r="K101" s="474" t="s">
        <v>648</v>
      </c>
      <c r="L101" s="475" t="s">
        <v>649</v>
      </c>
    </row>
    <row r="102" spans="4:18" ht="17.5" x14ac:dyDescent="0.35">
      <c r="D102" s="441" t="s">
        <v>632</v>
      </c>
      <c r="E102" s="486">
        <f>K35/2</f>
        <v>33910.799999999996</v>
      </c>
      <c r="F102" s="487">
        <f>K35/2</f>
        <v>33910.799999999996</v>
      </c>
      <c r="G102" s="472">
        <f t="shared" ref="G102:G107" si="8">K52</f>
        <v>33910.799999999996</v>
      </c>
      <c r="H102" s="454"/>
      <c r="I102" s="482">
        <f t="shared" ref="I102:I107" si="9">K68/2</f>
        <v>33910.799999999996</v>
      </c>
      <c r="J102" s="483">
        <f t="shared" ref="J102:J107" si="10">K68/2</f>
        <v>33910.799999999996</v>
      </c>
      <c r="K102" s="476">
        <f t="shared" ref="K102:K107" si="11">K83/1.5</f>
        <v>33910.799999999996</v>
      </c>
      <c r="L102" s="477">
        <f t="shared" ref="L102:L107" si="12">K83-K102</f>
        <v>16955.400000000001</v>
      </c>
    </row>
    <row r="103" spans="4:18" ht="17.5" x14ac:dyDescent="0.35">
      <c r="D103" s="441" t="s">
        <v>311</v>
      </c>
      <c r="E103" s="486">
        <f>K36/2</f>
        <v>36453</v>
      </c>
      <c r="F103" s="487">
        <f>K36/2</f>
        <v>36453</v>
      </c>
      <c r="G103" s="472">
        <f t="shared" si="8"/>
        <v>36453</v>
      </c>
      <c r="H103" s="454"/>
      <c r="I103" s="482">
        <f t="shared" si="9"/>
        <v>36453</v>
      </c>
      <c r="J103" s="483">
        <f t="shared" si="10"/>
        <v>36453</v>
      </c>
      <c r="K103" s="476">
        <f t="shared" si="11"/>
        <v>24302</v>
      </c>
      <c r="L103" s="477">
        <f t="shared" si="12"/>
        <v>12151</v>
      </c>
    </row>
    <row r="104" spans="4:18" ht="17.5" x14ac:dyDescent="0.35">
      <c r="D104" s="441" t="s">
        <v>597</v>
      </c>
      <c r="E104" s="486">
        <f>K37/2</f>
        <v>29400</v>
      </c>
      <c r="F104" s="487">
        <f>K37/2</f>
        <v>29400</v>
      </c>
      <c r="G104" s="472">
        <f t="shared" si="8"/>
        <v>29400</v>
      </c>
      <c r="H104" s="454"/>
      <c r="I104" s="482">
        <f t="shared" si="9"/>
        <v>29400</v>
      </c>
      <c r="J104" s="483">
        <f t="shared" si="10"/>
        <v>29400</v>
      </c>
      <c r="K104" s="476">
        <f t="shared" si="11"/>
        <v>19600</v>
      </c>
      <c r="L104" s="477">
        <f t="shared" si="12"/>
        <v>9800</v>
      </c>
    </row>
    <row r="105" spans="4:18" ht="17.5" x14ac:dyDescent="0.35">
      <c r="D105" s="441" t="s">
        <v>650</v>
      </c>
      <c r="E105" s="486">
        <f>K38-F105</f>
        <v>49000</v>
      </c>
      <c r="F105" s="487">
        <f>J38</f>
        <v>98000</v>
      </c>
      <c r="G105" s="472">
        <f t="shared" si="8"/>
        <v>98000</v>
      </c>
      <c r="H105" s="454"/>
      <c r="I105" s="482">
        <f t="shared" si="9"/>
        <v>98000</v>
      </c>
      <c r="J105" s="483">
        <f t="shared" si="10"/>
        <v>98000</v>
      </c>
      <c r="K105" s="476">
        <f t="shared" si="11"/>
        <v>98000</v>
      </c>
      <c r="L105" s="477">
        <f t="shared" si="12"/>
        <v>49000</v>
      </c>
    </row>
    <row r="106" spans="4:18" ht="17.5" x14ac:dyDescent="0.35">
      <c r="D106" s="441" t="s">
        <v>652</v>
      </c>
      <c r="E106" s="486">
        <f>K39/2</f>
        <v>0</v>
      </c>
      <c r="F106" s="487">
        <f>K39/2</f>
        <v>0</v>
      </c>
      <c r="G106" s="472">
        <f t="shared" si="8"/>
        <v>45000</v>
      </c>
      <c r="H106" s="454"/>
      <c r="I106" s="482">
        <f t="shared" si="9"/>
        <v>45000</v>
      </c>
      <c r="J106" s="483">
        <f t="shared" si="10"/>
        <v>45000</v>
      </c>
      <c r="K106" s="476">
        <f t="shared" si="11"/>
        <v>0</v>
      </c>
      <c r="L106" s="477">
        <f t="shared" si="12"/>
        <v>0</v>
      </c>
    </row>
    <row r="107" spans="4:18" ht="17.5" x14ac:dyDescent="0.35">
      <c r="D107" s="441" t="s">
        <v>651</v>
      </c>
      <c r="E107" s="488">
        <f>K40/2</f>
        <v>29400</v>
      </c>
      <c r="F107" s="489">
        <f>K40/2</f>
        <v>29400</v>
      </c>
      <c r="G107" s="473">
        <f t="shared" si="8"/>
        <v>58800</v>
      </c>
      <c r="H107" s="454"/>
      <c r="I107" s="484">
        <f t="shared" si="9"/>
        <v>58800</v>
      </c>
      <c r="J107" s="485">
        <f t="shared" si="10"/>
        <v>58800</v>
      </c>
      <c r="K107" s="478">
        <f t="shared" si="11"/>
        <v>39200</v>
      </c>
      <c r="L107" s="479">
        <f t="shared" si="12"/>
        <v>19600</v>
      </c>
    </row>
    <row r="108" spans="4:18" ht="17.5" x14ac:dyDescent="0.35">
      <c r="E108" s="457"/>
      <c r="F108" s="457"/>
      <c r="G108" s="457"/>
      <c r="H108" s="454"/>
      <c r="I108" s="454"/>
    </row>
    <row r="109" spans="4:18" ht="17.5" x14ac:dyDescent="0.3">
      <c r="D109" s="450" t="s">
        <v>519</v>
      </c>
      <c r="E109" s="468">
        <f t="shared" ref="E109:L109" si="13">SUM(E102:E107)</f>
        <v>178163.8</v>
      </c>
      <c r="F109" s="468">
        <f t="shared" si="13"/>
        <v>227163.8</v>
      </c>
      <c r="G109" s="468">
        <f t="shared" si="13"/>
        <v>301563.8</v>
      </c>
      <c r="H109" s="468">
        <f t="shared" si="13"/>
        <v>0</v>
      </c>
      <c r="I109" s="468">
        <f t="shared" si="13"/>
        <v>301563.8</v>
      </c>
      <c r="J109" s="468">
        <f t="shared" si="13"/>
        <v>301563.8</v>
      </c>
      <c r="K109" s="468">
        <f t="shared" si="13"/>
        <v>215012.8</v>
      </c>
      <c r="L109" s="468">
        <f t="shared" si="13"/>
        <v>107506.4</v>
      </c>
      <c r="N109" s="494">
        <f>SUM(E109:L109)</f>
        <v>1632538.2</v>
      </c>
    </row>
    <row r="110" spans="4:18" ht="17.5" x14ac:dyDescent="0.3">
      <c r="D110" s="450" t="s">
        <v>639</v>
      </c>
      <c r="E110" s="468">
        <f>E109*0.16</f>
        <v>28506.207999999999</v>
      </c>
      <c r="F110" s="468">
        <f t="shared" ref="F110:L110" si="14">F109*0.16</f>
        <v>36346.207999999999</v>
      </c>
      <c r="G110" s="468">
        <f t="shared" si="14"/>
        <v>48250.207999999999</v>
      </c>
      <c r="H110" s="468">
        <f t="shared" si="14"/>
        <v>0</v>
      </c>
      <c r="I110" s="468">
        <f t="shared" si="14"/>
        <v>48250.207999999999</v>
      </c>
      <c r="J110" s="468">
        <f t="shared" si="14"/>
        <v>48250.207999999999</v>
      </c>
      <c r="K110" s="468">
        <f t="shared" si="14"/>
        <v>34402.047999999995</v>
      </c>
      <c r="L110" s="468">
        <f t="shared" si="14"/>
        <v>17201.023999999998</v>
      </c>
      <c r="N110" s="494">
        <f>SUM(E110:L110)</f>
        <v>261206.11199999999</v>
      </c>
    </row>
    <row r="111" spans="4:18" ht="17.5" x14ac:dyDescent="0.3">
      <c r="D111" s="450" t="s">
        <v>518</v>
      </c>
      <c r="E111" s="468">
        <f>E109+E110</f>
        <v>206670.00799999997</v>
      </c>
      <c r="F111" s="468">
        <f t="shared" ref="F111:L111" si="15">F109+F110</f>
        <v>263510.00799999997</v>
      </c>
      <c r="G111" s="468">
        <f t="shared" si="15"/>
        <v>349814.00799999997</v>
      </c>
      <c r="H111" s="468">
        <f t="shared" si="15"/>
        <v>0</v>
      </c>
      <c r="I111" s="468">
        <f t="shared" si="15"/>
        <v>349814.00799999997</v>
      </c>
      <c r="J111" s="468">
        <f t="shared" si="15"/>
        <v>349814.00799999997</v>
      </c>
      <c r="K111" s="468">
        <f t="shared" si="15"/>
        <v>249414.848</v>
      </c>
      <c r="L111" s="468">
        <f t="shared" si="15"/>
        <v>124707.424</v>
      </c>
      <c r="N111" s="494">
        <f>SUM(E111:L111)</f>
        <v>1893744.3119999999</v>
      </c>
    </row>
    <row r="113" spans="14:14" x14ac:dyDescent="0.3">
      <c r="N113" s="494">
        <f>N109/1558</f>
        <v>1047.8422336328626</v>
      </c>
    </row>
    <row r="115" spans="14:14" x14ac:dyDescent="0.3">
      <c r="N115" s="494">
        <f>Inversión!N20</f>
        <v>1048800</v>
      </c>
    </row>
    <row r="116" spans="14:14" x14ac:dyDescent="0.3">
      <c r="N116" s="494">
        <f>N115-N109</f>
        <v>-583738.19999999995</v>
      </c>
    </row>
    <row r="149" spans="4:18" s="56" customFormat="1" x14ac:dyDescent="0.3">
      <c r="D149" s="57"/>
      <c r="E149" s="57"/>
      <c r="F149" s="57"/>
      <c r="G149" s="57"/>
      <c r="H149" s="58"/>
      <c r="I149" s="58"/>
      <c r="J149" s="58"/>
      <c r="K149" s="58"/>
      <c r="L149" s="58"/>
      <c r="M149" s="58"/>
      <c r="N149" s="58"/>
      <c r="O149" s="58"/>
      <c r="P149" s="58"/>
      <c r="Q149" s="58"/>
      <c r="R149" s="58"/>
    </row>
  </sheetData>
  <mergeCells count="13">
    <mergeCell ref="G60:J60"/>
    <mergeCell ref="G76:J76"/>
    <mergeCell ref="G91:J91"/>
    <mergeCell ref="D98:L98"/>
    <mergeCell ref="E100:F100"/>
    <mergeCell ref="I100:J100"/>
    <mergeCell ref="K100:L100"/>
    <mergeCell ref="G43:J43"/>
    <mergeCell ref="C7:K7"/>
    <mergeCell ref="C9:K9"/>
    <mergeCell ref="C16:K16"/>
    <mergeCell ref="Q16:Q18"/>
    <mergeCell ref="G27:J2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9e5804f-e7b2-4caf-a11e-3ce4b27bc8e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753E23B1CF1DE46AA193B48D742466E" ma:contentTypeVersion="13" ma:contentTypeDescription="Crear nuevo documento." ma:contentTypeScope="" ma:versionID="c79778ecf5e1e61d8149f18cc7ee61c3">
  <xsd:schema xmlns:xsd="http://www.w3.org/2001/XMLSchema" xmlns:xs="http://www.w3.org/2001/XMLSchema" xmlns:p="http://schemas.microsoft.com/office/2006/metadata/properties" xmlns:ns3="0fbd0685-82b2-4c33-8c30-7a70aff2da7e" xmlns:ns4="e9e5804f-e7b2-4caf-a11e-3ce4b27bc8e4" targetNamespace="http://schemas.microsoft.com/office/2006/metadata/properties" ma:root="true" ma:fieldsID="2430bb5555777b54856ff4e369aeee55" ns3:_="" ns4:_="">
    <xsd:import namespace="0fbd0685-82b2-4c33-8c30-7a70aff2da7e"/>
    <xsd:import namespace="e9e5804f-e7b2-4caf-a11e-3ce4b27bc8e4"/>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_activity"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bd0685-82b2-4c33-8c30-7a70aff2da7e" elementFormDefault="qualified">
    <xsd:import namespace="http://schemas.microsoft.com/office/2006/documentManagement/types"/>
    <xsd:import namespace="http://schemas.microsoft.com/office/infopath/2007/PartnerControls"/>
    <xsd:element name="SharedWithDetails" ma:index="8" nillable="true" ma:displayName="Detalles de uso compartido" ma:internalName="SharedWithDetails" ma:readOnly="true">
      <xsd:simpleType>
        <xsd:restriction base="dms:Note">
          <xsd:maxLength value="255"/>
        </xsd:restriction>
      </xsd:simpleType>
    </xsd:element>
    <xsd:element name="SharedWithUsers" ma:index="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e5804f-e7b2-4caf-a11e-3ce4b27bc8e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BDB015-B0B3-4973-8112-49F7C8565EF5}">
  <ds:schemaRefs>
    <ds:schemaRef ds:uri="http://schemas.openxmlformats.org/package/2006/metadata/core-properties"/>
    <ds:schemaRef ds:uri="http://purl.org/dc/terms/"/>
    <ds:schemaRef ds:uri="http://schemas.microsoft.com/office/2006/metadata/properties"/>
    <ds:schemaRef ds:uri="http://purl.org/dc/elements/1.1/"/>
    <ds:schemaRef ds:uri="http://schemas.microsoft.com/office/infopath/2007/PartnerControls"/>
    <ds:schemaRef ds:uri="http://purl.org/dc/dcmitype/"/>
    <ds:schemaRef ds:uri="http://schemas.microsoft.com/office/2006/documentManagement/types"/>
    <ds:schemaRef ds:uri="e9e5804f-e7b2-4caf-a11e-3ce4b27bc8e4"/>
    <ds:schemaRef ds:uri="0fbd0685-82b2-4c33-8c30-7a70aff2da7e"/>
    <ds:schemaRef ds:uri="http://www.w3.org/XML/1998/namespace"/>
  </ds:schemaRefs>
</ds:datastoreItem>
</file>

<file path=customXml/itemProps2.xml><?xml version="1.0" encoding="utf-8"?>
<ds:datastoreItem xmlns:ds="http://schemas.openxmlformats.org/officeDocument/2006/customXml" ds:itemID="{5065A2D5-97FE-4F85-B692-AF350230195B}">
  <ds:schemaRefs>
    <ds:schemaRef ds:uri="http://schemas.microsoft.com/sharepoint/v3/contenttype/forms"/>
  </ds:schemaRefs>
</ds:datastoreItem>
</file>

<file path=customXml/itemProps3.xml><?xml version="1.0" encoding="utf-8"?>
<ds:datastoreItem xmlns:ds="http://schemas.openxmlformats.org/officeDocument/2006/customXml" ds:itemID="{FA87DD87-8EF9-44BC-A84F-D72622634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bd0685-82b2-4c33-8c30-7a70aff2da7e"/>
    <ds:schemaRef ds:uri="e9e5804f-e7b2-4caf-a11e-3ce4b27bc8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Información proyecto</vt:lpstr>
      <vt:lpstr>Modelo</vt:lpstr>
      <vt:lpstr>Alcance y tiempo</vt:lpstr>
      <vt:lpstr>ALCANCE COMPLETO</vt:lpstr>
      <vt:lpstr>PLAN INCREMENTOS</vt:lpstr>
      <vt:lpstr>Fechas y costos</vt:lpstr>
      <vt:lpstr>Inversión CELULA</vt:lpstr>
      <vt:lpstr>Inversión CELULA_V2 + .4</vt:lpstr>
      <vt:lpstr>Inversión CELULA_V2 + .25)</vt:lpstr>
      <vt:lpstr>Inversión</vt:lpstr>
      <vt:lpstr>Anexo 1 - Calendario</vt:lpstr>
      <vt:lpstr>Anexo 2-Flujo de pago - CELULA</vt:lpstr>
      <vt:lpstr>Anexo 2 - Flujo de pago</vt:lpstr>
      <vt:lpstr>Anexo 3 - Poliza Software</vt:lpstr>
      <vt:lpstr>Anexo 4 - Hosting</vt:lpstr>
      <vt:lpstr>Anexo 5 - Implementación</vt:lpstr>
      <vt:lpstr>'Alcance y tiempo'!Área_de_impresión</vt:lpstr>
      <vt:lpstr>'Información proyecto'!Área_de_impresión</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LAPAXSIS-08</dc:creator>
  <cp:lastModifiedBy>Carla Vanessa Ruíz Noriega</cp:lastModifiedBy>
  <dcterms:created xsi:type="dcterms:W3CDTF">2011-08-15T18:32:04Z</dcterms:created>
  <dcterms:modified xsi:type="dcterms:W3CDTF">2024-01-20T00:49:25Z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0x0101008753E23B1CF1DE46AA193B48D742466E</vt:lpwstr>
  </property>
</Properties>
</file>