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D:\Documentos Axsis Tecnologia\DocumentosClientesPropuestas\@DocsDHARMA-INTEGRINOX\"/>
    </mc:Choice>
  </mc:AlternateContent>
  <xr:revisionPtr revIDLastSave="0" documentId="13_ncr:1_{2DA86A6B-DC43-4EE4-B23C-7B34E818D47A}" xr6:coauthVersionLast="45" xr6:coauthVersionMax="45" xr10:uidLastSave="{00000000-0000-0000-0000-000000000000}"/>
  <bookViews>
    <workbookView xWindow="-120" yWindow="-120" windowWidth="24240" windowHeight="13140" tabRatio="914" activeTab="3" xr2:uid="{00000000-000D-0000-FFFF-FFFF00000000}"/>
  </bookViews>
  <sheets>
    <sheet name="Información proyecto" sheetId="1" r:id="rId1"/>
    <sheet name="Modelo" sheetId="8" r:id="rId2"/>
    <sheet name="CB_DATA_" sheetId="14" state="veryHidden" r:id="rId3"/>
    <sheet name="Alcance y tiempo" sheetId="2" r:id="rId4"/>
    <sheet name="Fechas y costos" sheetId="3" r:id="rId5"/>
    <sheet name="Inversión" sheetId="4" r:id="rId6"/>
    <sheet name="Anexo 1 - Calendario" sheetId="9" state="hidden" r:id="rId7"/>
    <sheet name="Anexo 2 - Flujo de pago" sheetId="6" r:id="rId8"/>
    <sheet name="Anexo 2 - Flujo de pago (2)" sheetId="13" state="hidden" r:id="rId9"/>
    <sheet name="Anexo 3 - Poliza Software" sheetId="10" state="hidden" r:id="rId10"/>
    <sheet name="Anexo 4 - Hosting" sheetId="11" state="hidden" r:id="rId11"/>
    <sheet name="Anexo 5 - Implementación" sheetId="12" state="hidden" r:id="rId12"/>
  </sheets>
  <definedNames>
    <definedName name="_xlnm.Print_Area" localSheetId="3">'Alcance y tiempo'!$L$3:$P$127</definedName>
    <definedName name="_xlnm.Print_Area" localSheetId="0">'Información proyecto'!$C$3:$G$7</definedName>
    <definedName name="CB_09166b2ec0154478b993bb4fef3678c6" localSheetId="3" hidden="1">'Alcance y tiempo'!$CD$28</definedName>
    <definedName name="CB_12d86b3d2d5a462b85ed963701da0589" localSheetId="3" hidden="1">'Alcance y tiempo'!$CD$90</definedName>
    <definedName name="CB_130a95fb2b224770b60ebad7c689b58e" localSheetId="3" hidden="1">'Alcance y tiempo'!$CD$110</definedName>
    <definedName name="CB_15c68a1de5b246108dd1c3d4731f09d2" localSheetId="3" hidden="1">'Alcance y tiempo'!$CD$125</definedName>
    <definedName name="CB_1e3dff4f548d4a7895871e012b4ae717" localSheetId="3" hidden="1">'Alcance y tiempo'!$CD$36</definedName>
    <definedName name="CB_235f5bf8cd354461891c9e293b2c8975" localSheetId="3" hidden="1">'Alcance y tiempo'!$CD$99</definedName>
    <definedName name="CB_27a284d7dd2b470e91e788deccfcfd7e" localSheetId="3" hidden="1">'Alcance y tiempo'!$CD$89</definedName>
    <definedName name="CB_28f460271b0949f38982521da6cb1313" localSheetId="3" hidden="1">'Alcance y tiempo'!$CD$21</definedName>
    <definedName name="CB_2a82a1092324464f80818238dcbcb1ee" localSheetId="3" hidden="1">'Alcance y tiempo'!$CD$112</definedName>
    <definedName name="CB_2d7edc94b7ba475b85be892217509a57" localSheetId="3" hidden="1">'Alcance y tiempo'!$CD$116</definedName>
    <definedName name="CB_33a4efca2f1a47eeb6363fd033398cc2" localSheetId="3" hidden="1">'Alcance y tiempo'!$CD$13</definedName>
    <definedName name="CB_33a9784a91dd4193ad9e928029c6e489" localSheetId="3" hidden="1">'Alcance y tiempo'!$CD$124</definedName>
    <definedName name="CB_3a374365ae5d4aea91f2d1f561f527f9" localSheetId="3" hidden="1">'Alcance y tiempo'!$CD$35</definedName>
    <definedName name="CB_3cccea67dcfd42dd8f8c134a778f4505" localSheetId="3" hidden="1">'Alcance y tiempo'!$CD$19</definedName>
    <definedName name="CB_4cc059161eee4d5688473d9baabbe34f" localSheetId="3" hidden="1">'Alcance y tiempo'!$CD$38</definedName>
    <definedName name="CB_4de20ef2ded84f10aaabd1266b1c2b8d" localSheetId="3" hidden="1">'Alcance y tiempo'!$CD$104</definedName>
    <definedName name="CB_511e962429844ff6b09169a25ddad1ba" localSheetId="3" hidden="1">'Alcance y tiempo'!$CD$33</definedName>
    <definedName name="CB_57bc3f0d5477438d91ab2029168ee1b7" localSheetId="3" hidden="1">'Alcance y tiempo'!$CD$29</definedName>
    <definedName name="CB_609b3a05ca844905b5f744c414c174dc" localSheetId="3" hidden="1">'Alcance y tiempo'!$CD$44</definedName>
    <definedName name="CB_6189ae753fb74d2f956588e474080042" localSheetId="3" hidden="1">'Alcance y tiempo'!$CD$14</definedName>
    <definedName name="CB_633ad4bb3ae34891b1a0ec4c479fa0e8" localSheetId="3" hidden="1">'Alcance y tiempo'!$CD$115</definedName>
    <definedName name="CB_648237da825b4247a427110384b9bc0a" localSheetId="3" hidden="1">'Alcance y tiempo'!$CD$121</definedName>
    <definedName name="CB_64a1c1ba46474aa880a99aa31ce6dc0b" localSheetId="3" hidden="1">'Alcance y tiempo'!$CD$20</definedName>
    <definedName name="CB_65ad90514d7d4496a43506bdb3960232" localSheetId="3" hidden="1">'Alcance y tiempo'!$CD$93</definedName>
    <definedName name="CB_768af1f2aba74c358dc915d787517dee" localSheetId="3" hidden="1">'Alcance y tiempo'!$CD$17</definedName>
    <definedName name="CB_773f7d5a112a4ab78c6cd4c4d0ae4542" localSheetId="3" hidden="1">'Alcance y tiempo'!$CD$46</definedName>
    <definedName name="CB_7743fe8da20e476ba0569c177b422dae" localSheetId="3" hidden="1">'Alcance y tiempo'!$CD$91</definedName>
    <definedName name="CB_77f2887af2a74438ae722900ffcb419c" localSheetId="3" hidden="1">'Alcance y tiempo'!#REF!</definedName>
    <definedName name="CB_77f9b746626a4b17bed1315fcd476109" localSheetId="3" hidden="1">'Alcance y tiempo'!$CD$105</definedName>
    <definedName name="CB_800b4ce96d4a4be8b8cb2d92d93ea095" localSheetId="3" hidden="1">'Alcance y tiempo'!$CD$26</definedName>
    <definedName name="CB_81219d4d75a04fc1859463838b20cb8d" localSheetId="3" hidden="1">'Alcance y tiempo'!$CD$22</definedName>
    <definedName name="CB_8390e800bfb44eb5bb0216c601147137" localSheetId="3" hidden="1">'Alcance y tiempo'!$CD$120</definedName>
    <definedName name="CB_8a424de1e4104564aa67c22cc080ffae" localSheetId="3" hidden="1">'Alcance y tiempo'!$CD$118</definedName>
    <definedName name="CB_97a1dca4a5bd4ab3acdb710334620745" localSheetId="3" hidden="1">'Alcance y tiempo'!$CD$113</definedName>
    <definedName name="CB_9a37c6e1e5e04417b04ea0092c76765a" localSheetId="3" hidden="1">'Alcance y tiempo'!$CD$39</definedName>
    <definedName name="CB_9b58f054648348888f8043ef16d1e096" localSheetId="3" hidden="1">'Alcance y tiempo'!$CD$34</definedName>
    <definedName name="CB_9f11f36b5c9a47f3b4c1a0d664d62b9f" localSheetId="3" hidden="1">'Alcance y tiempo'!$CD$107</definedName>
    <definedName name="CB_a38a7325b7894cc69bd65a16f60b785c" localSheetId="3" hidden="1">'Alcance y tiempo'!$CD$31</definedName>
    <definedName name="CB_a66891f34fdf4cec9f109453ae517252" localSheetId="3" hidden="1">'Alcance y tiempo'!$CD$92</definedName>
    <definedName name="CB_a72c387179d34cf685bb44464c2521fd" localSheetId="3" hidden="1">'Alcance y tiempo'!#REF!</definedName>
    <definedName name="CB_aca2c6d4a62b41e8af917395d55fecf6" localSheetId="3" hidden="1">'Alcance y tiempo'!$CD$27</definedName>
    <definedName name="CB_b2eba8c7227a43298efc9cb827fc5541" localSheetId="3" hidden="1">'Alcance y tiempo'!$CD$37</definedName>
    <definedName name="CB_b2ee96ed6ae144ab9f78b934d513ff89" localSheetId="3" hidden="1">'Alcance y tiempo'!$CD$32</definedName>
    <definedName name="CB_b62c7670f46341f4807ed5636b2a3222" localSheetId="3" hidden="1">'Alcance y tiempo'!$CD$18</definedName>
    <definedName name="CB_b7b639fcf5cf4aaca6f782355c3d0177" localSheetId="3" hidden="1">'Alcance y tiempo'!$CD$111</definedName>
    <definedName name="CB_b93fb0239a954dd686e5fba2df8f3566" localSheetId="3" hidden="1">'Alcance y tiempo'!$CD$30</definedName>
    <definedName name="CB_bc65a4aaa78341f180268a26b9810fae" localSheetId="3" hidden="1">'Alcance y tiempo'!$CD$23</definedName>
    <definedName name="CB_bf48db346cd941098afe0f3e1c8a13a2" localSheetId="3" hidden="1">'Alcance y tiempo'!$CD$96</definedName>
    <definedName name="CB_Block_00000000000000000000000000000000" localSheetId="3" hidden="1">"'7.0.0.0"</definedName>
    <definedName name="CB_Block_00000000000000000000000000000001" localSheetId="3" hidden="1">"'637407025839485129"</definedName>
    <definedName name="CB_Block_00000000000000000000000000000001" localSheetId="2" hidden="1">"'637407025838316359"</definedName>
    <definedName name="CB_Block_00000000000000000000000000000003" localSheetId="3" hidden="1">"'11.1.4716.0"</definedName>
    <definedName name="CB_BlockExt_00000000000000000000000000000003" localSheetId="3" hidden="1">"'11.1.2.4.850"</definedName>
    <definedName name="CB_c4276ed3309f44c2b929cb4be8458113" localSheetId="3" hidden="1">'Alcance y tiempo'!$CD$43</definedName>
    <definedName name="CB_c578aedb865e411fb4733a9624332255" localSheetId="3" hidden="1">'Alcance y tiempo'!$CF$127</definedName>
    <definedName name="CB_c8b5d52c7116417293c0e362e20fbcfb" localSheetId="3" hidden="1">'Alcance y tiempo'!$CD$102</definedName>
    <definedName name="CB_cc0232aef9a044f898b68da3526c0bcc" localSheetId="3" hidden="1">'Alcance y tiempo'!$CD$24</definedName>
    <definedName name="CB_cdd637fc20ba47ad9df86284d88559c6" localSheetId="3" hidden="1">'Alcance y tiempo'!$CD$98</definedName>
    <definedName name="CB_d582d2c44270411d9321a753eddb8410" localSheetId="3" hidden="1">'Alcance y tiempo'!$CD$48</definedName>
    <definedName name="CB_d85ee51a7ca24791a87ef6bc8bd3f6cd" localSheetId="3" hidden="1">'Alcance y tiempo'!$CD$106</definedName>
    <definedName name="CB_d92e55f6f8254be2b2e0c4e734746f26" localSheetId="3" hidden="1">'Alcance y tiempo'!$CD$123</definedName>
    <definedName name="CB_da46680a03fd4375adde4d630dea38bc" localSheetId="3" hidden="1">'Alcance y tiempo'!$CD$97</definedName>
    <definedName name="CB_db2ce4d6c84d48b58c1faddbf24667fe" localSheetId="3" hidden="1">'Alcance y tiempo'!$CD$16</definedName>
    <definedName name="CB_de3bbbca9ead4bcf8a63eb9bc33ee6a4" localSheetId="3" hidden="1">'Alcance y tiempo'!$CD$15</definedName>
    <definedName name="CB_e2d90fbca7c94bb5ab9db46897e64415" localSheetId="3" hidden="1">'Alcance y tiempo'!$CD$25</definedName>
    <definedName name="CB_ea5340833f3143e9ba4b0d2959af4b1f" localSheetId="3" hidden="1">'Alcance y tiempo'!$CD$127</definedName>
    <definedName name="CB_f16775f6413a444d8df9a98c220e801f" localSheetId="3" hidden="1">'Alcance y tiempo'!$CD$114</definedName>
    <definedName name="CB_fafa833723f64c0bac8f4fe4e1229260" localSheetId="3" hidden="1">'Alcance y tiempo'!$CD$101</definedName>
    <definedName name="CBCR_014fd9ad932f46f2a358ddaebd61ebfd" localSheetId="3" hidden="1">'Alcance y tiempo'!$CA$35</definedName>
    <definedName name="CBCR_028019e966614d85901addc0bf9f5837" localSheetId="3" hidden="1">'Alcance y tiempo'!$CB$90</definedName>
    <definedName name="CBCR_0321c7ca7c7540d0957a18caeb404971" localSheetId="3" hidden="1">'Alcance y tiempo'!$BZ$116</definedName>
    <definedName name="CBCR_03c92968e377403dbfff13b640d8ccbf" localSheetId="3" hidden="1">'Alcance y tiempo'!$CB$33</definedName>
    <definedName name="CBCR_0433c638e67a48a9b4c1056e5063a5c3" localSheetId="3" hidden="1">'Alcance y tiempo'!$BZ$112</definedName>
    <definedName name="CBCR_0894f2996b214ebf9ef19c7fa79075dc" localSheetId="3" hidden="1">'Alcance y tiempo'!$CB$120</definedName>
    <definedName name="CBCR_099902f5074d4758a278fd8bc9164bd7" localSheetId="3" hidden="1">'Alcance y tiempo'!$CB$89</definedName>
    <definedName name="CBCR_099b197e786a46678757b18029d8467b" localSheetId="3" hidden="1">'Alcance y tiempo'!$CA$118</definedName>
    <definedName name="CBCR_0aa4966ee2f3410cbadeb0d17ae758ad" localSheetId="3" hidden="1">'Alcance y tiempo'!$CB$107</definedName>
    <definedName name="CBCR_0b738e93016440d4a15566d4b64b6c5d" localSheetId="3" hidden="1">'Alcance y tiempo'!$CA$116</definedName>
    <definedName name="CBCR_11709cb459ac4d98bf2a4c6364d0269e" localSheetId="3" hidden="1">'Alcance y tiempo'!$CB$30</definedName>
    <definedName name="CBCR_11f2aafc966e47ec9b45bd31233185f0" localSheetId="3" hidden="1">'Alcance y tiempo'!$CB$24</definedName>
    <definedName name="CBCR_11f6ba97e28c4e8b90f4a1b1e8733296" localSheetId="3" hidden="1">'Alcance y tiempo'!$CB$121</definedName>
    <definedName name="CBCR_161db05196574910aebc23962fc90486" localSheetId="3" hidden="1">'Alcance y tiempo'!$CA$105</definedName>
    <definedName name="CBCR_1831d5820cfa4fd99387ca5887d6a15f" localSheetId="3" hidden="1">'Alcance y tiempo'!$CA$114</definedName>
    <definedName name="CBCR_1d48312331f248f39c84dfbe9bede0b2" localSheetId="3" hidden="1">'Alcance y tiempo'!$CB$102</definedName>
    <definedName name="CBCR_1f377bbefb19499d919bab9dcea96d31" localSheetId="3" hidden="1">'Alcance y tiempo'!$CB$23</definedName>
    <definedName name="CBCR_1f788229247b4cb4ba93f38a3a21778a" localSheetId="3" hidden="1">'Alcance y tiempo'!$BZ$121</definedName>
    <definedName name="CBCR_208335d309ea497186d6ef647fd4a1da" localSheetId="3" hidden="1">'Alcance y tiempo'!$CB$25</definedName>
    <definedName name="CBCR_220d652cd1784ede8a9058207a542911" localSheetId="3" hidden="1">'Alcance y tiempo'!$BZ$25</definedName>
    <definedName name="CBCR_239cd131a286401b98a9dcda0ace289d" localSheetId="3" hidden="1">'Alcance y tiempo'!$CA$16</definedName>
    <definedName name="CBCR_2427ebe4ffd34907931a8f12284277b9" localSheetId="3" hidden="1">'Alcance y tiempo'!$CA$36</definedName>
    <definedName name="CBCR_249ff4d3d4ba450999ff1772a4b72a1a" localSheetId="3" hidden="1">'Alcance y tiempo'!$BZ$104</definedName>
    <definedName name="CBCR_25c2dcec60ef487eb4ecdf85c86c7431" localSheetId="3" hidden="1">'Alcance y tiempo'!$CB$110</definedName>
    <definedName name="CBCR_265b820534be4a4892cea64b686dc04f" localSheetId="3" hidden="1">'Alcance y tiempo'!$CB$96</definedName>
    <definedName name="CBCR_286efbf9311049dda9f83a3b9b768175" localSheetId="3" hidden="1">'Alcance y tiempo'!$BZ$101</definedName>
    <definedName name="CBCR_28d0ecfbba894bed9463f0304b93524c" localSheetId="3" hidden="1">'Alcance y tiempo'!$CA$99</definedName>
    <definedName name="CBCR_2b3a4ff29e8d4c528163e7b64d60c6b1" localSheetId="3" hidden="1">'Alcance y tiempo'!$CA$18</definedName>
    <definedName name="CBCR_2bdb661fec814396b05a958d0506ec7d" localSheetId="3" hidden="1">'Alcance y tiempo'!$CA$106</definedName>
    <definedName name="CBCR_2d748043ac244ae5b9c74c0d7797457f" localSheetId="3" hidden="1">'Alcance y tiempo'!$CA$21</definedName>
    <definedName name="CBCR_2f6f4ddb8bb64be7acb958c2dbffdbfa" localSheetId="3" hidden="1">'Alcance y tiempo'!$CB$44</definedName>
    <definedName name="CBCR_303b134a92d24fef93e1c8d7ac314bea" localSheetId="3" hidden="1">'Alcance y tiempo'!$CB$15</definedName>
    <definedName name="CBCR_30b51acd854e48f59a85351854bc1b8a" localSheetId="3" hidden="1">'Alcance y tiempo'!$BZ$105</definedName>
    <definedName name="CBCR_311d9c1deeec4ed6a68b55da7758b4af" localSheetId="3" hidden="1">'Alcance y tiempo'!$BZ$14</definedName>
    <definedName name="CBCR_33b4a78d0b704c76a92823e1c4b3d9a3" localSheetId="3" hidden="1">'Alcance y tiempo'!$BZ$18</definedName>
    <definedName name="CBCR_34209836295846309eee6d7dcf114163" localSheetId="3" hidden="1">'Alcance y tiempo'!$CA$23</definedName>
    <definedName name="CBCR_370f39d7c622429aaaeae025cca5a2c9" localSheetId="3" hidden="1">'Alcance y tiempo'!$BZ$124</definedName>
    <definedName name="CBCR_37c3914edd034427bf63887733fa06b4" localSheetId="3" hidden="1">'Alcance y tiempo'!$BZ$32</definedName>
    <definedName name="CBCR_394b53975f0e4a5ea987a479505fb882" localSheetId="3" hidden="1">'Alcance y tiempo'!$CB$34</definedName>
    <definedName name="CBCR_3b54dd3d2c32473c9dddc7b4e1c9f049" localSheetId="3" hidden="1">'Alcance y tiempo'!$CB$37</definedName>
    <definedName name="CBCR_3bbfaf9a4b7448af9d5eaeb5deae4743" localSheetId="3" hidden="1">'Alcance y tiempo'!$CA$110</definedName>
    <definedName name="CBCR_3e46e16d5afa422bbda8fabe8359eca5" localSheetId="3" hidden="1">'Alcance y tiempo'!$CB$17</definedName>
    <definedName name="CBCR_40aa91040d364db28e933cf1f8c96849" localSheetId="3" hidden="1">'Alcance y tiempo'!$BZ$98</definedName>
    <definedName name="CBCR_410b1fb72df74fe698373962f0ceb423" localSheetId="3" hidden="1">'Alcance y tiempo'!$CA$28</definedName>
    <definedName name="CBCR_42ae44b6c7a547bb9adc78e52b59df23" localSheetId="3" hidden="1">'Alcance y tiempo'!$BZ$111</definedName>
    <definedName name="CBCR_432c06f82d924a248487bf1e25460f57" localSheetId="3" hidden="1">'Alcance y tiempo'!$CA$91</definedName>
    <definedName name="CBCR_445c8568bdaf4bb8a9951dfc1b9adb48" localSheetId="3" hidden="1">'Alcance y tiempo'!$CB$104</definedName>
    <definedName name="CBCR_452f1a73741e494bb144d6c43613623f" localSheetId="3" hidden="1">'Alcance y tiempo'!$BZ$123</definedName>
    <definedName name="CBCR_47031198fc20462aadf56bba70a0fe20" localSheetId="3" hidden="1">'Alcance y tiempo'!$CA$120</definedName>
    <definedName name="CBCR_49483685a3d340a78f684279969508f6" localSheetId="3" hidden="1">'Alcance y tiempo'!$CB$16</definedName>
    <definedName name="CBCR_4b1cbd56877d4736b76ec4833035da89" localSheetId="3" hidden="1">'Alcance y tiempo'!$BZ$110</definedName>
    <definedName name="CBCR_51d3efc584df467ca3af93082bca37a8" localSheetId="3" hidden="1">'Alcance y tiempo'!$BZ$99</definedName>
    <definedName name="CBCR_538bdd348ee74c8cbb0e60439a5d73d3" localSheetId="3" hidden="1">'Alcance y tiempo'!$BZ$23</definedName>
    <definedName name="CBCR_5461f467c4aa4315be241211a357bcb4" localSheetId="3" hidden="1">'Alcance y tiempo'!$CB$112</definedName>
    <definedName name="CBCR_549bbf36267b461b954691aed0dcc95e" localSheetId="3" hidden="1">'Alcance y tiempo'!$CB$19</definedName>
    <definedName name="CBCR_55c3fb1aa4654b1ab9b1c1352b8d81f5" localSheetId="3" hidden="1">'Alcance y tiempo'!$CA$25</definedName>
    <definedName name="CBCR_560f77750d084e81be6ea174f484cd8b" localSheetId="3" hidden="1">'Alcance y tiempo'!$CB$43</definedName>
    <definedName name="CBCR_575fcd15c97c4a89b1f262b78490ee78" localSheetId="3" hidden="1">'Alcance y tiempo'!$CA$39</definedName>
    <definedName name="CBCR_59cb438c1c494b41916a74204ff86e58" localSheetId="3" hidden="1">'Alcance y tiempo'!$BZ$43</definedName>
    <definedName name="CBCR_5b0e2232642b4b7d8eaa99ef77d974b4" localSheetId="3" hidden="1">'Alcance y tiempo'!$CA$93</definedName>
    <definedName name="CBCR_5c80786032094d45be75b42dbd320382" localSheetId="3" hidden="1">'Alcance y tiempo'!$BZ$27</definedName>
    <definedName name="CBCR_5cff6d8e4af9437ab23bcb925a4bbca1" localSheetId="3" hidden="1">'Alcance y tiempo'!$BZ$16</definedName>
    <definedName name="CBCR_5e2356371df74d1f929cb4bc7997e7c9" localSheetId="3" hidden="1">'Alcance y tiempo'!$CA$24</definedName>
    <definedName name="CBCR_6287756cceee458ca2c0ed5ef1bb719a" localSheetId="3" hidden="1">'Alcance y tiempo'!$CB$111</definedName>
    <definedName name="CBCR_63afe4e24c184d5bb6ff95de017bb7e8" localSheetId="3" hidden="1">'Alcance y tiempo'!$CB$32</definedName>
    <definedName name="CBCR_669348d5ea9e44a5ac6277eca5b89366" localSheetId="3" hidden="1">'Alcance y tiempo'!$BZ$106</definedName>
    <definedName name="CBCR_670d620cc5154ee8aa3e1f560b0a5db8" localSheetId="3" hidden="1">'Alcance y tiempo'!$CA$125</definedName>
    <definedName name="CBCR_688b0a90bc6048c68fbbadbf6fdedec2" localSheetId="3" hidden="1">'Alcance y tiempo'!$CA$121</definedName>
    <definedName name="CBCR_6923485a033040d6b522721bfda59d01" localSheetId="3" hidden="1">'Alcance y tiempo'!$CB$38</definedName>
    <definedName name="CBCR_69c98d04e992439aa0afd615e433d045" localSheetId="3" hidden="1">'Alcance y tiempo'!$CA$33</definedName>
    <definedName name="CBCR_6a70cc67dc37493f869007e03345f0d3" localSheetId="3" hidden="1">'Alcance y tiempo'!$CB$115</definedName>
    <definedName name="CBCR_6bb19c206bbf412793cd8ab5fbe537b1" localSheetId="3" hidden="1">'Alcance y tiempo'!$CA$97</definedName>
    <definedName name="CBCR_6e7c97ea08c443899094a106947b8fff" localSheetId="3" hidden="1">'Alcance y tiempo'!$BZ$39</definedName>
    <definedName name="CBCR_6eedc871dd604ce68da64c1980d71020" localSheetId="3" hidden="1">'Alcance y tiempo'!$BZ$37</definedName>
    <definedName name="CBCR_6f43caa831f34042b17f25425284a602" localSheetId="3" hidden="1">'Alcance y tiempo'!$BZ$21</definedName>
    <definedName name="CBCR_6f72aba55fcb401a856fa21a0812c317" localSheetId="3" hidden="1">'Alcance y tiempo'!$CA$112</definedName>
    <definedName name="CBCR_6f990fbac5054887a0228719386267ec" localSheetId="3" hidden="1">'Alcance y tiempo'!$BZ$17</definedName>
    <definedName name="CBCR_758291864d18435a9cde44998d89aa78" localSheetId="3" hidden="1">'Alcance y tiempo'!$CB$13</definedName>
    <definedName name="CBCR_7609cc9acde54f49807a5259c9496f61" localSheetId="3" hidden="1">'Alcance y tiempo'!$CB$98</definedName>
    <definedName name="CBCR_76393fb158ae484384efda752d253044" localSheetId="3" hidden="1">'Alcance y tiempo'!$BZ$38</definedName>
    <definedName name="CBCR_766b55a2f4e14efa9e527910753cc677" localSheetId="3" hidden="1">'Alcance y tiempo'!$BZ$115</definedName>
    <definedName name="CBCR_775588b9dc6f43359ee5005dfd07f0a0" localSheetId="3" hidden="1">'Alcance y tiempo'!$CA$17</definedName>
    <definedName name="CBCR_79bbf55fcf794cd4ab7b1236bde3212f" localSheetId="3" hidden="1">'Alcance y tiempo'!$CA$107</definedName>
    <definedName name="CBCR_7afc8b4d62e44ffc9183e2480b0f8eb6" localSheetId="3" hidden="1">'Alcance y tiempo'!#REF!</definedName>
    <definedName name="CBCR_7c889da0983840438e857c6ce9881ebe" localSheetId="3" hidden="1">'Alcance y tiempo'!$BZ$102</definedName>
    <definedName name="CBCR_7d44e0dd363a47aaa7896b1a0a07f0ca" localSheetId="3" hidden="1">'Alcance y tiempo'!$BZ$15</definedName>
    <definedName name="CBCR_7f917034decb44a991797c8f5d87b4d5" localSheetId="3" hidden="1">'Alcance y tiempo'!$CA$89</definedName>
    <definedName name="CBCR_7ff707c094e444c4bd856381fef71316" localSheetId="3" hidden="1">'Alcance y tiempo'!$BZ$26</definedName>
    <definedName name="CBCR_809c4185d6f34ee6ac7b34bef90285c5" localSheetId="3" hidden="1">'Alcance y tiempo'!$BZ$120</definedName>
    <definedName name="CBCR_85bc055709ca46028821377130d34fba" localSheetId="3" hidden="1">'Alcance y tiempo'!$BZ$114</definedName>
    <definedName name="CBCR_86e8d8ff281f47deaa64fc81bdd86c30" localSheetId="3" hidden="1">'Alcance y tiempo'!$CA$38</definedName>
    <definedName name="CBCR_86f72a08a5274e06b7a57eae68286db5" localSheetId="3" hidden="1">'Alcance y tiempo'!$CB$39</definedName>
    <definedName name="CBCR_8966a4ac2ec44d65abe81441631691bc" localSheetId="3" hidden="1">'Alcance y tiempo'!$CB$113</definedName>
    <definedName name="CBCR_8acc4de008a3467dbbe4231f305e5a19" localSheetId="3" hidden="1">'Alcance y tiempo'!$CA$13</definedName>
    <definedName name="CBCR_8e1cf06cc5df47ac8b8385322c7d8cbb" localSheetId="3" hidden="1">'Alcance y tiempo'!$BZ$30</definedName>
    <definedName name="CBCR_8ea155f6eb2d41559557119487ce5a6c" localSheetId="3" hidden="1">'Alcance y tiempo'!$CA$115</definedName>
    <definedName name="CBCR_8fbf9249355d4807a5c465f7be627017" localSheetId="3" hidden="1">'Alcance y tiempo'!$CB$36</definedName>
    <definedName name="CBCR_921dee2d85024ffab7eade4b62fd85c6" localSheetId="3" hidden="1">'Alcance y tiempo'!#REF!</definedName>
    <definedName name="CBCR_9405ac8eeecc40dfa0175aa30e56211c" localSheetId="3" hidden="1">'Alcance y tiempo'!$BZ$93</definedName>
    <definedName name="CBCR_94f0e65cad8f4b03926a99ed64f47b02" localSheetId="3" hidden="1">'Alcance y tiempo'!$CB$28</definedName>
    <definedName name="CBCR_9505cfe4a7764f56ba22b76aead21fa9" localSheetId="3" hidden="1">'Alcance y tiempo'!$CA$20</definedName>
    <definedName name="CBCR_993eb8dc240f470fb7c5cc4b027d725b" localSheetId="3" hidden="1">'Alcance y tiempo'!$BZ$91</definedName>
    <definedName name="CBCR_99a994dc7a3043a1a10273b3caab3886" localSheetId="3" hidden="1">'Alcance y tiempo'!$CA$43</definedName>
    <definedName name="CBCR_99d35b48235d440eb9affebdc1547a92" localSheetId="3" hidden="1">'Alcance y tiempo'!$BZ$92</definedName>
    <definedName name="CBCR_9a8c738d36534bdcb8db25b4516bcbae" localSheetId="3" hidden="1">'Alcance y tiempo'!$CB$125</definedName>
    <definedName name="CBCR_9b416193adbd429393c5ee6fd7f53be2" localSheetId="3" hidden="1">'Alcance y tiempo'!$BZ$96</definedName>
    <definedName name="CBCR_9bd3dec334cb402d99ba63344b68b23b" localSheetId="3" hidden="1">'Alcance y tiempo'!$CB$20</definedName>
    <definedName name="CBCR_9ca8c800b8ab41238a1e364590b18890" localSheetId="3" hidden="1">'Alcance y tiempo'!#REF!</definedName>
    <definedName name="CBCR_9e4829c95a284d958d9defe906470e22" localSheetId="3" hidden="1">'Alcance y tiempo'!$CB$14</definedName>
    <definedName name="CBCR_9e9a1a93d45b48fd9fa0c58af0255774" localSheetId="3" hidden="1">'Alcance y tiempo'!$CA$113</definedName>
    <definedName name="CBCR_9f26ebc31b5844768944790473ffb107" localSheetId="3" hidden="1">'Alcance y tiempo'!$CA$101</definedName>
    <definedName name="CBCR_a1b34e59fb61476091a59cb02362b67e" localSheetId="3" hidden="1">'Alcance y tiempo'!$CB$31</definedName>
    <definedName name="CBCR_a3072d706e2341f49504dbc604f4367e" localSheetId="3" hidden="1">'Alcance y tiempo'!$CA$96</definedName>
    <definedName name="CBCR_a5a30fedce6748d5bd973af6f0941aec" localSheetId="3" hidden="1">'Alcance y tiempo'!$CB$26</definedName>
    <definedName name="CBCR_a696e2aada284d52a2074821b802f2ab" localSheetId="3" hidden="1">'Alcance y tiempo'!$CA$15</definedName>
    <definedName name="CBCR_a7ccba4cb8154479bfca608f7f4ffdda" localSheetId="3" hidden="1">'Alcance y tiempo'!$CA$32</definedName>
    <definedName name="CBCR_a8dc9cdda5c4421dbd0db15256bf4e25" localSheetId="3" hidden="1">'Alcance y tiempo'!$CB$93</definedName>
    <definedName name="CBCR_a972c6d309bd4ad7926b2d8fdfc63978" localSheetId="3" hidden="1">'Alcance y tiempo'!$CA$46</definedName>
    <definedName name="CBCR_af0638cded684247bb34873fdf3edcdc" localSheetId="3" hidden="1">'Alcance y tiempo'!$CA$111</definedName>
    <definedName name="CBCR_b096f6ac9d6445bea244693263c35d33" localSheetId="3" hidden="1">'Alcance y tiempo'!$CA$123</definedName>
    <definedName name="CBCR_b579b3e9f9e54b0c80bf4674f02ecaf5" localSheetId="3" hidden="1">'Alcance y tiempo'!$CB$97</definedName>
    <definedName name="CBCR_b65c8191693947788c89c7a4382fabe6" localSheetId="3" hidden="1">'Alcance y tiempo'!$BZ$44</definedName>
    <definedName name="CBCR_b8074a719c30431e8fef538738fcf45a" localSheetId="3" hidden="1">'Alcance y tiempo'!$BZ$35</definedName>
    <definedName name="CBCR_b891ab84db1247a4921cd100c18edafe" localSheetId="3" hidden="1">'Alcance y tiempo'!$CB$27</definedName>
    <definedName name="CBCR_ba2ecb0b1b4446c295ec271ba1b3fa1e" localSheetId="3" hidden="1">'Alcance y tiempo'!$BZ$13</definedName>
    <definedName name="CBCR_bb23a66172f14894b1a9d48c1083e09f" localSheetId="3" hidden="1">'Alcance y tiempo'!$CA$27</definedName>
    <definedName name="CBCR_bf3671d26249470ab626a6881b58c55f" localSheetId="3" hidden="1">'Alcance y tiempo'!$CB$116</definedName>
    <definedName name="CBCR_c2d7b533e359433d851584f2aae8b049" localSheetId="3" hidden="1">'Alcance y tiempo'!$CB$123</definedName>
    <definedName name="CBCR_c415f14f42c44096bb85f292823775b7" localSheetId="3" hidden="1">'Alcance y tiempo'!$CA$14</definedName>
    <definedName name="CBCR_c685d5fe543a46409241153bb11aa68c" localSheetId="3" hidden="1">'Alcance y tiempo'!$BZ$33</definedName>
    <definedName name="CBCR_cb9bd0cf27ad4f72abd68b59fe90c70f" localSheetId="3" hidden="1">'Alcance y tiempo'!$CB$46</definedName>
    <definedName name="CBCR_cbebccecb502486abd67336d1df07f90" localSheetId="3" hidden="1">'Alcance y tiempo'!$CB$99</definedName>
    <definedName name="CBCR_ccbdaab7d75b464b8cfd2bb06867f146" localSheetId="3" hidden="1">'Alcance y tiempo'!$BZ$97</definedName>
    <definedName name="CBCR_cee5c6b6f2544037a96d04721bb1d9f8" localSheetId="3" hidden="1">'Alcance y tiempo'!$CB$35</definedName>
    <definedName name="CBCR_cfacb48edd7f4b99919a8daf12c7fc73" localSheetId="3" hidden="1">'Alcance y tiempo'!$BZ$22</definedName>
    <definedName name="CBCR_d12e2a4895b548a8b0f880df83094e0e" localSheetId="3" hidden="1">'Alcance y tiempo'!$BZ$19</definedName>
    <definedName name="CBCR_d1331244d69b45b2942e3a1a32b3cb07" localSheetId="3" hidden="1">'Alcance y tiempo'!$BZ$31</definedName>
    <definedName name="CBCR_d26e0bb4e12b4a55847a48c1cc923539" localSheetId="3" hidden="1">'Alcance y tiempo'!$CA$34</definedName>
    <definedName name="CBCR_d2ac76046fd74c3f9625236125eedde8" localSheetId="3" hidden="1">'Alcance y tiempo'!$CA$26</definedName>
    <definedName name="CBCR_d346085122d64e0a8fb54681a50faa22" localSheetId="3" hidden="1">'Alcance y tiempo'!$CA$37</definedName>
    <definedName name="CBCR_d3dd624e251648e2b9c0c9f2df0e094f" localSheetId="3" hidden="1">'Alcance y tiempo'!$CB$92</definedName>
    <definedName name="CBCR_d42b01f87af349d3a6c87526483af351" localSheetId="3" hidden="1">'Alcance y tiempo'!$CB$22</definedName>
    <definedName name="CBCR_d64b413c63b649fd84505b63f8761730" localSheetId="3" hidden="1">'Alcance y tiempo'!$BZ$48</definedName>
    <definedName name="CBCR_d7b63e1dcc3b4ac39e9b8f08d0c15c57" localSheetId="3" hidden="1">'Alcance y tiempo'!$CB$114</definedName>
    <definedName name="CBCR_d7e715df6a7a4889bc5915f77d128793" localSheetId="3" hidden="1">'Alcance y tiempo'!$CA$102</definedName>
    <definedName name="CBCR_d8a780f019ab4fb1bb0759efb773b563" localSheetId="3" hidden="1">'Alcance y tiempo'!$CA$104</definedName>
    <definedName name="CBCR_d91b102e56da4bc69ea8dceb02105c61" localSheetId="3" hidden="1">'Alcance y tiempo'!$CB$48</definedName>
    <definedName name="CBCR_da61796d6020460eac8f3fb266ca8ef6" localSheetId="3" hidden="1">'Alcance y tiempo'!$CB$118</definedName>
    <definedName name="CBCR_dd21b425db9d4188a2884ff88e463d3a" localSheetId="3" hidden="1">'Alcance y tiempo'!$BZ$46</definedName>
    <definedName name="CBCR_de3e824f16a24c8c952e99a3dd747ad0" localSheetId="3" hidden="1">'Alcance y tiempo'!$CA$98</definedName>
    <definedName name="CBCR_de8c8e9d8b97447c90afb3c72a9c26e5" localSheetId="3" hidden="1">'Alcance y tiempo'!$CA$92</definedName>
    <definedName name="CBCR_e025aadcd63444c4a05f04ebbf51c66b" localSheetId="3" hidden="1">'Alcance y tiempo'!$BZ$34</definedName>
    <definedName name="CBCR_e0bcb34d56dc4f5badbecf87a1cf5b96" localSheetId="3" hidden="1">'Alcance y tiempo'!$CA$90</definedName>
    <definedName name="CBCR_e18afd16a7834b978721628d62011eda" localSheetId="3" hidden="1">'Alcance y tiempo'!$CA$48</definedName>
    <definedName name="CBCR_e38f52cd98ad4847ab6047e6e1fc163c" localSheetId="3" hidden="1">'Alcance y tiempo'!$BZ$20</definedName>
    <definedName name="CBCR_e431a43742d341dcaa36f06899545e68" localSheetId="3" hidden="1">'Alcance y tiempo'!$BZ$29</definedName>
    <definedName name="CBCR_e6b717d1f8c24f84b5ecc0d1c4c4677d" localSheetId="3" hidden="1">'Alcance y tiempo'!$CD$127</definedName>
    <definedName name="CBCR_e81dd4e799b84f5faa56ae6ad71e6b88" localSheetId="3" hidden="1">'Alcance y tiempo'!$BZ$118</definedName>
    <definedName name="CBCR_e8269aa1fbc04bdd8f1df5590ef86e8f" localSheetId="3" hidden="1">'Alcance y tiempo'!$CF$127</definedName>
    <definedName name="CBCR_ea066310c21d44b68591f2bd0cf6c771" localSheetId="3" hidden="1">'Alcance y tiempo'!$BZ$113</definedName>
    <definedName name="CBCR_ec0a44b845324f0a84fec1d791dddc1e" localSheetId="3" hidden="1">'Alcance y tiempo'!$BZ$125</definedName>
    <definedName name="CBCR_ec8999e2698749438020fd53d65faf81" localSheetId="3" hidden="1">'Alcance y tiempo'!$CB$29</definedName>
    <definedName name="CBCR_ed2275bbcad141c3b4e81d953b3041e0" localSheetId="3" hidden="1">'Alcance y tiempo'!$CA$124</definedName>
    <definedName name="CBCR_edefe7d78b2b4815b8619ef76c3dc7ad" localSheetId="3" hidden="1">'Alcance y tiempo'!$CA$19</definedName>
    <definedName name="CBCR_ee4d3539ef7a4b12ae08596442c7d0c3" localSheetId="3" hidden="1">'Alcance y tiempo'!$BZ$107</definedName>
    <definedName name="CBCR_ee63b264afed40d2bd2099224f741d5d" localSheetId="3" hidden="1">'Alcance y tiempo'!$CB$124</definedName>
    <definedName name="CBCR_eeb6b3e728bc4b5abf886bef79406325" localSheetId="3" hidden="1">'Alcance y tiempo'!$CB$91</definedName>
    <definedName name="CBCR_eedd43b3b4c04b6f83e4bb227f171a72" localSheetId="3" hidden="1">'Alcance y tiempo'!$CB$21</definedName>
    <definedName name="CBCR_f06e24e5aeb44deca47950716322e3c7" localSheetId="3" hidden="1">'Alcance y tiempo'!$CB$18</definedName>
    <definedName name="CBCR_f5363fde2cc74391a53fad34e3f5ef67" localSheetId="3" hidden="1">'Alcance y tiempo'!$BZ$36</definedName>
    <definedName name="CBCR_f53d4cdfc1ff498a9be17566d5072f9c" localSheetId="3" hidden="1">'Alcance y tiempo'!$CA$29</definedName>
    <definedName name="CBCR_f7cb70c8d5194ffd95c3536a5a7655a6" localSheetId="3" hidden="1">'Alcance y tiempo'!$BZ$89</definedName>
    <definedName name="CBCR_f81d5faa1aab48cc8fe01be3079cd7e2" localSheetId="3" hidden="1">'Alcance y tiempo'!$BZ$24</definedName>
    <definedName name="CBCR_f8c07459d97445b4bf4ac588c59315f0" localSheetId="3" hidden="1">'Alcance y tiempo'!$CA$44</definedName>
    <definedName name="CBCR_f8d750940bd346889b08a85788c3cc4c" localSheetId="3" hidden="1">'Alcance y tiempo'!$CB$101</definedName>
    <definedName name="CBCR_f93f380298264f33a7b8fe2494197012" localSheetId="3" hidden="1">'Alcance y tiempo'!$BZ$28</definedName>
    <definedName name="CBCR_fb01685007bb4290884e6a8c231fb65b" localSheetId="3" hidden="1">'Alcance y tiempo'!$BZ$90</definedName>
    <definedName name="CBCR_fb44b6e0ada14851895874f3b9d23872" localSheetId="3" hidden="1">'Alcance y tiempo'!$CA$22</definedName>
    <definedName name="CBCR_fbd77fd874354b01a8b7e1abc870b6b1" localSheetId="3" hidden="1">'Alcance y tiempo'!$CB$105</definedName>
    <definedName name="CBCR_fdacd9ecddd54ed4b4431c78dd0fd13e" localSheetId="3" hidden="1">'Alcance y tiempo'!$CB$106</definedName>
    <definedName name="CBCR_ff6a4c44d0cd439582422242151a57f4" localSheetId="3" hidden="1">'Alcance y tiempo'!$CA$30</definedName>
    <definedName name="CBCR_ff74fe26421c488dbe655e48c7837e92" localSheetId="3" hidden="1">'Alcance y tiempo'!$CA$31</definedName>
    <definedName name="CBWorkbookPriority" localSheetId="2" hidden="1">-1900566713067270</definedName>
    <definedName name="CBx_79498cf90bcf41369200e392470344cc" localSheetId="2" hidden="1">"'CB_DATA_'!$A$1"</definedName>
    <definedName name="CBx_8a6785a5d92449269962558eaa4e0125" localSheetId="2" hidden="1">"'Alcance y tiempo'!$A$1"</definedName>
    <definedName name="CBx_Sheet_Guid" localSheetId="3" hidden="1">"'8a6785a5-d924-4926-9962-558eaa4e0125"</definedName>
    <definedName name="CBx_Sheet_Guid" localSheetId="2" hidden="1">"'79498cf9-0bcf-4136-9200-e392470344cc"</definedName>
    <definedName name="CBx_SheetRef" localSheetId="3" hidden="1">CB_DATA_!$B$14</definedName>
    <definedName name="CBx_SheetRef" localSheetId="2" hidden="1">CB_DATA_!$A$14</definedName>
    <definedName name="CBx_StorageType" localSheetId="3" hidden="1">2</definedName>
    <definedName name="CBx_StorageType" localSheetId="2" hidden="1">2</definedName>
  </definedNames>
  <calcPr calcId="191029"/>
</workbook>
</file>

<file path=xl/calcChain.xml><?xml version="1.0" encoding="utf-8"?>
<calcChain xmlns="http://schemas.openxmlformats.org/spreadsheetml/2006/main">
  <c r="CF54" i="2" l="1"/>
  <c r="BU54" i="2"/>
  <c r="BP54" i="2"/>
  <c r="BM54" i="2"/>
  <c r="BL54" i="2"/>
  <c r="BK54" i="2"/>
  <c r="BJ54" i="2"/>
  <c r="BH54" i="2"/>
  <c r="AX54" i="2"/>
  <c r="AW54" i="2"/>
  <c r="AV54" i="2"/>
  <c r="AU54" i="2"/>
  <c r="AQ54" i="2"/>
  <c r="AE54" i="2"/>
  <c r="AP54" i="2" s="1"/>
  <c r="AD54" i="2"/>
  <c r="AO54" i="2" s="1"/>
  <c r="AC54" i="2"/>
  <c r="AN54" i="2" s="1"/>
  <c r="AB54" i="2"/>
  <c r="AM54" i="2" s="1"/>
  <c r="BD54" i="2" s="1"/>
  <c r="Y54" i="2"/>
  <c r="AI54" i="2" s="1"/>
  <c r="K54" i="2"/>
  <c r="J54" i="2"/>
  <c r="I54" i="2"/>
  <c r="AG54" i="2" s="1"/>
  <c r="AS54" i="2" s="1"/>
  <c r="H54" i="2"/>
  <c r="AF54" i="2" s="1"/>
  <c r="AR54" i="2" s="1"/>
  <c r="E54" i="2"/>
  <c r="Z54" i="2" s="1"/>
  <c r="AK54" i="2" s="1"/>
  <c r="CF66" i="2"/>
  <c r="BU66" i="2"/>
  <c r="BP66" i="2"/>
  <c r="BM66" i="2"/>
  <c r="BL66" i="2"/>
  <c r="BK66" i="2"/>
  <c r="BJ66" i="2"/>
  <c r="BH66" i="2"/>
  <c r="AX66" i="2"/>
  <c r="AW66" i="2"/>
  <c r="AV66" i="2"/>
  <c r="AU66" i="2"/>
  <c r="AQ66" i="2"/>
  <c r="AE66" i="2"/>
  <c r="AP66" i="2" s="1"/>
  <c r="AD66" i="2"/>
  <c r="AO66" i="2" s="1"/>
  <c r="AC66" i="2"/>
  <c r="AN66" i="2" s="1"/>
  <c r="AB66" i="2"/>
  <c r="AM66" i="2" s="1"/>
  <c r="Y66" i="2"/>
  <c r="AJ66" i="2" s="1"/>
  <c r="J66" i="2"/>
  <c r="I66" i="2"/>
  <c r="AG66" i="2" s="1"/>
  <c r="AS66" i="2" s="1"/>
  <c r="H66" i="2"/>
  <c r="AF66" i="2" s="1"/>
  <c r="AR66" i="2" s="1"/>
  <c r="E66" i="2"/>
  <c r="AA66" i="2" s="1"/>
  <c r="AL66" i="2" s="1"/>
  <c r="CF65" i="2"/>
  <c r="BU65" i="2"/>
  <c r="BP65" i="2"/>
  <c r="BM65" i="2"/>
  <c r="BL65" i="2"/>
  <c r="BK65" i="2"/>
  <c r="BJ65" i="2"/>
  <c r="BH65" i="2"/>
  <c r="AX65" i="2"/>
  <c r="AW65" i="2"/>
  <c r="AV65" i="2"/>
  <c r="AU65" i="2"/>
  <c r="AQ65" i="2"/>
  <c r="AG65" i="2"/>
  <c r="AS65" i="2" s="1"/>
  <c r="AE65" i="2"/>
  <c r="AP65" i="2" s="1"/>
  <c r="AD65" i="2"/>
  <c r="AO65" i="2" s="1"/>
  <c r="AC65" i="2"/>
  <c r="AN65" i="2" s="1"/>
  <c r="AB65" i="2"/>
  <c r="AM65" i="2" s="1"/>
  <c r="BB65" i="2" s="1"/>
  <c r="Y65" i="2"/>
  <c r="AJ65" i="2" s="1"/>
  <c r="J65" i="2"/>
  <c r="I65" i="2"/>
  <c r="H65" i="2"/>
  <c r="AF65" i="2" s="1"/>
  <c r="AR65" i="2" s="1"/>
  <c r="E65" i="2"/>
  <c r="AA65" i="2" s="1"/>
  <c r="AL65" i="2" s="1"/>
  <c r="CF45" i="2"/>
  <c r="BU45" i="2"/>
  <c r="BP45" i="2"/>
  <c r="BM45" i="2"/>
  <c r="BL45" i="2"/>
  <c r="BK45" i="2"/>
  <c r="BJ45" i="2"/>
  <c r="BH45" i="2"/>
  <c r="AX45" i="2"/>
  <c r="AW45" i="2"/>
  <c r="AV45" i="2"/>
  <c r="AU45" i="2"/>
  <c r="AQ45" i="2"/>
  <c r="AE45" i="2"/>
  <c r="AP45" i="2" s="1"/>
  <c r="AD45" i="2"/>
  <c r="AO45" i="2" s="1"/>
  <c r="AC45" i="2"/>
  <c r="AN45" i="2" s="1"/>
  <c r="AB45" i="2"/>
  <c r="AM45" i="2" s="1"/>
  <c r="Y45" i="2"/>
  <c r="AI45" i="2" s="1"/>
  <c r="J45" i="2"/>
  <c r="I45" i="2"/>
  <c r="AG45" i="2" s="1"/>
  <c r="AS45" i="2" s="1"/>
  <c r="H45" i="2"/>
  <c r="AF45" i="2" s="1"/>
  <c r="AR45" i="2" s="1"/>
  <c r="E45" i="2"/>
  <c r="Z45" i="2" s="1"/>
  <c r="AK45" i="2" s="1"/>
  <c r="CF73" i="2"/>
  <c r="BU73" i="2"/>
  <c r="BP73" i="2"/>
  <c r="BM73" i="2"/>
  <c r="BL73" i="2"/>
  <c r="BK73" i="2"/>
  <c r="BJ73" i="2"/>
  <c r="BH73" i="2"/>
  <c r="AX73" i="2"/>
  <c r="AW73" i="2"/>
  <c r="AV73" i="2"/>
  <c r="AU73" i="2"/>
  <c r="AQ73" i="2"/>
  <c r="AE73" i="2"/>
  <c r="AP73" i="2" s="1"/>
  <c r="AD73" i="2"/>
  <c r="AO73" i="2" s="1"/>
  <c r="AC73" i="2"/>
  <c r="AN73" i="2" s="1"/>
  <c r="AB73" i="2"/>
  <c r="AM73" i="2" s="1"/>
  <c r="BD73" i="2" s="1"/>
  <c r="AA73" i="2"/>
  <c r="AL73" i="2" s="1"/>
  <c r="Y73" i="2"/>
  <c r="AJ73" i="2" s="1"/>
  <c r="J73" i="2"/>
  <c r="I73" i="2"/>
  <c r="AG73" i="2" s="1"/>
  <c r="AS73" i="2" s="1"/>
  <c r="H73" i="2"/>
  <c r="AF73" i="2" s="1"/>
  <c r="AR73" i="2" s="1"/>
  <c r="E73" i="2"/>
  <c r="Z73" i="2" s="1"/>
  <c r="AK73" i="2" s="1"/>
  <c r="CF80" i="2"/>
  <c r="BU80" i="2"/>
  <c r="BP80" i="2"/>
  <c r="BM80" i="2"/>
  <c r="BL80" i="2"/>
  <c r="BK80" i="2"/>
  <c r="BJ80" i="2"/>
  <c r="BH80" i="2"/>
  <c r="AX80" i="2"/>
  <c r="AW80" i="2"/>
  <c r="AV80" i="2"/>
  <c r="AU80" i="2"/>
  <c r="AQ80" i="2"/>
  <c r="AE80" i="2"/>
  <c r="AP80" i="2" s="1"/>
  <c r="AD80" i="2"/>
  <c r="AO80" i="2" s="1"/>
  <c r="BF80" i="2" s="1"/>
  <c r="AC80" i="2"/>
  <c r="AN80" i="2" s="1"/>
  <c r="AB80" i="2"/>
  <c r="AM80" i="2" s="1"/>
  <c r="Y80" i="2"/>
  <c r="AI80" i="2" s="1"/>
  <c r="J80" i="2"/>
  <c r="I80" i="2"/>
  <c r="AG80" i="2" s="1"/>
  <c r="AS80" i="2" s="1"/>
  <c r="H80" i="2"/>
  <c r="AF80" i="2" s="1"/>
  <c r="AR80" i="2" s="1"/>
  <c r="E80" i="2"/>
  <c r="Z80" i="2" s="1"/>
  <c r="AK80" i="2" s="1"/>
  <c r="CF79" i="2"/>
  <c r="BU79" i="2"/>
  <c r="BP79" i="2"/>
  <c r="BM79" i="2"/>
  <c r="BL79" i="2"/>
  <c r="BK79" i="2"/>
  <c r="BJ79" i="2"/>
  <c r="BH79" i="2"/>
  <c r="AX79" i="2"/>
  <c r="AW79" i="2"/>
  <c r="AV79" i="2"/>
  <c r="AU79" i="2"/>
  <c r="AQ79" i="2"/>
  <c r="AE79" i="2"/>
  <c r="AP79" i="2" s="1"/>
  <c r="AD79" i="2"/>
  <c r="AO79" i="2" s="1"/>
  <c r="AC79" i="2"/>
  <c r="AN79" i="2" s="1"/>
  <c r="AB79" i="2"/>
  <c r="AM79" i="2" s="1"/>
  <c r="BD79" i="2" s="1"/>
  <c r="Y79" i="2"/>
  <c r="AI79" i="2" s="1"/>
  <c r="J79" i="2"/>
  <c r="I79" i="2"/>
  <c r="AG79" i="2" s="1"/>
  <c r="AS79" i="2" s="1"/>
  <c r="H79" i="2"/>
  <c r="AF79" i="2" s="1"/>
  <c r="AR79" i="2" s="1"/>
  <c r="E79" i="2"/>
  <c r="Z79" i="2" s="1"/>
  <c r="AK79" i="2" s="1"/>
  <c r="CF84" i="2"/>
  <c r="BU84" i="2"/>
  <c r="BP84" i="2"/>
  <c r="BM84" i="2"/>
  <c r="BL84" i="2"/>
  <c r="BK84" i="2"/>
  <c r="BJ84" i="2"/>
  <c r="BH84" i="2"/>
  <c r="AX84" i="2"/>
  <c r="AW84" i="2"/>
  <c r="AV84" i="2"/>
  <c r="AU84" i="2"/>
  <c r="AQ84" i="2"/>
  <c r="AE84" i="2"/>
  <c r="AP84" i="2" s="1"/>
  <c r="AD84" i="2"/>
  <c r="AO84" i="2" s="1"/>
  <c r="BF84" i="2" s="1"/>
  <c r="AC84" i="2"/>
  <c r="AN84" i="2" s="1"/>
  <c r="AB84" i="2"/>
  <c r="AM84" i="2" s="1"/>
  <c r="Y84" i="2"/>
  <c r="AI84" i="2" s="1"/>
  <c r="J84" i="2"/>
  <c r="I84" i="2"/>
  <c r="AG84" i="2" s="1"/>
  <c r="AS84" i="2" s="1"/>
  <c r="H84" i="2"/>
  <c r="AF84" i="2" s="1"/>
  <c r="AR84" i="2" s="1"/>
  <c r="E84" i="2"/>
  <c r="Z84" i="2" s="1"/>
  <c r="AK84" i="2" s="1"/>
  <c r="CF85" i="2"/>
  <c r="BU85" i="2"/>
  <c r="BP85" i="2"/>
  <c r="BM85" i="2"/>
  <c r="BL85" i="2"/>
  <c r="BK85" i="2"/>
  <c r="BJ85" i="2"/>
  <c r="BH85" i="2"/>
  <c r="AX85" i="2"/>
  <c r="AW85" i="2"/>
  <c r="AV85" i="2"/>
  <c r="AU85" i="2"/>
  <c r="AQ85" i="2"/>
  <c r="AE85" i="2"/>
  <c r="AP85" i="2" s="1"/>
  <c r="AD85" i="2"/>
  <c r="AO85" i="2" s="1"/>
  <c r="AC85" i="2"/>
  <c r="AN85" i="2" s="1"/>
  <c r="AB85" i="2"/>
  <c r="AM85" i="2" s="1"/>
  <c r="BD85" i="2" s="1"/>
  <c r="Y85" i="2"/>
  <c r="AI85" i="2" s="1"/>
  <c r="J85" i="2"/>
  <c r="I85" i="2"/>
  <c r="AG85" i="2" s="1"/>
  <c r="AS85" i="2" s="1"/>
  <c r="H85" i="2"/>
  <c r="AF85" i="2" s="1"/>
  <c r="AR85" i="2" s="1"/>
  <c r="E85" i="2"/>
  <c r="AA85" i="2" s="1"/>
  <c r="AL85" i="2" s="1"/>
  <c r="CF86" i="2"/>
  <c r="BU86" i="2"/>
  <c r="BP86" i="2"/>
  <c r="BM86" i="2"/>
  <c r="BL86" i="2"/>
  <c r="BK86" i="2"/>
  <c r="BJ86" i="2"/>
  <c r="BH86" i="2"/>
  <c r="AX86" i="2"/>
  <c r="AW86" i="2"/>
  <c r="AV86" i="2"/>
  <c r="AU86" i="2"/>
  <c r="AQ86" i="2"/>
  <c r="AE86" i="2"/>
  <c r="AP86" i="2" s="1"/>
  <c r="AD86" i="2"/>
  <c r="AO86" i="2" s="1"/>
  <c r="AC86" i="2"/>
  <c r="AN86" i="2" s="1"/>
  <c r="AB86" i="2"/>
  <c r="AM86" i="2" s="1"/>
  <c r="BD86" i="2" s="1"/>
  <c r="Y86" i="2"/>
  <c r="AJ86" i="2" s="1"/>
  <c r="K86" i="2"/>
  <c r="J86" i="2"/>
  <c r="I86" i="2"/>
  <c r="AG86" i="2" s="1"/>
  <c r="AS86" i="2" s="1"/>
  <c r="H86" i="2"/>
  <c r="AF86" i="2" s="1"/>
  <c r="AR86" i="2" s="1"/>
  <c r="E86" i="2"/>
  <c r="Z86" i="2" s="1"/>
  <c r="AK86" i="2" s="1"/>
  <c r="CF56" i="2"/>
  <c r="BU56" i="2"/>
  <c r="BP56" i="2"/>
  <c r="BM56" i="2"/>
  <c r="BL56" i="2"/>
  <c r="BK56" i="2"/>
  <c r="BJ56" i="2"/>
  <c r="BH56" i="2"/>
  <c r="AX56" i="2"/>
  <c r="AW56" i="2"/>
  <c r="AV56" i="2"/>
  <c r="AU56" i="2"/>
  <c r="AQ56" i="2"/>
  <c r="AE56" i="2"/>
  <c r="AP56" i="2" s="1"/>
  <c r="AD56" i="2"/>
  <c r="AO56" i="2" s="1"/>
  <c r="AC56" i="2"/>
  <c r="AN56" i="2" s="1"/>
  <c r="AB56" i="2"/>
  <c r="AM56" i="2" s="1"/>
  <c r="Y56" i="2"/>
  <c r="AI56" i="2" s="1"/>
  <c r="J56" i="2"/>
  <c r="I56" i="2"/>
  <c r="AG56" i="2" s="1"/>
  <c r="AS56" i="2" s="1"/>
  <c r="H56" i="2"/>
  <c r="AF56" i="2" s="1"/>
  <c r="AR56" i="2" s="1"/>
  <c r="E56" i="2"/>
  <c r="AA56" i="2" s="1"/>
  <c r="AL56" i="2" s="1"/>
  <c r="CF55" i="2"/>
  <c r="BU55" i="2"/>
  <c r="BP55" i="2"/>
  <c r="BM55" i="2"/>
  <c r="BL55" i="2"/>
  <c r="BK55" i="2"/>
  <c r="BJ55" i="2"/>
  <c r="BH55" i="2"/>
  <c r="AX55" i="2"/>
  <c r="AW55" i="2"/>
  <c r="AV55" i="2"/>
  <c r="AU55" i="2"/>
  <c r="AQ55" i="2"/>
  <c r="AE55" i="2"/>
  <c r="AP55" i="2" s="1"/>
  <c r="AD55" i="2"/>
  <c r="AO55" i="2" s="1"/>
  <c r="AC55" i="2"/>
  <c r="AN55" i="2" s="1"/>
  <c r="AB55" i="2"/>
  <c r="AM55" i="2" s="1"/>
  <c r="BD55" i="2" s="1"/>
  <c r="Y55" i="2"/>
  <c r="AI55" i="2" s="1"/>
  <c r="J55" i="2"/>
  <c r="I55" i="2"/>
  <c r="AG55" i="2" s="1"/>
  <c r="AS55" i="2" s="1"/>
  <c r="H55" i="2"/>
  <c r="AF55" i="2" s="1"/>
  <c r="AR55" i="2" s="1"/>
  <c r="E55" i="2"/>
  <c r="Z55" i="2" s="1"/>
  <c r="AK55" i="2" s="1"/>
  <c r="AJ54" i="2" l="1"/>
  <c r="K66" i="2"/>
  <c r="AI66" i="2"/>
  <c r="BN66" i="2" s="1"/>
  <c r="N66" i="2" s="1"/>
  <c r="K73" i="2"/>
  <c r="BC54" i="2"/>
  <c r="AA54" i="2"/>
  <c r="AL54" i="2" s="1"/>
  <c r="BA54" i="2" s="1"/>
  <c r="BT54" i="2"/>
  <c r="AZ54" i="2"/>
  <c r="BW54" i="2"/>
  <c r="BS54" i="2"/>
  <c r="BV54" i="2"/>
  <c r="BR54" i="2"/>
  <c r="BN54" i="2"/>
  <c r="N54" i="2" s="1"/>
  <c r="BQ54" i="2"/>
  <c r="BI54" i="2"/>
  <c r="BG54" i="2"/>
  <c r="BF54" i="2"/>
  <c r="BE54" i="2"/>
  <c r="BB54" i="2"/>
  <c r="Z66" i="2"/>
  <c r="AK66" i="2" s="1"/>
  <c r="BQ66" i="2" s="1"/>
  <c r="BC65" i="2"/>
  <c r="BF65" i="2"/>
  <c r="BG65" i="2"/>
  <c r="BG66" i="2"/>
  <c r="BF66" i="2"/>
  <c r="BD66" i="2"/>
  <c r="BC66" i="2"/>
  <c r="BB66" i="2"/>
  <c r="BE66" i="2"/>
  <c r="K65" i="2"/>
  <c r="Z65" i="2"/>
  <c r="AK65" i="2" s="1"/>
  <c r="BA65" i="2" s="1"/>
  <c r="AI65" i="2"/>
  <c r="BD65" i="2"/>
  <c r="BE65" i="2"/>
  <c r="BS66" i="2"/>
  <c r="AA45" i="2"/>
  <c r="AL45" i="2" s="1"/>
  <c r="BE73" i="2"/>
  <c r="AI73" i="2"/>
  <c r="AZ73" i="2" s="1"/>
  <c r="AA84" i="2"/>
  <c r="AL84" i="2" s="1"/>
  <c r="K45" i="2"/>
  <c r="AJ45" i="2"/>
  <c r="BG45" i="2"/>
  <c r="BD45" i="2"/>
  <c r="BB45" i="2"/>
  <c r="BC45" i="2"/>
  <c r="BE45" i="2"/>
  <c r="BT45" i="2"/>
  <c r="AZ45" i="2"/>
  <c r="BQ45" i="2"/>
  <c r="BI45" i="2"/>
  <c r="BW45" i="2"/>
  <c r="BS45" i="2"/>
  <c r="BV45" i="2"/>
  <c r="BR45" i="2"/>
  <c r="BN45" i="2"/>
  <c r="N45" i="2" s="1"/>
  <c r="BF45" i="2"/>
  <c r="BA73" i="2"/>
  <c r="BG73" i="2"/>
  <c r="BF73" i="2"/>
  <c r="BB73" i="2"/>
  <c r="BC73" i="2"/>
  <c r="AA80" i="2"/>
  <c r="AL80" i="2" s="1"/>
  <c r="BG80" i="2"/>
  <c r="K56" i="2"/>
  <c r="AJ84" i="2"/>
  <c r="BA84" i="2" s="1"/>
  <c r="K79" i="2"/>
  <c r="K84" i="2"/>
  <c r="K80" i="2"/>
  <c r="AJ80" i="2"/>
  <c r="BB80" i="2"/>
  <c r="BE80" i="2"/>
  <c r="BD80" i="2"/>
  <c r="BC80" i="2"/>
  <c r="BT79" i="2"/>
  <c r="AZ79" i="2"/>
  <c r="BW79" i="2"/>
  <c r="BS79" i="2"/>
  <c r="BV79" i="2"/>
  <c r="BR79" i="2"/>
  <c r="BN79" i="2"/>
  <c r="N79" i="2" s="1"/>
  <c r="BQ79" i="2"/>
  <c r="BI79" i="2"/>
  <c r="BC79" i="2"/>
  <c r="BE79" i="2"/>
  <c r="BV80" i="2"/>
  <c r="BR80" i="2"/>
  <c r="BN80" i="2"/>
  <c r="N80" i="2" s="1"/>
  <c r="BQ80" i="2"/>
  <c r="BI80" i="2"/>
  <c r="BT80" i="2"/>
  <c r="AZ80" i="2"/>
  <c r="BW80" i="2"/>
  <c r="BS80" i="2"/>
  <c r="BG79" i="2"/>
  <c r="BF79" i="2"/>
  <c r="AA79" i="2"/>
  <c r="AL79" i="2" s="1"/>
  <c r="AJ79" i="2"/>
  <c r="BE85" i="2"/>
  <c r="BB79" i="2"/>
  <c r="BT84" i="2"/>
  <c r="AZ84" i="2"/>
  <c r="BR84" i="2"/>
  <c r="BN84" i="2"/>
  <c r="N84" i="2" s="1"/>
  <c r="BW84" i="2"/>
  <c r="BS84" i="2"/>
  <c r="BV84" i="2"/>
  <c r="BQ84" i="2"/>
  <c r="BI84" i="2"/>
  <c r="BD84" i="2"/>
  <c r="BE84" i="2"/>
  <c r="BC84" i="2"/>
  <c r="BB84" i="2"/>
  <c r="BG84" i="2"/>
  <c r="AA86" i="2"/>
  <c r="AL86" i="2" s="1"/>
  <c r="BA86" i="2" s="1"/>
  <c r="AI86" i="2"/>
  <c r="BI86" i="2" s="1"/>
  <c r="AJ85" i="2"/>
  <c r="Z85" i="2"/>
  <c r="AK85" i="2" s="1"/>
  <c r="BT85" i="2" s="1"/>
  <c r="K85" i="2"/>
  <c r="BG85" i="2"/>
  <c r="BF85" i="2"/>
  <c r="BB85" i="2"/>
  <c r="BE86" i="2"/>
  <c r="BC85" i="2"/>
  <c r="BG86" i="2"/>
  <c r="BF86" i="2"/>
  <c r="BB86" i="2"/>
  <c r="BC86" i="2"/>
  <c r="BG56" i="2"/>
  <c r="Z56" i="2"/>
  <c r="AK56" i="2" s="1"/>
  <c r="BI56" i="2" s="1"/>
  <c r="AJ56" i="2"/>
  <c r="BD56" i="2"/>
  <c r="BC56" i="2"/>
  <c r="BB56" i="2"/>
  <c r="BE56" i="2"/>
  <c r="BF56" i="2"/>
  <c r="BC55" i="2"/>
  <c r="BE55" i="2"/>
  <c r="BG55" i="2"/>
  <c r="BF55" i="2"/>
  <c r="BT55" i="2"/>
  <c r="AZ55" i="2"/>
  <c r="BW55" i="2"/>
  <c r="BS55" i="2"/>
  <c r="BV55" i="2"/>
  <c r="BR55" i="2"/>
  <c r="BN55" i="2"/>
  <c r="N55" i="2" s="1"/>
  <c r="BQ55" i="2"/>
  <c r="BI55" i="2"/>
  <c r="AA55" i="2"/>
  <c r="AL55" i="2" s="1"/>
  <c r="AJ55" i="2"/>
  <c r="BB55" i="2"/>
  <c r="K55" i="2"/>
  <c r="L11" i="4"/>
  <c r="CF83" i="2"/>
  <c r="BU83" i="2"/>
  <c r="BP83" i="2"/>
  <c r="BM83" i="2"/>
  <c r="BL83" i="2"/>
  <c r="BK83" i="2"/>
  <c r="BJ83" i="2"/>
  <c r="BH83" i="2"/>
  <c r="AX83" i="2"/>
  <c r="AW83" i="2"/>
  <c r="AV83" i="2"/>
  <c r="AU83" i="2"/>
  <c r="AQ83" i="2"/>
  <c r="AE83" i="2"/>
  <c r="AP83" i="2" s="1"/>
  <c r="AD83" i="2"/>
  <c r="AO83" i="2" s="1"/>
  <c r="AC83" i="2"/>
  <c r="AN83" i="2" s="1"/>
  <c r="AB83" i="2"/>
  <c r="AM83" i="2" s="1"/>
  <c r="BD83" i="2" s="1"/>
  <c r="Y83" i="2"/>
  <c r="AI83" i="2" s="1"/>
  <c r="J83" i="2"/>
  <c r="I83" i="2"/>
  <c r="AG83" i="2" s="1"/>
  <c r="AS83" i="2" s="1"/>
  <c r="H83" i="2"/>
  <c r="AF83" i="2" s="1"/>
  <c r="AR83" i="2" s="1"/>
  <c r="E83" i="2"/>
  <c r="Z83" i="2" s="1"/>
  <c r="AK83" i="2" s="1"/>
  <c r="CF82" i="2"/>
  <c r="BU82" i="2"/>
  <c r="BP82" i="2"/>
  <c r="BM82" i="2"/>
  <c r="BL82" i="2"/>
  <c r="BK82" i="2"/>
  <c r="BJ82" i="2"/>
  <c r="BH82" i="2"/>
  <c r="AX82" i="2"/>
  <c r="AW82" i="2"/>
  <c r="AV82" i="2"/>
  <c r="AU82" i="2"/>
  <c r="AQ82" i="2"/>
  <c r="AE82" i="2"/>
  <c r="AP82" i="2" s="1"/>
  <c r="AD82" i="2"/>
  <c r="AO82" i="2" s="1"/>
  <c r="AC82" i="2"/>
  <c r="AN82" i="2" s="1"/>
  <c r="AB82" i="2"/>
  <c r="AM82" i="2" s="1"/>
  <c r="BD82" i="2" s="1"/>
  <c r="Y82" i="2"/>
  <c r="AJ82" i="2" s="1"/>
  <c r="J82" i="2"/>
  <c r="I82" i="2"/>
  <c r="AG82" i="2" s="1"/>
  <c r="AS82" i="2" s="1"/>
  <c r="H82" i="2"/>
  <c r="AF82" i="2" s="1"/>
  <c r="AR82" i="2" s="1"/>
  <c r="E82" i="2"/>
  <c r="AA82" i="2" s="1"/>
  <c r="AL82" i="2" s="1"/>
  <c r="CF81" i="2"/>
  <c r="BU81" i="2"/>
  <c r="BP81" i="2"/>
  <c r="BM81" i="2"/>
  <c r="BL81" i="2"/>
  <c r="BK81" i="2"/>
  <c r="BJ81" i="2"/>
  <c r="BH81" i="2"/>
  <c r="AX81" i="2"/>
  <c r="AW81" i="2"/>
  <c r="AV81" i="2"/>
  <c r="AU81" i="2"/>
  <c r="AQ81" i="2"/>
  <c r="AE81" i="2"/>
  <c r="AP81" i="2" s="1"/>
  <c r="AD81" i="2"/>
  <c r="AO81" i="2" s="1"/>
  <c r="AC81" i="2"/>
  <c r="AN81" i="2" s="1"/>
  <c r="AB81" i="2"/>
  <c r="AM81" i="2" s="1"/>
  <c r="BD81" i="2" s="1"/>
  <c r="Y81" i="2"/>
  <c r="AJ81" i="2" s="1"/>
  <c r="J81" i="2"/>
  <c r="I81" i="2"/>
  <c r="AG81" i="2" s="1"/>
  <c r="AS81" i="2" s="1"/>
  <c r="H81" i="2"/>
  <c r="AF81" i="2" s="1"/>
  <c r="AR81" i="2" s="1"/>
  <c r="E81" i="2"/>
  <c r="AA81" i="2" s="1"/>
  <c r="AL81" i="2" s="1"/>
  <c r="CF59" i="2"/>
  <c r="BU59" i="2"/>
  <c r="BP59" i="2"/>
  <c r="BM59" i="2"/>
  <c r="BL59" i="2"/>
  <c r="BK59" i="2"/>
  <c r="BJ59" i="2"/>
  <c r="BH59" i="2"/>
  <c r="AX59" i="2"/>
  <c r="AW59" i="2"/>
  <c r="AV59" i="2"/>
  <c r="AU59" i="2"/>
  <c r="AQ59" i="2"/>
  <c r="AE59" i="2"/>
  <c r="AP59" i="2" s="1"/>
  <c r="AD59" i="2"/>
  <c r="AO59" i="2" s="1"/>
  <c r="AC59" i="2"/>
  <c r="AN59" i="2" s="1"/>
  <c r="AB59" i="2"/>
  <c r="AM59" i="2" s="1"/>
  <c r="BD59" i="2" s="1"/>
  <c r="Y59" i="2"/>
  <c r="AI59" i="2" s="1"/>
  <c r="J59" i="2"/>
  <c r="I59" i="2"/>
  <c r="AG59" i="2" s="1"/>
  <c r="AS59" i="2" s="1"/>
  <c r="H59" i="2"/>
  <c r="AF59" i="2" s="1"/>
  <c r="AR59" i="2" s="1"/>
  <c r="E59" i="2"/>
  <c r="Z59" i="2" s="1"/>
  <c r="AK59" i="2" s="1"/>
  <c r="CF58" i="2"/>
  <c r="BU58" i="2"/>
  <c r="BP58" i="2"/>
  <c r="BM58" i="2"/>
  <c r="BL58" i="2"/>
  <c r="BK58" i="2"/>
  <c r="BJ58" i="2"/>
  <c r="BH58" i="2"/>
  <c r="AX58" i="2"/>
  <c r="AW58" i="2"/>
  <c r="AV58" i="2"/>
  <c r="AU58" i="2"/>
  <c r="AQ58" i="2"/>
  <c r="AE58" i="2"/>
  <c r="AP58" i="2" s="1"/>
  <c r="AD58" i="2"/>
  <c r="AO58" i="2" s="1"/>
  <c r="BF58" i="2" s="1"/>
  <c r="AC58" i="2"/>
  <c r="AN58" i="2" s="1"/>
  <c r="AB58" i="2"/>
  <c r="AM58" i="2" s="1"/>
  <c r="Y58" i="2"/>
  <c r="AJ58" i="2" s="1"/>
  <c r="J58" i="2"/>
  <c r="I58" i="2"/>
  <c r="AG58" i="2" s="1"/>
  <c r="AS58" i="2" s="1"/>
  <c r="H58" i="2"/>
  <c r="AF58" i="2" s="1"/>
  <c r="AR58" i="2" s="1"/>
  <c r="E58" i="2"/>
  <c r="AA58" i="2" s="1"/>
  <c r="AL58" i="2" s="1"/>
  <c r="CF57" i="2"/>
  <c r="BU57" i="2"/>
  <c r="BP57" i="2"/>
  <c r="BM57" i="2"/>
  <c r="BL57" i="2"/>
  <c r="BK57" i="2"/>
  <c r="BJ57" i="2"/>
  <c r="BH57" i="2"/>
  <c r="AX57" i="2"/>
  <c r="AW57" i="2"/>
  <c r="AV57" i="2"/>
  <c r="AU57" i="2"/>
  <c r="AQ57" i="2"/>
  <c r="AE57" i="2"/>
  <c r="AP57" i="2" s="1"/>
  <c r="AD57" i="2"/>
  <c r="AO57" i="2" s="1"/>
  <c r="AC57" i="2"/>
  <c r="AN57" i="2" s="1"/>
  <c r="AB57" i="2"/>
  <c r="AM57" i="2" s="1"/>
  <c r="BD57" i="2" s="1"/>
  <c r="Y57" i="2"/>
  <c r="AI57" i="2" s="1"/>
  <c r="J57" i="2"/>
  <c r="I57" i="2"/>
  <c r="AG57" i="2" s="1"/>
  <c r="AS57" i="2" s="1"/>
  <c r="H57" i="2"/>
  <c r="AF57" i="2" s="1"/>
  <c r="AR57" i="2" s="1"/>
  <c r="E57" i="2"/>
  <c r="Z57" i="2" s="1"/>
  <c r="AK57" i="2" s="1"/>
  <c r="CF53" i="2"/>
  <c r="BU53" i="2"/>
  <c r="BP53" i="2"/>
  <c r="BM53" i="2"/>
  <c r="BL53" i="2"/>
  <c r="BK53" i="2"/>
  <c r="BJ53" i="2"/>
  <c r="BH53" i="2"/>
  <c r="AX53" i="2"/>
  <c r="AW53" i="2"/>
  <c r="AV53" i="2"/>
  <c r="AU53" i="2"/>
  <c r="AQ53" i="2"/>
  <c r="AE53" i="2"/>
  <c r="AP53" i="2" s="1"/>
  <c r="AD53" i="2"/>
  <c r="AO53" i="2" s="1"/>
  <c r="BF53" i="2" s="1"/>
  <c r="AC53" i="2"/>
  <c r="AN53" i="2" s="1"/>
  <c r="AB53" i="2"/>
  <c r="AM53" i="2" s="1"/>
  <c r="Y53" i="2"/>
  <c r="AJ53" i="2" s="1"/>
  <c r="J53" i="2"/>
  <c r="I53" i="2"/>
  <c r="AG53" i="2" s="1"/>
  <c r="AS53" i="2" s="1"/>
  <c r="H53" i="2"/>
  <c r="AF53" i="2" s="1"/>
  <c r="AR53" i="2" s="1"/>
  <c r="E53" i="2"/>
  <c r="AA53" i="2" s="1"/>
  <c r="AL53" i="2" s="1"/>
  <c r="BV73" i="2" l="1"/>
  <c r="AZ66" i="2"/>
  <c r="AY66" i="2" s="1"/>
  <c r="BV66" i="2"/>
  <c r="BA66" i="2"/>
  <c r="BW66" i="2"/>
  <c r="BR66" i="2"/>
  <c r="BI66" i="2"/>
  <c r="BT73" i="2"/>
  <c r="AY54" i="2"/>
  <c r="M54" i="2"/>
  <c r="O54" i="2" s="1"/>
  <c r="CA54" i="2" s="1"/>
  <c r="BO54" i="2"/>
  <c r="BA45" i="2"/>
  <c r="BW73" i="2"/>
  <c r="BQ73" i="2"/>
  <c r="BS73" i="2"/>
  <c r="BN73" i="2"/>
  <c r="N73" i="2" s="1"/>
  <c r="BI73" i="2"/>
  <c r="M73" i="2" s="1"/>
  <c r="BT66" i="2"/>
  <c r="BA80" i="2"/>
  <c r="BR73" i="2"/>
  <c r="BV65" i="2"/>
  <c r="BR65" i="2"/>
  <c r="BN65" i="2"/>
  <c r="N65" i="2" s="1"/>
  <c r="BQ65" i="2"/>
  <c r="BI65" i="2"/>
  <c r="BS65" i="2"/>
  <c r="BT65" i="2"/>
  <c r="AZ65" i="2"/>
  <c r="AY65" i="2" s="1"/>
  <c r="BW65" i="2"/>
  <c r="M66" i="2"/>
  <c r="O66" i="2" s="1"/>
  <c r="CA66" i="2" s="1"/>
  <c r="BO66" i="2"/>
  <c r="AY73" i="2"/>
  <c r="AY45" i="2"/>
  <c r="BS86" i="2"/>
  <c r="M45" i="2"/>
  <c r="O45" i="2" s="1"/>
  <c r="CA45" i="2" s="1"/>
  <c r="BO45" i="2"/>
  <c r="BQ85" i="2"/>
  <c r="BN86" i="2"/>
  <c r="N86" i="2" s="1"/>
  <c r="AY80" i="2"/>
  <c r="AY79" i="2"/>
  <c r="M79" i="2"/>
  <c r="O79" i="2" s="1"/>
  <c r="CA79" i="2" s="1"/>
  <c r="BO79" i="2"/>
  <c r="BT86" i="2"/>
  <c r="AZ86" i="2"/>
  <c r="AY86" i="2" s="1"/>
  <c r="BV86" i="2"/>
  <c r="BQ86" i="2"/>
  <c r="BA79" i="2"/>
  <c r="M80" i="2"/>
  <c r="O80" i="2" s="1"/>
  <c r="CA80" i="2" s="1"/>
  <c r="BO80" i="2"/>
  <c r="AY84" i="2"/>
  <c r="BW86" i="2"/>
  <c r="BR86" i="2"/>
  <c r="M84" i="2"/>
  <c r="O84" i="2" s="1"/>
  <c r="CA84" i="2" s="1"/>
  <c r="BO84" i="2"/>
  <c r="BW85" i="2"/>
  <c r="BR85" i="2"/>
  <c r="AZ85" i="2"/>
  <c r="AY85" i="2" s="1"/>
  <c r="BN85" i="2"/>
  <c r="N85" i="2" s="1"/>
  <c r="BI85" i="2"/>
  <c r="BO85" i="2" s="1"/>
  <c r="BS85" i="2"/>
  <c r="BV85" i="2"/>
  <c r="BA85" i="2"/>
  <c r="BQ56" i="2"/>
  <c r="BA56" i="2"/>
  <c r="BW56" i="2"/>
  <c r="BR56" i="2"/>
  <c r="BS56" i="2"/>
  <c r="BV56" i="2"/>
  <c r="BT56" i="2"/>
  <c r="AZ56" i="2"/>
  <c r="AY56" i="2" s="1"/>
  <c r="BN56" i="2"/>
  <c r="N56" i="2" s="1"/>
  <c r="M86" i="2"/>
  <c r="BO86" i="2"/>
  <c r="BA55" i="2"/>
  <c r="M56" i="2"/>
  <c r="BO56" i="2"/>
  <c r="AY55" i="2"/>
  <c r="M55" i="2"/>
  <c r="O55" i="2" s="1"/>
  <c r="CA55" i="2" s="1"/>
  <c r="BO55" i="2"/>
  <c r="BE83" i="2"/>
  <c r="K82" i="2"/>
  <c r="AA83" i="2"/>
  <c r="AL83" i="2" s="1"/>
  <c r="BE82" i="2"/>
  <c r="AI81" i="2"/>
  <c r="Z82" i="2"/>
  <c r="AK82" i="2" s="1"/>
  <c r="AJ83" i="2"/>
  <c r="BA83" i="2" s="1"/>
  <c r="K81" i="2"/>
  <c r="K83" i="2"/>
  <c r="BG83" i="2"/>
  <c r="BF83" i="2"/>
  <c r="BQ83" i="2"/>
  <c r="BI83" i="2"/>
  <c r="BT83" i="2"/>
  <c r="AI82" i="2"/>
  <c r="BB83" i="2"/>
  <c r="BN83" i="2"/>
  <c r="N83" i="2" s="1"/>
  <c r="BR83" i="2"/>
  <c r="BV83" i="2"/>
  <c r="Z81" i="2"/>
  <c r="AK81" i="2" s="1"/>
  <c r="BC83" i="2"/>
  <c r="BS83" i="2"/>
  <c r="BW83" i="2"/>
  <c r="BE81" i="2"/>
  <c r="AZ83" i="2"/>
  <c r="BG82" i="2"/>
  <c r="BF82" i="2"/>
  <c r="BB82" i="2"/>
  <c r="BC82" i="2"/>
  <c r="BG81" i="2"/>
  <c r="BF81" i="2"/>
  <c r="BB81" i="2"/>
  <c r="BE57" i="2"/>
  <c r="BE59" i="2"/>
  <c r="BC81" i="2"/>
  <c r="AA57" i="2"/>
  <c r="AL57" i="2" s="1"/>
  <c r="AA59" i="2"/>
  <c r="AL59" i="2" s="1"/>
  <c r="BG58" i="2"/>
  <c r="AJ59" i="2"/>
  <c r="AJ57" i="2"/>
  <c r="K59" i="2"/>
  <c r="BI59" i="2"/>
  <c r="BQ59" i="2"/>
  <c r="BG59" i="2"/>
  <c r="BF59" i="2"/>
  <c r="BB58" i="2"/>
  <c r="BE58" i="2"/>
  <c r="BC58" i="2"/>
  <c r="BD58" i="2"/>
  <c r="BG53" i="2"/>
  <c r="BT59" i="2"/>
  <c r="K57" i="2"/>
  <c r="Z58" i="2"/>
  <c r="AK58" i="2" s="1"/>
  <c r="BA58" i="2" s="1"/>
  <c r="AI58" i="2"/>
  <c r="BB59" i="2"/>
  <c r="BN59" i="2"/>
  <c r="N59" i="2" s="1"/>
  <c r="BR59" i="2"/>
  <c r="BV59" i="2"/>
  <c r="K58" i="2"/>
  <c r="BC59" i="2"/>
  <c r="BS59" i="2"/>
  <c r="BW59" i="2"/>
  <c r="AZ59" i="2"/>
  <c r="BB53" i="2"/>
  <c r="BE53" i="2"/>
  <c r="BD53" i="2"/>
  <c r="BC53" i="2"/>
  <c r="BT57" i="2"/>
  <c r="AZ57" i="2"/>
  <c r="BW57" i="2"/>
  <c r="BS57" i="2"/>
  <c r="BV57" i="2"/>
  <c r="BR57" i="2"/>
  <c r="BN57" i="2"/>
  <c r="N57" i="2" s="1"/>
  <c r="BQ57" i="2"/>
  <c r="BI57" i="2"/>
  <c r="BG57" i="2"/>
  <c r="BF57" i="2"/>
  <c r="K53" i="2"/>
  <c r="Z53" i="2"/>
  <c r="AK53" i="2" s="1"/>
  <c r="BA53" i="2" s="1"/>
  <c r="AI53" i="2"/>
  <c r="BB57" i="2"/>
  <c r="BC57" i="2"/>
  <c r="N129" i="2"/>
  <c r="CF75" i="2"/>
  <c r="BU75" i="2"/>
  <c r="BP75" i="2"/>
  <c r="BM75" i="2"/>
  <c r="BL75" i="2"/>
  <c r="BK75" i="2"/>
  <c r="BH75" i="2"/>
  <c r="AX75" i="2"/>
  <c r="AQ75" i="2"/>
  <c r="AE75" i="2"/>
  <c r="AP75" i="2" s="1"/>
  <c r="AD75" i="2"/>
  <c r="AO75" i="2" s="1"/>
  <c r="AC75" i="2"/>
  <c r="AN75" i="2" s="1"/>
  <c r="AB75" i="2"/>
  <c r="AM75" i="2" s="1"/>
  <c r="Y75" i="2"/>
  <c r="K75" i="2" s="1"/>
  <c r="J75" i="2"/>
  <c r="I75" i="2"/>
  <c r="AG75" i="2" s="1"/>
  <c r="AS75" i="2" s="1"/>
  <c r="H75" i="2"/>
  <c r="AF75" i="2" s="1"/>
  <c r="AR75" i="2" s="1"/>
  <c r="E75" i="2"/>
  <c r="AA75" i="2" s="1"/>
  <c r="AL75" i="2" s="1"/>
  <c r="CF63" i="2"/>
  <c r="BU63" i="2"/>
  <c r="BP63" i="2"/>
  <c r="BM63" i="2"/>
  <c r="BL63" i="2"/>
  <c r="BK63" i="2"/>
  <c r="BH63" i="2"/>
  <c r="AX63" i="2"/>
  <c r="AQ63" i="2"/>
  <c r="AE63" i="2"/>
  <c r="AP63" i="2" s="1"/>
  <c r="AD63" i="2"/>
  <c r="AO63" i="2" s="1"/>
  <c r="AC63" i="2"/>
  <c r="AN63" i="2" s="1"/>
  <c r="AB63" i="2"/>
  <c r="AM63" i="2" s="1"/>
  <c r="Y63" i="2"/>
  <c r="K63" i="2" s="1"/>
  <c r="J63" i="2"/>
  <c r="I63" i="2"/>
  <c r="AG63" i="2" s="1"/>
  <c r="AS63" i="2" s="1"/>
  <c r="H63" i="2"/>
  <c r="AF63" i="2" s="1"/>
  <c r="AR63" i="2" s="1"/>
  <c r="E63" i="2"/>
  <c r="AA63" i="2" s="1"/>
  <c r="AL63" i="2" s="1"/>
  <c r="CF62" i="2"/>
  <c r="BU62" i="2"/>
  <c r="BP62" i="2"/>
  <c r="BM62" i="2"/>
  <c r="BL62" i="2"/>
  <c r="BK62" i="2"/>
  <c r="BH62" i="2"/>
  <c r="AX62" i="2"/>
  <c r="AQ62" i="2"/>
  <c r="AE62" i="2"/>
  <c r="AP62" i="2" s="1"/>
  <c r="AD62" i="2"/>
  <c r="AO62" i="2" s="1"/>
  <c r="AC62" i="2"/>
  <c r="AN62" i="2" s="1"/>
  <c r="AB62" i="2"/>
  <c r="AM62" i="2" s="1"/>
  <c r="Y62" i="2"/>
  <c r="J62" i="2"/>
  <c r="I62" i="2"/>
  <c r="AG62" i="2" s="1"/>
  <c r="AS62" i="2" s="1"/>
  <c r="H62" i="2"/>
  <c r="AF62" i="2" s="1"/>
  <c r="AR62" i="2" s="1"/>
  <c r="E62" i="2"/>
  <c r="AA62" i="2" s="1"/>
  <c r="AL62" i="2" s="1"/>
  <c r="CF61" i="2"/>
  <c r="BU61" i="2"/>
  <c r="BP61" i="2"/>
  <c r="BM61" i="2"/>
  <c r="BL61" i="2"/>
  <c r="BK61" i="2"/>
  <c r="BH61" i="2"/>
  <c r="AX61" i="2"/>
  <c r="AQ61" i="2"/>
  <c r="AE61" i="2"/>
  <c r="AP61" i="2" s="1"/>
  <c r="AD61" i="2"/>
  <c r="AO61" i="2" s="1"/>
  <c r="AC61" i="2"/>
  <c r="AN61" i="2" s="1"/>
  <c r="AB61" i="2"/>
  <c r="AM61" i="2" s="1"/>
  <c r="Y61" i="2"/>
  <c r="J61" i="2"/>
  <c r="I61" i="2"/>
  <c r="AG61" i="2" s="1"/>
  <c r="AS61" i="2" s="1"/>
  <c r="H61" i="2"/>
  <c r="AF61" i="2" s="1"/>
  <c r="AR61" i="2" s="1"/>
  <c r="E61" i="2"/>
  <c r="AA61" i="2" s="1"/>
  <c r="AL61" i="2" s="1"/>
  <c r="CF72" i="2"/>
  <c r="BU72" i="2"/>
  <c r="BP72" i="2"/>
  <c r="BM72" i="2"/>
  <c r="BL72" i="2"/>
  <c r="BK72" i="2"/>
  <c r="BH72" i="2"/>
  <c r="AX72" i="2"/>
  <c r="AQ72" i="2"/>
  <c r="AE72" i="2"/>
  <c r="AP72" i="2" s="1"/>
  <c r="AD72" i="2"/>
  <c r="AO72" i="2" s="1"/>
  <c r="AC72" i="2"/>
  <c r="AN72" i="2" s="1"/>
  <c r="AB72" i="2"/>
  <c r="AM72" i="2" s="1"/>
  <c r="Y72" i="2"/>
  <c r="J72" i="2"/>
  <c r="I72" i="2"/>
  <c r="AG72" i="2" s="1"/>
  <c r="AS72" i="2" s="1"/>
  <c r="H72" i="2"/>
  <c r="AF72" i="2" s="1"/>
  <c r="AR72" i="2" s="1"/>
  <c r="E72" i="2"/>
  <c r="AA72" i="2" s="1"/>
  <c r="AL72" i="2" s="1"/>
  <c r="CF71" i="2"/>
  <c r="BU71" i="2"/>
  <c r="BP71" i="2"/>
  <c r="BM71" i="2"/>
  <c r="BL71" i="2"/>
  <c r="BK71" i="2"/>
  <c r="BH71" i="2"/>
  <c r="AX71" i="2"/>
  <c r="AQ71" i="2"/>
  <c r="AE71" i="2"/>
  <c r="AP71" i="2" s="1"/>
  <c r="AD71" i="2"/>
  <c r="AO71" i="2" s="1"/>
  <c r="AC71" i="2"/>
  <c r="AN71" i="2" s="1"/>
  <c r="AB71" i="2"/>
  <c r="AM71" i="2" s="1"/>
  <c r="Y71" i="2"/>
  <c r="J71" i="2"/>
  <c r="I71" i="2"/>
  <c r="AG71" i="2" s="1"/>
  <c r="AS71" i="2" s="1"/>
  <c r="H71" i="2"/>
  <c r="AF71" i="2" s="1"/>
  <c r="AR71" i="2" s="1"/>
  <c r="E71" i="2"/>
  <c r="AA71" i="2" s="1"/>
  <c r="AL71" i="2" s="1"/>
  <c r="CF70" i="2"/>
  <c r="BU70" i="2"/>
  <c r="BP70" i="2"/>
  <c r="BM70" i="2"/>
  <c r="BL70" i="2"/>
  <c r="BK70" i="2"/>
  <c r="BH70" i="2"/>
  <c r="AX70" i="2"/>
  <c r="AQ70" i="2"/>
  <c r="AE70" i="2"/>
  <c r="AP70" i="2" s="1"/>
  <c r="AD70" i="2"/>
  <c r="AO70" i="2" s="1"/>
  <c r="AC70" i="2"/>
  <c r="AN70" i="2" s="1"/>
  <c r="AB70" i="2"/>
  <c r="AM70" i="2" s="1"/>
  <c r="Y70" i="2"/>
  <c r="K70" i="2" s="1"/>
  <c r="J70" i="2"/>
  <c r="I70" i="2"/>
  <c r="AG70" i="2" s="1"/>
  <c r="AS70" i="2" s="1"/>
  <c r="H70" i="2"/>
  <c r="AF70" i="2" s="1"/>
  <c r="AR70" i="2" s="1"/>
  <c r="E70" i="2"/>
  <c r="AA70" i="2" s="1"/>
  <c r="AL70" i="2" s="1"/>
  <c r="CF69" i="2"/>
  <c r="BU69" i="2"/>
  <c r="BP69" i="2"/>
  <c r="BM69" i="2"/>
  <c r="BL69" i="2"/>
  <c r="BK69" i="2"/>
  <c r="BH69" i="2"/>
  <c r="AX69" i="2"/>
  <c r="AQ69" i="2"/>
  <c r="AE69" i="2"/>
  <c r="AP69" i="2" s="1"/>
  <c r="AD69" i="2"/>
  <c r="AO69" i="2" s="1"/>
  <c r="AC69" i="2"/>
  <c r="AN69" i="2" s="1"/>
  <c r="AB69" i="2"/>
  <c r="AM69" i="2" s="1"/>
  <c r="Y69" i="2"/>
  <c r="J69" i="2"/>
  <c r="I69" i="2"/>
  <c r="AG69" i="2" s="1"/>
  <c r="AS69" i="2" s="1"/>
  <c r="H69" i="2"/>
  <c r="AF69" i="2" s="1"/>
  <c r="AR69" i="2" s="1"/>
  <c r="E69" i="2"/>
  <c r="AA69" i="2" s="1"/>
  <c r="AL69" i="2" s="1"/>
  <c r="CF68" i="2"/>
  <c r="BU68" i="2"/>
  <c r="BP68" i="2"/>
  <c r="BM68" i="2"/>
  <c r="BL68" i="2"/>
  <c r="BK68" i="2"/>
  <c r="BH68" i="2"/>
  <c r="AX68" i="2"/>
  <c r="AQ68" i="2"/>
  <c r="AE68" i="2"/>
  <c r="AP68" i="2" s="1"/>
  <c r="AD68" i="2"/>
  <c r="AO68" i="2" s="1"/>
  <c r="AC68" i="2"/>
  <c r="AN68" i="2" s="1"/>
  <c r="AB68" i="2"/>
  <c r="AM68" i="2" s="1"/>
  <c r="Y68" i="2"/>
  <c r="J68" i="2"/>
  <c r="I68" i="2"/>
  <c r="AG68" i="2" s="1"/>
  <c r="AS68" i="2" s="1"/>
  <c r="H68" i="2"/>
  <c r="AF68" i="2" s="1"/>
  <c r="AR68" i="2" s="1"/>
  <c r="E68" i="2"/>
  <c r="Z68" i="2" s="1"/>
  <c r="AK68" i="2" s="1"/>
  <c r="CF67" i="2"/>
  <c r="BU67" i="2"/>
  <c r="BP67" i="2"/>
  <c r="BM67" i="2"/>
  <c r="BL67" i="2"/>
  <c r="BK67" i="2"/>
  <c r="BH67" i="2"/>
  <c r="AX67" i="2"/>
  <c r="AQ67" i="2"/>
  <c r="AE67" i="2"/>
  <c r="AP67" i="2" s="1"/>
  <c r="AD67" i="2"/>
  <c r="AO67" i="2" s="1"/>
  <c r="AC67" i="2"/>
  <c r="AN67" i="2" s="1"/>
  <c r="AB67" i="2"/>
  <c r="AM67" i="2" s="1"/>
  <c r="Y67" i="2"/>
  <c r="J67" i="2"/>
  <c r="I67" i="2"/>
  <c r="AG67" i="2" s="1"/>
  <c r="AS67" i="2" s="1"/>
  <c r="H67" i="2"/>
  <c r="AF67" i="2" s="1"/>
  <c r="AR67" i="2" s="1"/>
  <c r="E67" i="2"/>
  <c r="CF77" i="2"/>
  <c r="BU77" i="2"/>
  <c r="BP77" i="2"/>
  <c r="BM77" i="2"/>
  <c r="BL77" i="2"/>
  <c r="BK77" i="2"/>
  <c r="BH77" i="2"/>
  <c r="AX77" i="2"/>
  <c r="AQ77" i="2"/>
  <c r="AE77" i="2"/>
  <c r="AP77" i="2" s="1"/>
  <c r="AD77" i="2"/>
  <c r="AO77" i="2" s="1"/>
  <c r="AC77" i="2"/>
  <c r="AN77" i="2" s="1"/>
  <c r="AB77" i="2"/>
  <c r="AM77" i="2" s="1"/>
  <c r="Y77" i="2"/>
  <c r="J77" i="2"/>
  <c r="I77" i="2"/>
  <c r="AG77" i="2" s="1"/>
  <c r="AS77" i="2" s="1"/>
  <c r="H77" i="2"/>
  <c r="AF77" i="2" s="1"/>
  <c r="AR77" i="2" s="1"/>
  <c r="E77" i="2"/>
  <c r="Z77" i="2" s="1"/>
  <c r="AK77" i="2" s="1"/>
  <c r="CF76" i="2"/>
  <c r="BU76" i="2"/>
  <c r="BP76" i="2"/>
  <c r="BM76" i="2"/>
  <c r="BL76" i="2"/>
  <c r="BK76" i="2"/>
  <c r="BH76" i="2"/>
  <c r="AX76" i="2"/>
  <c r="AQ76" i="2"/>
  <c r="AE76" i="2"/>
  <c r="AP76" i="2" s="1"/>
  <c r="AD76" i="2"/>
  <c r="AO76" i="2" s="1"/>
  <c r="AC76" i="2"/>
  <c r="AN76" i="2" s="1"/>
  <c r="AB76" i="2"/>
  <c r="AM76" i="2" s="1"/>
  <c r="Y76" i="2"/>
  <c r="K76" i="2" s="1"/>
  <c r="J76" i="2"/>
  <c r="I76" i="2"/>
  <c r="AG76" i="2" s="1"/>
  <c r="AS76" i="2" s="1"/>
  <c r="H76" i="2"/>
  <c r="AF76" i="2" s="1"/>
  <c r="AR76" i="2" s="1"/>
  <c r="E76" i="2"/>
  <c r="AA76" i="2" s="1"/>
  <c r="AL76" i="2" s="1"/>
  <c r="CF74" i="2"/>
  <c r="BU74" i="2"/>
  <c r="BP74" i="2"/>
  <c r="BM74" i="2"/>
  <c r="BL74" i="2"/>
  <c r="BK74" i="2"/>
  <c r="BH74" i="2"/>
  <c r="AX74" i="2"/>
  <c r="AQ74" i="2"/>
  <c r="AE74" i="2"/>
  <c r="AP74" i="2" s="1"/>
  <c r="AD74" i="2"/>
  <c r="AO74" i="2" s="1"/>
  <c r="AC74" i="2"/>
  <c r="AN74" i="2" s="1"/>
  <c r="AB74" i="2"/>
  <c r="AM74" i="2" s="1"/>
  <c r="Y74" i="2"/>
  <c r="K74" i="2" s="1"/>
  <c r="J74" i="2"/>
  <c r="I74" i="2"/>
  <c r="AG74" i="2" s="1"/>
  <c r="AS74" i="2" s="1"/>
  <c r="H74" i="2"/>
  <c r="AF74" i="2" s="1"/>
  <c r="AR74" i="2" s="1"/>
  <c r="E74" i="2"/>
  <c r="Z74" i="2" s="1"/>
  <c r="AK74" i="2" s="1"/>
  <c r="BO73" i="2" l="1"/>
  <c r="BX73" i="2" s="1"/>
  <c r="BX54" i="2"/>
  <c r="CB54" i="2"/>
  <c r="BZ54" i="2"/>
  <c r="BX80" i="2"/>
  <c r="O73" i="2"/>
  <c r="CA73" i="2" s="1"/>
  <c r="CB73" i="2" s="1"/>
  <c r="CB66" i="2"/>
  <c r="BZ66" i="2"/>
  <c r="BO65" i="2"/>
  <c r="BX65" i="2" s="1"/>
  <c r="M65" i="2"/>
  <c r="O65" i="2" s="1"/>
  <c r="CA65" i="2" s="1"/>
  <c r="BX66" i="2"/>
  <c r="CB45" i="2"/>
  <c r="BZ45" i="2"/>
  <c r="O86" i="2"/>
  <c r="CA86" i="2" s="1"/>
  <c r="CB86" i="2" s="1"/>
  <c r="BX45" i="2"/>
  <c r="BX79" i="2"/>
  <c r="M85" i="2"/>
  <c r="O85" i="2" s="1"/>
  <c r="CA85" i="2" s="1"/>
  <c r="BZ85" i="2" s="1"/>
  <c r="BZ80" i="2"/>
  <c r="CB80" i="2"/>
  <c r="CB79" i="2"/>
  <c r="BZ79" i="2"/>
  <c r="CB84" i="2"/>
  <c r="BZ84" i="2"/>
  <c r="BX84" i="2"/>
  <c r="BX85" i="2"/>
  <c r="BX56" i="2"/>
  <c r="O56" i="2"/>
  <c r="CA56" i="2" s="1"/>
  <c r="BZ56" i="2" s="1"/>
  <c r="BX86" i="2"/>
  <c r="BA57" i="2"/>
  <c r="BX55" i="2"/>
  <c r="CB56" i="2"/>
  <c r="CB55" i="2"/>
  <c r="BZ55" i="2"/>
  <c r="BN82" i="2"/>
  <c r="N82" i="2" s="1"/>
  <c r="BT81" i="2"/>
  <c r="BS81" i="2"/>
  <c r="BV81" i="2"/>
  <c r="BQ81" i="2"/>
  <c r="BI81" i="2"/>
  <c r="M81" i="2" s="1"/>
  <c r="BQ82" i="2"/>
  <c r="BA82" i="2"/>
  <c r="AZ82" i="2"/>
  <c r="AY82" i="2" s="1"/>
  <c r="BI82" i="2"/>
  <c r="M82" i="2" s="1"/>
  <c r="O82" i="2" s="1"/>
  <c r="CA82" i="2" s="1"/>
  <c r="BR81" i="2"/>
  <c r="BA81" i="2"/>
  <c r="AZ81" i="2"/>
  <c r="AY81" i="2" s="1"/>
  <c r="BN81" i="2"/>
  <c r="N81" i="2" s="1"/>
  <c r="BW82" i="2"/>
  <c r="BV82" i="2"/>
  <c r="BT82" i="2"/>
  <c r="BW81" i="2"/>
  <c r="BS82" i="2"/>
  <c r="BR82" i="2"/>
  <c r="AY83" i="2"/>
  <c r="M83" i="2"/>
  <c r="O83" i="2" s="1"/>
  <c r="CA83" i="2" s="1"/>
  <c r="BO83" i="2"/>
  <c r="AY59" i="2"/>
  <c r="BA59" i="2"/>
  <c r="AA77" i="2"/>
  <c r="AL77" i="2" s="1"/>
  <c r="AA68" i="2"/>
  <c r="AL68" i="2" s="1"/>
  <c r="M59" i="2"/>
  <c r="O59" i="2" s="1"/>
  <c r="CA59" i="2" s="1"/>
  <c r="BO59" i="2"/>
  <c r="BV58" i="2"/>
  <c r="BR58" i="2"/>
  <c r="BN58" i="2"/>
  <c r="N58" i="2" s="1"/>
  <c r="BQ58" i="2"/>
  <c r="BI58" i="2"/>
  <c r="BW58" i="2"/>
  <c r="BS58" i="2"/>
  <c r="BT58" i="2"/>
  <c r="AZ58" i="2"/>
  <c r="AY58" i="2" s="1"/>
  <c r="M57" i="2"/>
  <c r="O57" i="2" s="1"/>
  <c r="CA57" i="2" s="1"/>
  <c r="BO57" i="2"/>
  <c r="AY57" i="2"/>
  <c r="BV53" i="2"/>
  <c r="BR53" i="2"/>
  <c r="BN53" i="2"/>
  <c r="N53" i="2" s="1"/>
  <c r="BW53" i="2"/>
  <c r="BS53" i="2"/>
  <c r="BQ53" i="2"/>
  <c r="BI53" i="2"/>
  <c r="BT53" i="2"/>
  <c r="AZ53" i="2"/>
  <c r="AY53" i="2" s="1"/>
  <c r="Z72" i="2"/>
  <c r="AK72" i="2" s="1"/>
  <c r="Z61" i="2"/>
  <c r="AK61" i="2" s="1"/>
  <c r="AA74" i="2"/>
  <c r="AL74" i="2" s="1"/>
  <c r="Z70" i="2"/>
  <c r="AK70" i="2" s="1"/>
  <c r="K77" i="2"/>
  <c r="K68" i="2"/>
  <c r="Z63" i="2"/>
  <c r="AK63" i="2" s="1"/>
  <c r="Z75" i="2"/>
  <c r="AK75" i="2" s="1"/>
  <c r="K72" i="2"/>
  <c r="K61" i="2"/>
  <c r="Z62" i="2"/>
  <c r="AK62" i="2" s="1"/>
  <c r="K62" i="2"/>
  <c r="AA67" i="2"/>
  <c r="AL67" i="2" s="1"/>
  <c r="Z67" i="2"/>
  <c r="AK67" i="2" s="1"/>
  <c r="K67" i="2"/>
  <c r="K71" i="2"/>
  <c r="Z69" i="2"/>
  <c r="AK69" i="2" s="1"/>
  <c r="Z71" i="2"/>
  <c r="AK71" i="2" s="1"/>
  <c r="K69" i="2"/>
  <c r="Z76" i="2"/>
  <c r="AK76" i="2" s="1"/>
  <c r="O18" i="2"/>
  <c r="O124" i="2"/>
  <c r="O123" i="2"/>
  <c r="O122" i="2"/>
  <c r="O121" i="2"/>
  <c r="O120" i="2"/>
  <c r="O113" i="2"/>
  <c r="O111" i="2"/>
  <c r="O110" i="2"/>
  <c r="K112" i="2"/>
  <c r="K103" i="2"/>
  <c r="O104" i="2"/>
  <c r="O102" i="2"/>
  <c r="O101" i="2"/>
  <c r="O34" i="2"/>
  <c r="O27" i="2"/>
  <c r="O20" i="2"/>
  <c r="CF88" i="2"/>
  <c r="BU88" i="2"/>
  <c r="BP88" i="2"/>
  <c r="BM88" i="2"/>
  <c r="BL88" i="2"/>
  <c r="BK88" i="2"/>
  <c r="BH88" i="2"/>
  <c r="AX88" i="2"/>
  <c r="AQ88" i="2"/>
  <c r="AE88" i="2"/>
  <c r="AP88" i="2" s="1"/>
  <c r="AD88" i="2"/>
  <c r="AO88" i="2" s="1"/>
  <c r="AC88" i="2"/>
  <c r="AN88" i="2" s="1"/>
  <c r="AB88" i="2"/>
  <c r="AM88" i="2" s="1"/>
  <c r="Y88" i="2"/>
  <c r="J88" i="2"/>
  <c r="I88" i="2"/>
  <c r="AG88" i="2" s="1"/>
  <c r="AS88" i="2" s="1"/>
  <c r="H88" i="2"/>
  <c r="AF88" i="2" s="1"/>
  <c r="AR88" i="2" s="1"/>
  <c r="E88" i="2"/>
  <c r="AA88" i="2" s="1"/>
  <c r="AL88" i="2" s="1"/>
  <c r="CF87" i="2"/>
  <c r="BU87" i="2"/>
  <c r="BP87" i="2"/>
  <c r="BM87" i="2"/>
  <c r="BL87" i="2"/>
  <c r="BH87" i="2"/>
  <c r="AX87" i="2"/>
  <c r="AQ87" i="2"/>
  <c r="AE87" i="2"/>
  <c r="AP87" i="2" s="1"/>
  <c r="AD87" i="2"/>
  <c r="AO87" i="2" s="1"/>
  <c r="AC87" i="2"/>
  <c r="AN87" i="2" s="1"/>
  <c r="AB87" i="2"/>
  <c r="AM87" i="2" s="1"/>
  <c r="Y87" i="2"/>
  <c r="J87" i="2"/>
  <c r="I87" i="2"/>
  <c r="AG87" i="2" s="1"/>
  <c r="AS87" i="2" s="1"/>
  <c r="H87" i="2"/>
  <c r="AF87" i="2" s="1"/>
  <c r="AR87" i="2" s="1"/>
  <c r="E87" i="2"/>
  <c r="AA87" i="2" s="1"/>
  <c r="AL87" i="2" s="1"/>
  <c r="CF52" i="2"/>
  <c r="BU52" i="2"/>
  <c r="BP52" i="2"/>
  <c r="BM52" i="2"/>
  <c r="BL52" i="2"/>
  <c r="BH52" i="2"/>
  <c r="AX52" i="2"/>
  <c r="AQ52" i="2"/>
  <c r="AE52" i="2"/>
  <c r="AP52" i="2" s="1"/>
  <c r="AD52" i="2"/>
  <c r="AO52" i="2" s="1"/>
  <c r="AC52" i="2"/>
  <c r="AN52" i="2" s="1"/>
  <c r="AB52" i="2"/>
  <c r="AM52" i="2" s="1"/>
  <c r="Y52" i="2"/>
  <c r="J52" i="2"/>
  <c r="I52" i="2"/>
  <c r="AG52" i="2" s="1"/>
  <c r="AS52" i="2" s="1"/>
  <c r="H52" i="2"/>
  <c r="AF52" i="2" s="1"/>
  <c r="AR52" i="2" s="1"/>
  <c r="E52" i="2"/>
  <c r="AA52" i="2" s="1"/>
  <c r="AL52" i="2" s="1"/>
  <c r="CF51" i="2"/>
  <c r="BU51" i="2"/>
  <c r="BP51" i="2"/>
  <c r="BM51" i="2"/>
  <c r="BL51" i="2"/>
  <c r="BH51" i="2"/>
  <c r="AX51" i="2"/>
  <c r="AQ51" i="2"/>
  <c r="AE51" i="2"/>
  <c r="AP51" i="2" s="1"/>
  <c r="AD51" i="2"/>
  <c r="AO51" i="2" s="1"/>
  <c r="AC51" i="2"/>
  <c r="AN51" i="2" s="1"/>
  <c r="AB51" i="2"/>
  <c r="AM51" i="2" s="1"/>
  <c r="Y51" i="2"/>
  <c r="J51" i="2"/>
  <c r="I51" i="2"/>
  <c r="AG51" i="2" s="1"/>
  <c r="AS51" i="2" s="1"/>
  <c r="H51" i="2"/>
  <c r="AF51" i="2" s="1"/>
  <c r="AR51" i="2" s="1"/>
  <c r="E51" i="2"/>
  <c r="AA51" i="2" s="1"/>
  <c r="AL51" i="2" s="1"/>
  <c r="CF50" i="2"/>
  <c r="BU50" i="2"/>
  <c r="BP50" i="2"/>
  <c r="BM50" i="2"/>
  <c r="BL50" i="2"/>
  <c r="BH50" i="2"/>
  <c r="AX50" i="2"/>
  <c r="AQ50" i="2"/>
  <c r="AE50" i="2"/>
  <c r="AP50" i="2" s="1"/>
  <c r="AD50" i="2"/>
  <c r="AO50" i="2" s="1"/>
  <c r="AC50" i="2"/>
  <c r="AN50" i="2" s="1"/>
  <c r="AB50" i="2"/>
  <c r="AM50" i="2" s="1"/>
  <c r="Y50" i="2"/>
  <c r="J50" i="2"/>
  <c r="I50" i="2"/>
  <c r="AG50" i="2" s="1"/>
  <c r="AS50" i="2" s="1"/>
  <c r="H50" i="2"/>
  <c r="AF50" i="2" s="1"/>
  <c r="AR50" i="2" s="1"/>
  <c r="E50" i="2"/>
  <c r="AA50" i="2" s="1"/>
  <c r="AL50" i="2" s="1"/>
  <c r="CF49" i="2"/>
  <c r="BU49" i="2"/>
  <c r="BP49" i="2"/>
  <c r="BM49" i="2"/>
  <c r="BL49" i="2"/>
  <c r="BH49" i="2"/>
  <c r="AX49" i="2"/>
  <c r="AQ49" i="2"/>
  <c r="AE49" i="2"/>
  <c r="AP49" i="2" s="1"/>
  <c r="AD49" i="2"/>
  <c r="AO49" i="2" s="1"/>
  <c r="AC49" i="2"/>
  <c r="AN49" i="2" s="1"/>
  <c r="AB49" i="2"/>
  <c r="AM49" i="2" s="1"/>
  <c r="Y49" i="2"/>
  <c r="J49" i="2"/>
  <c r="I49" i="2"/>
  <c r="AG49" i="2" s="1"/>
  <c r="AS49" i="2" s="1"/>
  <c r="H49" i="2"/>
  <c r="AF49" i="2" s="1"/>
  <c r="AR49" i="2" s="1"/>
  <c r="E49" i="2"/>
  <c r="AA49" i="2" s="1"/>
  <c r="AL49" i="2" s="1"/>
  <c r="P2" i="14"/>
  <c r="BZ73" i="2" l="1"/>
  <c r="BZ65" i="2"/>
  <c r="CB65" i="2"/>
  <c r="BZ86" i="2"/>
  <c r="CB85" i="2"/>
  <c r="BO82" i="2"/>
  <c r="BX82" i="2" s="1"/>
  <c r="BO81" i="2"/>
  <c r="BX81" i="2" s="1"/>
  <c r="BX83" i="2"/>
  <c r="CB83" i="2"/>
  <c r="BZ83" i="2"/>
  <c r="BX59" i="2"/>
  <c r="O81" i="2"/>
  <c r="CA81" i="2" s="1"/>
  <c r="CB81" i="2" s="1"/>
  <c r="CB82" i="2"/>
  <c r="BZ82" i="2"/>
  <c r="M58" i="2"/>
  <c r="O58" i="2" s="1"/>
  <c r="CA58" i="2" s="1"/>
  <c r="BO58" i="2"/>
  <c r="BX58" i="2" s="1"/>
  <c r="BX57" i="2"/>
  <c r="CB59" i="2"/>
  <c r="BZ59" i="2"/>
  <c r="BO53" i="2"/>
  <c r="BX53" i="2" s="1"/>
  <c r="M53" i="2"/>
  <c r="O53" i="2" s="1"/>
  <c r="CA53" i="2" s="1"/>
  <c r="CB57" i="2"/>
  <c r="BZ57" i="2"/>
  <c r="BJ75" i="2"/>
  <c r="BJ61" i="2"/>
  <c r="BJ72" i="2"/>
  <c r="BJ70" i="2"/>
  <c r="BJ68" i="2"/>
  <c r="BJ77" i="2"/>
  <c r="BJ74" i="2"/>
  <c r="Z88" i="2"/>
  <c r="AK88" i="2" s="1"/>
  <c r="Z52" i="2"/>
  <c r="AK52" i="2" s="1"/>
  <c r="K87" i="2"/>
  <c r="CF22" i="2"/>
  <c r="CF26" i="2"/>
  <c r="CF96" i="2"/>
  <c r="CF19" i="2"/>
  <c r="CF33" i="2"/>
  <c r="CF35" i="2"/>
  <c r="CF13" i="2"/>
  <c r="CF17" i="2"/>
  <c r="CF21" i="2"/>
  <c r="CF23" i="2"/>
  <c r="CF97" i="2"/>
  <c r="CF20" i="2"/>
  <c r="CF24" i="2"/>
  <c r="CF30" i="2"/>
  <c r="CF90" i="2"/>
  <c r="CF112" i="2"/>
  <c r="CF14" i="2"/>
  <c r="Z51" i="2"/>
  <c r="AK51" i="2" s="1"/>
  <c r="Z87" i="2"/>
  <c r="AK87" i="2" s="1"/>
  <c r="K50" i="2"/>
  <c r="K88" i="2"/>
  <c r="K52" i="2"/>
  <c r="Z50" i="2"/>
  <c r="AK50" i="2" s="1"/>
  <c r="K51" i="2"/>
  <c r="Z49" i="2"/>
  <c r="AK49" i="2" s="1"/>
  <c r="K49" i="2"/>
  <c r="CF100" i="2"/>
  <c r="CF103" i="2"/>
  <c r="CF122" i="2"/>
  <c r="BZ81" i="2" l="1"/>
  <c r="BZ58" i="2"/>
  <c r="CB58" i="2"/>
  <c r="CB53" i="2"/>
  <c r="BZ53" i="2"/>
  <c r="BJ63" i="2"/>
  <c r="BJ62" i="2"/>
  <c r="BJ69" i="2"/>
  <c r="BJ67" i="2"/>
  <c r="BJ71" i="2"/>
  <c r="BJ76" i="2"/>
  <c r="BK51" i="2"/>
  <c r="BK87" i="2"/>
  <c r="BK52" i="2"/>
  <c r="BK50" i="2"/>
  <c r="CF18" i="2"/>
  <c r="CF32" i="2"/>
  <c r="CF43" i="2"/>
  <c r="CF91" i="2"/>
  <c r="CF99" i="2"/>
  <c r="CF105" i="2"/>
  <c r="CF107" i="2"/>
  <c r="CF111" i="2"/>
  <c r="CF114" i="2"/>
  <c r="CF116" i="2"/>
  <c r="CF120" i="2"/>
  <c r="CF125" i="2"/>
  <c r="CF15" i="2"/>
  <c r="CF29" i="2"/>
  <c r="CF38" i="2"/>
  <c r="CF102" i="2"/>
  <c r="CF16" i="2"/>
  <c r="CF25" i="2"/>
  <c r="CF28" i="2"/>
  <c r="CF31" i="2"/>
  <c r="CF34" i="2"/>
  <c r="CF37" i="2"/>
  <c r="CF39" i="2"/>
  <c r="CF44" i="2"/>
  <c r="CF48" i="2"/>
  <c r="CF89" i="2"/>
  <c r="CF98" i="2"/>
  <c r="CF101" i="2"/>
  <c r="CF104" i="2"/>
  <c r="CF106" i="2"/>
  <c r="CF110" i="2"/>
  <c r="CF113" i="2"/>
  <c r="CF115" i="2"/>
  <c r="CF118" i="2"/>
  <c r="CF121" i="2"/>
  <c r="CF124" i="2"/>
  <c r="CF46" i="2"/>
  <c r="CF27" i="2"/>
  <c r="CF36" i="2"/>
  <c r="CF93" i="2"/>
  <c r="CF123" i="2"/>
  <c r="CF92" i="2"/>
  <c r="B11" i="14"/>
  <c r="A11" i="14"/>
  <c r="BJ87" i="2" l="1"/>
  <c r="BK49" i="2"/>
  <c r="CF127" i="2"/>
  <c r="T93" i="2"/>
  <c r="BM48" i="2"/>
  <c r="BL48" i="2"/>
  <c r="BM46" i="2"/>
  <c r="BL46" i="2"/>
  <c r="BM44" i="2"/>
  <c r="BL44" i="2"/>
  <c r="BM41" i="2"/>
  <c r="BL41" i="2"/>
  <c r="BK41" i="2"/>
  <c r="CD127" i="2" l="1"/>
  <c r="O90" i="2" l="1"/>
  <c r="CA90" i="2" s="1"/>
  <c r="CB90" i="2" s="1"/>
  <c r="CA124" i="2"/>
  <c r="CB124" i="2" s="1"/>
  <c r="CA121" i="2"/>
  <c r="CB121" i="2" s="1"/>
  <c r="CA120" i="2"/>
  <c r="CB120" i="2" s="1"/>
  <c r="CA110" i="2"/>
  <c r="CB110" i="2" s="1"/>
  <c r="O112" i="2"/>
  <c r="CA123" i="2"/>
  <c r="O13" i="2"/>
  <c r="BZ123" i="2" l="1"/>
  <c r="CB123" i="2"/>
  <c r="O103" i="2"/>
  <c r="CA103" i="2" s="1"/>
  <c r="BZ90" i="2"/>
  <c r="BZ124" i="2"/>
  <c r="BZ121" i="2"/>
  <c r="BZ120" i="2"/>
  <c r="BZ110" i="2"/>
  <c r="CB103" i="2" l="1"/>
  <c r="BZ103" i="2"/>
  <c r="CA19" i="2"/>
  <c r="CB19" i="2" s="1"/>
  <c r="CA20" i="2"/>
  <c r="CB20" i="2" s="1"/>
  <c r="CA24" i="2"/>
  <c r="CB24" i="2" s="1"/>
  <c r="CA33" i="2"/>
  <c r="CA34" i="2"/>
  <c r="CB34" i="2" s="1"/>
  <c r="CA13" i="2"/>
  <c r="CB13" i="2" s="1"/>
  <c r="BZ33" i="2" l="1"/>
  <c r="CB33" i="2"/>
  <c r="BZ19" i="2"/>
  <c r="BZ13" i="2"/>
  <c r="BZ34" i="2"/>
  <c r="BZ24" i="2"/>
  <c r="BZ20" i="2"/>
  <c r="CA18" i="2" l="1"/>
  <c r="CB18" i="2" s="1"/>
  <c r="BU44" i="2"/>
  <c r="BP44" i="2"/>
  <c r="BH44" i="2"/>
  <c r="AX44" i="2"/>
  <c r="AQ44" i="2"/>
  <c r="AE44" i="2"/>
  <c r="AP44" i="2" s="1"/>
  <c r="AD44" i="2"/>
  <c r="AO44" i="2" s="1"/>
  <c r="AC44" i="2"/>
  <c r="AN44" i="2" s="1"/>
  <c r="AB44" i="2"/>
  <c r="AM44" i="2" s="1"/>
  <c r="Y44" i="2"/>
  <c r="J44" i="2"/>
  <c r="I44" i="2"/>
  <c r="AG44" i="2" s="1"/>
  <c r="AS44" i="2" s="1"/>
  <c r="H44" i="2"/>
  <c r="AF44" i="2" s="1"/>
  <c r="AR44" i="2" s="1"/>
  <c r="E44" i="2"/>
  <c r="AA44" i="2" s="1"/>
  <c r="AL44" i="2" s="1"/>
  <c r="BU46" i="2"/>
  <c r="BP46" i="2"/>
  <c r="BH46" i="2"/>
  <c r="AX46" i="2"/>
  <c r="AQ46" i="2"/>
  <c r="AE46" i="2"/>
  <c r="AP46" i="2" s="1"/>
  <c r="AD46" i="2"/>
  <c r="AO46" i="2" s="1"/>
  <c r="AC46" i="2"/>
  <c r="AN46" i="2" s="1"/>
  <c r="AB46" i="2"/>
  <c r="AM46" i="2" s="1"/>
  <c r="Y46" i="2"/>
  <c r="J46" i="2"/>
  <c r="I46" i="2"/>
  <c r="AG46" i="2" s="1"/>
  <c r="AS46" i="2" s="1"/>
  <c r="H46" i="2"/>
  <c r="AF46" i="2" s="1"/>
  <c r="AR46" i="2" s="1"/>
  <c r="E46" i="2"/>
  <c r="AA46" i="2" s="1"/>
  <c r="AL46" i="2" s="1"/>
  <c r="BZ18" i="2" l="1"/>
  <c r="Z44" i="2"/>
  <c r="AK44" i="2" s="1"/>
  <c r="K44" i="2"/>
  <c r="Z46" i="2"/>
  <c r="AK46" i="2" s="1"/>
  <c r="K46" i="2"/>
  <c r="BU48" i="2" l="1"/>
  <c r="BP48" i="2"/>
  <c r="BH48" i="2"/>
  <c r="AX48" i="2"/>
  <c r="AQ48" i="2"/>
  <c r="AE48" i="2"/>
  <c r="AP48" i="2" s="1"/>
  <c r="AD48" i="2"/>
  <c r="AO48" i="2" s="1"/>
  <c r="AC48" i="2"/>
  <c r="AN48" i="2" s="1"/>
  <c r="AB48" i="2"/>
  <c r="AM48" i="2" s="1"/>
  <c r="Y48" i="2"/>
  <c r="J48" i="2"/>
  <c r="I48" i="2"/>
  <c r="AG48" i="2" s="1"/>
  <c r="AS48" i="2" s="1"/>
  <c r="H48" i="2"/>
  <c r="AF48" i="2" s="1"/>
  <c r="AR48" i="2" s="1"/>
  <c r="E48" i="2"/>
  <c r="AA48" i="2" s="1"/>
  <c r="AL48" i="2" s="1"/>
  <c r="BU43" i="2"/>
  <c r="BP43" i="2"/>
  <c r="BH43" i="2"/>
  <c r="AX43" i="2"/>
  <c r="AQ43" i="2"/>
  <c r="AE43" i="2"/>
  <c r="AP43" i="2" s="1"/>
  <c r="AD43" i="2"/>
  <c r="AO43" i="2" s="1"/>
  <c r="AC43" i="2"/>
  <c r="AN43" i="2" s="1"/>
  <c r="AB43" i="2"/>
  <c r="AM43" i="2" s="1"/>
  <c r="Y43" i="2"/>
  <c r="J43" i="2"/>
  <c r="I43" i="2"/>
  <c r="AG43" i="2" s="1"/>
  <c r="AS43" i="2" s="1"/>
  <c r="H43" i="2"/>
  <c r="AF43" i="2" s="1"/>
  <c r="AR43" i="2" s="1"/>
  <c r="E43" i="2"/>
  <c r="AA43" i="2" s="1"/>
  <c r="AL43" i="2" s="1"/>
  <c r="Z43" i="2" l="1"/>
  <c r="AK43" i="2" s="1"/>
  <c r="Z48" i="2"/>
  <c r="AK48" i="2" s="1"/>
  <c r="K43" i="2"/>
  <c r="K48" i="2"/>
  <c r="AJ160" i="2" l="1"/>
  <c r="AJ163" i="2" s="1"/>
  <c r="AD160" i="2"/>
  <c r="AD163" i="2" s="1"/>
  <c r="AP160" i="2"/>
  <c r="AP163" i="2" s="1"/>
  <c r="AM160" i="2"/>
  <c r="AM163" i="2" s="1"/>
  <c r="AA160" i="2"/>
  <c r="AA163" i="2" s="1"/>
  <c r="AG160" i="2"/>
  <c r="AG163" i="2" s="1"/>
  <c r="X160" i="2" l="1"/>
  <c r="X163" i="2" s="1"/>
  <c r="U160" i="2"/>
  <c r="U163" i="2" s="1"/>
  <c r="AM159" i="2" l="1"/>
  <c r="AM162" i="2" s="1"/>
  <c r="X159" i="2" l="1"/>
  <c r="X162" i="2" s="1"/>
  <c r="AA159" i="2" l="1"/>
  <c r="AA162" i="2" s="1"/>
  <c r="AJ159" i="2"/>
  <c r="AJ162" i="2" s="1"/>
  <c r="AG159" i="2"/>
  <c r="AG162" i="2" s="1"/>
  <c r="AD159" i="2"/>
  <c r="AD162" i="2" s="1"/>
  <c r="AX89" i="2" l="1"/>
  <c r="BH89" i="2"/>
  <c r="BP89" i="2"/>
  <c r="BU89" i="2"/>
  <c r="AP159" i="2" l="1"/>
  <c r="AP162" i="2" s="1"/>
  <c r="U159" i="2" l="1"/>
  <c r="U162" i="2" s="1"/>
  <c r="H71" i="8"/>
  <c r="H69" i="8"/>
  <c r="K15" i="6" l="1"/>
  <c r="K16" i="6"/>
  <c r="K17" i="6"/>
  <c r="K18" i="6"/>
  <c r="K19" i="6"/>
  <c r="K20" i="6"/>
  <c r="M14" i="6"/>
  <c r="K14" i="6"/>
  <c r="H72" i="8" l="1"/>
  <c r="H70" i="8"/>
  <c r="P5" i="13" l="1"/>
  <c r="P3" i="13"/>
  <c r="I21" i="6"/>
  <c r="N130" i="2" l="1"/>
  <c r="N131" i="2"/>
  <c r="CA101" i="2"/>
  <c r="CB101" i="2" s="1"/>
  <c r="CA102" i="2"/>
  <c r="CB102" i="2" s="1"/>
  <c r="CA104" i="2"/>
  <c r="CB104" i="2" s="1"/>
  <c r="M177" i="2"/>
  <c r="N14" i="2"/>
  <c r="O14" i="2" s="1"/>
  <c r="CA14" i="2" s="1"/>
  <c r="N17" i="2"/>
  <c r="N22" i="2"/>
  <c r="O22" i="2" s="1"/>
  <c r="N21" i="2"/>
  <c r="N23" i="2"/>
  <c r="O23" i="2" s="1"/>
  <c r="N35" i="2"/>
  <c r="O35" i="2" s="1"/>
  <c r="CA35" i="2" s="1"/>
  <c r="CB35" i="2" s="1"/>
  <c r="CA111" i="2"/>
  <c r="CB111" i="2" s="1"/>
  <c r="CA112" i="2"/>
  <c r="CB112" i="2" s="1"/>
  <c r="CA113" i="2"/>
  <c r="CB113" i="2" s="1"/>
  <c r="CA122" i="2"/>
  <c r="CB122" i="2" s="1"/>
  <c r="M20" i="6"/>
  <c r="M15" i="6"/>
  <c r="M16" i="6"/>
  <c r="N16" i="6" s="1"/>
  <c r="M17" i="6"/>
  <c r="N17" i="6" s="1"/>
  <c r="M18" i="6"/>
  <c r="N18" i="6" s="1"/>
  <c r="M19" i="6"/>
  <c r="N143" i="2"/>
  <c r="N145" i="2"/>
  <c r="N147" i="2"/>
  <c r="N149" i="2"/>
  <c r="I4" i="11"/>
  <c r="H4" i="12"/>
  <c r="H5" i="12"/>
  <c r="H3" i="12"/>
  <c r="G43" i="10"/>
  <c r="I5" i="11"/>
  <c r="I3" i="11"/>
  <c r="H5" i="10"/>
  <c r="H4" i="10"/>
  <c r="H3" i="10"/>
  <c r="I19" i="12"/>
  <c r="I18" i="12"/>
  <c r="I16" i="12"/>
  <c r="I15" i="12"/>
  <c r="I14" i="12"/>
  <c r="I13" i="12"/>
  <c r="J13" i="11"/>
  <c r="I20" i="11" s="1"/>
  <c r="I22" i="11" s="1"/>
  <c r="G45" i="10"/>
  <c r="F45" i="10"/>
  <c r="G44" i="10"/>
  <c r="F44" i="10"/>
  <c r="F43" i="10"/>
  <c r="F27" i="10"/>
  <c r="N133" i="2"/>
  <c r="H57" i="8"/>
  <c r="I22" i="8"/>
  <c r="I21" i="8"/>
  <c r="I20" i="8"/>
  <c r="I19" i="8"/>
  <c r="I18" i="8"/>
  <c r="I17" i="8"/>
  <c r="I16" i="8"/>
  <c r="I15" i="8"/>
  <c r="I14" i="8"/>
  <c r="I13" i="8"/>
  <c r="I12" i="8"/>
  <c r="I11" i="8"/>
  <c r="I10" i="8"/>
  <c r="I9" i="8"/>
  <c r="I8" i="8"/>
  <c r="I7" i="8"/>
  <c r="I6" i="8"/>
  <c r="E19" i="3"/>
  <c r="E20" i="3" s="1"/>
  <c r="H68" i="8"/>
  <c r="N97" i="2" s="1"/>
  <c r="O97" i="2" s="1"/>
  <c r="CA97" i="2" s="1"/>
  <c r="CB97" i="2" s="1"/>
  <c r="H67" i="8"/>
  <c r="N96" i="2" s="1"/>
  <c r="O96" i="2" s="1"/>
  <c r="CA96" i="2" s="1"/>
  <c r="CB96" i="2" s="1"/>
  <c r="H65" i="8"/>
  <c r="H64" i="8"/>
  <c r="H6" i="8"/>
  <c r="H2" i="8"/>
  <c r="H8" i="8"/>
  <c r="H4" i="8"/>
  <c r="H7" i="8"/>
  <c r="H9" i="8"/>
  <c r="H10" i="8"/>
  <c r="H63" i="8"/>
  <c r="AQ41" i="2"/>
  <c r="AG41" i="2"/>
  <c r="AS41" i="2" s="1"/>
  <c r="AF41" i="2"/>
  <c r="AR41" i="2" s="1"/>
  <c r="AE41" i="2"/>
  <c r="AP41" i="2" s="1"/>
  <c r="AD41" i="2"/>
  <c r="AO41" i="2" s="1"/>
  <c r="AC41" i="2"/>
  <c r="AN41" i="2" s="1"/>
  <c r="AB41" i="2"/>
  <c r="AM41" i="2" s="1"/>
  <c r="AA41" i="2"/>
  <c r="AL41" i="2" s="1"/>
  <c r="Z41" i="2"/>
  <c r="AK41" i="2" s="1"/>
  <c r="BH41" i="2"/>
  <c r="I75" i="8"/>
  <c r="AV41" i="2"/>
  <c r="BU41" i="2"/>
  <c r="H62" i="8"/>
  <c r="BP41" i="2"/>
  <c r="AX41" i="2"/>
  <c r="C42" i="9"/>
  <c r="C39" i="9"/>
  <c r="C41" i="9"/>
  <c r="C40" i="9"/>
  <c r="G5" i="9"/>
  <c r="G4" i="9"/>
  <c r="G3" i="9"/>
  <c r="Q5" i="6"/>
  <c r="Q3" i="6"/>
  <c r="K4" i="4"/>
  <c r="K5" i="4"/>
  <c r="K3" i="4"/>
  <c r="K4" i="3"/>
  <c r="K5" i="3"/>
  <c r="K3" i="3"/>
  <c r="P5" i="2"/>
  <c r="P3" i="2"/>
  <c r="Y41" i="2"/>
  <c r="H22" i="8"/>
  <c r="H21" i="8"/>
  <c r="H20" i="8"/>
  <c r="H19" i="8"/>
  <c r="H18" i="8"/>
  <c r="H17" i="8"/>
  <c r="H16" i="8"/>
  <c r="H15" i="8"/>
  <c r="H14" i="8"/>
  <c r="H13" i="8"/>
  <c r="H12" i="8"/>
  <c r="H11" i="8"/>
  <c r="N14" i="6"/>
  <c r="AW71" i="2" l="1"/>
  <c r="AW68" i="2"/>
  <c r="AW67" i="2"/>
  <c r="AW75" i="2"/>
  <c r="AW69" i="2"/>
  <c r="AW63" i="2"/>
  <c r="AW61" i="2"/>
  <c r="AW62" i="2"/>
  <c r="AW72" i="2"/>
  <c r="AW70" i="2"/>
  <c r="AW77" i="2"/>
  <c r="AW76" i="2"/>
  <c r="AW74" i="2"/>
  <c r="AW49" i="2"/>
  <c r="AW88" i="2"/>
  <c r="AW52" i="2"/>
  <c r="AW51" i="2"/>
  <c r="AW87" i="2"/>
  <c r="AW50" i="2"/>
  <c r="AJ67" i="2"/>
  <c r="BA67" i="2" s="1"/>
  <c r="AJ68" i="2"/>
  <c r="BA68" i="2" s="1"/>
  <c r="AJ62" i="2"/>
  <c r="BA62" i="2" s="1"/>
  <c r="AJ75" i="2"/>
  <c r="BA75" i="2" s="1"/>
  <c r="AJ69" i="2"/>
  <c r="BA69" i="2" s="1"/>
  <c r="AJ77" i="2"/>
  <c r="BA77" i="2" s="1"/>
  <c r="AJ63" i="2"/>
  <c r="BA63" i="2" s="1"/>
  <c r="AJ61" i="2"/>
  <c r="BA61" i="2" s="1"/>
  <c r="AJ49" i="2"/>
  <c r="BA49" i="2" s="1"/>
  <c r="O17" i="2"/>
  <c r="CA17" i="2" s="1"/>
  <c r="AI70" i="2"/>
  <c r="AI72" i="2"/>
  <c r="AI71" i="2"/>
  <c r="AI88" i="2"/>
  <c r="AI87" i="2"/>
  <c r="AJ51" i="2"/>
  <c r="BA51" i="2" s="1"/>
  <c r="AJ52" i="2"/>
  <c r="BA52" i="2" s="1"/>
  <c r="AJ50" i="2"/>
  <c r="BA50" i="2" s="1"/>
  <c r="AV62" i="2"/>
  <c r="AV72" i="2"/>
  <c r="AV70" i="2"/>
  <c r="AV77" i="2"/>
  <c r="AV71" i="2"/>
  <c r="AV68" i="2"/>
  <c r="AV67" i="2"/>
  <c r="AV75" i="2"/>
  <c r="AV69" i="2"/>
  <c r="AV63" i="2"/>
  <c r="AV61" i="2"/>
  <c r="AV76" i="2"/>
  <c r="AV74" i="2"/>
  <c r="BE70" i="2"/>
  <c r="BF69" i="2"/>
  <c r="BD72" i="2"/>
  <c r="BG69" i="2"/>
  <c r="BE63" i="2"/>
  <c r="BC75" i="2"/>
  <c r="BG63" i="2"/>
  <c r="BC62" i="2"/>
  <c r="BE72" i="2"/>
  <c r="BC61" i="2"/>
  <c r="BB71" i="2"/>
  <c r="BB67" i="2"/>
  <c r="BB69" i="2"/>
  <c r="BB72" i="2"/>
  <c r="BG76" i="2"/>
  <c r="BC74" i="2"/>
  <c r="BE77" i="2"/>
  <c r="BG77" i="2"/>
  <c r="BD76" i="2"/>
  <c r="BE61" i="2"/>
  <c r="BB76" i="2"/>
  <c r="BD61" i="2"/>
  <c r="BC76" i="2"/>
  <c r="BF71" i="2"/>
  <c r="BF62" i="2"/>
  <c r="BG75" i="2"/>
  <c r="BB75" i="2"/>
  <c r="BG67" i="2"/>
  <c r="BF63" i="2"/>
  <c r="BD62" i="2"/>
  <c r="BB61" i="2"/>
  <c r="BE71" i="2"/>
  <c r="BE67" i="2"/>
  <c r="BE69" i="2"/>
  <c r="BC68" i="2"/>
  <c r="BD74" i="2"/>
  <c r="BB74" i="2"/>
  <c r="BC77" i="2"/>
  <c r="BF77" i="2"/>
  <c r="AV88" i="2"/>
  <c r="AV87" i="2"/>
  <c r="AV52" i="2"/>
  <c r="AV51" i="2"/>
  <c r="AV50" i="2"/>
  <c r="BD63" i="2"/>
  <c r="BD75" i="2"/>
  <c r="BE75" i="2"/>
  <c r="BF75" i="2"/>
  <c r="BE68" i="2"/>
  <c r="BG61" i="2"/>
  <c r="BB62" i="2"/>
  <c r="BG68" i="2"/>
  <c r="BD71" i="2"/>
  <c r="BD67" i="2"/>
  <c r="BG70" i="2"/>
  <c r="BG72" i="2"/>
  <c r="BC69" i="2"/>
  <c r="BB68" i="2"/>
  <c r="BB70" i="2"/>
  <c r="BC72" i="2"/>
  <c r="BE74" i="2"/>
  <c r="BB77" i="2"/>
  <c r="BG74" i="2"/>
  <c r="BE76" i="2"/>
  <c r="AV49" i="2"/>
  <c r="BD68" i="2"/>
  <c r="BD70" i="2"/>
  <c r="BF67" i="2"/>
  <c r="BG62" i="2"/>
  <c r="BF61" i="2"/>
  <c r="BE62" i="2"/>
  <c r="BG71" i="2"/>
  <c r="BB63" i="2"/>
  <c r="BC63" i="2"/>
  <c r="BF68" i="2"/>
  <c r="BC71" i="2"/>
  <c r="BC67" i="2"/>
  <c r="BF70" i="2"/>
  <c r="BF72" i="2"/>
  <c r="BD69" i="2"/>
  <c r="BC70" i="2"/>
  <c r="BF76" i="2"/>
  <c r="BD77" i="2"/>
  <c r="BF74" i="2"/>
  <c r="BD87" i="2"/>
  <c r="BG88" i="2"/>
  <c r="BE50" i="2"/>
  <c r="BF87" i="2"/>
  <c r="BD52" i="2"/>
  <c r="BD88" i="2"/>
  <c r="BF50" i="2"/>
  <c r="BF88" i="2"/>
  <c r="BC88" i="2"/>
  <c r="BG51" i="2"/>
  <c r="BD50" i="2"/>
  <c r="BG49" i="2"/>
  <c r="BC52" i="2"/>
  <c r="BG52" i="2"/>
  <c r="BB51" i="2"/>
  <c r="BC87" i="2"/>
  <c r="BC49" i="2"/>
  <c r="BF52" i="2"/>
  <c r="BB88" i="2"/>
  <c r="BF51" i="2"/>
  <c r="BC50" i="2"/>
  <c r="BB52" i="2"/>
  <c r="BB49" i="2"/>
  <c r="BF49" i="2"/>
  <c r="BD51" i="2"/>
  <c r="BE88" i="2"/>
  <c r="BB50" i="2"/>
  <c r="BG87" i="2"/>
  <c r="BE52" i="2"/>
  <c r="BG50" i="2"/>
  <c r="BE87" i="2"/>
  <c r="BB87" i="2"/>
  <c r="BE49" i="2"/>
  <c r="BE51" i="2"/>
  <c r="BC51" i="2"/>
  <c r="BD49" i="2"/>
  <c r="AI50" i="2"/>
  <c r="AI51" i="2"/>
  <c r="AI52" i="2"/>
  <c r="AI74" i="2"/>
  <c r="AI76" i="2"/>
  <c r="AI63" i="2"/>
  <c r="AI77" i="2"/>
  <c r="AI68" i="2"/>
  <c r="AI67" i="2"/>
  <c r="AI69" i="2"/>
  <c r="AI75" i="2"/>
  <c r="AI61" i="2"/>
  <c r="AI62" i="2"/>
  <c r="AI49" i="2"/>
  <c r="AU63" i="2"/>
  <c r="AU61" i="2"/>
  <c r="AU76" i="2"/>
  <c r="AU62" i="2"/>
  <c r="AU72" i="2"/>
  <c r="AU70" i="2"/>
  <c r="AU77" i="2"/>
  <c r="AU71" i="2"/>
  <c r="AU68" i="2"/>
  <c r="AU67" i="2"/>
  <c r="AU75" i="2"/>
  <c r="AU69" i="2"/>
  <c r="AU74" i="2"/>
  <c r="AU49" i="2"/>
  <c r="AU88" i="2"/>
  <c r="AU87" i="2"/>
  <c r="AU52" i="2"/>
  <c r="AU51" i="2"/>
  <c r="AU50" i="2"/>
  <c r="AJ70" i="2"/>
  <c r="BA70" i="2" s="1"/>
  <c r="AJ71" i="2"/>
  <c r="BA71" i="2" s="1"/>
  <c r="AJ72" i="2"/>
  <c r="BA72" i="2" s="1"/>
  <c r="AJ87" i="2"/>
  <c r="BA87" i="2" s="1"/>
  <c r="AJ88" i="2"/>
  <c r="BA88" i="2" s="1"/>
  <c r="AJ76" i="2"/>
  <c r="BA76" i="2" s="1"/>
  <c r="AJ74" i="2"/>
  <c r="BA74" i="2" s="1"/>
  <c r="H44" i="10"/>
  <c r="O21" i="2"/>
  <c r="CA21" i="2" s="1"/>
  <c r="M36" i="2"/>
  <c r="BZ14" i="2"/>
  <c r="CB14" i="2"/>
  <c r="CA22" i="2"/>
  <c r="CB22" i="2" s="1"/>
  <c r="CA23" i="2"/>
  <c r="CB23" i="2" s="1"/>
  <c r="AU44" i="2"/>
  <c r="AU46" i="2"/>
  <c r="AU48" i="2"/>
  <c r="AU43" i="2"/>
  <c r="AW44" i="2"/>
  <c r="AW46" i="2"/>
  <c r="AW43" i="2"/>
  <c r="AW48" i="2"/>
  <c r="AJ44" i="2"/>
  <c r="BA44" i="2" s="1"/>
  <c r="AJ43" i="2"/>
  <c r="BA43" i="2" s="1"/>
  <c r="AW41" i="2"/>
  <c r="AV44" i="2"/>
  <c r="AV46" i="2"/>
  <c r="BE44" i="2"/>
  <c r="BF46" i="2"/>
  <c r="BB46" i="2"/>
  <c r="BF44" i="2"/>
  <c r="BB44" i="2"/>
  <c r="BG46" i="2"/>
  <c r="BE46" i="2"/>
  <c r="BG44" i="2"/>
  <c r="BD44" i="2"/>
  <c r="BC46" i="2"/>
  <c r="BD46" i="2"/>
  <c r="BC44" i="2"/>
  <c r="AV48" i="2"/>
  <c r="AV43" i="2"/>
  <c r="BD43" i="2"/>
  <c r="BF43" i="2"/>
  <c r="BD48" i="2"/>
  <c r="BG48" i="2"/>
  <c r="BC43" i="2"/>
  <c r="BE48" i="2"/>
  <c r="BC48" i="2"/>
  <c r="BE43" i="2"/>
  <c r="BF48" i="2"/>
  <c r="BB43" i="2"/>
  <c r="BB48" i="2"/>
  <c r="BG43" i="2"/>
  <c r="AI44" i="2"/>
  <c r="AI43" i="2"/>
  <c r="AJ46" i="2"/>
  <c r="BA46" i="2" s="1"/>
  <c r="AJ48" i="2"/>
  <c r="BA48" i="2" s="1"/>
  <c r="AI46" i="2"/>
  <c r="AI48" i="2"/>
  <c r="BZ35" i="2"/>
  <c r="BZ97" i="2"/>
  <c r="BZ96" i="2"/>
  <c r="BZ122" i="2"/>
  <c r="BZ111" i="2"/>
  <c r="BZ113" i="2"/>
  <c r="BZ112" i="2"/>
  <c r="BZ101" i="2"/>
  <c r="BZ104" i="2"/>
  <c r="BZ102" i="2"/>
  <c r="AI41" i="2"/>
  <c r="BV41" i="2" s="1"/>
  <c r="BB41" i="2"/>
  <c r="H45" i="10"/>
  <c r="I21" i="11"/>
  <c r="AU41" i="2"/>
  <c r="H43" i="10"/>
  <c r="O17" i="6"/>
  <c r="O16" i="6"/>
  <c r="O18" i="6"/>
  <c r="N20" i="6"/>
  <c r="O20" i="6" s="1"/>
  <c r="M21" i="6"/>
  <c r="N132" i="2"/>
  <c r="M89" i="2" s="1"/>
  <c r="M99" i="2"/>
  <c r="BG41" i="2"/>
  <c r="BF41" i="2"/>
  <c r="M201" i="2"/>
  <c r="M206" i="2" s="1"/>
  <c r="BD41" i="2"/>
  <c r="BE41" i="2"/>
  <c r="O14" i="6"/>
  <c r="N19" i="6"/>
  <c r="O19" i="6" s="1"/>
  <c r="N15" i="6"/>
  <c r="O15" i="6" s="1"/>
  <c r="I21" i="12"/>
  <c r="E21" i="3"/>
  <c r="E12" i="3"/>
  <c r="AJ41" i="2"/>
  <c r="BA41" i="2" s="1"/>
  <c r="BC41" i="2"/>
  <c r="M185" i="2"/>
  <c r="M189" i="2" s="1"/>
  <c r="BD89" i="2" l="1"/>
  <c r="CB21" i="2"/>
  <c r="BZ21" i="2"/>
  <c r="CB17" i="2"/>
  <c r="BZ17" i="2"/>
  <c r="BI75" i="2"/>
  <c r="BV75" i="2"/>
  <c r="BS75" i="2"/>
  <c r="BN75" i="2"/>
  <c r="N75" i="2" s="1"/>
  <c r="BW75" i="2"/>
  <c r="BT75" i="2"/>
  <c r="BQ75" i="2"/>
  <c r="BR75" i="2"/>
  <c r="AZ75" i="2"/>
  <c r="AY75" i="2" s="1"/>
  <c r="BI77" i="2"/>
  <c r="BW77" i="2"/>
  <c r="BV77" i="2"/>
  <c r="BN77" i="2"/>
  <c r="N77" i="2" s="1"/>
  <c r="AZ77" i="2"/>
  <c r="AY77" i="2" s="1"/>
  <c r="BQ77" i="2"/>
  <c r="BT77" i="2"/>
  <c r="BR77" i="2"/>
  <c r="BS77" i="2"/>
  <c r="BN50" i="2"/>
  <c r="N50" i="2" s="1"/>
  <c r="BW50" i="2"/>
  <c r="BV50" i="2"/>
  <c r="BR50" i="2"/>
  <c r="AZ50" i="2"/>
  <c r="AY50" i="2" s="1"/>
  <c r="BI50" i="2"/>
  <c r="BQ50" i="2"/>
  <c r="BS50" i="2"/>
  <c r="BT50" i="2"/>
  <c r="BV88" i="2"/>
  <c r="AZ88" i="2"/>
  <c r="AY88" i="2" s="1"/>
  <c r="BT88" i="2"/>
  <c r="BS88" i="2"/>
  <c r="BQ88" i="2"/>
  <c r="BR88" i="2"/>
  <c r="BW88" i="2"/>
  <c r="BI88" i="2"/>
  <c r="BN88" i="2"/>
  <c r="N88" i="2" s="1"/>
  <c r="BN49" i="2"/>
  <c r="N49" i="2" s="1"/>
  <c r="AZ49" i="2"/>
  <c r="AY49" i="2" s="1"/>
  <c r="BQ49" i="2"/>
  <c r="BW49" i="2"/>
  <c r="BV49" i="2"/>
  <c r="BI49" i="2"/>
  <c r="BS49" i="2"/>
  <c r="BR49" i="2"/>
  <c r="BT49" i="2"/>
  <c r="BR69" i="2"/>
  <c r="BS69" i="2"/>
  <c r="BN69" i="2"/>
  <c r="N69" i="2" s="1"/>
  <c r="BT69" i="2"/>
  <c r="BQ69" i="2"/>
  <c r="AZ69" i="2"/>
  <c r="AY69" i="2" s="1"/>
  <c r="BV69" i="2"/>
  <c r="BI69" i="2"/>
  <c r="BW69" i="2"/>
  <c r="BR63" i="2"/>
  <c r="BQ63" i="2"/>
  <c r="BW63" i="2"/>
  <c r="BT63" i="2"/>
  <c r="BI63" i="2"/>
  <c r="AZ63" i="2"/>
  <c r="AY63" i="2" s="1"/>
  <c r="BS63" i="2"/>
  <c r="BN63" i="2"/>
  <c r="N63" i="2" s="1"/>
  <c r="BV63" i="2"/>
  <c r="BW52" i="2"/>
  <c r="AZ52" i="2"/>
  <c r="AY52" i="2" s="1"/>
  <c r="BV52" i="2"/>
  <c r="BI52" i="2"/>
  <c r="BS52" i="2"/>
  <c r="BR52" i="2"/>
  <c r="BQ52" i="2"/>
  <c r="BN52" i="2"/>
  <c r="N52" i="2" s="1"/>
  <c r="BT52" i="2"/>
  <c r="BN71" i="2"/>
  <c r="N71" i="2" s="1"/>
  <c r="BT71" i="2"/>
  <c r="BQ71" i="2"/>
  <c r="AZ71" i="2"/>
  <c r="AY71" i="2" s="1"/>
  <c r="BV71" i="2"/>
  <c r="BI71" i="2"/>
  <c r="BS71" i="2"/>
  <c r="BR71" i="2"/>
  <c r="BW71" i="2"/>
  <c r="O99" i="2"/>
  <c r="CA99" i="2" s="1"/>
  <c r="BR62" i="2"/>
  <c r="BS62" i="2"/>
  <c r="BN62" i="2"/>
  <c r="N62" i="2" s="1"/>
  <c r="BT62" i="2"/>
  <c r="BQ62" i="2"/>
  <c r="AZ62" i="2"/>
  <c r="AY62" i="2" s="1"/>
  <c r="BV62" i="2"/>
  <c r="BI62" i="2"/>
  <c r="BW62" i="2"/>
  <c r="BQ67" i="2"/>
  <c r="AZ67" i="2"/>
  <c r="AY67" i="2" s="1"/>
  <c r="BV67" i="2"/>
  <c r="BI67" i="2"/>
  <c r="BS67" i="2"/>
  <c r="BR67" i="2"/>
  <c r="BW67" i="2"/>
  <c r="BN67" i="2"/>
  <c r="N67" i="2" s="1"/>
  <c r="BT67" i="2"/>
  <c r="BN76" i="2"/>
  <c r="N76" i="2" s="1"/>
  <c r="BT76" i="2"/>
  <c r="BS76" i="2"/>
  <c r="AZ76" i="2"/>
  <c r="AY76" i="2" s="1"/>
  <c r="BV76" i="2"/>
  <c r="BQ76" i="2"/>
  <c r="BW76" i="2"/>
  <c r="BR76" i="2"/>
  <c r="BI76" i="2"/>
  <c r="BN51" i="2"/>
  <c r="N51" i="2" s="1"/>
  <c r="AZ51" i="2"/>
  <c r="AY51" i="2" s="1"/>
  <c r="BS51" i="2"/>
  <c r="BW51" i="2"/>
  <c r="BR51" i="2"/>
  <c r="BI51" i="2"/>
  <c r="BQ51" i="2"/>
  <c r="BT51" i="2"/>
  <c r="BV51" i="2"/>
  <c r="BQ72" i="2"/>
  <c r="BW72" i="2"/>
  <c r="BI72" i="2"/>
  <c r="BN72" i="2"/>
  <c r="N72" i="2" s="1"/>
  <c r="BR72" i="2"/>
  <c r="AZ72" i="2"/>
  <c r="AY72" i="2" s="1"/>
  <c r="BT72" i="2"/>
  <c r="BV72" i="2"/>
  <c r="BS72" i="2"/>
  <c r="BQ61" i="2"/>
  <c r="BV61" i="2"/>
  <c r="BI61" i="2"/>
  <c r="BS61" i="2"/>
  <c r="BT61" i="2"/>
  <c r="BN61" i="2"/>
  <c r="N61" i="2" s="1"/>
  <c r="BW61" i="2"/>
  <c r="BR61" i="2"/>
  <c r="AZ61" i="2"/>
  <c r="AY61" i="2" s="1"/>
  <c r="BQ68" i="2"/>
  <c r="BW68" i="2"/>
  <c r="BV68" i="2"/>
  <c r="BR68" i="2"/>
  <c r="BI68" i="2"/>
  <c r="AZ68" i="2"/>
  <c r="AY68" i="2" s="1"/>
  <c r="BN68" i="2"/>
  <c r="N68" i="2" s="1"/>
  <c r="BS68" i="2"/>
  <c r="BT68" i="2"/>
  <c r="BV74" i="2"/>
  <c r="BN74" i="2"/>
  <c r="N74" i="2" s="1"/>
  <c r="BS74" i="2"/>
  <c r="BT74" i="2"/>
  <c r="BR74" i="2"/>
  <c r="BW74" i="2"/>
  <c r="AZ74" i="2"/>
  <c r="AY74" i="2" s="1"/>
  <c r="BQ74" i="2"/>
  <c r="BI74" i="2"/>
  <c r="BR87" i="2"/>
  <c r="BN87" i="2"/>
  <c r="N87" i="2" s="1"/>
  <c r="BT87" i="2"/>
  <c r="AZ87" i="2"/>
  <c r="AY87" i="2" s="1"/>
  <c r="BW87" i="2"/>
  <c r="BV87" i="2"/>
  <c r="BS87" i="2"/>
  <c r="BQ87" i="2"/>
  <c r="BI87" i="2"/>
  <c r="BQ70" i="2"/>
  <c r="BT70" i="2"/>
  <c r="BR70" i="2"/>
  <c r="BS70" i="2"/>
  <c r="BI70" i="2"/>
  <c r="BV70" i="2"/>
  <c r="BW70" i="2"/>
  <c r="AZ70" i="2"/>
  <c r="AY70" i="2" s="1"/>
  <c r="BN70" i="2"/>
  <c r="N70" i="2" s="1"/>
  <c r="N27" i="2"/>
  <c r="BG89" i="2"/>
  <c r="AU89" i="2"/>
  <c r="AV89" i="2"/>
  <c r="N30" i="2"/>
  <c r="AW89" i="2"/>
  <c r="BZ23" i="2"/>
  <c r="BZ22" i="2"/>
  <c r="BF89" i="2"/>
  <c r="BE89" i="2"/>
  <c r="BB89" i="2"/>
  <c r="BC89" i="2"/>
  <c r="BR48" i="2"/>
  <c r="BN48" i="2"/>
  <c r="N48" i="2" s="1"/>
  <c r="BV48" i="2"/>
  <c r="BS48" i="2"/>
  <c r="BW48" i="2"/>
  <c r="AZ48" i="2"/>
  <c r="AY48" i="2" s="1"/>
  <c r="BQ48" i="2"/>
  <c r="BI48" i="2"/>
  <c r="BT48" i="2"/>
  <c r="N31" i="2"/>
  <c r="M16" i="2"/>
  <c r="BT46" i="2"/>
  <c r="AZ46" i="2"/>
  <c r="AY46" i="2" s="1"/>
  <c r="BR46" i="2"/>
  <c r="BS46" i="2"/>
  <c r="BN46" i="2"/>
  <c r="N46" i="2" s="1"/>
  <c r="BQ46" i="2"/>
  <c r="BI46" i="2"/>
  <c r="BW46" i="2"/>
  <c r="BV46" i="2"/>
  <c r="N28" i="2"/>
  <c r="N16" i="2"/>
  <c r="BV43" i="2"/>
  <c r="BI43" i="2"/>
  <c r="BR43" i="2"/>
  <c r="AZ43" i="2"/>
  <c r="BT43" i="2"/>
  <c r="BW43" i="2"/>
  <c r="BN43" i="2"/>
  <c r="BQ43" i="2"/>
  <c r="BS43" i="2"/>
  <c r="M30" i="2"/>
  <c r="M29" i="2"/>
  <c r="BA89" i="2"/>
  <c r="BT44" i="2"/>
  <c r="BS44" i="2"/>
  <c r="BQ44" i="2"/>
  <c r="AZ44" i="2"/>
  <c r="AY44" i="2" s="1"/>
  <c r="BV44" i="2"/>
  <c r="BI44" i="2"/>
  <c r="BN44" i="2"/>
  <c r="N44" i="2" s="1"/>
  <c r="BW44" i="2"/>
  <c r="BR44" i="2"/>
  <c r="N29" i="2"/>
  <c r="M31" i="2"/>
  <c r="M37" i="2"/>
  <c r="N36" i="2"/>
  <c r="M38" i="2"/>
  <c r="M32" i="2"/>
  <c r="O32" i="2" s="1"/>
  <c r="BQ41" i="2"/>
  <c r="AZ41" i="2"/>
  <c r="BW41" i="2"/>
  <c r="BN41" i="2"/>
  <c r="BT41" i="2"/>
  <c r="BR41" i="2"/>
  <c r="BI41" i="2"/>
  <c r="BS41" i="2"/>
  <c r="H46" i="10"/>
  <c r="G14" i="6"/>
  <c r="G14" i="13"/>
  <c r="G15" i="13" s="1"/>
  <c r="G16" i="13" s="1"/>
  <c r="G17" i="13" s="1"/>
  <c r="G18" i="13" s="1"/>
  <c r="G19" i="13" s="1"/>
  <c r="G20" i="13" s="1"/>
  <c r="G21" i="13" s="1"/>
  <c r="G22" i="13" s="1"/>
  <c r="G23" i="13" s="1"/>
  <c r="G24" i="13" s="1"/>
  <c r="G25" i="13" s="1"/>
  <c r="G26" i="13" s="1"/>
  <c r="G27" i="13" s="1"/>
  <c r="G28" i="13" s="1"/>
  <c r="M114" i="2"/>
  <c r="O114" i="2" s="1"/>
  <c r="M157" i="2"/>
  <c r="N21" i="6"/>
  <c r="M169" i="2"/>
  <c r="M171" i="2" s="1"/>
  <c r="M175" i="2" s="1"/>
  <c r="M118" i="2"/>
  <c r="O118" i="2" s="1"/>
  <c r="O89" i="2"/>
  <c r="CA89" i="2" s="1"/>
  <c r="CB89" i="2" s="1"/>
  <c r="M15" i="2"/>
  <c r="O15" i="2" s="1"/>
  <c r="O21" i="6"/>
  <c r="G15" i="6" l="1"/>
  <c r="G16" i="6" s="1"/>
  <c r="G17" i="6" s="1"/>
  <c r="G18" i="6" s="1"/>
  <c r="G19" i="6" s="1"/>
  <c r="G20" i="6" s="1"/>
  <c r="CA30" i="2"/>
  <c r="CB30" i="2" s="1"/>
  <c r="CB99" i="2"/>
  <c r="BZ99" i="2"/>
  <c r="CA31" i="2"/>
  <c r="BO69" i="2"/>
  <c r="BX69" i="2" s="1"/>
  <c r="M69" i="2"/>
  <c r="O69" i="2" s="1"/>
  <c r="CA69" i="2" s="1"/>
  <c r="BO77" i="2"/>
  <c r="BX77" i="2" s="1"/>
  <c r="M77" i="2"/>
  <c r="O77" i="2" s="1"/>
  <c r="CA77" i="2" s="1"/>
  <c r="BO74" i="2"/>
  <c r="BX74" i="2" s="1"/>
  <c r="M74" i="2"/>
  <c r="O74" i="2" s="1"/>
  <c r="CA74" i="2" s="1"/>
  <c r="BO61" i="2"/>
  <c r="BX61" i="2" s="1"/>
  <c r="M61" i="2"/>
  <c r="O61" i="2" s="1"/>
  <c r="CA61" i="2" s="1"/>
  <c r="BJ51" i="2"/>
  <c r="M51" i="2" s="1"/>
  <c r="O51" i="2" s="1"/>
  <c r="CA51" i="2" s="1"/>
  <c r="BO51" i="2"/>
  <c r="BO67" i="2"/>
  <c r="BX67" i="2" s="1"/>
  <c r="M67" i="2"/>
  <c r="O67" i="2" s="1"/>
  <c r="CA67" i="2" s="1"/>
  <c r="BJ50" i="2"/>
  <c r="M50" i="2" s="1"/>
  <c r="O50" i="2" s="1"/>
  <c r="CA50" i="2" s="1"/>
  <c r="BO50" i="2"/>
  <c r="BO75" i="2"/>
  <c r="BX75" i="2" s="1"/>
  <c r="M75" i="2"/>
  <c r="O75" i="2" s="1"/>
  <c r="CA75" i="2" s="1"/>
  <c r="BO70" i="2"/>
  <c r="BX70" i="2" s="1"/>
  <c r="M70" i="2"/>
  <c r="O70" i="2" s="1"/>
  <c r="CA70" i="2" s="1"/>
  <c r="BO68" i="2"/>
  <c r="BX68" i="2" s="1"/>
  <c r="M68" i="2"/>
  <c r="O68" i="2" s="1"/>
  <c r="CA68" i="2" s="1"/>
  <c r="BO62" i="2"/>
  <c r="BX62" i="2" s="1"/>
  <c r="M62" i="2"/>
  <c r="O62" i="2" s="1"/>
  <c r="CA62" i="2" s="1"/>
  <c r="BJ52" i="2"/>
  <c r="BO52" i="2"/>
  <c r="BO63" i="2"/>
  <c r="BX63" i="2" s="1"/>
  <c r="M63" i="2"/>
  <c r="O63" i="2" s="1"/>
  <c r="CA63" i="2" s="1"/>
  <c r="BJ88" i="2"/>
  <c r="M88" i="2" s="1"/>
  <c r="O88" i="2" s="1"/>
  <c r="CA88" i="2" s="1"/>
  <c r="BO88" i="2"/>
  <c r="BO87" i="2"/>
  <c r="BX87" i="2" s="1"/>
  <c r="M87" i="2"/>
  <c r="O87" i="2" s="1"/>
  <c r="CA87" i="2" s="1"/>
  <c r="BO72" i="2"/>
  <c r="BX72" i="2" s="1"/>
  <c r="M72" i="2"/>
  <c r="O72" i="2" s="1"/>
  <c r="CA72" i="2" s="1"/>
  <c r="BO76" i="2"/>
  <c r="BX76" i="2" s="1"/>
  <c r="M76" i="2"/>
  <c r="O76" i="2" s="1"/>
  <c r="CA76" i="2" s="1"/>
  <c r="BO71" i="2"/>
  <c r="BX71" i="2" s="1"/>
  <c r="M71" i="2"/>
  <c r="O71" i="2" s="1"/>
  <c r="CA71" i="2" s="1"/>
  <c r="BJ49" i="2"/>
  <c r="BO49" i="2"/>
  <c r="O16" i="2"/>
  <c r="CA16" i="2" s="1"/>
  <c r="CB16" i="2" s="1"/>
  <c r="BK48" i="2"/>
  <c r="BJ48" i="2"/>
  <c r="BO41" i="2"/>
  <c r="BJ41" i="2"/>
  <c r="BK46" i="2"/>
  <c r="BJ46" i="2"/>
  <c r="BJ43" i="2"/>
  <c r="V93" i="2"/>
  <c r="BK44" i="2"/>
  <c r="BJ44" i="2"/>
  <c r="O29" i="2"/>
  <c r="CA29" i="2" s="1"/>
  <c r="CB29" i="2" s="1"/>
  <c r="CA36" i="2"/>
  <c r="S93" i="2"/>
  <c r="W93" i="2"/>
  <c r="BW89" i="2"/>
  <c r="U93" i="2"/>
  <c r="X93" i="2"/>
  <c r="BO44" i="2"/>
  <c r="BR89" i="2"/>
  <c r="N91" i="2"/>
  <c r="M172" i="2" s="1"/>
  <c r="M176" i="2" s="1"/>
  <c r="BQ89" i="2"/>
  <c r="M27" i="2"/>
  <c r="CA27" i="2" s="1"/>
  <c r="CB27" i="2" s="1"/>
  <c r="M28" i="2"/>
  <c r="AY43" i="2"/>
  <c r="BO48" i="2"/>
  <c r="BV89" i="2"/>
  <c r="BS89" i="2"/>
  <c r="N43" i="2"/>
  <c r="BN89" i="2"/>
  <c r="BO46" i="2"/>
  <c r="AZ89" i="2"/>
  <c r="BT89" i="2"/>
  <c r="BK43" i="2"/>
  <c r="BO43" i="2"/>
  <c r="BM43" i="2"/>
  <c r="BM89" i="2" s="1"/>
  <c r="BL43" i="2"/>
  <c r="BL89" i="2" s="1"/>
  <c r="Q93" i="2"/>
  <c r="R93" i="2"/>
  <c r="BI89" i="2"/>
  <c r="M160" i="2"/>
  <c r="M163" i="2" s="1"/>
  <c r="BZ89" i="2"/>
  <c r="N38" i="2"/>
  <c r="CA118" i="2"/>
  <c r="CB118" i="2" s="1"/>
  <c r="CA114" i="2"/>
  <c r="CB114" i="2" s="1"/>
  <c r="N37" i="2"/>
  <c r="O37" i="2" s="1"/>
  <c r="CA37" i="2" s="1"/>
  <c r="CB37" i="2" s="1"/>
  <c r="CA15" i="2"/>
  <c r="CB15" i="2" s="1"/>
  <c r="AY41" i="2"/>
  <c r="AP158" i="2"/>
  <c r="AP161" i="2" s="1"/>
  <c r="AP164" i="2" s="1"/>
  <c r="AM158" i="2"/>
  <c r="AM161" i="2" s="1"/>
  <c r="AM164" i="2" s="1"/>
  <c r="AD158" i="2"/>
  <c r="AD161" i="2" s="1"/>
  <c r="AD164" i="2" s="1"/>
  <c r="AJ158" i="2"/>
  <c r="AJ161" i="2" s="1"/>
  <c r="AJ164" i="2" s="1"/>
  <c r="AG158" i="2"/>
  <c r="AG161" i="2" s="1"/>
  <c r="AG164" i="2" s="1"/>
  <c r="AA158" i="2"/>
  <c r="AA161" i="2" s="1"/>
  <c r="AA164" i="2" s="1"/>
  <c r="X158" i="2"/>
  <c r="X161" i="2" s="1"/>
  <c r="X164" i="2" s="1"/>
  <c r="U158" i="2"/>
  <c r="U161" i="2" s="1"/>
  <c r="U164" i="2" s="1"/>
  <c r="H47" i="10"/>
  <c r="H48" i="10" s="1"/>
  <c r="D25" i="10" s="1"/>
  <c r="D48" i="10"/>
  <c r="M98" i="2"/>
  <c r="N105" i="2"/>
  <c r="N98" i="2"/>
  <c r="N115" i="2"/>
  <c r="BX52" i="2" l="1"/>
  <c r="M46" i="2"/>
  <c r="O46" i="2" s="1"/>
  <c r="CA46" i="2" s="1"/>
  <c r="CB46" i="2" s="1"/>
  <c r="BX50" i="2"/>
  <c r="BX49" i="2"/>
  <c r="M49" i="2"/>
  <c r="O49" i="2" s="1"/>
  <c r="CA49" i="2" s="1"/>
  <c r="CB49" i="2" s="1"/>
  <c r="M52" i="2"/>
  <c r="O52" i="2" s="1"/>
  <c r="CA52" i="2" s="1"/>
  <c r="BZ52" i="2" s="1"/>
  <c r="BX51" i="2"/>
  <c r="M44" i="2"/>
  <c r="O44" i="2" s="1"/>
  <c r="CA44" i="2" s="1"/>
  <c r="CB44" i="2" s="1"/>
  <c r="BX88" i="2"/>
  <c r="CB31" i="2"/>
  <c r="BZ31" i="2"/>
  <c r="BZ63" i="2"/>
  <c r="CB63" i="2"/>
  <c r="CB67" i="2"/>
  <c r="BZ67" i="2"/>
  <c r="BZ77" i="2"/>
  <c r="CB77" i="2"/>
  <c r="CB71" i="2"/>
  <c r="BZ71" i="2"/>
  <c r="CB72" i="2"/>
  <c r="BZ72" i="2"/>
  <c r="CB62" i="2"/>
  <c r="BZ62" i="2"/>
  <c r="CB70" i="2"/>
  <c r="BZ70" i="2"/>
  <c r="BZ50" i="2"/>
  <c r="CB50" i="2"/>
  <c r="BZ61" i="2"/>
  <c r="CB61" i="2"/>
  <c r="CB69" i="2"/>
  <c r="BZ69" i="2"/>
  <c r="CB88" i="2"/>
  <c r="BZ88" i="2"/>
  <c r="BZ76" i="2"/>
  <c r="CB76" i="2"/>
  <c r="CB87" i="2"/>
  <c r="BZ87" i="2"/>
  <c r="CB68" i="2"/>
  <c r="BZ68" i="2"/>
  <c r="CB75" i="2"/>
  <c r="BZ75" i="2"/>
  <c r="CB51" i="2"/>
  <c r="BZ51" i="2"/>
  <c r="CB74" i="2"/>
  <c r="BZ74" i="2"/>
  <c r="O98" i="2"/>
  <c r="CA98" i="2" s="1"/>
  <c r="CA38" i="2"/>
  <c r="BX48" i="2"/>
  <c r="M48" i="2"/>
  <c r="O48" i="2" s="1"/>
  <c r="CA48" i="2" s="1"/>
  <c r="CB48" i="2" s="1"/>
  <c r="BX41" i="2"/>
  <c r="BX44" i="2"/>
  <c r="BJ89" i="2"/>
  <c r="CA105" i="2"/>
  <c r="CB105" i="2" s="1"/>
  <c r="BK89" i="2"/>
  <c r="CA115" i="2"/>
  <c r="BX46" i="2"/>
  <c r="CB36" i="2"/>
  <c r="BZ36" i="2"/>
  <c r="CA32" i="2"/>
  <c r="CB32" i="2" s="1"/>
  <c r="AH93" i="2"/>
  <c r="N93" i="2"/>
  <c r="BO89" i="2"/>
  <c r="AY89" i="2"/>
  <c r="BZ16" i="2"/>
  <c r="BZ30" i="2"/>
  <c r="BZ46" i="2"/>
  <c r="M43" i="2"/>
  <c r="M25" i="2"/>
  <c r="BX43" i="2"/>
  <c r="BZ114" i="2"/>
  <c r="M197" i="2"/>
  <c r="M202" i="2" s="1"/>
  <c r="BZ37" i="2"/>
  <c r="BZ118" i="2"/>
  <c r="M200" i="2"/>
  <c r="M205" i="2" s="1"/>
  <c r="BZ15" i="2"/>
  <c r="BZ29" i="2"/>
  <c r="D47" i="10"/>
  <c r="G27" i="10" s="1"/>
  <c r="D26" i="10"/>
  <c r="D27" i="10"/>
  <c r="M116" i="2"/>
  <c r="CA26" i="2"/>
  <c r="CA28" i="2"/>
  <c r="CB28" i="2" s="1"/>
  <c r="M106" i="2"/>
  <c r="CA91" i="2"/>
  <c r="CB91" i="2" s="1"/>
  <c r="BZ48" i="2" l="1"/>
  <c r="BZ49" i="2"/>
  <c r="CB52" i="2"/>
  <c r="BZ44" i="2"/>
  <c r="M159" i="2"/>
  <c r="M162" i="2" s="1"/>
  <c r="CB38" i="2"/>
  <c r="BZ38" i="2"/>
  <c r="M186" i="2"/>
  <c r="M190" i="2" s="1"/>
  <c r="CB115" i="2"/>
  <c r="BZ115" i="2"/>
  <c r="M170" i="2"/>
  <c r="M174" i="2" s="1"/>
  <c r="O43" i="2"/>
  <c r="CA43" i="2" s="1"/>
  <c r="CB43" i="2" s="1"/>
  <c r="BZ32" i="2"/>
  <c r="BZ105" i="2"/>
  <c r="CA25" i="2"/>
  <c r="BZ98" i="2"/>
  <c r="CB98" i="2"/>
  <c r="BZ26" i="2"/>
  <c r="CB26" i="2"/>
  <c r="M173" i="2"/>
  <c r="M178" i="2" s="1"/>
  <c r="CA93" i="2"/>
  <c r="CB93" i="2" s="1"/>
  <c r="BX89" i="2"/>
  <c r="BZ91" i="2"/>
  <c r="CA106" i="2"/>
  <c r="CB106" i="2" s="1"/>
  <c r="CA116" i="2"/>
  <c r="CB116" i="2" s="1"/>
  <c r="BZ28" i="2"/>
  <c r="G26" i="10"/>
  <c r="H26" i="10" s="1"/>
  <c r="H27" i="10"/>
  <c r="G25" i="10"/>
  <c r="H25" i="10" s="1"/>
  <c r="G24" i="10"/>
  <c r="H24" i="10" s="1"/>
  <c r="M184" i="2"/>
  <c r="M188" i="2" s="1"/>
  <c r="M198" i="2"/>
  <c r="M203" i="2" s="1"/>
  <c r="M158" i="2" l="1"/>
  <c r="M161" i="2" s="1"/>
  <c r="M164" i="2" s="1"/>
  <c r="CB25" i="2"/>
  <c r="BZ25" i="2"/>
  <c r="M179" i="2"/>
  <c r="M180" i="2" s="1"/>
  <c r="M181" i="2" s="1"/>
  <c r="N144" i="2" s="1"/>
  <c r="BZ93" i="2"/>
  <c r="BZ106" i="2"/>
  <c r="M187" i="2"/>
  <c r="M191" i="2" s="1"/>
  <c r="M192" i="2" s="1"/>
  <c r="M193" i="2" s="1"/>
  <c r="BZ116" i="2"/>
  <c r="M199" i="2"/>
  <c r="M204" i="2" s="1"/>
  <c r="M207" i="2" s="1"/>
  <c r="M208" i="2" s="1"/>
  <c r="M92" i="2" l="1"/>
  <c r="CA92" i="2" s="1"/>
  <c r="M165" i="2"/>
  <c r="M39" i="2"/>
  <c r="O39" i="2" s="1"/>
  <c r="M107" i="2"/>
  <c r="M194" i="2"/>
  <c r="N146" i="2" s="1"/>
  <c r="M125" i="2"/>
  <c r="O125" i="2" s="1"/>
  <c r="M209" i="2"/>
  <c r="N148" i="2" s="1"/>
  <c r="CB92" i="2" l="1"/>
  <c r="BZ92" i="2"/>
  <c r="CA125" i="2"/>
  <c r="CB125" i="2" s="1"/>
  <c r="CA107" i="2"/>
  <c r="CB107" i="2" s="1"/>
  <c r="P11" i="2"/>
  <c r="I25" i="4" s="1"/>
  <c r="CA39" i="2"/>
  <c r="CB39" i="2" s="1"/>
  <c r="M166" i="2"/>
  <c r="N142" i="2" s="1"/>
  <c r="N151" i="2" s="1"/>
  <c r="CB127" i="2" l="1"/>
  <c r="CA127" i="2"/>
  <c r="P94" i="2"/>
  <c r="I27" i="4" s="1"/>
  <c r="BZ107" i="2"/>
  <c r="BZ125" i="2"/>
  <c r="P108" i="2"/>
  <c r="I11" i="4"/>
  <c r="K11" i="4" s="1"/>
  <c r="F39" i="9"/>
  <c r="BZ39" i="2"/>
  <c r="Q148" i="2"/>
  <c r="F30" i="3" s="1"/>
  <c r="F12" i="3" s="1"/>
  <c r="Q146" i="2"/>
  <c r="F27" i="3" s="1"/>
  <c r="F29" i="3" s="1"/>
  <c r="Q142" i="2"/>
  <c r="P144" i="2" s="1"/>
  <c r="E22" i="3" s="1"/>
  <c r="E24" i="3" s="1"/>
  <c r="Q144" i="2"/>
  <c r="P146" i="2" s="1"/>
  <c r="E27" i="3" s="1"/>
  <c r="E29" i="3" s="1"/>
  <c r="T148" i="2"/>
  <c r="F32" i="3" l="1"/>
  <c r="F41" i="9"/>
  <c r="I13" i="4"/>
  <c r="K13" i="4" s="1"/>
  <c r="I28" i="4"/>
  <c r="I14" i="4"/>
  <c r="F42" i="9"/>
  <c r="F11" i="4"/>
  <c r="T144" i="2"/>
  <c r="N153" i="2"/>
  <c r="T146" i="2"/>
  <c r="F19" i="3"/>
  <c r="G19" i="3" s="1"/>
  <c r="P148" i="2"/>
  <c r="E30" i="3" s="1"/>
  <c r="E31" i="3" s="1"/>
  <c r="F31" i="3"/>
  <c r="F22" i="3"/>
  <c r="F24" i="3" s="1"/>
  <c r="N152" i="2"/>
  <c r="T142" i="2"/>
  <c r="E28" i="3"/>
  <c r="E25" i="3"/>
  <c r="E26" i="3"/>
  <c r="E23" i="3"/>
  <c r="F28" i="3"/>
  <c r="G27" i="3"/>
  <c r="G29" i="3" s="1"/>
  <c r="F13" i="4" l="1"/>
  <c r="K14" i="4"/>
  <c r="F14" i="4"/>
  <c r="G12" i="3"/>
  <c r="H12" i="3" s="1"/>
  <c r="X12" i="6"/>
  <c r="F21" i="3"/>
  <c r="F20" i="3"/>
  <c r="G30" i="3"/>
  <c r="H30" i="3" s="1"/>
  <c r="E32" i="3"/>
  <c r="F26" i="3"/>
  <c r="F25" i="3"/>
  <c r="F23" i="3"/>
  <c r="G22" i="3"/>
  <c r="G24" i="3" s="1"/>
  <c r="H24" i="3" s="1"/>
  <c r="I29" i="3"/>
  <c r="K29" i="3" s="1"/>
  <c r="H29" i="3"/>
  <c r="I27" i="3"/>
  <c r="H27" i="3"/>
  <c r="G28" i="3"/>
  <c r="H19" i="3"/>
  <c r="I19" i="3"/>
  <c r="G20" i="3"/>
  <c r="G21" i="3"/>
  <c r="I12" i="3" l="1"/>
  <c r="I24" i="3"/>
  <c r="K24" i="3" s="1"/>
  <c r="G31" i="3"/>
  <c r="H31" i="3" s="1"/>
  <c r="G32" i="3"/>
  <c r="H32" i="3" s="1"/>
  <c r="I30" i="3"/>
  <c r="G26" i="3"/>
  <c r="H26" i="3" s="1"/>
  <c r="G25" i="3"/>
  <c r="I25" i="3" s="1"/>
  <c r="K25" i="3" s="1"/>
  <c r="G23" i="3"/>
  <c r="H23" i="3" s="1"/>
  <c r="I22" i="3"/>
  <c r="H22" i="3"/>
  <c r="H21" i="3"/>
  <c r="I21" i="3"/>
  <c r="K21" i="3" s="1"/>
  <c r="H20" i="3"/>
  <c r="I20" i="3"/>
  <c r="K20" i="3" s="1"/>
  <c r="I28" i="3"/>
  <c r="K28" i="3" s="1"/>
  <c r="H28" i="3"/>
  <c r="I26" i="3" l="1"/>
  <c r="K26" i="3" s="1"/>
  <c r="I32" i="3"/>
  <c r="K32" i="3" s="1"/>
  <c r="I31" i="3"/>
  <c r="K31" i="3" s="1"/>
  <c r="I23" i="3"/>
  <c r="K23" i="3" s="1"/>
  <c r="H25" i="3"/>
  <c r="G11" i="4"/>
  <c r="L19" i="3"/>
  <c r="N19" i="3" s="1"/>
  <c r="J25" i="4" s="1"/>
  <c r="K25" i="4" s="1"/>
  <c r="G13" i="4"/>
  <c r="H13" i="4" s="1"/>
  <c r="L27" i="3"/>
  <c r="N27" i="3" s="1"/>
  <c r="J27" i="4" s="1"/>
  <c r="K27" i="4" s="1"/>
  <c r="G12" i="4" l="1"/>
  <c r="G14" i="4"/>
  <c r="H14" i="4" s="1"/>
  <c r="K35" i="3"/>
  <c r="K37" i="3" s="1"/>
  <c r="K42" i="3" s="1"/>
  <c r="L30" i="3"/>
  <c r="N30" i="3" s="1"/>
  <c r="J28" i="4" s="1"/>
  <c r="K28" i="4" s="1"/>
  <c r="H11" i="4"/>
  <c r="G10" i="4" l="1"/>
  <c r="BZ43" i="2" l="1"/>
  <c r="BZ127" i="2" s="1"/>
  <c r="P40" i="2"/>
  <c r="I26" i="4" l="1"/>
  <c r="I12" i="4"/>
  <c r="F40" i="9"/>
  <c r="F43" i="9" s="1"/>
  <c r="L22" i="3"/>
  <c r="N22" i="3" s="1"/>
  <c r="J26" i="4" s="1"/>
  <c r="P127" i="2"/>
  <c r="H12" i="4" l="1"/>
  <c r="H10" i="4" s="1"/>
  <c r="I10" i="4"/>
  <c r="W13" i="6" s="1"/>
  <c r="K12" i="4"/>
  <c r="K10" i="4" s="1"/>
  <c r="F12" i="4"/>
  <c r="F10" i="4" s="1"/>
  <c r="N40" i="2"/>
  <c r="N108" i="2"/>
  <c r="M94" i="2"/>
  <c r="N11" i="2"/>
  <c r="M40" i="2"/>
  <c r="Q108" i="2"/>
  <c r="M11" i="2"/>
  <c r="M108" i="2"/>
  <c r="N94" i="2"/>
  <c r="Q11" i="2"/>
  <c r="Q40" i="2"/>
  <c r="Q94" i="2"/>
  <c r="K26" i="4"/>
  <c r="I24" i="4"/>
  <c r="W20" i="6" l="1"/>
  <c r="W14" i="6"/>
  <c r="W15" i="6"/>
  <c r="K31" i="4"/>
  <c r="L31" i="4" s="1"/>
  <c r="K24" i="4"/>
  <c r="N136" i="2"/>
  <c r="M136" i="2"/>
  <c r="K16" i="4"/>
  <c r="K15" i="4" s="1"/>
  <c r="K19" i="4" s="1"/>
  <c r="M137" i="2" l="1"/>
  <c r="N137" i="2"/>
  <c r="M11" i="13"/>
  <c r="L42" i="3"/>
  <c r="L41" i="3" s="1"/>
  <c r="L19" i="4" s="1"/>
  <c r="N42" i="3"/>
  <c r="N41" i="3" s="1"/>
  <c r="P11" i="6"/>
  <c r="X15" i="6" l="1"/>
  <c r="X20" i="6"/>
  <c r="X14" i="6"/>
  <c r="P14" i="6"/>
  <c r="P15" i="6" s="1"/>
  <c r="P16" i="6" s="1"/>
  <c r="P17" i="6" s="1"/>
  <c r="P18" i="6" s="1"/>
  <c r="P19" i="6" s="1"/>
  <c r="P20" i="6" s="1"/>
  <c r="J14" i="13"/>
  <c r="M14" i="13" s="1"/>
  <c r="J28" i="13"/>
  <c r="K28" i="13" l="1"/>
  <c r="L28" i="13" s="1"/>
  <c r="K14" i="13"/>
  <c r="J15" i="13"/>
  <c r="J24" i="13" l="1"/>
  <c r="J16" i="13"/>
  <c r="J25" i="13"/>
  <c r="J22" i="13"/>
  <c r="J21" i="13"/>
  <c r="J18" i="13"/>
  <c r="K15" i="13"/>
  <c r="J20" i="13"/>
  <c r="J26" i="13"/>
  <c r="J23" i="13"/>
  <c r="J17" i="13"/>
  <c r="J19" i="13"/>
  <c r="L14" i="13"/>
  <c r="M15" i="13"/>
  <c r="K17" i="13" l="1"/>
  <c r="L17" i="13" s="1"/>
  <c r="L15" i="13"/>
  <c r="K25" i="13"/>
  <c r="L25" i="13" s="1"/>
  <c r="K23" i="13"/>
  <c r="L23" i="13" s="1"/>
  <c r="K18" i="13"/>
  <c r="L18" i="13" s="1"/>
  <c r="K26" i="13"/>
  <c r="L26" i="13" s="1"/>
  <c r="K21" i="13"/>
  <c r="L21" i="13" s="1"/>
  <c r="K16" i="13"/>
  <c r="L16" i="13" s="1"/>
  <c r="M16" i="13"/>
  <c r="M17" i="13" s="1"/>
  <c r="M18" i="13" s="1"/>
  <c r="M19" i="13" s="1"/>
  <c r="M20" i="13" s="1"/>
  <c r="M21" i="13" s="1"/>
  <c r="M22" i="13" s="1"/>
  <c r="M23" i="13" s="1"/>
  <c r="M24" i="13" s="1"/>
  <c r="M25" i="13" s="1"/>
  <c r="M26" i="13" s="1"/>
  <c r="K19" i="13"/>
  <c r="L19" i="13" s="1"/>
  <c r="K20" i="13"/>
  <c r="L20" i="13" s="1"/>
  <c r="K22" i="13"/>
  <c r="L22" i="13" s="1"/>
  <c r="K24" i="13"/>
  <c r="L24" i="13" s="1"/>
  <c r="J27" i="13" l="1"/>
  <c r="M27" i="13" s="1"/>
  <c r="M28" i="13" s="1"/>
  <c r="K27" i="13" l="1"/>
  <c r="K29" i="13" s="1"/>
  <c r="J29" i="13"/>
  <c r="L27" i="13" l="1"/>
  <c r="L29"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Alberto</author>
  </authors>
  <commentList>
    <comment ref="H5" authorId="0" shapeId="0" xr:uid="{00000000-0006-0000-0100-000001000000}">
      <text>
        <r>
          <rPr>
            <b/>
            <sz val="9"/>
            <color indexed="81"/>
            <rFont val="Tahoma"/>
            <family val="2"/>
          </rPr>
          <t>Alberto:</t>
        </r>
        <r>
          <rPr>
            <sz val="9"/>
            <color indexed="81"/>
            <rFont val="Tahoma"/>
            <family val="2"/>
          </rPr>
          <t xml:space="preserve">
Normal 0.1</t>
        </r>
      </text>
    </comment>
    <comment ref="I6" authorId="0" shapeId="0" xr:uid="{00000000-0006-0000-0100-000002000000}">
      <text>
        <r>
          <rPr>
            <b/>
            <sz val="9"/>
            <color indexed="81"/>
            <rFont val="Tahoma"/>
            <family val="2"/>
          </rPr>
          <t>Alberto:</t>
        </r>
        <r>
          <rPr>
            <sz val="9"/>
            <color indexed="81"/>
            <rFont val="Tahoma"/>
            <family val="2"/>
          </rPr>
          <t xml:space="preserve">
Normal 1/3</t>
        </r>
      </text>
    </comment>
    <comment ref="H43" authorId="0" shapeId="0" xr:uid="{00000000-0006-0000-0100-000003000000}">
      <text>
        <r>
          <rPr>
            <b/>
            <sz val="9"/>
            <color indexed="81"/>
            <rFont val="Tahoma"/>
            <family val="2"/>
          </rPr>
          <t>Alberto:</t>
        </r>
        <r>
          <rPr>
            <sz val="9"/>
            <color indexed="81"/>
            <rFont val="Tahoma"/>
            <family val="2"/>
          </rPr>
          <t xml:space="preserve">
Normal 0.1</t>
        </r>
      </text>
    </comment>
    <comment ref="H61" authorId="0" shapeId="0" xr:uid="{00000000-0006-0000-0100-000004000000}">
      <text>
        <r>
          <rPr>
            <b/>
            <sz val="9"/>
            <color indexed="81"/>
            <rFont val="Tahoma"/>
            <family val="2"/>
          </rPr>
          <t>Alberto:</t>
        </r>
        <r>
          <rPr>
            <sz val="9"/>
            <color indexed="81"/>
            <rFont val="Tahoma"/>
            <family val="2"/>
          </rPr>
          <t xml:space="preserve">
Normal 0.1</t>
        </r>
      </text>
    </comment>
    <comment ref="H66" authorId="0" shapeId="0" xr:uid="{00000000-0006-0000-0100-000005000000}">
      <text>
        <r>
          <rPr>
            <b/>
            <sz val="9"/>
            <color indexed="81"/>
            <rFont val="Tahoma"/>
            <family val="2"/>
          </rPr>
          <t>Alberto:</t>
        </r>
        <r>
          <rPr>
            <sz val="9"/>
            <color indexed="81"/>
            <rFont val="Tahoma"/>
            <family val="2"/>
          </rPr>
          <t xml:space="preserve">
Normal 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Alberto</author>
  </authors>
  <commentList>
    <comment ref="Y40" authorId="0" shapeId="0" xr:uid="{00000000-0006-0000-0300-000001000000}">
      <text>
        <r>
          <rPr>
            <b/>
            <sz val="9"/>
            <color indexed="81"/>
            <rFont val="Tahoma"/>
            <family val="2"/>
          </rPr>
          <t>TAMAÑO
Mini:</t>
        </r>
        <r>
          <rPr>
            <sz val="9"/>
            <color indexed="81"/>
            <rFont val="Tahoma"/>
            <family val="2"/>
          </rPr>
          <t xml:space="preserve">                             1 -  10 controles 
</t>
        </r>
        <r>
          <rPr>
            <b/>
            <sz val="9"/>
            <color indexed="81"/>
            <rFont val="Tahoma"/>
            <family val="2"/>
          </rPr>
          <t>Pequeña:</t>
        </r>
        <r>
          <rPr>
            <sz val="9"/>
            <color indexed="81"/>
            <rFont val="Tahoma"/>
            <family val="2"/>
          </rPr>
          <t xml:space="preserve">             11 - 20 controles
</t>
        </r>
        <r>
          <rPr>
            <b/>
            <sz val="9"/>
            <color indexed="81"/>
            <rFont val="Tahoma"/>
            <family val="2"/>
          </rPr>
          <t>Chica:</t>
        </r>
        <r>
          <rPr>
            <sz val="9"/>
            <color indexed="81"/>
            <rFont val="Tahoma"/>
            <family val="2"/>
          </rPr>
          <t xml:space="preserve">                     21 - 30 controles
</t>
        </r>
        <r>
          <rPr>
            <b/>
            <sz val="9"/>
            <color indexed="81"/>
            <rFont val="Tahoma"/>
            <family val="2"/>
          </rPr>
          <t xml:space="preserve">Mediana:      </t>
        </r>
        <r>
          <rPr>
            <sz val="9"/>
            <color indexed="81"/>
            <rFont val="Tahoma"/>
            <family val="2"/>
          </rPr>
          <t xml:space="preserve">    31 - 40 controles
</t>
        </r>
        <r>
          <rPr>
            <b/>
            <sz val="9"/>
            <color indexed="81"/>
            <rFont val="Tahoma"/>
            <family val="2"/>
          </rPr>
          <t>Grande:</t>
        </r>
        <r>
          <rPr>
            <sz val="9"/>
            <color indexed="81"/>
            <rFont val="Tahoma"/>
            <family val="2"/>
          </rPr>
          <t xml:space="preserve">                41 - 50 controles
</t>
        </r>
        <r>
          <rPr>
            <b/>
            <sz val="9"/>
            <color indexed="81"/>
            <rFont val="Tahoma"/>
            <family val="2"/>
          </rPr>
          <t>Muy grande:</t>
        </r>
        <r>
          <rPr>
            <sz val="9"/>
            <color indexed="81"/>
            <rFont val="Tahoma"/>
            <family val="2"/>
          </rPr>
          <t xml:space="preserve">    51 - 60 controles
</t>
        </r>
        <r>
          <rPr>
            <b/>
            <sz val="9"/>
            <color indexed="81"/>
            <rFont val="Tahoma"/>
            <family val="2"/>
          </rPr>
          <t xml:space="preserve">Extra grande: </t>
        </r>
        <r>
          <rPr>
            <sz val="9"/>
            <color indexed="81"/>
            <rFont val="Tahoma"/>
            <family val="2"/>
          </rPr>
          <t>61 -70 controles</t>
        </r>
      </text>
    </comment>
    <comment ref="Z40" authorId="0" shapeId="0" xr:uid="{00000000-0006-0000-0300-000002000000}">
      <text>
        <r>
          <rPr>
            <b/>
            <sz val="9"/>
            <color indexed="81"/>
            <rFont val="Tahoma"/>
            <family val="2"/>
          </rPr>
          <t>COMPLEJIDAD
Baja:</t>
        </r>
        <r>
          <rPr>
            <sz val="9"/>
            <color indexed="81"/>
            <rFont val="Tahoma"/>
            <family val="2"/>
          </rPr>
          <t xml:space="preserve">     realiza una acción y/o usan de una a dos tablas.
</t>
        </r>
        <r>
          <rPr>
            <b/>
            <sz val="9"/>
            <color indexed="81"/>
            <rFont val="Tahoma"/>
            <family val="2"/>
          </rPr>
          <t>Media:</t>
        </r>
        <r>
          <rPr>
            <sz val="9"/>
            <color indexed="81"/>
            <rFont val="Tahoma"/>
            <family val="2"/>
          </rPr>
          <t xml:space="preserve"> realiza una o más acciones y/o usan de tres a cuatro tablas.
</t>
        </r>
        <r>
          <rPr>
            <b/>
            <sz val="9"/>
            <color indexed="81"/>
            <rFont val="Tahoma"/>
            <family val="2"/>
          </rPr>
          <t>Alta:</t>
        </r>
        <r>
          <rPr>
            <sz val="9"/>
            <color indexed="81"/>
            <rFont val="Tahoma"/>
            <family val="2"/>
          </rPr>
          <t xml:space="preserve">       realiza una o más acciones y/o usan cinco o tablas.</t>
        </r>
      </text>
    </comment>
    <comment ref="AB40" authorId="0" shapeId="0" xr:uid="{00000000-0006-0000-0300-000003000000}">
      <text>
        <r>
          <rPr>
            <b/>
            <sz val="9"/>
            <color indexed="81"/>
            <rFont val="Tahoma"/>
            <family val="2"/>
          </rPr>
          <t xml:space="preserve">COMPLEJIDAD
</t>
        </r>
        <r>
          <rPr>
            <sz val="9"/>
            <color indexed="81"/>
            <rFont val="Tahoma"/>
            <family val="2"/>
          </rPr>
          <t xml:space="preserve">
</t>
        </r>
        <r>
          <rPr>
            <b/>
            <sz val="9"/>
            <color indexed="81"/>
            <rFont val="Tahoma"/>
            <family val="2"/>
          </rPr>
          <t>Baja:</t>
        </r>
        <r>
          <rPr>
            <sz val="9"/>
            <color indexed="81"/>
            <rFont val="Tahoma"/>
            <family val="2"/>
          </rPr>
          <t xml:space="preserve">     controles comunes.
</t>
        </r>
        <r>
          <rPr>
            <b/>
            <sz val="9"/>
            <color indexed="81"/>
            <rFont val="Tahoma"/>
            <family val="2"/>
          </rPr>
          <t>Media:</t>
        </r>
        <r>
          <rPr>
            <sz val="9"/>
            <color indexed="81"/>
            <rFont val="Tahoma"/>
            <family val="2"/>
          </rPr>
          <t xml:space="preserve"> incluye combos y/o hasta dos grids.
</t>
        </r>
        <r>
          <rPr>
            <b/>
            <sz val="9"/>
            <color indexed="81"/>
            <rFont val="Tahoma"/>
            <family val="2"/>
          </rPr>
          <t>Alta:</t>
        </r>
        <r>
          <rPr>
            <sz val="9"/>
            <color indexed="81"/>
            <rFont val="Tahoma"/>
            <family val="2"/>
          </rPr>
          <t xml:space="preserve">      controles no comunes.
</t>
        </r>
      </text>
    </comment>
    <comment ref="AD40" authorId="0" shapeId="0" xr:uid="{00000000-0006-0000-0300-000004000000}">
      <text>
        <r>
          <rPr>
            <b/>
            <sz val="9"/>
            <color indexed="81"/>
            <rFont val="Tahoma"/>
            <family val="2"/>
          </rPr>
          <t xml:space="preserve">COMPLEJIDAD
</t>
        </r>
        <r>
          <rPr>
            <sz val="9"/>
            <color indexed="81"/>
            <rFont val="Tahoma"/>
            <family val="2"/>
          </rPr>
          <t xml:space="preserve">
</t>
        </r>
        <r>
          <rPr>
            <b/>
            <sz val="9"/>
            <color indexed="81"/>
            <rFont val="Tahoma"/>
            <family val="2"/>
          </rPr>
          <t>Baja:</t>
        </r>
        <r>
          <rPr>
            <sz val="9"/>
            <color indexed="81"/>
            <rFont val="Tahoma"/>
            <family val="2"/>
          </rPr>
          <t xml:space="preserve">     controles comunes.
</t>
        </r>
        <r>
          <rPr>
            <b/>
            <sz val="9"/>
            <color indexed="81"/>
            <rFont val="Tahoma"/>
            <family val="2"/>
          </rPr>
          <t>Media:</t>
        </r>
        <r>
          <rPr>
            <sz val="9"/>
            <color indexed="81"/>
            <rFont val="Tahoma"/>
            <family val="2"/>
          </rPr>
          <t xml:space="preserve"> incluye combos y/o hasta dos grids.
</t>
        </r>
        <r>
          <rPr>
            <b/>
            <sz val="9"/>
            <color indexed="81"/>
            <rFont val="Tahoma"/>
            <family val="2"/>
          </rPr>
          <t>Alta:</t>
        </r>
        <r>
          <rPr>
            <sz val="9"/>
            <color indexed="81"/>
            <rFont val="Tahoma"/>
            <family val="2"/>
          </rPr>
          <t xml:space="preserve">      controles no comunes.
</t>
        </r>
      </text>
    </comment>
    <comment ref="AF40" authorId="0" shapeId="0" xr:uid="{00000000-0006-0000-0300-000005000000}">
      <text>
        <r>
          <rPr>
            <b/>
            <sz val="9"/>
            <color indexed="81"/>
            <rFont val="Tahoma"/>
            <family val="2"/>
          </rPr>
          <t xml:space="preserve">COMPLEJIDAD
</t>
        </r>
        <r>
          <rPr>
            <sz val="9"/>
            <color indexed="81"/>
            <rFont val="Tahoma"/>
            <family val="2"/>
          </rPr>
          <t xml:space="preserve">
</t>
        </r>
        <r>
          <rPr>
            <b/>
            <sz val="9"/>
            <color indexed="81"/>
            <rFont val="Tahoma"/>
            <family val="2"/>
          </rPr>
          <t>Baja:</t>
        </r>
        <r>
          <rPr>
            <sz val="9"/>
            <color indexed="81"/>
            <rFont val="Tahoma"/>
            <family val="2"/>
          </rPr>
          <t xml:space="preserve">     controles comunes.
</t>
        </r>
        <r>
          <rPr>
            <b/>
            <sz val="9"/>
            <color indexed="81"/>
            <rFont val="Tahoma"/>
            <family val="2"/>
          </rPr>
          <t>Media:</t>
        </r>
        <r>
          <rPr>
            <sz val="9"/>
            <color indexed="81"/>
            <rFont val="Tahoma"/>
            <family val="2"/>
          </rPr>
          <t xml:space="preserve"> incluye combos y/o hasta dos grids.
</t>
        </r>
        <r>
          <rPr>
            <b/>
            <sz val="9"/>
            <color indexed="81"/>
            <rFont val="Tahoma"/>
            <family val="2"/>
          </rPr>
          <t>Alta:</t>
        </r>
        <r>
          <rPr>
            <sz val="9"/>
            <color indexed="81"/>
            <rFont val="Tahoma"/>
            <family val="2"/>
          </rPr>
          <t xml:space="preserve">      controles no comunes.
</t>
        </r>
      </text>
    </comment>
    <comment ref="AU40" authorId="0" shapeId="0" xr:uid="{00000000-0006-0000-0300-000006000000}">
      <text>
        <r>
          <rPr>
            <b/>
            <sz val="9"/>
            <color indexed="81"/>
            <rFont val="Tahoma"/>
            <family val="2"/>
          </rPr>
          <t>Alberto:</t>
        </r>
        <r>
          <rPr>
            <sz val="9"/>
            <color indexed="81"/>
            <rFont val="Tahoma"/>
            <family val="2"/>
          </rPr>
          <t xml:space="preserve">
</t>
        </r>
        <r>
          <rPr>
            <sz val="9"/>
            <color indexed="81"/>
            <rFont val="Tahoma"/>
            <family val="2"/>
          </rPr>
          <t>=Modelo!$H$2</t>
        </r>
      </text>
    </comment>
    <comment ref="AV40" authorId="0" shapeId="0" xr:uid="{00000000-0006-0000-0300-000007000000}">
      <text>
        <r>
          <rPr>
            <b/>
            <sz val="9"/>
            <color indexed="81"/>
            <rFont val="Tahoma"/>
            <family val="2"/>
          </rPr>
          <t xml:space="preserve">Alberto:
</t>
        </r>
        <r>
          <rPr>
            <sz val="9"/>
            <color indexed="81"/>
            <rFont val="Tahoma"/>
            <family val="2"/>
          </rPr>
          <t>=REDONDEAR.MAS(AN37*Modelo!$H$3*Modelo!$I$75,2)</t>
        </r>
      </text>
    </comment>
    <comment ref="AW40" authorId="0" shapeId="0" xr:uid="{00000000-0006-0000-0300-000008000000}">
      <text>
        <r>
          <rPr>
            <b/>
            <sz val="9"/>
            <color indexed="81"/>
            <rFont val="Tahoma"/>
            <family val="2"/>
          </rPr>
          <t>Alberto:</t>
        </r>
        <r>
          <rPr>
            <sz val="9"/>
            <color indexed="81"/>
            <rFont val="Tahoma"/>
            <family val="2"/>
          </rPr>
          <t xml:space="preserve">
</t>
        </r>
        <r>
          <rPr>
            <sz val="9"/>
            <color indexed="81"/>
            <rFont val="Tahoma"/>
            <family val="2"/>
          </rPr>
          <t>=REDONDEAR.MAS(AN37*Modelo!$H$3*Modelo!$H$4*Modelo!$I$75,3)</t>
        </r>
      </text>
    </comment>
    <comment ref="AX40" authorId="0" shapeId="0" xr:uid="{00000000-0006-0000-0300-000009000000}">
      <text>
        <r>
          <rPr>
            <b/>
            <sz val="9"/>
            <color indexed="81"/>
            <rFont val="Tahoma"/>
            <family val="2"/>
          </rPr>
          <t>Alberto:</t>
        </r>
        <r>
          <rPr>
            <sz val="9"/>
            <color indexed="81"/>
            <rFont val="Tahoma"/>
            <family val="2"/>
          </rPr>
          <t xml:space="preserve">
</t>
        </r>
        <r>
          <rPr>
            <sz val="9"/>
            <color indexed="81"/>
            <rFont val="Tahoma"/>
            <family val="2"/>
          </rPr>
          <t>=Modelo!$H$5</t>
        </r>
      </text>
    </comment>
    <comment ref="AY40" authorId="0" shapeId="0" xr:uid="{00000000-0006-0000-0300-00000A000000}">
      <text>
        <r>
          <rPr>
            <b/>
            <sz val="9"/>
            <color indexed="81"/>
            <rFont val="Tahoma"/>
            <family val="2"/>
          </rPr>
          <t>Alberto:</t>
        </r>
        <r>
          <rPr>
            <sz val="9"/>
            <color indexed="81"/>
            <rFont val="Tahoma"/>
            <family val="2"/>
          </rPr>
          <t xml:space="preserve">
=REDONDEAR.MAS(
    SUMA(
                    REDONDEAR.MAS(AB37*AD37+0.1,1),
                    REDONDEAR.MAS(P37*Modelo!$H$29*AF37,1),
                    REDONDEAR.MAS(Q37*Modelo!$H$36*AH37,1)
                   )*Modelo!$H$6,1)</t>
        </r>
      </text>
    </comment>
    <comment ref="AZ40" authorId="0" shapeId="0" xr:uid="{00000000-0006-0000-0300-00000B000000}">
      <text>
        <r>
          <rPr>
            <b/>
            <sz val="9"/>
            <color indexed="81"/>
            <rFont val="Tahoma"/>
            <family val="2"/>
          </rPr>
          <t>Alberto:</t>
        </r>
        <r>
          <rPr>
            <sz val="9"/>
            <color indexed="81"/>
            <rFont val="Tahoma"/>
            <family val="2"/>
          </rPr>
          <t xml:space="preserve">
=REDONDEAR.MAS((AB37*AD37+0.1)*Modelo!$I$75,1)</t>
        </r>
      </text>
    </comment>
    <comment ref="BA40" authorId="0" shapeId="0" xr:uid="{00000000-0006-0000-0300-00000C000000}">
      <text>
        <r>
          <rPr>
            <b/>
            <sz val="9"/>
            <color indexed="81"/>
            <rFont val="Tahoma"/>
            <family val="2"/>
          </rPr>
          <t>Alberto:</t>
        </r>
        <r>
          <rPr>
            <sz val="9"/>
            <color indexed="81"/>
            <rFont val="Tahoma"/>
            <family val="2"/>
          </rPr>
          <t xml:space="preserve">
=REDONDEAR.MAS(AC37*AD37*AE37*Modelo!$I$75,1)</t>
        </r>
      </text>
    </comment>
    <comment ref="BB40" authorId="0" shapeId="0" xr:uid="{00000000-0006-0000-0300-00000D000000}">
      <text>
        <r>
          <rPr>
            <b/>
            <sz val="9"/>
            <color indexed="81"/>
            <rFont val="Tahoma"/>
            <family val="2"/>
          </rPr>
          <t>Alberto:</t>
        </r>
        <r>
          <rPr>
            <sz val="9"/>
            <color indexed="81"/>
            <rFont val="Tahoma"/>
            <family val="2"/>
          </rPr>
          <t xml:space="preserve">
=REDONDEAR.MAS(P37*Modelo!$H$29*AF37*Modelo!$I$75,1)</t>
        </r>
      </text>
    </comment>
    <comment ref="BC40" authorId="0" shapeId="0" xr:uid="{00000000-0006-0000-0300-00000E000000}">
      <text>
        <r>
          <rPr>
            <b/>
            <sz val="9"/>
            <color indexed="81"/>
            <rFont val="Tahoma"/>
            <family val="2"/>
          </rPr>
          <t>Alberto:</t>
        </r>
        <r>
          <rPr>
            <sz val="9"/>
            <color indexed="81"/>
            <rFont val="Tahoma"/>
            <family val="2"/>
          </rPr>
          <t xml:space="preserve">
=REDONDEAR.MAS(P37*Modelo!$H$29*AF37*AG37*Modelo!$I$75,1)</t>
        </r>
      </text>
    </comment>
    <comment ref="BF40" authorId="0" shapeId="0" xr:uid="{00000000-0006-0000-0300-00000F000000}">
      <text>
        <r>
          <rPr>
            <b/>
            <sz val="9"/>
            <color indexed="81"/>
            <rFont val="Tahoma"/>
            <family val="2"/>
          </rPr>
          <t>Alberto:</t>
        </r>
        <r>
          <rPr>
            <sz val="9"/>
            <color indexed="81"/>
            <rFont val="Tahoma"/>
            <family val="2"/>
          </rPr>
          <t xml:space="preserve">
=REDONDEAR.MAS(Q37*Modelo!$H$36*AH37*Modelo!$I$75,1)</t>
        </r>
      </text>
    </comment>
    <comment ref="BG40" authorId="0" shapeId="0" xr:uid="{00000000-0006-0000-0300-000010000000}">
      <text>
        <r>
          <rPr>
            <b/>
            <sz val="9"/>
            <color indexed="81"/>
            <rFont val="Tahoma"/>
            <family val="2"/>
          </rPr>
          <t>Alberto:</t>
        </r>
        <r>
          <rPr>
            <sz val="9"/>
            <color indexed="81"/>
            <rFont val="Tahoma"/>
            <family val="2"/>
          </rPr>
          <t xml:space="preserve">
=REDONDEAR.MAS(Q37*Modelo!$H$36*AH37*AI37*Modelo!$I$75,1)</t>
        </r>
      </text>
    </comment>
    <comment ref="BH40" authorId="0" shapeId="0" xr:uid="{00000000-0006-0000-0300-000011000000}">
      <text>
        <r>
          <rPr>
            <b/>
            <sz val="9"/>
            <color indexed="81"/>
            <rFont val="Tahoma"/>
            <family val="2"/>
          </rPr>
          <t>Alberto:</t>
        </r>
        <r>
          <rPr>
            <sz val="9"/>
            <color indexed="81"/>
            <rFont val="Tahoma"/>
            <family val="2"/>
          </rPr>
          <t xml:space="preserve">
</t>
        </r>
        <r>
          <rPr>
            <sz val="9"/>
            <color indexed="81"/>
            <rFont val="Tahoma"/>
            <family val="2"/>
          </rPr>
          <t>=Modelo!$H$43</t>
        </r>
      </text>
    </comment>
    <comment ref="BI40" authorId="0" shapeId="0" xr:uid="{00000000-0006-0000-0300-000012000000}">
      <text>
        <r>
          <rPr>
            <b/>
            <sz val="9"/>
            <color indexed="81"/>
            <rFont val="Tahoma"/>
            <family val="2"/>
          </rPr>
          <t>Alberto:</t>
        </r>
        <r>
          <rPr>
            <sz val="9"/>
            <color indexed="81"/>
            <rFont val="Tahoma"/>
            <family val="2"/>
          </rPr>
          <t xml:space="preserve">
=REDONDEAR.MAS(
    SUMA(
                    REDONDEAR.MAS(AB37*AD37+0.1,1),
                    REDONDEAR.MAS(P37*Modelo!$H$29*AF37,1),
                    REDONDEAR.MAS(Q37*Modelo!$H$36*AH37,1)
                   )*AK37*AJ37*Modelo!$I$75,1)</t>
        </r>
      </text>
    </comment>
    <comment ref="BN40" authorId="0" shapeId="0" xr:uid="{00000000-0006-0000-0300-000013000000}">
      <text>
        <r>
          <rPr>
            <b/>
            <sz val="9"/>
            <color indexed="81"/>
            <rFont val="Tahoma"/>
            <family val="2"/>
          </rPr>
          <t>Alberto:</t>
        </r>
        <r>
          <rPr>
            <sz val="9"/>
            <color indexed="81"/>
            <rFont val="Tahoma"/>
            <family val="2"/>
          </rPr>
          <t xml:space="preserve">
=REDONDEAR.MAS(
     SUMA(
       REDONDEAR.MAS(AB37*AD37+0.1,1),
       REDONDEAR.MAS(P37*Modelo!$H$29*AF37,1),
       REDONDEAR.MAS(Q37*Modelo!$H$36*AH37,1)
                   )*AJ37*AL37*Modelo!$H$57,1)</t>
        </r>
      </text>
    </comment>
    <comment ref="BP40" authorId="0" shapeId="0" xr:uid="{00000000-0006-0000-0300-000014000000}">
      <text>
        <r>
          <rPr>
            <b/>
            <sz val="9"/>
            <color indexed="81"/>
            <rFont val="Tahoma"/>
            <family val="2"/>
          </rPr>
          <t>Alberto:</t>
        </r>
        <r>
          <rPr>
            <sz val="9"/>
            <color indexed="81"/>
            <rFont val="Tahoma"/>
            <family val="2"/>
          </rPr>
          <t xml:space="preserve">
</t>
        </r>
        <r>
          <rPr>
            <sz val="9"/>
            <color indexed="81"/>
            <rFont val="Tahoma"/>
            <family val="2"/>
          </rPr>
          <t>=Modelo!$H$61</t>
        </r>
      </text>
    </comment>
    <comment ref="BQ40" authorId="0" shapeId="0" xr:uid="{00000000-0006-0000-0300-000015000000}">
      <text>
        <r>
          <rPr>
            <b/>
            <sz val="9"/>
            <color indexed="81"/>
            <rFont val="Tahoma"/>
            <family val="2"/>
          </rPr>
          <t>Alberto:</t>
        </r>
        <r>
          <rPr>
            <sz val="9"/>
            <color indexed="81"/>
            <rFont val="Tahoma"/>
            <family val="2"/>
          </rPr>
          <t xml:space="preserve">
=REDONDEAR.MAS(
   SUMA(
                   REDONDEAR.MAS(AB37*AD37+0.1,1),
                   REDONDEAR.MAS(P37*Modelo!$H$29*AF37,1),
                   REDONDEAR.MAS(Q37*Modelo!$H$36*AH37,1)
                  )*Modelo!$H$62*Modelo!$I$75,1)</t>
        </r>
      </text>
    </comment>
    <comment ref="BR40" authorId="0" shapeId="0" xr:uid="{00000000-0006-0000-0300-000016000000}">
      <text>
        <r>
          <rPr>
            <b/>
            <sz val="9"/>
            <color indexed="81"/>
            <rFont val="Tahoma"/>
            <family val="2"/>
          </rPr>
          <t>Alberto:</t>
        </r>
        <r>
          <rPr>
            <sz val="9"/>
            <color indexed="81"/>
            <rFont val="Tahoma"/>
            <family val="2"/>
          </rPr>
          <t xml:space="preserve">
=REDONDEAR.MAS(
     REDONDEAR.MAS(
       SUMA(
         REDONDEAR.MAS(AB37*AD37+0.1,1),
         REDONDEAR.MAS(P37*Modelo!$H$29*AF37,1),
         REDONDEAR.MAS(Q37*Modelo!$H$36*AH37,1)
                      )*Modelo!$H$62,1)
                                                 *Modelo!$H$63*Modelo!$I$75,1)</t>
        </r>
      </text>
    </comment>
    <comment ref="BS40" authorId="0" shapeId="0" xr:uid="{00000000-0006-0000-0300-000017000000}">
      <text>
        <r>
          <rPr>
            <b/>
            <sz val="9"/>
            <color indexed="81"/>
            <rFont val="Tahoma"/>
            <family val="2"/>
          </rPr>
          <t>Alberto:</t>
        </r>
        <r>
          <rPr>
            <sz val="9"/>
            <color indexed="81"/>
            <rFont val="Tahoma"/>
            <family val="2"/>
          </rPr>
          <t xml:space="preserve">
=SUMA(
     REDONDEAR.MAS(AB37*AD37+0.1,1),
     REDONDEAR.MAS(P37*Modelo!$H$29*AF37,1),
     REDONDEAR.MAS(Q37*Modelo!$H$36*AH37,1)
                 )*Modelo!$H$64*Modelo!$I$75</t>
        </r>
      </text>
    </comment>
    <comment ref="BT40" authorId="0" shapeId="0" xr:uid="{00000000-0006-0000-0300-000018000000}">
      <text>
        <r>
          <rPr>
            <b/>
            <sz val="9"/>
            <color indexed="81"/>
            <rFont val="Tahoma"/>
            <family val="2"/>
          </rPr>
          <t>Alberto:</t>
        </r>
        <r>
          <rPr>
            <sz val="9"/>
            <color indexed="81"/>
            <rFont val="Tahoma"/>
            <family val="2"/>
          </rPr>
          <t xml:space="preserve">
=REDONDEAR.MAS(
     SUMA(
       REDONDEAR.MAS(AB37*AD37+0.1,1),
       REDONDEAR.MAS(P37*Modelo!$H$29*AF37,1),
       REDONDEAR.MAS(Q37*Modelo!$H$36*AH37,1)
                   )*Modelo!$H$64*Modelo!$H$65*Modelo!$I$75,1)</t>
        </r>
      </text>
    </comment>
    <comment ref="BU40" authorId="0" shapeId="0" xr:uid="{00000000-0006-0000-0300-000019000000}">
      <text>
        <r>
          <rPr>
            <b/>
            <sz val="9"/>
            <color indexed="81"/>
            <rFont val="Tahoma"/>
            <family val="2"/>
          </rPr>
          <t>Alberto:</t>
        </r>
        <r>
          <rPr>
            <sz val="9"/>
            <color indexed="81"/>
            <rFont val="Tahoma"/>
            <family val="2"/>
          </rPr>
          <t xml:space="preserve">
</t>
        </r>
        <r>
          <rPr>
            <sz val="9"/>
            <color indexed="81"/>
            <rFont val="Tahoma"/>
            <family val="2"/>
          </rPr>
          <t>=Modelo!$H$66</t>
        </r>
      </text>
    </comment>
    <comment ref="BV40" authorId="0" shapeId="0" xr:uid="{00000000-0006-0000-0300-00001A000000}">
      <text>
        <r>
          <rPr>
            <b/>
            <sz val="9"/>
            <color indexed="81"/>
            <rFont val="Tahoma"/>
            <family val="2"/>
          </rPr>
          <t>Alberto:</t>
        </r>
        <r>
          <rPr>
            <sz val="9"/>
            <color indexed="81"/>
            <rFont val="Tahoma"/>
            <family val="2"/>
          </rPr>
          <t xml:space="preserve">
=REDONDEAR.MAS(
     SUMA(
       REDONDEAR.MAS(AB37*AD37+0.1,1),
       REDONDEAR.MAS(P37*Modelo!$H$29*AF37,1),
       REDONDEAR.MAS(Q37*Modelo!$H$36*AH37,1)
                    )*Modelo!$H$69,1)</t>
        </r>
      </text>
    </comment>
    <comment ref="BW40" authorId="0" shapeId="0" xr:uid="{00000000-0006-0000-0300-00001B000000}">
      <text>
        <r>
          <rPr>
            <b/>
            <sz val="9"/>
            <color indexed="81"/>
            <rFont val="Tahoma"/>
            <family val="2"/>
          </rPr>
          <t>Alberto:</t>
        </r>
        <r>
          <rPr>
            <sz val="9"/>
            <color indexed="81"/>
            <rFont val="Tahoma"/>
            <family val="2"/>
          </rPr>
          <t xml:space="preserve">
=REDONDEAR.MAS(
     SUMA(
       REDONDEAR.MAS(AB37*AD37+0.1,1),
       REDONDEAR.MAS(P37*Modelo!$H$29*AF37,1),
       REDONDEAR.MAS(Q37*Modelo!$H$36*AH37,1)
                    )*Modelo!$H$62,1
                                               )*Modelo!$H$71</t>
        </r>
      </text>
    </comment>
    <comment ref="C41" authorId="0" shapeId="0" xr:uid="{00000000-0006-0000-0300-00001C000000}">
      <text>
        <r>
          <rPr>
            <b/>
            <sz val="9"/>
            <color indexed="81"/>
            <rFont val="Tahoma"/>
            <family val="2"/>
          </rPr>
          <t>Alberto:</t>
        </r>
        <r>
          <rPr>
            <sz val="9"/>
            <color indexed="81"/>
            <rFont val="Tahoma"/>
            <family val="2"/>
          </rPr>
          <t xml:space="preserve">
Búsqueda:        En base a algunos parámetros regresa información.
Catálogo:         Captura de elementos que serán utilizados en otras partes del sistema.
Captura:           Introduce información de operación en el sistema.
Configuración: Administración de parámetros que definen el sistema.
Filtro:               Pantalla de dónde se establecen los datos para generar un reporte
Informativa:     Por si sola no realiza nada, solo muestra datos, estatus, etc.
Operación:       Maneja la información introducida en las capturas.
Procedimiento:  Actividad que se realiza de manera automática o semiautomática.
Ventana:           Se llama desde una pantalla, puede capturar datos o mostrarlos.
Reporte:           Contra parte del filtro, muestra los resultados encontrados según el filtro.</t>
        </r>
      </text>
    </comment>
    <comment ref="E41" authorId="0" shapeId="0" xr:uid="{00000000-0006-0000-0300-00001D000000}">
      <text>
        <r>
          <rPr>
            <b/>
            <sz val="9"/>
            <color indexed="81"/>
            <rFont val="Tahoma"/>
            <family val="2"/>
          </rPr>
          <t>Alberto:</t>
        </r>
        <r>
          <rPr>
            <sz val="9"/>
            <color indexed="81"/>
            <rFont val="Tahoma"/>
            <family val="2"/>
          </rPr>
          <t xml:space="preserve">
Bajo (B):     Tiene hasta 15 controles.
Medio (M): Tiene más de 15 controles.
Alto (A):       Tiene más de 50 controles.</t>
        </r>
      </text>
    </comment>
    <comment ref="H41" authorId="0" shapeId="0" xr:uid="{00000000-0006-0000-0300-00001E000000}">
      <text>
        <r>
          <rPr>
            <b/>
            <sz val="9"/>
            <color indexed="81"/>
            <rFont val="Tahoma"/>
            <family val="2"/>
          </rPr>
          <t>Alberto:</t>
        </r>
        <r>
          <rPr>
            <sz val="9"/>
            <color indexed="81"/>
            <rFont val="Tahoma"/>
            <family val="2"/>
          </rPr>
          <t xml:space="preserve">
Bajo (B):     Tiene hasta 5 CU y/o servicios.
Medio (M): Tiene más de 5 CU y/o servicios.
Alto (A):       Tiene más de 20 CU y/o servicios.</t>
        </r>
      </text>
    </comment>
    <comment ref="I41" authorId="0" shapeId="0" xr:uid="{00000000-0006-0000-0300-00001F000000}">
      <text>
        <r>
          <rPr>
            <b/>
            <sz val="9"/>
            <color indexed="81"/>
            <rFont val="Tahoma"/>
            <family val="2"/>
          </rPr>
          <t>Alberto:</t>
        </r>
        <r>
          <rPr>
            <sz val="9"/>
            <color indexed="81"/>
            <rFont val="Tahoma"/>
            <family val="2"/>
          </rPr>
          <t xml:space="preserve">
Bajo (B):     Tiene hasta 4 CU y/o servicios.
Medio (M): Tiene más de 4 CU y/o servicios.
Alto (A):       Tiene más de 15 CU y/o servicios.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Eliseo</author>
  </authors>
  <commentList>
    <comment ref="D23" authorId="0" shapeId="0" xr:uid="{00000000-0006-0000-0900-000001000000}">
      <text>
        <r>
          <rPr>
            <b/>
            <sz val="9"/>
            <color indexed="81"/>
            <rFont val="Tahoma"/>
            <family val="2"/>
          </rPr>
          <t xml:space="preserve">HORAS AL MES MODIFICABLES PARA LA POLIZA
</t>
        </r>
      </text>
    </comment>
  </commentList>
</comments>
</file>

<file path=xl/sharedStrings.xml><?xml version="1.0" encoding="utf-8"?>
<sst xmlns="http://schemas.openxmlformats.org/spreadsheetml/2006/main" count="1192" uniqueCount="625">
  <si>
    <t>ESTIMACIÓN DE TIEMPOS Y COSTOS</t>
  </si>
  <si>
    <t>Versión: 0.2</t>
  </si>
  <si>
    <t>Proyecto: SISAP</t>
  </si>
  <si>
    <t>INFORMACION PARA PROPUESTA DE VENTAS</t>
  </si>
  <si>
    <t>NECESIDAD DE NEGOCIO</t>
  </si>
  <si>
    <t>CONSIDERACIONES</t>
  </si>
  <si>
    <t>Supuestos</t>
  </si>
  <si>
    <t>Restricciones</t>
  </si>
  <si>
    <t>Análisis y Diseño</t>
  </si>
  <si>
    <t>ALCANCE Y TIEMPOS</t>
  </si>
  <si>
    <t>Concepto</t>
  </si>
  <si>
    <t>ANÁLISIS Y DISEÑO</t>
  </si>
  <si>
    <t>N/A</t>
  </si>
  <si>
    <t>Diagrama de arquitectura</t>
  </si>
  <si>
    <t>Diccionario de datos</t>
  </si>
  <si>
    <t>CONSTRUCCIÓN</t>
  </si>
  <si>
    <t>DOCUMENTACIÓN</t>
  </si>
  <si>
    <t>M</t>
  </si>
  <si>
    <t>P</t>
  </si>
  <si>
    <t>Registro de rastreo</t>
  </si>
  <si>
    <t>INTEGRACIÓN</t>
  </si>
  <si>
    <t>PRUEBAS DE INTEGRACIÓN</t>
  </si>
  <si>
    <t>Ajustes al sistema</t>
  </si>
  <si>
    <t>Manual de usuario</t>
  </si>
  <si>
    <t>Manual de operación</t>
  </si>
  <si>
    <t>Manual de mantenimiento</t>
  </si>
  <si>
    <t>IMPLEMENTACIÓN</t>
  </si>
  <si>
    <t>Instalación de la base de datos en el servidor del cliente</t>
  </si>
  <si>
    <t>PRUEBAS DE ACEPTACIÓN</t>
  </si>
  <si>
    <t>Configuración del sistema</t>
  </si>
  <si>
    <t>CAPACITACIÓN</t>
  </si>
  <si>
    <t>Capacitación a usuarios finales</t>
  </si>
  <si>
    <t>TIEMPO PRESUPUESTADO</t>
  </si>
  <si>
    <t>Catálogos:</t>
  </si>
  <si>
    <t>Pantallas:</t>
  </si>
  <si>
    <t>Reportes:</t>
  </si>
  <si>
    <t>Componentes:</t>
  </si>
  <si>
    <t>FECHAS Y COSTOS</t>
  </si>
  <si>
    <t>Duración del proyecto</t>
  </si>
  <si>
    <t>Fecha inicio proyecto</t>
  </si>
  <si>
    <t>Fecha fin proyecto</t>
  </si>
  <si>
    <t>Días calendario</t>
  </si>
  <si>
    <t>Meses</t>
  </si>
  <si>
    <t>Recursos</t>
  </si>
  <si>
    <t>N°</t>
  </si>
  <si>
    <t>Tipo de recurso</t>
  </si>
  <si>
    <t>Sueldo mensual</t>
  </si>
  <si>
    <t>Costo Estimado</t>
  </si>
  <si>
    <t>DETALLE DE LA INVERSIÓN</t>
  </si>
  <si>
    <t>Cantidad</t>
    <phoneticPr fontId="1" type="noConversion"/>
  </si>
  <si>
    <t>Precio Unitario</t>
    <phoneticPr fontId="1" type="noConversion"/>
  </si>
  <si>
    <t>Monto Total</t>
    <phoneticPr fontId="1" type="noConversion"/>
  </si>
  <si>
    <t>HORAS DE DESARROLLO DEL PROYECTO</t>
  </si>
  <si>
    <t>Construcción</t>
  </si>
  <si>
    <t>Integración</t>
  </si>
  <si>
    <t>Implementación</t>
  </si>
  <si>
    <t>CALENDARIO</t>
  </si>
  <si>
    <t>Anexo 1</t>
  </si>
  <si>
    <t>FLUJO DE PAGOS</t>
  </si>
  <si>
    <t>Anexo 2</t>
  </si>
  <si>
    <t>IVA</t>
    <phoneticPr fontId="1" type="noConversion"/>
  </si>
  <si>
    <t>FINAL</t>
  </si>
  <si>
    <t>% Avance</t>
  </si>
  <si>
    <t>Entrega Axsis</t>
  </si>
  <si>
    <t>Libera cliente</t>
  </si>
  <si>
    <t>No de Pago</t>
  </si>
  <si>
    <t>Pago correspondiente</t>
  </si>
  <si>
    <t>No Factura</t>
  </si>
  <si>
    <t>Monto</t>
    <phoneticPr fontId="1" type="noConversion"/>
  </si>
  <si>
    <t>Total</t>
    <phoneticPr fontId="1" type="noConversion"/>
  </si>
  <si>
    <t>Restante</t>
    <phoneticPr fontId="1" type="noConversion"/>
  </si>
  <si>
    <t>Facturada</t>
  </si>
  <si>
    <t>Pagada</t>
  </si>
  <si>
    <t>Observaciones</t>
  </si>
  <si>
    <t>ANTICIPO</t>
  </si>
  <si>
    <t>Pago parcial</t>
  </si>
  <si>
    <r>
      <rPr>
        <b/>
        <sz val="10"/>
        <rFont val="Arial"/>
        <family val="2"/>
      </rPr>
      <t>Lenguaje de base de datos:</t>
    </r>
    <r>
      <rPr>
        <sz val="10"/>
        <rFont val="Arial"/>
        <family val="2"/>
      </rPr>
      <t xml:space="preserve"> Transact SQL</t>
    </r>
  </si>
  <si>
    <t>*Fuera de alcance</t>
  </si>
  <si>
    <t>Mínimo a lo que se puede vender:</t>
  </si>
  <si>
    <t>Margen de contribución del proyecto:</t>
  </si>
  <si>
    <t>C</t>
  </si>
  <si>
    <t>V</t>
  </si>
  <si>
    <t>L</t>
  </si>
  <si>
    <t>E</t>
  </si>
  <si>
    <t>RR</t>
  </si>
  <si>
    <t>PU</t>
  </si>
  <si>
    <t>PI</t>
  </si>
  <si>
    <t>PA</t>
  </si>
  <si>
    <t>Especificación técnica</t>
  </si>
  <si>
    <t>Controles</t>
  </si>
  <si>
    <t>Módulos:</t>
  </si>
  <si>
    <t>Desarrollador</t>
  </si>
  <si>
    <t>Pantalla</t>
  </si>
  <si>
    <t>Tipos</t>
  </si>
  <si>
    <t>Búsqueda</t>
  </si>
  <si>
    <t>En base a algunos parámetros regresa información</t>
  </si>
  <si>
    <t>Catálogo</t>
  </si>
  <si>
    <t>Captura de elementos que serán utilizados en otras partes del sistema</t>
  </si>
  <si>
    <t>Captura</t>
  </si>
  <si>
    <t>Introduce información de operación en el sistema</t>
  </si>
  <si>
    <t>Configuración</t>
  </si>
  <si>
    <t>Administración de parámetros que definen el sistema</t>
  </si>
  <si>
    <t>Filtro</t>
  </si>
  <si>
    <t>Pantalla de dónde se establecen los datos para generar un reporte</t>
  </si>
  <si>
    <t>Operación</t>
  </si>
  <si>
    <t>Maneja la información introducida en las capturas</t>
  </si>
  <si>
    <t>Procedimiento</t>
  </si>
  <si>
    <t>Actividad que se realiza de manera automática o semiautomática</t>
  </si>
  <si>
    <t>Reporte</t>
  </si>
  <si>
    <t>Contra parte del filtro, muesta los resultados encontrados según el filtro</t>
  </si>
  <si>
    <t>Tamaños</t>
  </si>
  <si>
    <t>Chica 1</t>
  </si>
  <si>
    <t xml:space="preserve">  1 - 6 controles </t>
  </si>
  <si>
    <t>Chica 2</t>
  </si>
  <si>
    <t>7 - 12 controles</t>
  </si>
  <si>
    <t>Chica 3</t>
  </si>
  <si>
    <t>13 - 18 controles</t>
  </si>
  <si>
    <t>Chica 4</t>
  </si>
  <si>
    <t>19 - 24 controles</t>
  </si>
  <si>
    <t>Mediana 1</t>
  </si>
  <si>
    <t>25 - 30 controles</t>
  </si>
  <si>
    <t>Mediana 2</t>
  </si>
  <si>
    <t>31 - 36 controles</t>
  </si>
  <si>
    <t>Mediana 3</t>
  </si>
  <si>
    <t>37 - 42 controles</t>
  </si>
  <si>
    <t>Mediana 4</t>
  </si>
  <si>
    <t>43 - 48 controles</t>
  </si>
  <si>
    <t>Grande 1</t>
  </si>
  <si>
    <t>49 - 54 controles</t>
  </si>
  <si>
    <t>Grande 2</t>
  </si>
  <si>
    <t>55 - 60 controles</t>
  </si>
  <si>
    <t>Grande 3</t>
  </si>
  <si>
    <t>61 - 66 controles</t>
  </si>
  <si>
    <t>Grande 4</t>
  </si>
  <si>
    <t>67 - 72 controles</t>
  </si>
  <si>
    <t>M. grande 1</t>
  </si>
  <si>
    <t>73 - 78 controles</t>
  </si>
  <si>
    <t>M. grande 2</t>
  </si>
  <si>
    <t>79 - 84 controles</t>
  </si>
  <si>
    <t>M. grande 3</t>
  </si>
  <si>
    <t>85 - 90 controles</t>
  </si>
  <si>
    <t>M. grande 4</t>
  </si>
  <si>
    <t>91 - 96 controles</t>
  </si>
  <si>
    <t>Complej</t>
  </si>
  <si>
    <t>Baja</t>
  </si>
  <si>
    <t>Controles comunes</t>
  </si>
  <si>
    <t>Media</t>
  </si>
  <si>
    <t>Incluye combos y/o hasta dos grids</t>
  </si>
  <si>
    <t>Alta</t>
  </si>
  <si>
    <t>Controles no comunes</t>
  </si>
  <si>
    <t>CU</t>
  </si>
  <si>
    <t>Unitario</t>
  </si>
  <si>
    <t>Tiempo estándar</t>
  </si>
  <si>
    <t>Realiza una acción y/o usan de una a dos tablas</t>
  </si>
  <si>
    <t>Realiza una o más acciones y/o usan de tres a cuatro tablas</t>
  </si>
  <si>
    <t>Realiza una o más acciones y/o usan cinco o tablas</t>
  </si>
  <si>
    <t>Serv</t>
  </si>
  <si>
    <t>Según testing</t>
  </si>
  <si>
    <t>Tipo</t>
  </si>
  <si>
    <t>Tamaño</t>
  </si>
  <si>
    <t>Informativa</t>
  </si>
  <si>
    <t>Por si sola no realiza nada, solo muestra datos, estatus, etc.</t>
  </si>
  <si>
    <t>Fecha inicio</t>
  </si>
  <si>
    <t>Fecha fin</t>
  </si>
  <si>
    <t>Descripción de requerimientos</t>
  </si>
  <si>
    <t>Requerimientos de infraestructura</t>
  </si>
  <si>
    <t>ARQUITECTURA DEL SISTEMA</t>
  </si>
  <si>
    <t>ANÁLISIS DE COMPONENTES</t>
  </si>
  <si>
    <t>Diseño de interfaz</t>
  </si>
  <si>
    <t>ARQUITECTURA DE BASE DE DATOS</t>
  </si>
  <si>
    <t>Diagrama de entidad - relación</t>
  </si>
  <si>
    <t>Levantamiento de requerimientos</t>
  </si>
  <si>
    <t>CASOS DE PRUEBA DE ACEPTACIÓN</t>
  </si>
  <si>
    <t>PRESENTACIÓN DE ENTREGABLES</t>
  </si>
  <si>
    <t>Instalación del sistema</t>
  </si>
  <si>
    <t>Migración de la información</t>
  </si>
  <si>
    <t>Ejecución de pruebas</t>
  </si>
  <si>
    <t>Actualización del sistema</t>
  </si>
  <si>
    <t>Limpieza de la base de datos</t>
  </si>
  <si>
    <t>Capacitación para ejecución de pruebas</t>
  </si>
  <si>
    <t>PUESTA EN MARCHA</t>
  </si>
  <si>
    <t>Factor de elaboración</t>
  </si>
  <si>
    <t>Factor de verificación</t>
  </si>
  <si>
    <t>ERS</t>
  </si>
  <si>
    <t>Factor de levantamiento de AyD</t>
  </si>
  <si>
    <t>Factor de PU</t>
  </si>
  <si>
    <t>Factor de PI</t>
  </si>
  <si>
    <t>MU</t>
  </si>
  <si>
    <t>EMU</t>
  </si>
  <si>
    <t>VMU</t>
  </si>
  <si>
    <t>Factor de elaboración de MU</t>
  </si>
  <si>
    <t>Factor de verificación de MU</t>
  </si>
  <si>
    <t>ECPA</t>
  </si>
  <si>
    <t>Factor de elaboración de CPA</t>
  </si>
  <si>
    <t>Tamaño D</t>
  </si>
  <si>
    <t>Tamaño T</t>
  </si>
  <si>
    <t>AYD</t>
  </si>
  <si>
    <t>CONS</t>
  </si>
  <si>
    <t>INT</t>
  </si>
  <si>
    <t>CPS</t>
  </si>
  <si>
    <t>IMP</t>
  </si>
  <si>
    <t>Constante de RR</t>
  </si>
  <si>
    <t>ED</t>
  </si>
  <si>
    <t>VD</t>
  </si>
  <si>
    <t>ECU</t>
  </si>
  <si>
    <t>VCU</t>
  </si>
  <si>
    <t>ES</t>
  </si>
  <si>
    <t>VS</t>
  </si>
  <si>
    <t>CPA</t>
  </si>
  <si>
    <t>AJPI</t>
  </si>
  <si>
    <t>Factor de AJPI</t>
  </si>
  <si>
    <t>AJPA</t>
  </si>
  <si>
    <t>Factor de AJPA</t>
  </si>
  <si>
    <t>Factor de capacitación</t>
  </si>
  <si>
    <t>MO</t>
  </si>
  <si>
    <t>MM</t>
  </si>
  <si>
    <t>Factor de MM</t>
  </si>
  <si>
    <t>Factor de MO</t>
  </si>
  <si>
    <t>Factor de productividad</t>
  </si>
  <si>
    <t>Cantidad Ser</t>
  </si>
  <si>
    <t>VCPA</t>
  </si>
  <si>
    <t>Factor de verificación de CPA</t>
  </si>
  <si>
    <t>Analisis</t>
  </si>
  <si>
    <t>Diseño</t>
  </si>
  <si>
    <t>Análisis</t>
  </si>
  <si>
    <t>Factor</t>
  </si>
  <si>
    <t>VMO</t>
  </si>
  <si>
    <t>VMM</t>
  </si>
  <si>
    <t>EPI</t>
  </si>
  <si>
    <t>EPA</t>
  </si>
  <si>
    <t>Componente</t>
  </si>
  <si>
    <t>CAP</t>
  </si>
  <si>
    <t>ECAP</t>
  </si>
  <si>
    <t>Factor de PA</t>
  </si>
  <si>
    <t>Constante/Factror</t>
  </si>
  <si>
    <t>Fase</t>
  </si>
  <si>
    <t>Actividad</t>
  </si>
  <si>
    <t>Tarea</t>
  </si>
  <si>
    <t>Opción</t>
  </si>
  <si>
    <t>Descripción</t>
  </si>
  <si>
    <t>Constante de levantamiento</t>
  </si>
  <si>
    <t>Actividades consideradas en paralelo:</t>
  </si>
  <si>
    <t>Analisis de componentes</t>
  </si>
  <si>
    <t>Manual de Usuario</t>
  </si>
  <si>
    <t>Manual de Operación</t>
  </si>
  <si>
    <t>Manual de Mantenimiento</t>
  </si>
  <si>
    <t>Registro de Rastreo</t>
  </si>
  <si>
    <t>Código fuente y estructura de BD</t>
  </si>
  <si>
    <t>Sistema compilado</t>
  </si>
  <si>
    <t>Servicio</t>
  </si>
  <si>
    <t>Pruebas</t>
  </si>
  <si>
    <t>Tiene más de 15 CU y/o servicios</t>
  </si>
  <si>
    <t>Tiene hasta 4 CU y/o servicios</t>
  </si>
  <si>
    <t>Tiene más de 4 CU y/o servicios</t>
  </si>
  <si>
    <t>2.- La fecha de inicio y fecha fin del proyecto se consideraron tomando en cuenta que el Cliente no se atrase y cumpla con los tiempos que vienen en el calendario.</t>
  </si>
  <si>
    <t>ENTREGABLES</t>
  </si>
  <si>
    <t>Especificación de Requerimientos</t>
  </si>
  <si>
    <t>Tiempo</t>
  </si>
  <si>
    <t>PRECIO TOTAL</t>
  </si>
  <si>
    <t>Complejidad</t>
  </si>
  <si>
    <t>HORAS PRESUPUESTADAS</t>
  </si>
  <si>
    <t>Acciones</t>
  </si>
  <si>
    <t>Funcionalidad especial que se debe cumplir cuando sucede un evento.</t>
  </si>
  <si>
    <t>1.- La estimación de los tiempos se realizó en base a la información proporcionada por el cliente por lo que, después la fase de  ANÁLISIS Y DISEÑO ESTRUCTURAL, se podrá tener el tamaño real del proyecto.</t>
  </si>
  <si>
    <t>3.- Se incluye un diseño gráfico básico de acuerdo a la imagen corporativa.</t>
  </si>
  <si>
    <t>Generalidades</t>
  </si>
  <si>
    <t>EDT</t>
  </si>
  <si>
    <t>VDT</t>
  </si>
  <si>
    <t>Documentación técnica</t>
  </si>
  <si>
    <t>Cons</t>
  </si>
  <si>
    <t>Int</t>
  </si>
  <si>
    <t>Imp</t>
  </si>
  <si>
    <t>F1</t>
  </si>
  <si>
    <t>Costo</t>
  </si>
  <si>
    <t>Analistas</t>
  </si>
  <si>
    <t>Levantamiento</t>
  </si>
  <si>
    <t>Actividades</t>
  </si>
  <si>
    <t>Componentes</t>
  </si>
  <si>
    <t>Entrega y revisión de componentes</t>
  </si>
  <si>
    <t>Semanas de actividades</t>
  </si>
  <si>
    <t>Semanas lineales de validación</t>
  </si>
  <si>
    <t>Horas de entregas</t>
  </si>
  <si>
    <t>Semanas de entrega</t>
  </si>
  <si>
    <t>Semanas de levantamiento</t>
  </si>
  <si>
    <t>Semanas totales</t>
  </si>
  <si>
    <t>Desarrolladores</t>
  </si>
  <si>
    <t>Documentación</t>
  </si>
  <si>
    <t>Semanas</t>
  </si>
  <si>
    <t>Puesta en marcha</t>
  </si>
  <si>
    <t>Versión: 0.1</t>
  </si>
  <si>
    <t>Tiene hasta 3 CU y/o servicios</t>
  </si>
  <si>
    <t>Tiene más de 5 CU y/o servicios</t>
  </si>
  <si>
    <t>Tiene más de 10 CU y/o servicios</t>
  </si>
  <si>
    <t>ANÁLISIS</t>
  </si>
  <si>
    <t>Precio</t>
  </si>
  <si>
    <t>Semanas totales AyD</t>
  </si>
  <si>
    <t>Semanas totales Construcción</t>
  </si>
  <si>
    <t>Semanas documentación</t>
  </si>
  <si>
    <t>Semanas pruebas</t>
  </si>
  <si>
    <t>Semanas ajustes</t>
  </si>
  <si>
    <t>Semanas totales Integración</t>
  </si>
  <si>
    <t>Semanas totales Implementación</t>
  </si>
  <si>
    <t>Festivos</t>
  </si>
  <si>
    <t>Días</t>
  </si>
  <si>
    <t>Formato</t>
  </si>
  <si>
    <t>Implantación del sistema.</t>
  </si>
  <si>
    <t>Tipo
De Componente</t>
  </si>
  <si>
    <t>Semanas capacitación</t>
  </si>
  <si>
    <t>Margen de utilidad</t>
  </si>
  <si>
    <t>Esperado</t>
  </si>
  <si>
    <t>Real</t>
  </si>
  <si>
    <t>%  del tiempo total del proyecto</t>
  </si>
  <si>
    <t>Casos de prueba de aceptación</t>
  </si>
  <si>
    <t>Casos de prueba de integración</t>
  </si>
  <si>
    <t>Reportes de pruebas de integración</t>
  </si>
  <si>
    <t>Reportes de pruebas de aceptación</t>
  </si>
  <si>
    <t>Costo elaboración</t>
  </si>
  <si>
    <t>Precio de hora sugerido por fase</t>
  </si>
  <si>
    <t>Implementadores</t>
  </si>
  <si>
    <t>F2</t>
  </si>
  <si>
    <t>F3</t>
  </si>
  <si>
    <t>F4</t>
  </si>
  <si>
    <t>Analista</t>
  </si>
  <si>
    <t>Implementador</t>
  </si>
  <si>
    <t>Líder de proyecto 50%</t>
  </si>
  <si>
    <t>2.- No se desarrollará nada que no esté contemplado en el alcance del proyecto a menos que pase por un proceso de análisis para su cotización (Control de cambios).</t>
  </si>
  <si>
    <t>3.- Cualquier punto contemplado en el alcance, será sujeto a un control de cambios si este cambia en su tamaño, acciones a realizar o complejidad.</t>
  </si>
  <si>
    <t>6.- Los tiempos no incluyen retrasos ocasionados por fallas en equipo, servidores o software propiedad del cliente.</t>
  </si>
  <si>
    <t>7.- Los tiempos no incluyen realización de documentación requeridos por el cliente que no estén contemplados en los entregables de la presente propuesta. Documentación que forme parte de los entregables se realizará con formato de Axsis Tecnología, el quererlos en un formato propio del cliente incurriría en un costo.</t>
  </si>
  <si>
    <t>10.- Los tiempos no incluyen la instalación ni compra del dispositivo de hardware o software, solamente la configuración al sistema en el servidor de elección.</t>
  </si>
  <si>
    <t>1.- El alcance considera lo anunciado en el mismo de forma explicita en la propuesta, cualquier otro requerimiento y/o especificación que haya sido transmitido de forma documentada o verbal y que no este descrito en la presente propuesta queda fuera del alcance.</t>
  </si>
  <si>
    <t>5.- Cualquier atraso por parte del cliente impactará en tiempo y costo del proyecto
    -Visitas pactada 
     -Retrasos en revisiones
     -Revisión de documentos</t>
  </si>
  <si>
    <t>8.- En el alcance no se contempla el diseño gráfico (Logos, Imágenes, Banners, Interfaces artísticas).</t>
  </si>
  <si>
    <t>9.- Los tiempos no incluyen la configuración del servidor, solamente la instalación del sistema y base de datos.</t>
  </si>
  <si>
    <t>Pre integración</t>
  </si>
  <si>
    <t>Semanas pre integración</t>
  </si>
  <si>
    <t>Pre aceptación</t>
  </si>
  <si>
    <t>Semanas pre aceptación</t>
  </si>
  <si>
    <t>Hras DMS</t>
  </si>
  <si>
    <t>Hras CCS</t>
  </si>
  <si>
    <t>Tiempo (Hras)</t>
  </si>
  <si>
    <t>Total Hras</t>
  </si>
  <si>
    <t>Complejo.</t>
  </si>
  <si>
    <t>Verifica.</t>
  </si>
  <si>
    <t>A yd</t>
  </si>
  <si>
    <t>Observaciones a considerar para Análisis y Desarrollo</t>
  </si>
  <si>
    <t>1.-</t>
  </si>
  <si>
    <t>2.-</t>
  </si>
  <si>
    <t>3.-</t>
  </si>
  <si>
    <t>4.-</t>
  </si>
  <si>
    <t>5.-</t>
  </si>
  <si>
    <t>Anticipo (30%)</t>
  </si>
  <si>
    <t>Pago final (10%)</t>
  </si>
  <si>
    <t>POLIZA DE SOFTWARE</t>
  </si>
  <si>
    <t>Anexo 3</t>
  </si>
  <si>
    <t xml:space="preserve"> ALCANCE POLIZA DE SERVICIO DE SOFTWARE</t>
  </si>
  <si>
    <t>1.- Incluye horas para ser usadas en: cambios o adecuaciones al sistema, capacitación o soporte fuera de garantias.</t>
  </si>
  <si>
    <t xml:space="preserve">2.- Incluye la atención inmediata, vía telefónica o por correo electrónico  </t>
  </si>
  <si>
    <t>3.- Tiempos de solución provisional, por concepto de errores que SI detienen la operación, el mismo día.</t>
  </si>
  <si>
    <t>4.- Tiempos de solución definitiva, por concepto de errores que NO detienen la operación, se estimarían y se programarían.</t>
  </si>
  <si>
    <t>5.- Horario de atención de Lunes a Viernes de 8:30 a 6:30.</t>
  </si>
  <si>
    <t>6.- Incluye un coordinador, Desarrollador y Tester, para manetener la operación y soporte en linea en el horario de atención.</t>
  </si>
  <si>
    <t>7.- Las horas de soporte y desarrollo no son acumulables</t>
  </si>
  <si>
    <t>8.- Una visita por mes, para ver temas de retroalimentación acerca de la operación del sistema y del  servicio brindado (Contempla 2 horas máximo)</t>
  </si>
  <si>
    <t>9.- Periodo del contrato, ANUAL.</t>
  </si>
  <si>
    <t>Horas al mes de la póliza:</t>
  </si>
  <si>
    <t>HORAS</t>
  </si>
  <si>
    <t>PRECIO X HORA</t>
  </si>
  <si>
    <t>TOTAL / MES</t>
  </si>
  <si>
    <t>Pago de póliza mensual (antes de IVA):</t>
  </si>
  <si>
    <t>Pago de póliza semestral (antes de IVA):</t>
  </si>
  <si>
    <t>Pago de póliza anual (antes de IVA):</t>
  </si>
  <si>
    <t>Costo mensual</t>
  </si>
  <si>
    <t>Horas mensuales</t>
  </si>
  <si>
    <t>Coordinador</t>
  </si>
  <si>
    <t>Tester</t>
  </si>
  <si>
    <t>* Representa el porcentaje del costo del total del ingreso</t>
  </si>
  <si>
    <t>* Representa el porcentaje de contribución a al utilidad</t>
  </si>
  <si>
    <t>Precio por hora de póliza min:</t>
  </si>
  <si>
    <t>Costo por hora de póliza:</t>
  </si>
  <si>
    <t>CONSIDERACIONES ESPECIALES DE LA PÓLIZA</t>
  </si>
  <si>
    <r>
      <t>a)</t>
    </r>
    <r>
      <rPr>
        <sz val="7"/>
        <color theme="1"/>
        <rFont val="Times New Roman"/>
        <family val="1"/>
      </rPr>
      <t xml:space="preserve">     </t>
    </r>
    <r>
      <rPr>
        <sz val="10"/>
        <color theme="1"/>
        <rFont val="Arial"/>
        <family val="2"/>
      </rPr>
      <t>El servicio se prestará desde las instalaciones del proveedor, se utilizarán medios electrónicos para atender toda solicitud, considerando la premura del tiempo de solución requerida.</t>
    </r>
  </si>
  <si>
    <r>
      <t>b)</t>
    </r>
    <r>
      <rPr>
        <sz val="7"/>
        <color theme="1"/>
        <rFont val="Times New Roman"/>
        <family val="1"/>
      </rPr>
      <t xml:space="preserve">    </t>
    </r>
    <r>
      <rPr>
        <sz val="10"/>
        <color theme="1"/>
        <rFont val="Arial"/>
        <family val="2"/>
      </rPr>
      <t>Todos los equipos contemplados deberán tener el software instalado y operando en condiciones indispensables de seguridad, durante todo el periodo  en el que tenga vigencia la póliza.</t>
    </r>
  </si>
  <si>
    <r>
      <t>c)</t>
    </r>
    <r>
      <rPr>
        <sz val="7"/>
        <color theme="1"/>
        <rFont val="Times New Roman"/>
        <family val="1"/>
      </rPr>
      <t xml:space="preserve">     </t>
    </r>
    <r>
      <rPr>
        <sz val="10"/>
        <color theme="1"/>
        <rFont val="Arial"/>
        <family val="2"/>
      </rPr>
      <t>Las visitas aplicarán en la zona geográfica comprendida en el área metropolitana de Monterrey.</t>
    </r>
  </si>
  <si>
    <r>
      <t>d)</t>
    </r>
    <r>
      <rPr>
        <sz val="7"/>
        <color theme="1"/>
        <rFont val="Times New Roman"/>
        <family val="1"/>
      </rPr>
      <t xml:space="preserve">    </t>
    </r>
    <r>
      <rPr>
        <sz val="10"/>
        <color theme="1"/>
        <rFont val="Arial"/>
        <family val="2"/>
      </rPr>
      <t>Para el caso de requerimientos en los que se tenga que atender una solicitud fuera del área metropolitana de Monterrey el cliente correrá con todos los gastos de transportación y viáticos</t>
    </r>
  </si>
  <si>
    <r>
      <t>e)</t>
    </r>
    <r>
      <rPr>
        <sz val="7"/>
        <color theme="1"/>
        <rFont val="Times New Roman"/>
        <family val="1"/>
      </rPr>
      <t xml:space="preserve">     </t>
    </r>
    <r>
      <rPr>
        <sz val="10"/>
        <color theme="1"/>
        <rFont val="Arial"/>
        <family val="2"/>
      </rPr>
      <t>La prestación de este servicio elimina la posibilidad de que “EL CLIENTE” pueda contratar al personal de “EL PRESTADOR” para integrarse directa o indirectamente a su organización durante o al final del  periodo de contratación de la póliza.</t>
    </r>
  </si>
  <si>
    <r>
      <t>g)</t>
    </r>
    <r>
      <rPr>
        <sz val="7"/>
        <color theme="1"/>
        <rFont val="Times New Roman"/>
        <family val="1"/>
      </rPr>
      <t xml:space="preserve">    </t>
    </r>
    <r>
      <rPr>
        <sz val="10"/>
        <color theme="1"/>
        <rFont val="Arial"/>
        <family val="2"/>
      </rPr>
      <t>Respaldos de la base de datos los cuales serán proporcionados mediante una liga de FTP al cliente cada que se solicite (2 respaldos parciales diarios y 1 respaldo completo cada semana).</t>
    </r>
  </si>
  <si>
    <r>
      <t>h)</t>
    </r>
    <r>
      <rPr>
        <sz val="7"/>
        <color theme="1"/>
        <rFont val="Times New Roman"/>
        <family val="1"/>
      </rPr>
      <t xml:space="preserve">     </t>
    </r>
    <r>
      <rPr>
        <sz val="10"/>
        <color theme="1"/>
        <rFont val="Arial"/>
        <family val="2"/>
      </rPr>
      <t>Precios preferenciales en proyectos de desarrollo de sistema de información.</t>
    </r>
  </si>
  <si>
    <t>HOSTING (SERVIDOR DEDICADO)</t>
  </si>
  <si>
    <t>Anexo 4</t>
  </si>
  <si>
    <t>ALCANCE POLIZA DE HOSTING</t>
  </si>
  <si>
    <t>SERVICIO</t>
  </si>
  <si>
    <t>COSTO</t>
  </si>
  <si>
    <t>Hospedaje para la aplicación WEB y para la base de datos del sistema</t>
  </si>
  <si>
    <t>SI</t>
  </si>
  <si>
    <t>Monitoreo y optimización de rendimiento, liberando servicios, memoria y espacio en disco.</t>
  </si>
  <si>
    <t>Garantías de Configuración, solo en aplicaciones desarrolladas por Axsis Tecnología</t>
  </si>
  <si>
    <t>Respaldos de la base de datos, los cuales serán proporcionados mediante una liga de FTP al cliente cada que se solicite (2 respaldos parciales diarios y 1 respaldo completo cada semana).</t>
  </si>
  <si>
    <t>Envío de respaldos  (2 por mes)</t>
  </si>
  <si>
    <t>Redundancia de BD</t>
  </si>
  <si>
    <t>SSL</t>
  </si>
  <si>
    <t>No requiere</t>
  </si>
  <si>
    <t>Pago Mensual ( antes de IVA )</t>
  </si>
  <si>
    <t>Pago Semestral ( antes de IVA )</t>
  </si>
  <si>
    <t>Pago Anual ( antes de IVA )</t>
  </si>
  <si>
    <t>PREMISAS DE HOSTING</t>
  </si>
  <si>
    <t>Para que aplique la póliza de Hosting, debe tener contratada una poliza de servicio de software</t>
  </si>
  <si>
    <t>* Procesador Intel Core i7, 3.4 GHZ, RAM 32 Gb, Disco Duro 1 TB, SO Windows, Panel de Control Plesk, Ancho de Banda Ilimitado, IP Fija Incluida 1, Configuración de aplicaciones IIS 7.5, Uptime, Firewall, Configuración FTP.</t>
  </si>
  <si>
    <t>Horario de atención de Lunes a Viernes de 8:30 a 6:30.</t>
  </si>
  <si>
    <t xml:space="preserve">Tema </t>
  </si>
  <si>
    <t># Interesados</t>
  </si>
  <si>
    <t># Personas x grupo</t>
  </si>
  <si>
    <t>Rol</t>
  </si>
  <si>
    <t>Horas</t>
  </si>
  <si>
    <t>Grupos</t>
  </si>
  <si>
    <t>Total Horas por grupo</t>
  </si>
  <si>
    <t>Configuración
-Sistema
-Catálogos</t>
  </si>
  <si>
    <t>Rol (Sistemas)</t>
  </si>
  <si>
    <t>Rol (Operativo)</t>
  </si>
  <si>
    <t>Rol (Administrativo)</t>
  </si>
  <si>
    <t>Rol (Gerencia)</t>
  </si>
  <si>
    <t>Practica</t>
  </si>
  <si>
    <t>Implantación operativa</t>
  </si>
  <si>
    <t>TOTAL:</t>
  </si>
  <si>
    <t>Periodo del contrato ANUAL</t>
  </si>
  <si>
    <t>Costo/mes por póliza</t>
  </si>
  <si>
    <t>Horas/mes por póliza</t>
  </si>
  <si>
    <t>Costo/hora</t>
  </si>
  <si>
    <t>SECCIÓN INTERNA PARA AXSIS</t>
  </si>
  <si>
    <t>Anexo 5</t>
  </si>
  <si>
    <t xml:space="preserve">Tema 1: </t>
  </si>
  <si>
    <t xml:space="preserve">Tema 2: </t>
  </si>
  <si>
    <t xml:space="preserve">Tema 3: </t>
  </si>
  <si>
    <r>
      <rPr>
        <b/>
        <sz val="10"/>
        <rFont val="Arial"/>
        <family val="2"/>
      </rPr>
      <t>Análisis y diseño:</t>
    </r>
    <r>
      <rPr>
        <sz val="10"/>
        <rFont val="Arial"/>
        <family val="2"/>
      </rPr>
      <t xml:space="preserve"> Diseño de interfaz, casos de uso y documentación técnica.</t>
    </r>
  </si>
  <si>
    <r>
      <rPr>
        <b/>
        <sz val="10"/>
        <rFont val="Arial"/>
        <family val="2"/>
      </rPr>
      <t>Herramienta para análisis y diseño:</t>
    </r>
    <r>
      <rPr>
        <sz val="10"/>
        <rFont val="Arial"/>
        <family val="2"/>
      </rPr>
      <t xml:space="preserve"> MS Office 2010.</t>
    </r>
  </si>
  <si>
    <r>
      <rPr>
        <b/>
        <sz val="10"/>
        <rFont val="Arial"/>
        <family val="2"/>
      </rPr>
      <t>Plataforma de software:</t>
    </r>
    <r>
      <rPr>
        <sz val="10"/>
        <rFont val="Arial"/>
        <family val="2"/>
      </rPr>
      <t xml:space="preserve"> Microsoft.</t>
    </r>
  </si>
  <si>
    <r>
      <rPr>
        <b/>
        <sz val="10"/>
        <rFont val="Arial"/>
        <family val="2"/>
      </rPr>
      <t>Arquitectura de base de datos:</t>
    </r>
    <r>
      <rPr>
        <sz val="10"/>
        <rFont val="Arial"/>
        <family val="2"/>
      </rPr>
      <t xml:space="preserve"> Centralizada</t>
    </r>
  </si>
  <si>
    <r>
      <rPr>
        <b/>
        <sz val="10"/>
        <rFont val="Arial"/>
        <family val="2"/>
      </rPr>
      <t>Software de terceros:</t>
    </r>
    <r>
      <rPr>
        <sz val="10"/>
        <rFont val="Arial"/>
        <family val="2"/>
      </rPr>
      <t xml:space="preserve"> N/A</t>
    </r>
  </si>
  <si>
    <t>ESPECIFICACIONES PARA OPERAR EL SISTEMA (servidor de base de datos)</t>
  </si>
  <si>
    <r>
      <rPr>
        <b/>
        <sz val="10"/>
        <rFont val="Arial"/>
        <family val="2"/>
      </rPr>
      <t>Sistema operativo:</t>
    </r>
    <r>
      <rPr>
        <sz val="10"/>
        <rFont val="Arial"/>
        <family val="2"/>
      </rPr>
      <t xml:space="preserve"> MS Windows Server 2008 R2</t>
    </r>
  </si>
  <si>
    <r>
      <rPr>
        <b/>
        <sz val="10"/>
        <rFont val="Arial"/>
        <family val="2"/>
      </rPr>
      <t>Procesador:</t>
    </r>
    <r>
      <rPr>
        <sz val="10"/>
        <rFont val="Arial"/>
        <family val="2"/>
      </rPr>
      <t xml:space="preserve"> Intel</t>
    </r>
  </si>
  <si>
    <r>
      <rPr>
        <b/>
        <sz val="10"/>
        <rFont val="Arial"/>
        <family val="2"/>
      </rPr>
      <t>RAM:</t>
    </r>
    <r>
      <rPr>
        <sz val="10"/>
        <rFont val="Arial"/>
        <family val="2"/>
      </rPr>
      <t xml:space="preserve"> 6 Gb RAM</t>
    </r>
  </si>
  <si>
    <r>
      <rPr>
        <b/>
        <sz val="10"/>
        <rFont val="Arial"/>
        <family val="2"/>
      </rPr>
      <t>Almacenamiento:</t>
    </r>
    <r>
      <rPr>
        <sz val="10"/>
        <rFont val="Arial"/>
        <family val="2"/>
      </rPr>
      <t xml:space="preserve"> 500 GB</t>
    </r>
  </si>
  <si>
    <t>ESPECIFICACIONES PARA OPERAR EL SISTEMA (servidor de aplicación)</t>
  </si>
  <si>
    <t>ESPECIFICACIONES PARA OPERAR EL SISTEMA (Cliente PC y Laptops)</t>
  </si>
  <si>
    <r>
      <rPr>
        <b/>
        <sz val="10"/>
        <rFont val="Arial"/>
        <family val="2"/>
      </rPr>
      <t xml:space="preserve">Sistema operativo: </t>
    </r>
    <r>
      <rPr>
        <sz val="10"/>
        <rFont val="Arial"/>
        <family val="2"/>
      </rPr>
      <t>Windows XP, 7, 8, 10</t>
    </r>
  </si>
  <si>
    <r>
      <rPr>
        <b/>
        <sz val="10"/>
        <rFont val="Arial"/>
        <family val="2"/>
      </rPr>
      <t>Software adicional:</t>
    </r>
    <r>
      <rPr>
        <sz val="10"/>
        <rFont val="Arial"/>
        <family val="2"/>
      </rPr>
      <t xml:space="preserve"> framework 4.0 o superior</t>
    </r>
  </si>
  <si>
    <r>
      <rPr>
        <b/>
        <sz val="10"/>
        <rFont val="Arial"/>
        <family val="2"/>
      </rPr>
      <t>Conexión a internet:</t>
    </r>
    <r>
      <rPr>
        <sz val="10"/>
        <rFont val="Arial"/>
        <family val="2"/>
      </rPr>
      <t xml:space="preserve"> Si, indispensable.</t>
    </r>
  </si>
  <si>
    <t>13.- La estimación es en base a componentes que genera tamaños y acciones  no a funcionales o ideas generales cuyo tamaño pueda variar una vez terminado el análisis.</t>
  </si>
  <si>
    <t>14.- La falta de Vo.Bo. puede detener el calendario de trabajo ya que se consideran disparadores de actividades subsecuentes.</t>
  </si>
  <si>
    <t>Días recorrido</t>
  </si>
  <si>
    <t>Conocimiento del proceso de negocio</t>
  </si>
  <si>
    <t>Diagramas AS-IS</t>
  </si>
  <si>
    <t>Diagramas TO-BE</t>
  </si>
  <si>
    <r>
      <rPr>
        <b/>
        <sz val="10"/>
        <rFont val="Arial"/>
        <family val="2"/>
      </rPr>
      <t>Interfaz de Usuario:</t>
    </r>
    <r>
      <rPr>
        <sz val="10"/>
        <rFont val="Arial"/>
        <family val="2"/>
      </rPr>
      <t xml:space="preserve"> HTML5, CSS3, JQUERY, BOOSTRAP 3</t>
    </r>
  </si>
  <si>
    <r>
      <rPr>
        <b/>
        <sz val="10"/>
        <rFont val="Arial"/>
        <family val="2"/>
      </rPr>
      <t>Lenguaje de programación:</t>
    </r>
    <r>
      <rPr>
        <sz val="10"/>
        <rFont val="Arial"/>
        <family val="2"/>
      </rPr>
      <t xml:space="preserve"> C#</t>
    </r>
  </si>
  <si>
    <r>
      <rPr>
        <b/>
        <sz val="10"/>
        <rFont val="Arial"/>
        <family val="2"/>
      </rPr>
      <t>Software:</t>
    </r>
    <r>
      <rPr>
        <sz val="10"/>
        <rFont val="Arial"/>
        <family val="2"/>
      </rPr>
      <t xml:space="preserve"> Framework 4.5, IIS 7.5 (Internet Information Services)</t>
    </r>
  </si>
  <si>
    <r>
      <rPr>
        <b/>
        <sz val="10"/>
        <rFont val="Arial"/>
        <family val="2"/>
      </rPr>
      <t>Explorador:</t>
    </r>
    <r>
      <rPr>
        <sz val="10"/>
        <rFont val="Arial"/>
        <family val="2"/>
      </rPr>
      <t xml:space="preserve"> Internet Explorer 10, 11, 12, EDGE, Chrome</t>
    </r>
  </si>
  <si>
    <r>
      <rPr>
        <b/>
        <sz val="10"/>
        <rFont val="Arial"/>
        <family val="2"/>
      </rPr>
      <t>Otros Dispositivos:</t>
    </r>
    <r>
      <rPr>
        <sz val="10"/>
        <rFont val="Arial"/>
        <family val="2"/>
      </rPr>
      <t xml:space="preserve"> N/A</t>
    </r>
  </si>
  <si>
    <t>B</t>
  </si>
  <si>
    <t>Entrega y revisión de Diagrama AS-IS, TO-BE, Propuesta</t>
  </si>
  <si>
    <t>4.- El tiempo estimado o duración del proyecto supone que hay una disponibilidad del 100% para realizar las tareas y que este pudiera cambiar en base a la disponibilidad real del cliente, por lo que se tendría que ajustar en calendario y recorrería fechas finales.</t>
  </si>
  <si>
    <t>5.- Se considera que las especificaciones para operar el sistema ya se tienen para la fase de implementación, el software adicional y dispositivos ya se tienen para la fase de construcción.</t>
  </si>
  <si>
    <t>COSTO FINAL</t>
  </si>
  <si>
    <t xml:space="preserve">COSTO DIRECTO PRESUPUESTADO </t>
  </si>
  <si>
    <t>6.- En el alcance se contempla las pruebas unitarias de los componentes y las pruebas de integración que son a todo el sistema una vez terminada la fase de construcción.</t>
  </si>
  <si>
    <r>
      <rPr>
        <b/>
        <sz val="10"/>
        <rFont val="Arial"/>
        <family val="2"/>
      </rPr>
      <t>Software:</t>
    </r>
    <r>
      <rPr>
        <sz val="10"/>
        <rFont val="Arial"/>
        <family val="2"/>
      </rPr>
      <t xml:space="preserve"> MS SQL Server 2008R2</t>
    </r>
  </si>
  <si>
    <t>DESCUENTOS</t>
  </si>
  <si>
    <t>12.- La puesta en marcha del software terminado esta contemplado para ponerlo en producción en matriz, ubicada en Nuevo León.</t>
  </si>
  <si>
    <t xml:space="preserve">Descuento </t>
  </si>
  <si>
    <t>Precio
 por hora</t>
  </si>
  <si>
    <t>Validación</t>
  </si>
  <si>
    <t>Documentos</t>
  </si>
  <si>
    <t>Semanas por Tester</t>
  </si>
  <si>
    <t>Semanas por documentación</t>
  </si>
  <si>
    <t>Ajustes</t>
  </si>
  <si>
    <t>Capacitación</t>
  </si>
  <si>
    <t>[DESCRIPCION DE LAS NECESIDADES DE NEGOCIO]
A lo largo del documento se detallan  factores importantes, que significan ventajas para considerar a Axsis como la mejor opción para lograr desarrollar este proyecto dentro de los parámetros de tiempo, costo y calidad que se requiere.
Esta propuesta fue realizada en la información que oportunamente nos facilitaron, esperando
que satisfaga sus expectativas y quedamos en espera de sus comentarios.</t>
  </si>
  <si>
    <r>
      <rPr>
        <b/>
        <sz val="10"/>
        <rFont val="Arial"/>
        <family val="2"/>
      </rPr>
      <t>Servicios:</t>
    </r>
    <r>
      <rPr>
        <sz val="10"/>
        <rFont val="Arial"/>
        <family val="2"/>
      </rPr>
      <t xml:space="preserve"> WEB SERVICES</t>
    </r>
  </si>
  <si>
    <t>7.- Esta contemplado dentro del alcance la migración de información de:
Productos
Clientes
Proveedores
Catálogos Básicos (Usuario, Tipo de cliente, Formas de pago, Servicios, direcciones, etc.)</t>
  </si>
  <si>
    <t>Fecha facturación</t>
  </si>
  <si>
    <t>Monto</t>
    <phoneticPr fontId="1" type="noConversion"/>
  </si>
  <si>
    <t>IVA</t>
    <phoneticPr fontId="1" type="noConversion"/>
  </si>
  <si>
    <t>Total</t>
    <phoneticPr fontId="1" type="noConversion"/>
  </si>
  <si>
    <t>Restante</t>
    <phoneticPr fontId="1" type="noConversion"/>
  </si>
  <si>
    <t>Lineas:</t>
  </si>
  <si>
    <t>Horas:</t>
  </si>
  <si>
    <t>Horas 30%:</t>
  </si>
  <si>
    <t>Horas 60%:</t>
  </si>
  <si>
    <t>Horas 10%:</t>
  </si>
  <si>
    <t>Dato W</t>
  </si>
  <si>
    <t>Nota: Ocultar los dos renglones en el caso de no aplicar ningun descuento.</t>
  </si>
  <si>
    <t xml:space="preserve">ANALISIS DE NEGOCIO </t>
  </si>
  <si>
    <t>4.- Los tiempos no incluyen pruebas de carga y volumen. 
Nota: Este servicio se aplica para caso de mas de mil usuarios interactuando con el sistema simultáneamente.</t>
  </si>
  <si>
    <t>Tester 50%</t>
  </si>
  <si>
    <t>ESPECIFICACIONES PARA EL DESARROLLO MOVIL ANDROID</t>
  </si>
  <si>
    <r>
      <rPr>
        <b/>
        <sz val="10"/>
        <rFont val="Arial"/>
        <family val="2"/>
      </rPr>
      <t>Plataforma de software:</t>
    </r>
    <r>
      <rPr>
        <sz val="10"/>
        <rFont val="Arial"/>
        <family val="2"/>
      </rPr>
      <t xml:space="preserve"> XAMARIN</t>
    </r>
  </si>
  <si>
    <r>
      <rPr>
        <b/>
        <sz val="10"/>
        <rFont val="Arial"/>
        <family val="2"/>
      </rPr>
      <t>Entorno de desarrollo:</t>
    </r>
    <r>
      <rPr>
        <sz val="10"/>
        <rFont val="Arial"/>
        <family val="2"/>
      </rPr>
      <t xml:space="preserve"> Microsoft Visual XAMARIN</t>
    </r>
  </si>
  <si>
    <r>
      <rPr>
        <b/>
        <sz val="10"/>
        <rFont val="Arial"/>
        <family val="2"/>
      </rPr>
      <t>Framework:</t>
    </r>
    <r>
      <rPr>
        <sz val="10"/>
        <rFont val="Arial"/>
        <family val="2"/>
      </rPr>
      <t xml:space="preserve"> N/A</t>
    </r>
  </si>
  <si>
    <r>
      <rPr>
        <b/>
        <sz val="10"/>
        <rFont val="Arial"/>
        <family val="2"/>
      </rPr>
      <t>Herramienta para la base de datos:</t>
    </r>
    <r>
      <rPr>
        <sz val="10"/>
        <rFont val="Arial"/>
        <family val="2"/>
      </rPr>
      <t xml:space="preserve"> MS SQL Server 2008R2</t>
    </r>
  </si>
  <si>
    <r>
      <rPr>
        <b/>
        <sz val="10"/>
        <rFont val="Arial"/>
        <family val="2"/>
      </rPr>
      <t>Ambiente de operación:</t>
    </r>
    <r>
      <rPr>
        <sz val="10"/>
        <rFont val="Arial"/>
        <family val="2"/>
      </rPr>
      <t xml:space="preserve"> MOVIL (ANDROID)</t>
    </r>
  </si>
  <si>
    <t>ESPECIFICACIONES PARA EL DESARROLLO MOVIL IOS</t>
  </si>
  <si>
    <r>
      <rPr>
        <b/>
        <sz val="10"/>
        <rFont val="Arial"/>
        <family val="2"/>
      </rPr>
      <t xml:space="preserve">Arquitectura de Software: </t>
    </r>
    <r>
      <rPr>
        <sz val="10"/>
        <rFont val="Arial"/>
        <family val="2"/>
      </rPr>
      <t>IOS 9.0</t>
    </r>
  </si>
  <si>
    <r>
      <rPr>
        <b/>
        <sz val="10"/>
        <rFont val="Arial"/>
        <family val="2"/>
      </rPr>
      <t>Ambiente de operación:</t>
    </r>
    <r>
      <rPr>
        <sz val="10"/>
        <rFont val="Arial"/>
        <family val="2"/>
      </rPr>
      <t xml:space="preserve"> MOVIL (IOS)</t>
    </r>
  </si>
  <si>
    <r>
      <t xml:space="preserve">Interfaz de Usuario: </t>
    </r>
    <r>
      <rPr>
        <sz val="10"/>
        <rFont val="Arial"/>
        <family val="2"/>
      </rPr>
      <t>IOS 9.0 O SUPERIOR</t>
    </r>
  </si>
  <si>
    <t>DESCUENTO ESPECIAL VIG: DD-MM-YY</t>
  </si>
  <si>
    <r>
      <rPr>
        <b/>
        <sz val="10"/>
        <rFont val="Arial"/>
        <family val="2"/>
      </rPr>
      <t>RAM:</t>
    </r>
    <r>
      <rPr>
        <sz val="10"/>
        <rFont val="Arial"/>
        <family val="2"/>
      </rPr>
      <t xml:space="preserve"> 4Gb RAM</t>
    </r>
  </si>
  <si>
    <t>11.- En el alcance no incluye la conexión a sistemas de terceros en ninguno de sus módulos.</t>
  </si>
  <si>
    <t>ESPECIFICACIONES PARA EL DESARROLLO WEB o WINDOWS</t>
  </si>
  <si>
    <r>
      <rPr>
        <b/>
        <sz val="10"/>
        <rFont val="Arial"/>
        <family val="2"/>
      </rPr>
      <t>Herramienta para análisis y diseño:</t>
    </r>
    <r>
      <rPr>
        <sz val="10"/>
        <rFont val="Arial"/>
        <family val="2"/>
      </rPr>
      <t xml:space="preserve"> MS Office 2016.</t>
    </r>
  </si>
  <si>
    <r>
      <rPr>
        <b/>
        <sz val="10"/>
        <rFont val="Arial"/>
        <family val="2"/>
      </rPr>
      <t>Arquitectura de Software:</t>
    </r>
    <r>
      <rPr>
        <sz val="10"/>
        <rFont val="Arial"/>
        <family val="2"/>
      </rPr>
      <t xml:space="preserve"> Windows Services / MVC 5.0. / Entity Framework </t>
    </r>
  </si>
  <si>
    <r>
      <rPr>
        <b/>
        <sz val="10"/>
        <rFont val="Arial"/>
        <family val="2"/>
      </rPr>
      <t>Framework:</t>
    </r>
    <r>
      <rPr>
        <sz val="10"/>
        <rFont val="Arial"/>
        <family val="2"/>
      </rPr>
      <t xml:space="preserve"> MS.Net Framework 4.6</t>
    </r>
  </si>
  <si>
    <r>
      <rPr>
        <b/>
        <sz val="10"/>
        <rFont val="Arial"/>
        <family val="2"/>
      </rPr>
      <t>Ambiente de operación:</t>
    </r>
    <r>
      <rPr>
        <sz val="10"/>
        <rFont val="Arial"/>
        <family val="2"/>
      </rPr>
      <t xml:space="preserve"> WINDOWS / WEB</t>
    </r>
  </si>
  <si>
    <t>Fecha Pago</t>
  </si>
  <si>
    <r>
      <t xml:space="preserve">Arquitectura de Software: </t>
    </r>
    <r>
      <rPr>
        <sz val="10"/>
        <rFont val="Arial"/>
        <family val="2"/>
      </rPr>
      <t>ANDROID 7.0</t>
    </r>
  </si>
  <si>
    <r>
      <rPr>
        <b/>
        <sz val="10"/>
        <rFont val="Arial"/>
        <family val="2"/>
      </rPr>
      <t>Interfaz de Usuario:</t>
    </r>
    <r>
      <rPr>
        <sz val="10"/>
        <rFont val="Arial"/>
        <family val="2"/>
      </rPr>
      <t xml:space="preserve"> ANDROID 7.0 </t>
    </r>
  </si>
  <si>
    <r>
      <rPr>
        <b/>
        <sz val="10"/>
        <rFont val="Arial"/>
        <family val="2"/>
      </rPr>
      <t>Entorno de desarrollo:</t>
    </r>
    <r>
      <rPr>
        <sz val="10"/>
        <rFont val="Arial"/>
        <family val="2"/>
      </rPr>
      <t xml:space="preserve"> Microsoft Visual Studio 2019.</t>
    </r>
  </si>
  <si>
    <r>
      <rPr>
        <b/>
        <sz val="10"/>
        <rFont val="Arial"/>
        <family val="2"/>
      </rPr>
      <t>Herramienta para la base de datos:</t>
    </r>
    <r>
      <rPr>
        <sz val="10"/>
        <rFont val="Arial"/>
        <family val="2"/>
      </rPr>
      <t xml:space="preserve"> MS SQL Server 2008R2 - 2016</t>
    </r>
  </si>
  <si>
    <t>Historias de usuario</t>
  </si>
  <si>
    <t>Proyecto: Generador de formatos</t>
  </si>
  <si>
    <t>R</t>
  </si>
  <si>
    <t>Horas por semana</t>
  </si>
  <si>
    <t>*</t>
  </si>
  <si>
    <t>Diagrama de clases</t>
  </si>
  <si>
    <t>Mejor</t>
  </si>
  <si>
    <t>Peor</t>
  </si>
  <si>
    <t>Diagramas</t>
  </si>
  <si>
    <t>Casos de uso</t>
  </si>
  <si>
    <t>Incluir</t>
  </si>
  <si>
    <t>x</t>
  </si>
  <si>
    <t>Inspección</t>
  </si>
  <si>
    <t>Revisión D</t>
  </si>
  <si>
    <t>Revisión C</t>
  </si>
  <si>
    <t>I</t>
  </si>
  <si>
    <t>RD</t>
  </si>
  <si>
    <t>RC</t>
  </si>
  <si>
    <t>PL</t>
  </si>
  <si>
    <t>Retrabajo</t>
  </si>
  <si>
    <t>Rt</t>
  </si>
  <si>
    <t>ret</t>
  </si>
  <si>
    <t>lev req</t>
  </si>
  <si>
    <t>diag</t>
  </si>
  <si>
    <t>interfaz</t>
  </si>
  <si>
    <t>HU</t>
  </si>
  <si>
    <t>DT</t>
  </si>
  <si>
    <t>rev D</t>
  </si>
  <si>
    <t>revc / ins</t>
  </si>
  <si>
    <t>Semanas por retrabajo</t>
  </si>
  <si>
    <t>sin rev</t>
  </si>
  <si>
    <t>Con rev</t>
  </si>
  <si>
    <t>Mas 
probable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</si>
  <si>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</si>
  <si>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</si>
  <si>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</si>
  <si>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</si>
  <si>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</si>
  <si>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</si>
  <si>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</si>
  <si>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</si>
  <si>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</si>
  <si>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</si>
  <si>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</si>
  <si>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</si>
  <si>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79498cf9-0bcf-4136-9200-e392470344cc</t>
  </si>
  <si>
    <t>CB_Block_0</t>
  </si>
  <si>
    <t>㜸〱敤㕣㕢㡣㈴㔵ㄹ敥慡改敥改敡㤹搹ㄹ㜶㜶㠱攵㍡摣㉦戳㘹㜶㤶㕤㉥挲扡捣㘵㙦戰㤷㘱㘷㜶㤱㈰㌶㌵摤愷㘶㙡户慢㙡愸慡㥥摤㐱㠴㐵ㄱ挴㑢っ昸愰㈰㉡㈱〶昵㐱ㄳ㌴㈱愰㄰㘳㌴搱ㄸ㔰ㅦ㠸〹て㈶㐸㡣㍥㘸捣㈶扥㤰㐸㠲摦㜷慡慡扢扡㝢扡㘶㘸㐰〷㌳戵摢晦㥥㍡昷㜳晥敢昹晦㔳㥢㔲㔲愹搴扢㜸昸㉦㥦㌴ㄳ攷㑤㉤㝡扥戰ち攳㑥愵㈲㑡扥改搸㕥㘱搴㜵昵挵晤愶攷㜷愱㐲戶㘸愲摣换ㄴ㍤昳㍥㤱㉢㉥〸搷㐳愵㑣㉡㤵换㘹㉡捡搹〹㝦〳搱㡢挶㔶扤㘹㠰改昱戱㐳㌳挷搰敢㤴敦戸㘲昳搰搱愰敤㡥㤱㤱挲㐸㘱摢昵㈳搷ㄵ戶㙣ㅥㅡ慦㔶晣慡㉢㜶搸愲敡扢㝡㘵昳搰㘴㜵愶㘲㤶㙥ㄳ㡢搳捥㜱㘱敦㄰㌳㕢慥㥤搱户摤㌰戲㙤晢㜶攳挶ㅢ㙦攸挵搰愹㠳攳㘳㤳慥㌰扣て愸捦っ愷扣㙤㐲㤴㑣慥㑤〸搷戴㘷ぢ攳㘳昸ㅢ㥢㍦摥慥㉦㑣捤〹攱㜳㘸攱ち扢㈴㍣つつ㝢慣㔱捦慢㕡昳摣㍣捤摡㡤愵㤶㜴捦捦㔸攳愲㔲搱慣愸搷㥣㜵〸㝢㔷搱ㄷ㝢慤㈹㘱㝢愶㙦㉥㤸晥㘲搶㥡㐶㐷攵㍥敢㠸㈷づ敢昶慣㌸愸㕢㈲㘳敤愹㥡攵㜴昰愴扡慥㠸扡㠸㑦㑣㉥扦㌰敡㔹攳㜳扡㉢㘷攴㜱㘳ㄲ敡敥㜶㑢㡤㜵㉦㘹摦㉦愷㉥㐷㘰㥦㤷戵慦㠷㤲愳扡㕢慢㌹摣扥㘶戸昸挶ㄹ㕣搳扥㝥㙣㡦ㅡ摢㕣搵扥㡤摣捡挶摡㑡㑦㐸摦㜲㐷戱ㄸ㉤㑢搰㑤㤰㈳㈰〲戵㍣㐱て㐱㉦㠰㤲晥ㄷ戸㈴摥㤰㐵㙡㔱㔷㡢㌳㙡戱愴ㄶ换㙡㔱愸㐵㐳㉤捥慡挵㌹戵㘸慡挵㘳㙡昱㌸敡㐴㑦慥扢㕢つ㥦摦晦晣晡㥢晦敤㍣㜰昰㝢㑦扥㌸晢捡て摦㌸搹扢づ㤵㙥て㈷㌵攱敡㈷㐰㙡㜵㉡摥㕡搸挲㍦换㜳〵㤸挲搸㙥㕣㙦㡣㡣㤴户㙦搱慦搵㌳㕣㔶〲昲ㅢ〸㘵〰㜵㝢㡤㍢㑣扢散㥣㤰戸㍢㙦㑣昷㐴㝤攳㠶挳戲㌱愷㙡㤷扤㜳㤷㉥㥣昲㜵㕦㥣搳㕣㔶敦愴愵搹ㄴ搸㑡㜸㜲扣ぢ㥡㥢ㅤ搵㉢㔵㌱㝡搲っ㡡捦㙦㉡戶㈶㕤㘷愶㝤改㙥㔷摣㕢㉢㙤㤹搱㈸㠴摡㠲散扢㘵㤵㐱㔱㌰慦愱昱㌹挷ㄳ戶㥣摥戰㌵㘹㤶㡥ぢ㜷㑡㔰㈴㡡戲㕣敡㐶ㄶ㠵㕣㍦㝣挸挶㐲挱慤攵㡢攳戹挶慥㤳㍥㤸㔹㤴㌱摦㜹攱晡㡢搳晡㑣㐵㥣搹㔰㈵ㄸㄳ〵㥢ㅡ戲㜷㍢愵慡㌷敥搸扥敢㔴ㅡ㑢㐶换ぢ㍡㈴㑤昹㠰㔳ㄶ改㜴㑡ち〵〸摣慥㉥㐵㐹㕤摤㥥ㄷ㈴㈲㘲㈸㈶㈳㥦摤㐸㜶㠵挳㔸ㅤ㔶㔱ㄱ愴㐹昵搲㘵㍡攳㝣愵㡣㐹攰挰搸㥡愸㍦㌸攸㤵换㜴㕢挳摣㠷㕢㔹㔵〷挳搵敦㕡㄰戶扦㔷户换ㄵ攱㈶㙡㍦㠵㌳搲晡〱㌲愷㈱㄰摡敥ㅥ㔵㥤㜲㔲㔹捣㥣㌰换晥㕣㜶㑥㤸戳㜳㍥昲愰㈱㜳㌹㙥㙤换愳㥤㠱㉣㙤㍤挱㈰㐰㍥㥦捡㙥㘰愵㙣ㅥ㑦㉡㐳改㤴挰换つ㠲㥣敤ㅡ㜸戹搷搸㙤㔶㝣ㄱ〸攵㝥〳ㄸ〹戴㥡㐴㕦ㅦ㐹搴搵㑢㠱挲搸㘰㡣㠳㑡㜵搳昶ㄷ敢㝣摢挲㈵〱ㄱ慤挹㠲㔵㈷ぢ㈸ちㅡ攵㐱〲慦㠱㘸㥡愴㐱㜲攵ㄸㄱ㤱つㄲ㌴㍢㝡㙥㈴㌲搶㑦㤰ㄱ愸ㅦ㈷㐲搶摥搲㕥㐶㤰搸㕢㠹㤴㡤摡昲攳㥡㌴㕢捡㤶て愴搹㐶㙣㥣㜶㈶挱㔹〴㘷ㄳ㙣〲㔰晥ち〹㐷㈹㠷㜴攳愳㥤㡢㜷敤㍣㠲昳〱㈰㥦㌴捡㥣㔰㔴搱㠶㕡㠹ㅤ挹㝡㝤戰㤳愵㔱ㅣ㠸㈲㕡挶㌵㍢戳捦㤲㠸づ慤捥搵愱㙢搳㔲挷㕥摥㥥㌶攳换㈱㐵㈶㔴㡤慦㜵㤹慡昱㡤㘰搵づ昵搶㠵㘸慡つㄱ㕣〴㄰㈸ㄶㅡ扢㉢戳收㘹㑥㝥㈴㑣愲挰㄰敡㔰戹㠷㐴㑣昳㍦㐱挰戵ㅣ㕤搶散㘷㥡㠲挳挶㐷摥㝥摥摣㥥户㐳愴㌷改捣㌵㥤㐳㕦搱㝢戴愰㉦〶㝢㈹㝦㙡慢㕦㉥㐵戱㜶ㄹ挱攵〰㑤晡㠵㈷敦昷敡㈵㤰㈶戱ㄵ挳摣㝡㝡㕣愴㠵㍢扤㌸㉦愴昶改㌵愶㜵㜷㔶昸昰㕥散㥢㠰ㅤ散戸慥愸攰㐰㕢㤶ㄹ㍣扢㥣搵㤸改敤㜶ㅤ㡢昹㙢昶戱昷㤱㔰っ改戴摡㤵㙡戲㡦ㄳ散捣㤸扦㈹㐶㌹搴扦搷戶ㄷㄲ戱㐶㡤攴挵㜶挹㘷换㌵㐹搲㠱㈴戹ㄲ摢慡㕤〵〰㈹愱晣戱慤㐴ㄹ㘶戵捤戲㕡愳戵㑡敦㕥挲挹愴挹㝦搸㈲㐷㝡〲㘷敤ㄸ㝣〷㕥㥦㌵㘵㕡㌵㘱搱㘳㑤ち户〴扦㠲㔹ㄱ昹挰㈵㑢㔱戳㈶㉢㍥㈲戲愲慢慢攵㉣㥤攰㕢㤳㜴搲㈴㈵ㄲ戹㍤戱㌰攱ㅣ㕥㈷㉡扡㈰㈹㔴ㄲ摣㐲㌵〹㐴捡㘳摤㌵ㄱ搳㠱㠸㈹㘰攳戴㙢〸戶㄰㡣〰㘴㝥〷㐹戳搲㡤㘷㈸慣㝢㠱敥散㘲㌱㤵㈳ㅡ愴㝢昰戵戶挲㙡ㅢ㠷搹㑥㜰ㅤ㐰㤳昹㐳攷㘳〲㈱㑡㤴挷〸㤱搶㤲㘶ㅣ㌵挵〹搲挰㍡〳㐱愵昱慡攷㍢ㄶ愳㑡㝤挶㠴㜳搰昱㈷㑣㙦ㅥ㔱愸㐱㈳㑣摣㌱㈷㙣㔰㤷ぢ摢愷㈹捦㤹㥦ㄷ㘵捤㤸㜲慡㄰㙤晢㈶㔶挳愱ㅣ敢㠳㉤㈹捦攵慡㠲愷戳戳㌱扡㔰攴㠹ㄸ扥㔶㝡㘲㔷攴昹收愱慦扦扥愳搳愶㕦ㄱ㍤㐶挰㜴㑣攷っ散㈲愲〶攵㙥㘳㝡捥ㄵ㘲愲捦搸攳㥡攵㡡㘹ぢ㈲〳㌶㈶〳㜵晢挵㉣㈲〴㤳づ攳㝦㡥摤㘷㑣扢扡敤捤敢っ㈶㉥慥㙦㜸㤳㈱㤱㡣㌱㘶摡ㅥ㠶㤱㔸㘴扡摦㤸㥡㜳㑥㈰㕡㕢戵散㍤晡扣户㉡戰㐲愲てㅥ㠹ㅡ㐵㔵㔴㔵挹愹戹㑥昱挳〳㜹㉡戵ㄵ扦㌴㠱挴㔵㉡㐳㝦㜹㠲昶愶㕤ㅦ挶㘷㘸愷㜳㑥扤㠸ㅣ搵㌲扢ㄲ愵㌰㌹㔵扢㠱㙤㙥〴戸㜵捦㤱㝤昵愸摣晢㡡㔷㘷攸攱㑦㤰昱㤲㉣㙡㐱㄰晡攷搶〵愴挲㍣㔲づ㌸㄰ㄸ攷㕢㌳昹攵つ㔹㠷搴户慥㥥摣㡤㈸㔲慦戱㕦㥦ㄱㄵ挴愲㉤摤㕦ㄷ扣搰㡣戵昴㡡ㄷ㤶㡤㍢㤶愵㤳戴㐸㤶㔳㈵㥤ㄴ㍣㕡昵㥤〳愶慤ㄹ〰㤲晥挲㉣晤㈴戲昴㤳㌲慢搷㌸捣戰愰㑣戳㉦㘷㔶㜷㑤㝦捥㌲㑢㌹扥㌰㜴户㉡㘸ㄲ㑣㑥挹ㅢ㍤㤱捣ㄸ㙡戲收㡦挰㘴昳ち㐰㜷〱㜲㤴㕢㐷昴㠳㜲㔵㈵㡢㍦㑡㠷㡥㈵〸ㄸ改㈵搵㙥㐲㙦ㄹ㜹㌳〲㈲㐷㍥愷愳晢ㄷ愷ㅦ㐴㑥攰㤷㈳搶ㄳ㐸〴ㅥ挱㤸㤰愷㝢㍢㙢ㅣ戱㑤ㅦ搸㈳挶㜶㥢晥㠴〷㤴〳㈰㈹㡦户攷㐸慣挶ㅡつ搷戴挲㠵慤㐵つ㙡攲㠲搶昲戸摥戸㜴㠹攲㐰愳挴ㄴ挹㜲㤵愴㘶㔹㘲㡥慢㐹搵㈸㔲㜱㐷摡㐶㐹㜲㥢搶昷㥤㔲攴㝤㈸㈶㐹㌳㈹㙤㠷㈴ㄴ〴㜹㐹ㅤ搰㔱昴搷㈷㤳㐷㉣㕡㐳ㅢ㈰㑦㍤ㄵ攴昵㠵攱挰㝤戸㜲㔲ㄶ昹昰つ晣扤㉥㑣ㅥ慡晡つ㈵晡挹挱戰㘴戴㔲㌹㘴挳㑡㈸改㙥㜹㤵戰㌴搶ㄶ㘸ㄸ挹㥤㥤㙡晦㘰㝢㘳㡣ㄸ戲㈱㐳㈲〹㝥㘰戰㈱㤸㉢ㄶ㑤愵㜵搶挷慤慥㘵攷昸㜶㐰攸戶挴挰㤴㕦㥥㄰ぢ搲っ慢㕢昲㠳戲㐱敤戴㈸攵愸㘶㡣捥㜸㔰改㍥攵㜸㤸㤲っ慥ㄹ㠷改㤶挲〵〶㠸摤㌰㌵㔹昲ㄱ搶慤㜵挰㤳挱敡挱づ㜶㈴〸㥢搰㍡愳〴捤㈶㄰㙥攳㈲挸㍢ㅤ㘲ㄴ㠲搴㤰捦㍦㜷㉡㑦㍤挹攷〷㍢㔳㔱㈲㘴㈲㠶扡ㄲ慣〷㈰㌷ㅥ㤵㈴ㄷつ㐶挱昲㐰戲㐹愱搵ㅢ攵搱挴攸愳挹攷晡戸挱挳㌸㔶㍦搹愶㠲㍢㙥扥〹㙤㕡㔹㕣㘷散戳㑢㤵㙡㔹㐸㔵ㅣ挹㙡愹㤱㔷〵扥攴昵扦㠰㥢ㄲ昶㈵摣㤴㝤㌸㑡㜱挹㐴㔲攷㜶户昶㜱㌴㤷㐲づ㝤〴戲㡤挱挷〴户㥣っ㠶戵摣㔱愰㝤戸扥㝥㜹㐱㕥㥣㠳㐸㙢挹愲㉣摢㡦扢㜸戵〸戲攴戶㔸戵晤捥㝥㠷㌶㝢㉣㙢慦ㄹ㘴慤ちㅣ㘱㥤㠱挰换㘶㘱㡣㜴挸ㅤ散㈴㜵㍡㡣散㥥㝥㔰扥愶㑥敦っ㡤て㠵昱㕤㥥㠲㔲搸㔵㌰ㄲつ㙥戵㙥㜵㉢㡣晣搲昲搶㙥〱㔰ㄸ〲愶㐱㡢㥡㠱㠱㌳㠶昴昲〶づ㠳㤱〹搱搱㜸㈰㤵㌱捡㐱㌸散㠱㌴㜰ㄳて搲搳づ㤴㤰扦㐱㕥ち㡢敥㈵づ㕢㌸〲㌹敥㤹㑤㤹㤳扡㡦慢㉦昶愶愶散搱㜲㤹收㉥晣㜳慢〲慢戸戶ㄱ㤸愳ㅢ㥡㉥㘴挹㌵搱扥扢愴愹㈰扣㈸戸㜵愲戰㔷昷㑢㜳㔳晥㘲㜰㘹慢㔳㤲挸扣〲㝦挴㤲愳搳㘶㑥摢扣㠴扡挰扤捦ㅦ户㥤ㄳ戶㥣㔷挶攳㡤㍦㕡戱㕡㜷㌷㈷㤹㑦扤㡢㍦昲㔱㔳㤹㤷搱攳㑡愶捤づ敡づㄲ昶㈳㥦㐰ㅡっ㈱㥤㐰㈷戰摤㙢㌷〶㐸㈷ㅢ㥡攸㐴ち㠲㌵㐲戱㘷㍦㌰㐲㔱㝥〶戴㤲㔸㠲㈳㌹昶晣㌹戰扥昲㔳攴㄰攱㜸て挵㐸收㈲愴ㄲ㔰㈷〵㜹㜸扤㠳㤷㐱晥㝦戰ㄴ㜱昳㤲散昴㕦㘰㘶攵愵㘶ㄴ㕤㐰ㄴ扤搸㡡㈲〶㘲摦㔳挸㥢戳㕦㍢㙡㝥攸搷㝡晦㠷㐷捤㕢㠱㘱㍥搲ㅡ㐳㔰㡤挱昸㥡㌱搰搵㘲っ㕣㠶㘲㘹っ摣挶㌶㡣搷〷挶㐰攸敤㌸㠰㡣攵㡤〱㐶昱ㄲ㑣扥㔸㔰㌵收挰攰㔹敢㑣㡢㥥戰扤戸㕥㉢㍣㐴敥愱㥥扣㜱昸㥥捥㙡捤㥥搴㕤摤摡㈴昳昷戸〲㙡换㥤挶㝤㙤搹㠴㉤捥㔹戲㐴㌶㕡挲㉢ㄱ昹搳搷㍣㈷㉢扢愵づ㑣〵㑦攰愸㔷㜲㑡昶㝤昸㐴ㄴ㥥㄰㔲㥦摥昰愳㍤㝦扥敦攱㥤扣㤷ㄶ搲㙡㠶㠱攰㑥㠲昳戴ㅣ㄰扥㡤㕤〹搹挸捦㙦づ攰㐳㈴㜳扥㈲挶㜴㔷摡㍢㥥㘶㐵挹㠰昰㘲㠴ㄹ㄰摦㙡㌰㈶㜱挳㈱㌰㈶ぢ㑤㡥㑤昹昹㤲㜴〶ㄶ㘲ㄳ㤷摥扢㈸㐰愸戴㔵㔹ㅤ摡㤵㤹ㅦ㐳改扣挷㠹㌴摡㠳㍣㕦昲㔱㤴攷㥢戵摡㜶㙡㌵㘹㈶㉡挳愸ㄱ㐹㈹㐴ㅡ㐸㈱昱㈳ぢ㐳晦㔲㑡㑤㈲㤱㈹〰㈴挴搰㥡㠳戹㍣昹慦〹〱㔱扢摥搷攱愷㉡搸㐵㘰㌱昲扡㜷㝡㜶愵搵ㄹ愹㈶〶㘵攵改攳㜶㈴攴㌱㠵ㄹ㡣搲捡摣挳㐸㐴㑦㘶〴愹ㄵ㍢㥥㌸㐸㥦ㄵ㠴搸〲挶捥㔸昴慡攵慤㕤㜶ㄵ㜷㍣愰㘷戲㔲㘱搸敢㤹㡤愳愷㡣挶〵㔵昳㐱ㄶ㘱㝦㤰慣㌵敡〹㡢愰戳散㑤㌸㝦㈲捣挷敦㠱㔸㍥㕣敦㝡㘳㜳〹㜵㥣摤㡤〵昲〷晢敢㠲〴挶挶愸攴ㄸ㐸搸ㄵ搵捡〵㤷挰愷搰㐴摡昳㡡㔶㑦㜲㉣㐵㘱㌴㍡攲慣㉥戵㐵晦㌳㑥㉤㌹㙢㥡戵ㄹ戰㙥搰晦㐷㤱戱慣晥㔷ㄸ㘵㤳㈸扢㈳㑣昰㈵挳㐸挹戲挱ㄹ敥〸㝣搸〸搳挸㈳戰㈶㤳っ㙥〷愹㈹㝣愲ㅡㄴ㑢〹づて㔷扡昹ㄲ㐴慤㉤㙤摢㥥戶〲㤰㔱愰捣昷㈱㠲摡戶攷愴㕢捦戱搹㍢㤱扤攱㠰㔹㜲ㅤ捦㌱晣愱㈹㠴㜷㠷昸㠵㤹〱㥢㘷㔴㜹慥㔹愸㕤㠲㥤攸扤ぢ㙤づㅥ㠲挰㍥㈸晣て㉡敡挸ㄸ挲捡㘲ㄶ晣摡㘸㈰ㄶ㐸愲㜶昰捥㌰㙥慦敡ㄵ㝣愰㝡〸㕥㑤㥦㔹慢㐲搹〵扥攵收扢ㄸ摣㍡摣挶扡つ㥥ㅦ㔱㈹㈰っ㈶㤷㜰搷摤摣搷收㍤㘸慣ㅢ慥捤㘳捤捥扣㙢昹捣㜷㠱搳㤵㡤搲㐸㌲ㅣ㤳摦ㅤ攷戵扢〹ㄱ攷愱㜷㜴攵慥㔸昶㌶〸㍡て㍦摢愶换㙢戸〲㐷搹ち攲摣㥦㐲㔳攵ㄶ〲晣戴㘲㤸攰㡢㐲㝦摥㑤㑣㍣㠳㘵㤱〱㤰㑥㘵㜵㠰昶㔴晤敤愵愸㕡攱搱㠲㔴㤸㔷扥㠵㜲敥㔲戰摡㌲昳㜰搴㤰㐷〸愴戵戸攴㔶㜸㠴㤰攳㍦㠵〶戵昱㘷㤱摢㝥晣㙦㉣㌹㍥㤵扦㕣㕦扣晦㠱㐸㜹㘸挷㌸昴㜱㠲ち㠱〵㌰㄰搵散愷㔸愴慣挹〶㐱㠴㤷㜶㈲㡤攷て攱扦㙦敥㝣敤㔵㍥晦搸愹㐸㐱㠸愲挶㔵㔰㄰捡㔵㍣ㅥ㕦挵㍣㜲摢慦攲慢㑢慤㘲㠰㌲㤲㌳搱㕣㠰扥㉥㠵戴㈲㔷攵㈱挱つ攵㑦㤱〸㐵愲㘱ㄶ〳㐴慣㙣㕢㐵〲㙤戹昳戲敤〲ㄲ㔱摢っ㌷㈲攱ㄳㅥ㘹ㅦ昱捡㈳扤㌶搹挰敤㥡つ戴㘲捥ち晤慤慢㐲㌶㘰㐹晣㈶戶慤㐸捦㜶ㄸ换㔷ㅥ㡢㄰戳㜷㙦昴㝤㤴ㅡ㐶㤷㐰ㄸ㠱㐵㑡㐲攲㐶㉡㕦㠸㉡㍦晦㐲摤㌹㡡〲㍣愰㥥愰㌲〹㑥㔶㝥㌴慡扣ㄵ摦㕥挹㍡㈹摥ㄵ攰昳㘶㔴㤹㠴㈹㉢㍦ㄲ㔵晥晢搶㑤戵捡ㄱㅤ〶㍤㘷㐸㈴〹戶慥戴晥㘳摦㘱昳㔰㥤㌱愸㍦㝢㡣㈰㥢㤲㔳〶㠹㉢㔲㠳昶攲摡㠷㡢㉦愱昷攳ㄶㄳ㉥㝢㐰挸〶晦㈱挲㍥摣㙥㥡搰㝤ㅤㅦ㍡㉦㈰慣散㙡昲㡤㡤戳挶㈱ㄷㄹ摤挶㍥て㘷慡昲慡㈲ㄱ㤸〳改㘰㝦㤷㜱扦㈷㤸㡥昵晤㠸挲㘱㉡㙦㡢㜴愶㍣㘴〸㈵慤㍣ㅣ㘱㌶㜵慡㑥㌳摡㘷㠰ㅣ㠸㐹㐰㈶戴〷〰㠳㤰换〶㘶っ㤰晦㈵㜳㥦㐲㐲㝢㠸攰戳〰㜹㠵捣㑥㍡挸㝥づ㘰㈳慣㔴晣㠷ㄴ摥㔰㔹っ捤扢㘲〱晦挱挵㉦㝦㘲慢捡晤搱㤰㜱㘲搲㍥捦㘶㡦〰㜴挱㕤慢㠴愴㤸搷ㅥ㐵㑥㝣㘸㡡て㌹昴㘳㉣昸㈲挱㤷〰昲ㄹ㑥㜹挵㝢挷㤵㜵愸扦扥㡣愶ち㌷㐴㑡戳慦㠴〹扥㘴㑥〱摣搴摥㘲收㠱㌸晡㠸ㅦ愱捤㠶慦昵㜷攱敢晢㐵㉥扡ぢ晦昹㐸㐶㥡昷㘹昵㘳㥤昵㐵㔶愰㘵㉥㝦㉥㌶晢㝤昴挳㜵搵㉤㑤昶㜸㌳㝥㌹㌵慢㍣㠴㝦㑦攱愷摣㡢ㄱ㌸ち昵㙤づ捥ㄶ㔲㠲㉣㤸てぢ愸戸戴挷〱ㄴ攲㤸㜸搲㥥攰ㅢ㔱换晥戵慦㠵〹扥㈸挴敢㈹㈶㉡㘱昳㘸㐰攲㕡ㄶㅣ㙦ㅡ㤰昸㤷〵挷攲〳㝥ㅤ戹㡡㐴ㄶㄲ㡤扡㠹㐸㑢㌳昷㐹㠰扥慥㝥捥㡤扡㑥㍤愹㤴敥㈹摦㜳捦摢晤改愱㜳搲㥦戸愵昷挹㌷㝦晢搶ㄳ慦㝦㜲挷摦摥㜹晡改搷晦昲挴慢敦扣㍣戳攳搷捦㍥晢慢㕢扦昳敡㕢敢㡤㘷搴ㄷ摥摥晦捣晤㈳挷敦扦搷㌸㜲昵㥥晢敦㍣㜶晢挸攴ㄹ挳㕤㕤摤摤㔷っ晥收散㉢〷㑥摤晢愲昲㡢㌷捥戲ㄵ戹㕣づ㜸ㄸ㈰㝡〶戸㙣㌹㡤㙦㈲㠱㘹㜰挶ㅦ敡㌴戸摣㔳昸㈹攵㜰愳挶昰㤲㠳㘷㠳ㄳ㤰〵愵挶㠲㥥晦〰挰愰戶㤶</t>
  </si>
  <si>
    <t>Decisioneering:7.0.0.0</t>
  </si>
  <si>
    <t>8a6785a5-d924-4926-9962-558eaa4e0125</t>
  </si>
  <si>
    <t>CB_Block_7.0.0.0:1</t>
  </si>
  <si>
    <t>㜸〱敤㕣㕢㙣ㅣ㔷ㄹ摥ㄹ敦慥㜷搶㜶散挶㑥摡昴㤲扡昷㡢挳㌶㑥㤳㕥㈸挱昵愵㐹摣收攲挴㑥㑡㔵捡㜶扣㝢挶㥥㘴㘷搶㥤㤹㜵攲ㄲ㈰㠵搲㔲㉥㠲㤶〷㘸㈹㔰㔵愸㠲ㄷ愴㠲㔴戵㔰㠴戸㐸愰慡㐵㝤㈸㐸㍣㈰㤵ち㠱〴〸㐵攲愵て㤵捡昷㥤㤹搹㥤摤昵㡥摤㙤ぢ㉥昲㈴晢攷捣戹㥦昳㕦捦晦㥦㐹㐲㐹㈴ㄲ㙦攳攱扦㝣㤲㑣㕣㌸扤攴㝡挲捡㡤㤷㑢㈵㔱昰捣戲敤收㐶ㅤ㐷㕦摡㙦扡㕥〷㉡愴昳㈶捡摤㔴摥㌵敦ㄷ㤹晣愲㜰㕣㔴㑡㈵ㄲ㤹㡣愶愲㥣㥤昰搷ㄷ扥㘸㙣搵㥤〴㤸ㄹㅦ㍢㌴㝢ㅣ扤㑥㝢㘵㐷㙣ㅢ㍣收户摤㍤㍣㥣ㅢ捥敤扣㜱昸㠶摣昶㙤㠳攳㤵㤲㔷㜱挴㙥㕢㔴㍣㐷㉦㙤ㅢ㥣慡捣㤶捣挲ㅤ㘲㘹愶㝣㐲搸扢挵散昶敢㘷昵㥤㌷つ敦摣戵换戸昹收㥢扡㌱㜴攲攰昸搸㤴㈳っ昷㍤敡㌳挵㈹敦㥣㄰〵㤳㙢ㄳ挲㌱敤戹摣昸ㄸ晥㐶收㡦户ㅢ㜳搳昳㐲㜸ㅣ㕡㌸挲㉥〸㔷㐳挳㉥㙢搴㜵㉢搶〲㌷㑦戳昶㘰愹〵摤昵㔲搶戸㈸㤵㌴㉢散㌵㘳ㅤ挲摥㤵昴愵㙥㙢㕡搸慥改㤹㡢愶户㤴戶㘶搰㔱戱挷㍡敡㡡㈳扡㍤㈷づ敡㤶㐸㔹㝢㉢㘶㌱改㍦㠹㡥慢挲㉥愲ㄳ㤳换捦㡤扡搶昸扣敥挸ㄹ戹摣㤸㤸扡㝢㥣㐲㝤摤换㕡昷换愹换ㄱ搸攷ㄵ慤敢愱攴㤸敥㔴㙢づ戵慥ㄹ㉣扥㝥〶搷戵慥ㅦ搹愳晡㌶搷戴㙥㈳户戲扥戶搲ㄵ搰户摣㔱㉣㐶㑢ㄳ㜴ㄲ㘴〸㠸㐰㉤㑢搰㐵搰つ愰㈴晦つ㉥㠹㌶㘴㤱㥡搷搵晣慣㥡㉦愸昹愲㥡ㄷ㙡摥㔰昳㜳㙡㝥㕥捤㥢㙡晥戸㥡㍦㠱㍡攱㤳改散㔴㠳攷捤慦晤晣㐳扦晣晢敦㈷㥥ㅣ㜹改㜲㌷昱㙡㝦昷〶㔴㍡ㅣ㑣㙡挲搱㑦㠲搴㙡㔴扣㈳户㥤㝦㔶收ち㌰㠵戱换戸搱ㄸㅥ㉥敥摡慥㕦慦愷戸慣ㄸ攴搷ㄱ㑡ㅦ敡㜶ㅢ㜷㥡㜶戱㝣㔲攲敥挲㌱摤ㄵ戵㡤ㅢち捡挶捡ㄵ扢攸㕥戰㝣攱戴愷㝢攲晣挶戲㕡㈷㑤捤愶挱㔶挲㤵攳㙤㙤㙣㜶㑣㉦㔵挴攸㈹搳㉦扥愸愱搸㥡㜲捡戳慤㑢昷㌸攲扥㙡㘹搳㡣㐶㈱搴ㄶ㘵摦㑤慢昴㡢晣㜹つ㡥捦㤷㕤㘱换改つ㔹㔳㘶攱㠴㜰愶〵㐵愲㈸捡愵㙥㘲㔱挰昵㐳㠷㙣㉣ㄴ摣㕡扣㌴㥡㙢摣㜶捡〳㌳㡢㈲收扢㈰ㅣ㙦㘹㐶㥦㉤㠹捤㜵㔵晣㌱㔱戰愵㉥㝢㑦戹㔰㜱挷换戶攷㤴㑢昵㈵愳挵㐵ㅤ㤲愶㜸愰㕣ㄴ挹㘴㐲ち〵〸摣㡥づ㐵㐹㕣摢㥡ㄷ㈴㈲㈲㈸㈶㈳㥦㔷㑦㜶戹㈳㔸ㅤ㔶㔱ㄲ愴㐹昵昲ㄵ㍡攳㝣愵㡣㠹攱挰挸㥡愸㍦㌸攸搵㉢㜴㕢挵摣晢㕢㔹㔵晢㠳搵摦戶㈸㙣㙦㥦㙥ㄷ㑢挲㠹搵㝥ち㘷愴昵〲愴捥㐲㈰戴摣㍤慡㍡攵㤴戲㤴㍡㘹ㄶ扤昹昴扣㌰攷收㍤攴㐱㐳㘶㌲摣摡愶㐷㍢〷㔹摡㐶㠲㝥㠰㙣㌶㤱ㅥ㘰愵㜴ㄶ㑦㈲㐵改ㄴ挳换㜵㠲㥣敤敡㜸戹摢搸㘳㤶㍣攱ぢ攵㕥〳ㄸ昱戵㥡㐴㕦て㐹搴搱ぢ扥挲ㄸ㌰挶㐱愵扡㘹㝢㑢㌵扥㙤攲ㄲ㥦㠸搶㘵挱㥡㤳〵ㄴ〵昵昲㈰㠶搷㐰㌴つ搲㈰扥㜲㠴㠸挸〶㌱㥡ㅤ㍤搷ㄳㄹ敢挷挸〸搴㡦ㄲ㈱㙢㙦㙦㉤㈳㐸散捤㐴捡㐶㉤昹㜱㕤㥡㉤㘷换晢搲㙣ㄳ㌶㑥摢㑣㜰㉥挱㜹〴㕢〰㤴扦㐲挲㔱捡㈱㕤晦㘸ㄷ攰㕤扢㤰攰㈲〰挸㈷㡤㌲㈷㄰㔵戴愱㔶㘳㐷戲㕥て散㘴㘹ㄴ晢愲㠸㤶㜱搵捥散戱㈴愲〳慢㜳㙤攸摡愴搴戱㔷戶愶捤攸㜲㐸㤱㌱㔵愳㙢㕤愱㙡㜴㈳㔸戵㑤扤㜵㌱㥡㙡㠳〴㤷〰昸㡡㠵挶敥敡慣㜹㥡㤳ㅦ〸㤳挸㌷㠴摡㔴敥〱ㄱ搳晣㡦ㄱ㜰㑤㐷㤷㜵晢㤹愶攰㤰昱㠱户㥦户戵收敤〰改つ㍡㜳㕤攷搰㔷昴づ㉤攸㑢挱㕥捡㥦㕡敡㤷换㔱慣㕤㐱㜰㈵㐰㠳㝥攱挹晢㥤㝡〹愴㐹㙣㐵㌰户㤱ㅥㄷ㘹攱捥㉣㉤〸愹㝤扡㡤ㄹ摤㤹ㄳㅥ扣ㄷ㤳ㄳ戰㠳换㡥㈳㑡㌸搰ㄶ㘵〶捦㉥攷搶㘷扡㝢㥣戲挵晣㜵晢搸晤㐰㈸㠶㘴㔲敤㐸㌴搸挷㌱㜶㘶挴摦ㄴ愱ㅣ敡摦敢㕢ぢ㠹㐸愳㝡昲㘲扢昸戳攵扡㈴㘹㐳㤲㕣㡤㙤搵慥〱㠰㤴㔰晥搰㔲愲っ戱摡㌶㔹慤摥㕡愵㜷㉦收㘴搲攰㍦㙣㤲㈳㕤扥戳㜶っ扥〳户挷㥡㌶慤慡戰攸戲愶㠴㔳㠰㕦挱㉣㠹慣敦㤲愵愸㔹㤷ㄵㅦ㄰㔹搱搱搱㜴㤶㡥昱慤㐹㍡㘹㤰ㄲ戱摣ㅥ㕢ㄸ㜳づ慦ㄱㄵ㕤㤰ㄴ㉡㌱㙥愱慡〴㈲攵戱敥扡㠸㘹㐳挴攴戰㜱摡㜵〴摢〹㠶〱㔲扦㠳愴㔹敤挶㌳ㄴ搶戹㐸㜷㜶㍥㥦挸㄰つ搲㍤昸㑡㑢㘱戵㤳挳散㈲戸〱愰挱晣愱昳㌱㠶㄰㈵捡㈳㠴㐸㙢㐹㌳㡥㤹攲㈴㘹㘰㠳㠱愰搲㜸挵昵捡ㄶ愳㑡㍤挶㐴昹㘰搹㥢㌰摤〵㐴愱晡㡤㈰㜱攷扣戰㐱㕤づ㙣㥦㠶扣昲挲㠲㈸㙡挶㜴戹〲搱㌶㌹戱ㄶづ攵㔸ㅦ㙣㐹㜹㉥㔷ㄵ㍣敤㥤㡤搱㠵㈲㑦挴昰戵搲ㄳ扢㉡捦㌷て㝤扤戵ㅤ㥤㌱扤㤲攸㌲㝣愶㘳㍡㘳㘰ㄷㄱ㌵㈸㜶ㅡ㌳昳㡥㄰ㄳ㍤挶㕥挷㉣㤶㑣㕢㄰ㄹ戰㌱ㄹ愸摢㉦收㄰㈱㤸㉡㌳晥㔷戶㝢㡣ㄹ㐷户摤〵㥤挱挴愵㡤㜵㙦㌲㈴㤲㌲挶㑣摢挵㌰ㄲ㡢㑣昷ㅡ搳昳攵㤳㠸搶㔶㉣㝢慦扥攰慥〹慣㤰攸晤㐷愲㐶㔱ㄵ㔵㔵㌲㙡愶㕤晣昰㐰㥥㐸散挰㉦㐹㈰㜱㤵㐸搱㕦ㅥ愳扤㘹搷〷昱ㄹ摡改㥣㔳㌷㈲㐷搵捣㡥㔸㈹㑣㑥搵㙥㘲㥢㥢〱㙥摦㝢㜴戲ㄶ㤵㝢㔷昱敡ㄴ㍤晣㌱㌲㕥㤲㐵㌵〸㐲晦摣〶㥦㔴㤸㐷捡〱〷〲攳㝣㙢㈴扦慣㈱敢㤰晡㌶搴㤲㝢㄰㐵敡㌶昶敢戳愲㠴㔸戴愵㝢ㅢ晣ㄷ㥡戱㤶㕥㜲㠳戲昱戲㘵改㈴㉤㤲攵㜴㐱㈷〵㡦㔶扣昲〱搳搶っ〰㐹㝦㐱㤶㝥ち㔹晡㈹㤹搵㙤ㅣ㘱㔸㔰愶搹㔷㜹㑥㜷㑣㙦摥㌲ぢㄹ扥㌰㜴户㈶㘸ㄲ㑣㑥挹ㅢ㍥愱捣ㄸ㙣戰收㡦挲㘴㜳㜳㐰㜷づ㜲㤴㕢㐷昴㠳㜲㔵㈵㡤㍦㑡㥢㡥㈵〸ㄸ改㈵搵㙥㐱㙦㈹㜹㌳〲㈲㐷㍥㘷挳晢ㄷ㘷㍦㠳ㅣ摦㉦㐷慣挷㤰〸㍣㠲ㄱ㈱㑦昷㜶摡㌸㙡㥢ㅥ戰㐷㡣敤㌱扤〹ㄷ㈸〷㐰㔲ㅥ㙦捦㤷㔸㡤㌴ㅡ慡㙡㠵㡢㥢㡢敡搴挴搶收昲愸摥戸㝣㤹㘲㕦愳㐴ㄴ挹㑡㤵愴㘶㔹㘶㡥㙢㐹搵㈸㔲㜱㠷摡㐶㠹㜳㥢搶昶㥤㔲攴㕤㈸㈶㐹㌳〹㙤户㈴ㄴ〴㜹㐹ㅤ搰㔱昴搷挷㤳㐷㈴㕡㐳ㅢ㈰㑢㍤攵攷昵〴攱挰㐹㕣㌹㈹㡡㙣昰〶晥摥㄰㈴て㔵扣扡ㄲ晤㔴㝦㔰㌲㕡㉡ㅤ戲㘱㈵ㄴ㜴愷戸㐶㔸ㅡ㙢昳㌵㡣攴捥㜶戵扦扦扤ㄱ㐶っ搸㤰㈱㤱ㄸ㍦㌰搸㄰捣ㄵ㠹愶搲㍡敢攱㔶㔷戳㌳㝣㍢㈰㜴㕢㘲㘰摡㉢㑥㠸㐵㘹㠶搵㉣昹㝥搹愰㝡㕡㤴㜲㔴㌳㐶㘷㕤愸㜴㡦㜲㍣㐸㐹〶搷㡣㈳㜴㑢攱〲〳挴㙥㤰㥡㉡㜸〸敢㔶㍢攰挹㘰敤㘰〷㍢攲㠷㑤㘸㥤㔱㠲愶㘳〸户㝥ㄱ攴㥤㌶㌱ち㐱㙡挸攷㕦㈳捡ㄳ㡦昳昹挱㐸㈲㑣〴㑣挴㔰㔷㡣昵〰攴㐶愳㤲攴愲晥㌰㔸敥㑢㌶㈹戴扡挳㍣㥡ㄸ㍤㌴昹ㅣて㌷㜸ㄸ挷敡㈵摢㤴㜰挷捤㌳愱㑤㑢㑢ㅢ㡣㐹扢㔰慡ㄴ㠵㔴挵愱慣㤶ㅡ㜹㑤攰㑢㕥晦昳戹㈹㘶㕦㠲㑤㤹挴㔱㡡㑢㈶㤲摡户扢戵㡦愲戹ㄴ㜲攸挳㤷㙤っ㍥挶戸攵㘴㌰慣改㡥〲敤挳㡤戵换ぢ昲攲ㅣ㐴㕡㔳ㄶ㘵搹㝥摣挵慢㐶㤰㈵户㐵慡敤㉦敦㉦搳㘶㡦㘴敤㌳晤慣㌵㠱㈳慣搳ㄷ㜸改㌴㡣㤱㌶戹㠳㥤㈴捥〶㤱摤戳㥦㤱慦㠹戳㈳㠱昱愱㌰扥换㔳㔰〲扢ち㐶愲挱慤搶慣㙥㠵㤱㕦㕡摥摡慤〰ち㐳挰㌴㘸㔱搳㌷㜰挶㤰㕥搹挰㘱㌰㌲㈶㍡ㅡつ愴㌲㐶搹て㠷㍤㤰〶㙥攲㐱㝡愶っ㈵攴つ挸㑢㘱攱扤挴㈱ぢ㐷愰戲戳戹㈱㜳㑡昷㜰昵挵摥搲㤰㍤㕡㉣搲摣㠵㝦㙥㑤㘰ㄵ搷㌶㝣㜳㜴愰攱㐲㤶㕣ㄳ敤扢换ㅡち㠲㡢㠲㍢㈶㜲晢㜴慦㌰㍦敤㉤昹㤷戶摡㈵㠹搴捦攰㡦㔸㜶㜴摡捣㐹㥢㤷㔰ㄷ戹昷搹ㄳ㜶昹愴㉤攷㤵㜲㜹攳㡦㔶慣搶搹挹㐹㘶ㄳ㙦攳㡦㝣搴㐴敡㐵昴戸㥡㘹戳㠳㥡㠳㠴晤挸挷㤷〶㠳㐸挷搰〹㙣昷敡㡤〱搲挹㐰〳㥤㐸㐱戰㑥㈸昶摣㝢㐶㈸捡㑦㠱㔶ㄲ㡢㝦㈴挷㥥㍦〳搶㔷㝥㠲ㅣ㈲ㅣ敦㠱ㄸ㐹㕤㠲㔴っ敡愴㈰て慥㜷昰㌲挸晦て㤶㐲㙥㕥㤶㥤晥ぢ捣慣扣搰㠸愲慤㐴搱昳捤㈸㘲㈰昶ㅤ㠵扣㌹晢昵愳收晢㝥慤昷㝦㜸搴扣ㅤㄸ收㈳慤㌱〴搵ㄸ㡣慦ㅡ〳ㅤ㑤挶挰ㄵ㈸㤶挶挰ㅤ㙣挳㜸扤㙦っ〴摥㡥〳挸㔸搹ㄸ㘰ㄴ㉦挶攴㡢〴㔵㈳づっ㥥戵㌶㕢昴㠴敤挳昵㕡攱㈲㜲て昵攴㡥挳昷㜴㙥㜳昶㤴敥攸搶ㄶ㤹扦搷ㄱ㔰㕢捥っ敥㙢换㈶㙣㜱晥戲㈵戲搱㌲㕥㠹搰㥦扥敥㌹㔹摤㉤㜵㘰捡㝦㝣㐷扤㤲㔱搲敦挲㈷愲昰㠴㤰昸攴挰て昷晥昹晥〷㐷㜸㉦㉤愰搵ㄴ〳挱敤〴攷㘹㌹㈰㝣ㅢ戹ㄲ戲㠹㥦摦ㅣ挰㠷㐸收㐲㐹㡣改㡥戴㜷㕣捤ち㤳㍥攱㐵〸搳㈷扥戵㘰㑣攲㠶㠳㙦㑣收ㅡㅣ㥢昲昳㈵改っ捣㐵㈶㉥扤㜷㘱㠰㔰㘹愹戲摡戴㉢㔳㍦㠲搲㜹㠷ㄳ愹户〷㜹扥攴愳㈸捦㌶㙡戵㕤搴㙡搲㑣㔴㠶㔰㈳㤴㔲㠸㌴㤰㐲愲㐷ㄶ㠶晥愵㤴㥡㐲㈲㤵〳㠸㠹愱㌵〶㜳㜹昲㕦ㄷ〲愲㝡扤慦捤㑦㔵戰㡢挰㘲攸㜵㙦昷散㑡慢㌳㔴㑤っ捡捡搳挷㘱㈴攴㌱㠵ㄹ㡣搲捡摣㈳㐸㠴㑦㙡ㄸ愹㔵㍢㥥㌸㐸㡦攵㠷搸㝣挶㑥㔹昴慡㘵慤摢散ち敥㜸㐰捦愴愵挲戰㌷㌲ㅢ㐷㑦ㄹ㡤昳慢㘶晤㉣挲㕥㍦㔹㙤搴ㄵㄴ㐱㘷搹㕢㜰晥㐴㤸㡦摦〳戱㝣愸搶昵愶挶ㄲ敡㌸扢ㄳぢ攴て昶搷搶ㄸ挶挶愸攴ㄸ㐸搸㔵搵捡昸㤷挰愷搱㐴摡昳㡡㔶㑢㜲㉣㐵㘱㌴㍡攴慣づ戵㐹晦㌳㑥㉤㌹㙢㠶戵ㄹ戰慥搳晦挷㤰戱愲晥㔷ㄸ㘵㤳㈸扢㌳㐸昰㈵挵㐸挹㡡挱ㄹ敥〸㝣搸〸搳挸㈳戰㈶㤳っ㙥晢愹㘹㝣愲敡ㄷ㑢〹づて㔷戲昱ㄲ㐴戵㉤㙤摢慥㤶〲㤰㔱愰搴昷㈱㠲㕡戶攷愴㥢捦戱改扢㤰㍤㜰挰㉣㌸㘵户㙣㜸㠳搳〸敦づ昲ぢ㌳〳㌶捦愸昲㑣愳㔰扢っ㍢搱㝤㌷摡ㅣ㍣〴㠱㝤㔰㜸敦㔵搴㤱㌱㠴搵挵㉣昸戵㔱㕦㈴㤰㐴敤攰㥥㘳ㅣ慥攸㈵㝣愰㝡〸㕥㑤㡦㔹㙢㐲搹昹扥攵挶扢ㄸ摣㍡摣挶扡〳㥥ㅦ㔱捡㈱っ㈶㤷㜰昷㍤摣搷挶㍤愸慦ㅢ慣捤㘵捤昶扣㙢搹搴昷㠰搳搵㡤㔲㑦㌲ㅣ㤳摦ㅤ㘷戵㝢〸ㄱ攷愱㜷㜴昵慥㔸昶搶て㍡て㍥摢愶换㙢愸〴㐷搹㉡攲摣㥦㐰㔳攵㔶〲晣戴㝣㤰攰㡢㐲㝦摥㉤㑣㍣㠵㘵㤱〱㤰㑥愴㜵㠰搶㔴晤㥤攵愸㕡攱搱㠲㔴㤸㔵扥㡤㜲敥㤲扦摡㈲昳㜰搴㤰㐷〸愴戵愸攴㔶㜸㠴㤰攳㍦㠱〶搵昱攷㤰摢㝡晣㙦㉥㍢㍥㤵扦㕣㕦戴晦扥㔰㜹㘸挷㌹昴〹㠲ㄲ㠱〵搰ㄷ搶散愵㔸愴慣㐹晢㐱㠴ㄷ㐶㤰挶昳㙡昰敦敢㈳慦扣捣攷㥦㈳㡡ㄴ㠴㈸慡㕦〵〵愱㕣挵愳搱㔵㉣㈰户昵㉡扥扡摣㉡晡㈸㈳㌹ㄳ捤〱攸改㔰㐸㉢㜲㔵㉥ㄲ摣㔰晥ㄴ㠹㔰㈴敡㘶搱㐷挴捡戶ㄵ㈴搰㤶㍢㉦摢㉥㈲ㄱ戶㑤㜱㈳㘲㍥攱㤱昶ㄱ慦㍣搲㙢㤳昶摤慥㘹㕦㉢㘶慣挰摦扡㈶㘴〳㤶挴㙦㘲㕢㡡昴㜴㥢戱㝣攵㤱㄰㌱晢昶㠵摦㐷愹㐱㜴〹㠴攱㕢愴㈴㈴㙥愴昲㠵戰昲戳捦搵㥣愳㈸挰〳敡昱㉢㤳攰㘴攵㠷挳捡㍢昰敤㤵慣㤳攰㕤〱㍥慦㠷㤵㐹㤸戲昲㐳㘱攵㝦散搸㔲慤ㅣ搲愱摦㜳㡡㐴ㄲ㘳敢㑡敢㍦昲ㅤ㌶て搵㈹㠳晡戳换昰戳㈹㌹㘵㤰戸㈴㌵㘸㌷慥㝤㌸昸ㄲ㝡㍦㙥㌱攱戲〷㠴慣晦ㅦ㈲㑣攲㜶搳㠴敥改昸搰㜹ㄱ㘱㘵㐷㤳㙦㙣㥣㌶づ㌹挸攸㌴㈶㕤㥣愹㡡㙢㡡㐴㘰づ㈴晤晤㕤挱晤ㅥ㘳㍡搶昶㈳っ㠷愹扣㉤搲㥥昲㤰㈱㤴愴昲㘰㠸搹挴㤹ㅡ捤㘸㥦〲㜲㈰㈶〱㤹搰㍥つ攸㠷㕣〶㤸搱㐷晥㤷捣㝤〶〹敤〱㠲捦〲㘴ㄵ㌲㍢改㈰晤㌹㠰㑤戰㔲昱ㅦ㔲戸㠳㐵㌱戸攰㠸㐵晣〷ㄷ扦晡戱慤㉡愷挳㈱愳挴愴㝤㥥捤ㅥ〲攸㠰扢㔶〹㐸㌱慢㍤㡣㥣攸搰ㄴㅦ㜲攸㐷㔸昰㐵㠲㉦〱㘴㔳㥣昲慡昷㡥㉢㙢㔳㝦㝤ㄹ㑤ㄵ㙥㠸㤴㘶㕦〹ㄲ㝣㐹㥤〱戸愵戵挵捣〳㜱昸ㄱ㍦㐲㥢㜵㕦敢摦㠶慦敦㤷戸攸づ晣攷㈳㈹㘹摥㈷搵て户搷ㄷ㔹㠱㤶戹晣㌹搸散㜷搱て搷㔵戳㌴搹攳㐷昰换愸㘹攵〱晣㝢〶㍦攵㍥㡣挰㔱愸㙦㌳㜰戶㤰ㄲ㘴挱㐲㔰㐰挵愵㍤ち愰㄰挷挴㤳昶ㄸ摦㠸㕡昶慦㝤㍤㐸昰㐵㈱㕥捦㌰㔱ち㥡㠷〳ㄲ搷戲攰㐴挳㠰挴扦㉣㌸ㅥㅤ昰ㅢ挸㔵㈴戲㤰愸搷㑤㐴㕡㤲戹㡦〳昴㜴昴㜲㙥搴㜵敡㈹愵㜰㙦昱摥㝢摦散㑤づ㥥㥦晣搸慤摤㡦扦晥搲ㅢ㡦扤昶昱摤㝦㝢敢挹㈷㕦晢换㘳㉦扦昵攲散敥摦㍣晤昴慦㙦晦敥换㙦㙣㌴㥥㔲㥦㝢㜳晦㔳愷㠷㑦㥣扥捦㌸㝡敤摥搳㜷ㅤ㍦㍣㍣㜵捥㔰㐷㐷㘷攷㔵晤扦㍤敦敡扥㌳昷㍤慦晣攲㡦攷摡㡡㕣㉥〷㍣〲㄰㍥㝤㕣戶㥣挶户㤰挰㌴㌸攳昷㜵ㅡ㕣敥ㄹ晣㤴㘲戰㔱㘳㜸挹挰戳挱〹挸㠲㐲㝤㐱搷㝦〰㙣敥戵㥤</t>
  </si>
  <si>
    <t>CB_Block_7.0.0.0:2</t>
  </si>
  <si>
    <t>CB_Block_7.0.0.0:3</t>
  </si>
  <si>
    <t>㜸〱敤㝤㜹㥣ㅣ㐵搹晦搴敥㑥敦昶㘴㤳ㅤ㐸戸挲㤱㈵㠴㈳㈴慣㜳ㅦ㐰捣ㅥ㌹㈱攴摡㠴㑢㜰搳㌳摤㥤㉣㤹摤㠹㌳戳㈱㠹ㅣ攱㍥㕥づ㐵㐱挰㈸挸攱挱㈵㜲㠳扣㜲ち㠸愰㠸㥣〲㡡㠸愲㈲㠷㜸扣愸〸扦敦户晡搸㥥㤹摥つ㠹扣㥦㕦晥㜸㍢挹㌳㔵㑦㝤敢愹慡攷愹慡慥㝡慡扢ㄳ㄰㠱㐰攰㈳㕣晣攵搵挴挰㙥扤敢换ㄵ㘳愰愳愷㔸㈸ㄸ昹㑡㝦㜱戰摣搱㔵㉡㘹敢ㄷ昴㤷㉢㡤〰㈸㝤晤㐸㉦〷晢捡晤ㅢ㡣㤶扥戵㐶愹っ㔰㌰㄰㘸㘹㔱ㅢ㤰摥㙡晦ぢ㍢ㄱ㤵戹搴㈶ㄲ愰〲慡㐲搲㑣搲㐲愲㤲㠴㐸挶㤰㌰扢㍡㤶㘴ㅣ㐸㙢ㅢ挸戲㥥敥㐵戹攳㔰㤹摥㑡戱㘴㑣㙦㍦摣㉡㜲㐶㌴摡ㄱ敤㐸愴愳愹㡥挸昴昶㥥愱㐲㘵愸㘴捣ㄸ㌴㠶㉡㈵慤㌰扤㝤昱㔰慥搰㥦㍦搴㔸扦慣戸摡ㄸ㥣㘱攴㈲昱㥣㤶挸㐴ㄳ挹愴㤹捤㘶㕡挳㤰扣戰愷㝢㜱挹㌰换㥦㤴捣敤㈸㜳㔱㑦㜷挷㐲愳昲㐹挹摣ㅥ㌲㈱㜲㔶㜱㐰敢ㅦ晣㠴㠴〶㘹㤲攴㉣㈳摦㑦摢ㄹ㐶愹㝦㜰㘵〷慡㕤愵㘸挴搲ㅤ㕤攵昲搰挰ㅡ㜶㠳ㅥ愳㔰㔸㙡㤸搲㘶〳戳捡㤵挵㕡㘹愰摣㍡㐰晤ㄹ㈵㘳㌰㙦㤴挷つ捣㕥㤷㌷ち㌶戰摣㌲㜰戸㔶㕡愸つㄸ㑤っ戴つ㔸㌶㥣慦ㅢ㠳㤵晥捡晡戱〳换换挶㔲㙤㜰愵㐱㐸㜰㘰敥㔰扦㉥㥡㥡昰㌷搰戸慦㕦捤愴愱㔰㥦㠱㥥㔵㕡愹㈲㘳㌴㘱搴て敢改㉥戲ㄵ㔵昵㘲㤷㙡慦挹㐵㥢昵昶てㅣ㙡㤴〶㡤〲ぢ愱㈵愷搵㠰愴㠲㉣㍢戸㥡㜲㥡㐳㉢㠹㌱昶搸㘱㕢㔸㡡㌲ㅥ㘴敥戲㔲㍦㥡㌹㔴搰㑡搳て敢ㅦ㥣ㄱ敢㐸愵搳㠹散昰㤵㤹扥愰㝦戵㔱攸㌷捡㤵ㄹ昱㡥㘸㜲晡㘱摡扡ㄹ㠹㡥㐴㘴ㄸ㠲㔰㕣㥤〰㘱敡づㄴ扢㈳㐸㔳捦慣㐴㔲摤㠹扣㥤㐱㐴搳ㅢㄸ挹摥ち㜰㌴㌵昴㘹つ㝤戹㠶扥㝣㐳㥦摥搰㘷㌴昴㤹つ㝤㉢ㅢ晡㔶㌵昴昵㌷昴ㅤ搷搰户ㅡㄸ攷㙡㘹㙥㙥戰慦㠷㥦㍥昵搹㌵摤扢㜷㝤㘹捦㙦昵扥昵搲改㘱挱挱㉢挷晥㐴〴㈶搷㌴㈸攲愹㝦㐴㔶㍥慡敥ち㥣扡ㅢ㠸戲㍢〸敡ㅡ㑤慢㝢㤰㌷〹㐴㠸㔷㔱㔷搶昷扤㍦㥦扢昶㕢搷㈷ㄷ㥣晦愳ㅤ㥥㍦㙢挹㠹㙦ぢ㑥㄰戲愰㍤ㄱ搸愷愶愰㘸㐷摡㔳㔴㑣ㄶㄵ敢挸愸㤳㈹㜸㉦㄰㘵ち〸ち㡢愷搵扤挹摢〷㐴㠸ㄷ敤挲ㅥ晤昶㥢户㙣㤸㍣戵攷㠲て㌶摤戵敦〷换扢〴㈷㈲㔹搸㝥〸㝣㥣㔶㑤愵搰晤㐱㤴㘹㈰㙣㔵㕣㥤㑥摥〱㈰㐲㍣㙤ㄷ昴昸㍢搷挴㈷㝥敡敤戹㜷愴㘶㍥ㄵ捦㥥昷愰攰㘴㈷ぢ晡ㄴ〲ㅦ愷愰〸㠵㐶㐱㤴ㄸ〸㕢ㄴ㔵攳攴㈵㐰㠴昸戱㕤搰摥攵㜳慦㍥攷捥㐷ㄶ㝣昵戹愳㜷晣晢㤸㜵挷〸づ㑥㔹㔰ち㠱㡦㔳㔰㥡㐲㌳㈰㑡ㄶ㠴㉤捡慡〷㤲㜷㄰㠸㄰て摢〵慤晣攳ㄳ〷晦晢攵㔷扡㉦㍣㙦晣㈱挷㕦㌸㍢㈸㌸㘹换㠲㘶㈰戰扣搶㑥㤹㡥㘸挴摢挳慢捣ㄶ敤㠸㔵㜵散戴㘵挷㙣㐷㈶敡攵挷搵㑦戳ㅥ㌳㐱㤴㑥㄰搴㉤㤶㔵扢挸敢〶ㄱ攲扦敤扡㡤㥤㜹敦ㄱ挷㉦㍢扦攷㡢搷户㑦摤昱㠲㕦摦ㄹ攴扤㈴敥㌷㜴㙢㘷㠵㌹戸㥢攴戵㜲挵㥥戰㘸愵㑦㜶㍥摢晣㜴㌶愷㤴晦摦㥦捥㔰挸㈷㌲㥤愹戳愸晤搹㈰捡ㅣ㤰愶愵㠶㔶㔰攷㤲㌷て㐴㠸㍢㙤㡢扣㜴搳扡ㅦ㝥昶捣㐹㕤户㤵て扣㘴㑡㝣昲㜲挱愹㐸昶㤶㐳㄰挸搶昴㤶㐸㐷㍣攱ㄹ搶㤱㡥㠴散㄰㤱㡥㘴搲摢ㅦ戲搹㠴㝡㈸换㕡〰愲ㅣ〶挲摥㥡㔲ㄷ㤲户〸㐴㠸㥢敤昲㥦㝢㝤晡㑢㠷㍤㜶晢扣昳㈶摤昸搲㝢㜳㔶㝥㈸戸愶㤰攵㉦㐱㘰摦扡昲㌳㐹㑦昹㔱㙢〶敢㐸愸㑢㈹戹ㄷ㐴㔹〶挲㐱㤸㔰㤷㤳㜷㌸㠸㄰摦戱㑢㕢昶敥㤱㕦㍤㑤㍦㝢摥㠵ㅢ㝢摥搹昱㘷慦㕥㈲戸㜸㤱愵ㅤ㠹㐰敤搸㠸㜷愴㤲挹㠸攷昲㡥㡤㐴㐷摣㤳㠲愰㌵㌶戰扥㠹㔵昱㤳敡㔱慣挷搱㈰捡㘷㐰㔰户㐴㔶㍤㠶扣㘳㐱㠴戸捡慥摢昹ㅦ昶ㅣ㍦敥慡搵㜳慦㍣㝣搳㑥㥦敦㍥攰㈶挱㌵㤵慣㕢ㅦ〲改ㅡ㑤㈴㍢㤲㌱敦戰捤㝡昵㤲敡戰㙥㑣搹㡥愸扡〲㤹㔵つ㐴挹㠱㔰㌳㌱㌵㑦㥥づ㈲挴㔷敤搲摦扡攴敤㕢㝥㝤摣昵戳慥㔸㜷㜷攲搹昱ㅦ㥤搳㙡㈲㜹㠹㝤㡦㥣㔵搲㡥挷慡㘳㜸㐱ㄳ敢㠸昰捦收㔷㜲㔸挸㤹㐹㌳㙤㐶愳㝡㌲愲挵戵㈰㙦㡣㕢戲㘴㘸㌵㡦攸ㅦ搴㡢挷换㌵挴㙥摤㕡搹ㄸㅥ㠳搳散戴敥攲搰愰㕥摥搵㍦戱户愲㔵㡣㠹戵㘹挳㐲敡戲昵㘲㠵㘵㤴㘵㜹㝢搴㘶㍢㕣㉢っㄹ㕤敢晡慤攴摤㙢㤲戱扥㉡收㐶㑥㥤㔳㌲㍥攷愶搶搵愸ぢ敢昷戵㔲㜶㕤㉢慤㈴慢㕥敤㍤慢㡡㘵㘳㔰㔶㙦摡挰攲晥晣㙡愳搴㙢㜰昵㙦攸戲愹㍢㌰挹㕥攴㑤㕢㌴㠸㠶㘲搹愶㑦昶㜲捤搹敢㉡挶愰㙥攸愸敦ㅡ愳㔴㔹扦㑣换ㄵ㡣ㅤ慢㈰㔶㤹㐸搸愵㡡㍤愷㤸ㅦ㉡昷ㄴ〷㉢愵㘲愱㍡愵㑢㕦慢㘱㘱愹ㅦ㔶搴つ慣ぢ㥢㜸〵㐴愰戱㔱㠸挰晥㝥㌳㍣攵㤶㍢愴㈱㍣㈶收㌲㜱攷敡㙥搷戱ㄴ慤㐳㉢ち〶晢㘴挳㤴捤〸㤳㜲㈹㘶敡挸㐰㑦㥢戸㔵㈲㝡扦㤱搱戲㡥慥攵晥㜷挱つつ攳敤搶捦㕥㡢挵昷㍣㙤㔰㉦ㄸ愵㔱㌷㝡㠲㌵㔲㔷㠲〴㉦挵㘸ㅥ㔱㝢㑤㐰㠸㜵㘲㝤昰昸㝥扤戲㑡㔹㘵昴慦㕣㔵〱て㥢挱㤶ㄶ慡戶敥㔲晢挱㔲㡦㈳攱敡㌳ㄴち㈸〵㠲㤴㤰㍡㘰挵㠳㕣攳㙥昹戲㥥摢㑤㔵㙥㈳戰攷㉢〷〷㜰㜷㉦㌷㌶晡戵㜲㥥㔶㕥㔵㘱昷ㅣ㌵㤱ぢ㜸㜵㤰愴〸ㄲ攴㑡㝢戳扢〶收㘹攲收㘸散挰㉣挳搴戰㈵㤵愳㕢㘸挱〱㙢㤷㌳换㈸攷㔵㙥㠷收㘳慣慣㔳㄰挲攰㙦ㅤ㘰敦㌷搶㔵㘶㘹ㄵ慤㜹〰ㅢ㉢㔸㐹〵㘸㥡捣㘵㠵㤸㜳慣攴㌹戹㐳㜶っㄲ挲㌲攸㤱㌲㐶㌲㉣㐹ㄸ㌸ㄸ㉦㠱㐶㥢㡥摥〸搴㥤㙢〵愵戶愳㔷㙦㤰戰㙦搳攷ㅡ㠳换搶慦㌱捡㠴户㈸愳慡戲㜶㜸㔱搸愲㝣㙥㜹愵扦㔰敥㐰㑤攷㤶㡡㐳㙢㍥㐹㌹㤴愵慥〱㜱慥攰㠵攸挵ㅦ扦㑤㔰㔷愰㜹㉤㙤搳搷ㄷ㘸愱㌴㜲㔴敥扢㔴昶㔶〸晢〸㍦昲㔲搹摦㐳愳愵〵戹㐱摢㤲捤㈴㜷㐱慤〳搰搰戲㤲㈱户挷㉤㌲〲㙤㡦ㅤ㌸愲㔸㕡㥤㉢ㄶ㔷戳㍦㡤㤳戱昲㉡挳愸㜰换㌹挶摥㘲换慤戴㄰㡤㡤㔵摢㐱捦摥㤴㥢㔵㘵ㅤ㐸㜸㔹㔱㉦㤶摢ぢ晣搷㥦㉢ㄵ换捡㝡㜰ㅢ戱晦㔵㌶㈰㤰㥡扢昸愸扥搹扤换收ㅦ搶搵㌳㝦搱挲晤㝡戰㐹㐵㐷㍤〰㜳晣㝡捣㥦挵愹敤㝤㙢改㠳㠹戴㐷愳〷攰㙦㉣搲戱慥㔰㕥㈷捥㠰㝡戸扤扢昶㡣㤵攷㑥㜹㜱㥦昹㤷攵㤶㕦㜰摤㐲戱户㌸摤㑥愸摢㘰㜲扦挸摢戸㝡㈲㠸㌸ㄵ㌰㑥㍢〸㔷㕦敡挹㠸慢ㅢ㐹㑥〱挱攴㈱捤㠱戹攳㌴㉢㉡戸攷攴晣愱㥥㑥㜲〶㠸攰扥㔳敥㤳捦㐴挰戹挴㝡挸㘷愷㤰㠶攵㈶戵摥戰攷㠲ㅢ㔲㐷㐹ㄳ㤳㠰愰㜱㔵㉡㔳愵敥㔴敡㑤ㄴ㈱搸㔷〱㠳㜶㐲摤挶㤷㝢㔸愹㠰㉦㌱㝦〱㌰㝦〵㕣捣㌲㉥㈱昹ち㠸㐷〱㤷㔹㔱戱ㄷ㝥愵〲㉥㈷攸慢㈰㠲㝢㘱愹㠰㑤〸㌸㤷挸愳っ㔷〱㔳挰慥㔷挰㤵攰㠶搴㔱搲挴㍥㐰昸㈹攰愸㤱ㄴ㜰愴㥤㔰户ㄹ攷摥㕡㉡攰㍢〸㠸挳㐷㔴挰昵㐸㔶㙦㈰戹ㄱ挴愳㠰敦㕡㔱戱㍦㝥愵〲㙥㈶攸㝢㈰㘲㍡㠸㔴挰㉤〸㌸㤷㌸捣慢㠰㘹㘰搷㉢攰づ㜰㐳敡㈸㘹攲〰㈰晣ㄴ搰㌳㤲〲扡敤㠴㍡㈷㐱〴㤲愴〲敥㐳㐰㜴㡥愸㠰〷㤰慣㍥㐸昲㄰㠸㐷〱㍦戴愲㈲㡡㕦愹㠰㐷〸㝡ㄴ㐴搰㜷㈰ㄵ昰ㄸ〲捥㈵搲㕥〵搰搱㔰慦㠰㈷挰つ愹愳愴㠹〴㄰㝥ち㌸㘰㈴〵㑣户ㄳ敡㥣ㄷ㘹㐸㤲ち㜸ㄶ〱戱晦㠸ち㜸ㅥ挹敡ぢ㈴㉦㠲㜸ㄴ昰㤲ㄵㄵㄹ晣㑡〵扣㑣搰㉢㈰攲㐰㄰愹㠰㕦㈲攰㕣㘲㑦慦〲戲㘰搷㉢攰㌵㜰㐳敡㈸㘹攲㈰㈰晣ㄴ戰搳㐸ち搸搱㑥愸㜳慡搰攱㈱ㄵ昰㈶〲㘲挲㠸ち㜸ぢ挹敡摢㈴敦㠰㜸ㄴ昰㘷㉢㉡㘶攲㔷㉡攰㍤㠲晥〲㈲扡㐰愴〲晥㡡㠰㜳㠹㌱㕥〵㜴㠲㕤慦㠰昷挱つ愹愳愴㠹㙥㈰晣ㄴ㈰㐶㔲〰㙦㥦㥣ㅤ敢㍣㌷戳㈰㘹㤴㡤㕣㤵戳㠴㡡慡摡挸戵㥡㜳晡ぢㄵ愳㈴搷敡㙤㈶㝥㉣敦戶㡣㡦攵晥愴愴攵㉤扦昱〴戳〷㕢ㄴ戸搳㉢敢㠷㌷㙤㜵㕢㈴㙢〷昱㝦ㅢ挱㙤㙥㈳㈸户㠱㔵㥢挱㔱㌶㕡攸㌴㌵㕢挱搱挱㥥㑥挴㍤㤰敦戲㑤㜶愹づ㐸慥敥㘴挴搷慥㌱攵㤹㠱㡢昷㜶㐲愲㈳㈳㙦㄰搹搹敢㍢㈹㌳㡤戸ㄹ攳㝥敢晦戶戲戵㘷㤶搶㔶㤶㍢㈰戵㠱愴㤱㠴㐷㥤㙡㄰㐴晣昳㐳㙢愹㐵㍦㈲晦㍤摣㄰〸扣捥〴戵㤹㤸ㄶㄲㄵ挴㌳捤㡥㐱㔴㘹〵搹攱㜰㉣㠷戵㐱慤㕤㌷摡搷㤴㡣戵㌸㑤㝢攸搶挱㔰㐰捣㠶㈰㌹〱㡦㘵昶㜱㈰慤㙤㈰ぢ攷ㄹ〵㌸㐷㍥愹攳挶㈰㝤慦愳㙦攷搰㡢戶〷㘸挷㠱摥昵㠳昹㔵愵攲㈰捥㙣戹换散捡攳扣慥㉣㌴㘵㘰㐱戱㘷愸愲っ捣敢挷㑦敢挰㔲㘳㡤愱㔵㝡攰晣挲ㄶ㜶〱㝣攳㜲㠳㍡㕦㕦昷晦㜳〳ㅢ㘸㐲ㄳ攰㔷ㅣ摥挳㡡摡㌱㙣㙤㈵㙤昵㜶捣㉡攲散搷㤰愷搶㔴扢愲挰ㄹ戱つ敥㔰〳㙡ㄸ戵扢攲捦搷ㅤ戴昷搷扥晢㤱晤㝢㌲㙥㡣昲㔲攷愰搱昵昷攳昱挸ㄲㅡ㉤㑤搰ㄹ敦摥㡦㤵㥤愹㌶㜴〳㙢㘳昲㍢昴㜶摦㡤挹㙦敤㠴㍡摦晤愱㤰㈶ㄷ㈵扢㐱㤰昸㡤㍤㕡挰慣扥搴㍤㤰慣㑥㈲㘹〷昱㡣㤶挹㔶㔴㉣㐰〶㌹㈶昶㈲㘸ち㠸攰㜸㤳㡢㤲扤ㄱ㜳㉥昱ぢ㤴攱㙥㑣づ〳扢㕥〹㔳㈹㔳ㅤ㈵㑤㉣㐲㍥㔷〹㥥㥤搹㔳㈳㈹攰愷㜶㐲摤攱挱㔲㐸㤲ち㠸戱捡㑦㡥愸㠰〴㤲搵㈴㐹㡡戵ㅢ摥㥡㘶慣愸攰㔱㠲㔴㐰㤶愰〳㐱挴㜲戰愴〲づ㐲捣戹挴挳㕥〵㉣〳扢㕥〱㌳㈹㔳ㅤ㈵㑤昰㤰挲㑦〱昷㡣愴㠰扢敤㠴扡昳㡣愳㈰㐹㉡㘰ㅥ慢㝣攷㠸ち㌸〴挹敡愱㈴ぢ㔸扢㘱〵㉣戴愲攲㘸〸㤲ち㔸㐴搰㘲㄰挱㌳ぢ愹㠰㈵㠸㌹㤷戸挹愳〰愵ㄷ㈹㌸㘲㐸愶敢戵戰ㅣ㐹㈱㤵㠰ㄱ搲挴戱㤰改愷㠵㙢㐶搲挲搵㜶㐲摤挹挹ち㐸㤲㕡昸㉣㡡ㄳ摦ㄸ㔱ぢ㉢㔸ㅢ㡤㈴〷攲搱㠲㙥㐵㠵〶㐱㔲ぢ〶㐱㈶㠸攰搹㠹搴挲㑡挴㥣㑢㕣敡搱㠲㥡〳扢扥㤱慢㠱て㡤㤶㈶㜴攴昳㔳挰〵㈳㈹攰㝣㍢愱昶昰㈶㐸㘷昰ㄶ㌸摤挷戰挲收攱晤挶昱昴ㄲ㡥㌳昱戴㐷捦㔰戹㔲㤴㉥捤戱收慣攲挲㘲㘵㔶㝦㜹㑤㐱㕢㍦摥戴〳㐷慣㌲〶㜱攰㔰挲戹㐳つ慦戸㘶㡤愱慢㘶㙦㜱愸㤴㌷收捦摡ㄶづ㈴搰㍥㤸㑥㥥㐵㌴〸㕣㕢攷㘳㠷〸㠱㕥㠲㉢㄰愴㘷扣搶㔵敡㔹㍦づ㙦㔵戸ち㙣ㅢ搶攸戲晥㑡挱ㄸ㘳捡㜴ㄹ㙥㌱愱㐵㥣攲攸捤收戲㔵㜰㈱捥ㅡ㙢捥㉤昵敢㠵晥㐱㠳挶挰昶㠷㡦搰㉣㌰㔶攲挴㘶㜱戱摣捦挷㝢挶㥡换㑡摡㘰㜹つ㥤捦昹昵摢㔷挵攴㈲㈰㘸㜶昷て㤶㔱㡣戴㈲挳㙤㘶敦慡攲昱㜸㔰㙣㘸㘰㜰慥戶愶扣㑤㔸㘵㜸〴㐹搳㠸〶搱搰㈰㕡ㅡ㕡戶搶㍥㑡〵ㄲ㜷㐶〷慤㤴晡㜳㐳㜹㉥昰摡㠷捦㑤搹〷〲㜴㡦㌴㤱㐸㐳〶㠲㍣摣ㄸ㘵ㅦ挰摤㠰㝤㤸挶㠳㈲㔶戸敡戱〳摦㌳ぢ昷ㄱ㍣摡㕥ㅤ㐲愶搶戵㈰㠷捣㕤㍥㝦昸〸昵㍦㝡㈰㉥戸ㅡ㤲㙢搷㔵戵摤捦㍤戱攲っ㌶捥敡㐷攴戱㕢㘱㜸愲㍢㌰㔶摢㌷㐳愶挴戰㥢㡥ㅢづ捥挱愱㐷慢戹㐰换ㄹ〵㥣搵っ㘸㤵㜱㔶㠴㝢愲〱慤㔰戶搳㝡㡡〳〳ㅡ晢ㅤ晢㙣㙦㕥㉢ㄸ㉤㘶搷㔰愵㠸㘷愹㔴ㄳ㐴㜶㑥㥢愵慤〳㑢㕢㈷㔹慤收㔲㥥攱捡㌰㘵ㄵ㔷㙡愵晥捡慡㠱晥㝣ぢ㈳㍣㘷摤㈶㍡㉣㘶〰戹扥㠵㐲㜹㌹ㄳ㑡敤扡摥㕡攱挲摣ㅤ搸捥㔲㜵㌴㍦扡㜵㠳㔰昰㐷㙣攵ㄱㅦ㘶ㅦ㜹㔷㔱搷㐱㕡㄰㕢ㅦ㌰㄰攲昵慥昳㕣攸扢㈷㠳㈳㘷㈸㌱〰㍥㤳搵昵愰っ昰㕦搳㈰挸愸攷㍦捤〰㠴ㄶㄴ㌵㝤づ㍣㌰挵㔲戳晤〰㘷ぢ㑣换昹愶ㄴ收㠹㕣てづ㜹㜱戰戰戶㕦㌷㑡㉤㘴昴㘲慦搲挴戳㍣挵戲㈱㜵ㄳ〸〶挷戴昸㤵㌵摦㤱㌵挵㍥攷挰戴攴㍥扦㍡扦㑥晥㥦㤶㘴㘶㔲敢愱㄰敢愶㙥㐰㍢搴捦戳㑤㐵㐴搹㥥ㅡ挰〹〴㥣〸ㄲ㕣㠳挴㕡摢㔴ㅦ㡥攱〸㑤〵愸㐹㍥晡挸㘳扢ㄶㅣ㜱挹昳扥愰㙣挸ㄸ捦㌹㥤㘲ㅤ搱戵㌸捦㔳㉡扤攸攵㠶ㅥ戲㈶㔹敥搴㘸㡥㠶㠶㈶㤸㕡愹㜵㡤搵ㄵぢ㘱〳扤㠶㍣挰ㄳ㍣戴㔲㑥㐲收㔶づㄶ挸敦㤳てっㄶ挰收昶〲㍦昲ち㠵搴㡤〰〵㐲愲〲敡戴扣㤵ㅣ㑢㌵愷㈰㔵㍤ㄵ㐴㥣〸㈶ㄷ〱〸㍡户㉣㜱㌲㘲扣㙤〵㤴搳〰搹愲㘹㔲㙣㐴㌶㜹づ㝣㍡愵㥦㠲ㄸ㘷㈰户㐷㥥〹敥收㝢㈴捦㝤〰っ愸㘷㔱㠸ㅤㄱ愷㈳攰戴挵㘳收戳〱㔰捦㈱昰っ㝦挰戹〴晣ㄷ〱㘷〲㐰㔳㉢攷㈱收㔱㈱㥥㘳昴㔱攱〵〰㐱㠵㍣㌰㜲㡡㘵ㄷ戰㔵㜸㈱愵㝥㠱㔲㜹戸㔳慢挲㡢挱戳㔴昸㐵㐰戶㑣㠵㍣〸㤲㉡扣㠸搲扦㠲㔸㤵ち扦っ敥收㔵㜸ㄹ戲〱ㄸ㔰㉦愶㄰㍢㈲㜸㝣攴戴挵愳挲㑢〰㔰扦㐲㈰㡦㤶㝣〰㤷ㄲ㜰ㄹ〱㍣㙤㤲㉡扣ㅣ㌱㡦ち昱㜴愶㡦ち㌷〱〴ㄵ㕥改㤱敡改㠵㕦愳搴慦㔳敡㜷〰愸㔵攱昵攰㔹㉡扣〲㤰㉤㔳攱つ挸㉢㔵㜸㈵愵摦㠸㔸㤵ち慦〲㜷昳㉡攴搹ㄳ㠰〱昵㙡ち戱㈳攲㘶〴㝣㌴㜴つ〰敡戵〴昲㜰捡〷昰㑤〲扥㐵挰㉤〰㐸ㄵ㝥ㅢ㌱㡦ち昱摣愹㡦ち慦〳〸㉡攴愱㤵㈳搵愳挲敢㈹昵〶㑡攵〱㔳慤ちㅦ〰捦㔲攱㡤㠰㙣㤹ちㅦ㐴㕥愹挲㥢㈸㥤愷㔲㔵㉡扣ㄹ摣捤慢㤰愷㔷〰攲挴㡥㐲散㠸攰ㄱ㤶搳ㄶ㑦㉦扣〵〰昵㔶〲ㅦ昵〷摣㐶挰敤〴昰挴㑢慡昰づ挴㍣㉡挴ㄳ戵㍥㉡扣ぢ㈰愸昰〹㡦㔴㡦ち敦愶搴㝢㈸昵㔹〰㙡㔵昸㍣㜸㤶ち扦て挸㤶愹昰〵攴㤵㉡扣㤷搲㕦㐴慣㑡㠵㍦〰㜷昳㉡攴昹ㄷ㠰〱昵㍥ち戱㈳㠲㠷㘰㍥㉡扣ㅦ〰昵〱〲㜹㐰收〳㜸㤰㠰㠷〸攰㤹㤹㔴攱挳㠸㜹㔴㠸㘷㠵㝤㔴昸〸㐰㔰攱㙢ㅥ愹㉡㌹搶敤攴㔱㑡㝤㡣㔲摦〴戳㔶㠵㙦㠱㘷愹昰㐷㠰㙣㤹ち摦㐶㕥愹挲挷㈹㥤㈷㘳㔵㉡㝣〲摣捤慢㤰㈷㘸〰〶搴㈷㈹挴㡥㠸昷㄰昰搱搰㑦〰㔰㝦㑡㈰㡦搸㝣〰㑦ㄱ昰㌳〲晥ち㠰㔴攱搳㠸㜹㔴㠸㐷㥡㝤㔴昸っ㐰㔰攱晢ㅥ愹㥥㕥昸㉣愵㍥〷ㄲ攴摡㘰㤴ㄵ㍢扣㝥㥥愳㡦㜱㤰愶㤸换〷晢㉢㔸㑣㜳㑤㌰愷扦㠲㘵㐱慢〹㠲愰㍣愳㤸㈸ㄷ搹㥥㑣搳摣ㅤ晣愴晡愴慡㉤晤ㅥ昵改摥㍤晥ㄴ㥦㘴㙢昷敦搹昴㙦づ㈴扤〰㍥㜵摣㤶摣〲挲昲㔶摢㥥〱戱昷挸㈷㍣ㅥ扤㠷㘱㥢晦挰㠹愰㍣㡦㡥㈰㈲㌸ㄵ挷㉦扡㉤㤷㘷敡㡢〸搳慢搰戰搹㑥攲㌹昲ㅡ㠳晣㈱㝡ㄶ㉣摥㔸晢㑣㜵晥㘰ㄹ换昲㤰ㅤ挳愶㙢㥣ㅤ㕣㌴㔴愹㑡搱搶㡤户㔳扡ち㠵㐵㠳搸㌶攷戵㤲扥㡤散戳搰㌶换㈷㈰户㑣㕢敢慦㠱ㄴ㕣㥥摤ㄱ㍣㜰扦戰㜵摤㠸摦㉤㌹㌱㙣㠳愴戱㔴㌷㐶㥦㜵㕡摤挲搸㘱㠶㌶㈸慤搰㕢搱㘷ㄹ㙢愵昳㙣戱〱捦ㄷ摥㥣㉡ㄸ攳㘵〶㌷㉡昷ㄴ慡搹㤵㉢挳ㄱ㔳攱〶摢づ挹愱慥㥡㑢㡤㠲挶挷㠰戱ㅦ戶㐳㡢昳ㄵ㥣㡦扢〲昸㠸敦戶㘳㈱㘸愴挹戶㤲㤰㜶㔲㐶㤹攱慡ㅢ挱㔱戴㤵㔶㠵摤㑣㜹扤㍤㔳㕣㝥ㄹ慦敦捣っ㌸〱摢㍤搷〴搰㈸㙥ㅤ捣戶摥攳㕤㡥愴昱捥㔳〷搶ㅣ㈷愷慦㔶㠷㐷摦捦㔸㍡敡㑡ㄵ㍣〷捦㜷㔰摡㌸㜴ち搸ㅣ㔷晡攱收㈸慣ㅦ㘷捥ㅦ捣ㄷ㠶㜴㐳晡㐸㥣㔹㕢扡㑡戶〹㝢㔱㈱昶㠸ㅡ㐵㉦戶㔲收攳愵㔱攷戹攸慤昷㤶慡㉦愱㑣㜹换㠴㡣㤰晡ち㘲㥣攳㠲昸摤攲戳昴㄰㙡扦晤昰㤳㈰昲㕤㐴㑣㙤㜵㉣捥㘹㍣ち㜵㡦攳攵㠸昳挰ㄶㄴㄷㄴ改㙤昵戰收昵㕢慣㙤挲㑥㘸愷㘵㈶㐵㠱愷㘸㉢㐷〸㠵㙣㕣摤挹㥦挰㤵㠳㥤攷ㅤ搴摥晦挸㉦㕦㤸〹㉢搰㜷㉤㥡㘱〱戹㜲㤳㐷㤳扣〹㐹户㘸挳戰㕢㔴戴㠰㈷ㄷ㘸扦㐲㐰昰㑣摤㕡愰〵㔴摥扥搴㕦㠳㙣㝥㠱㌶㠶㜹㔱〵昵㌵㍢挰㠸攰㌱扢戳晥㈲㈳ㄴ㙡㈴收㌷〸慢慦㠳㠸㜱晥㠰摦ㄲ昰㍢㤰㘰ㄸ愴㜶愲ㄹ昱㔰㤹挲㠳〳昴捥戴っ搰㑢㠵㘱慡攰ㄹ㙥ㅣ㥡㌷㘳㡤㌵愶㠵㠷捥敡ㅢ㈰㑦㍥昱挴っ㘰〳㠲愷戶㑥〵㠱㐱〵㐹搵摦ㄳ昸〷㄰挱搳搵摡搵昰ㅥ攰㔹慢攱㍦㈲戴㘵慢攱㐹挸㈱㤵晤㈶〲愲ㅤ愴㙡㌵晣ㄶㄸ㥢㔷昶㘴收㘵㍤摦戶〳㡣㠸扤㐰㥤戶㜸昶㘴敦㠰慤扥㑢攰ㄴ㝦挰㥦〹㜸㡦㠰扤㐱攴㙡昸㉦〸㜸㔶挳㜸㥤换㘷㌵晣㌷㠰戰ㅡ㥥㡡ㅦ愷㔸捦㙡昸敦㘰慢晦〳㈲㘲㈰戵㉡㑣㠰㘷愹昰㝤㠴戶㑣㠵㐹攴㤰㉡晣〷〲㈲〵㔲愵挲㝦㠱戱㜹ㄵ㘶㤸㤷㉡晣挰づ㌰㈲戲愰㑥㕢㍣㉡晣㌷搸敡㠷〴ㅥ攸て昸㠸㠰〰摣戴攲㈰㠴愴ち〵㘲ㅥㄵ攲ㅤ㌵ㅦㄵ㌶〲〴ㄵ捥昴㐸昵愸戰〹愹㉡㥢㈲收〱㔰慢挲㐳挰戳㔴愸〰戲㘵㉡㍣ㄴ㜹愵ち㥢㈹㥤挷挲㔵㉡攴昷〲㌶慦挲㠵挸㠶扦昸㐸〰㠵㔰㝤晣户〸搴㐷㠵㘳㠰㔱㕢〹㕣散てㄸ㑢挰㌸〲㤶〰㈰㔵搸㠶㤸㐷㠵㜸㤵捥㐷㠵摢〱〴ㄵ㉥昷㐸昵愸㜰㝢㑡ㅤ㑦愹㥦〵愰㔶㠵㉢挰戳㔴㌸〱㤰㉤㔳愱㠶扣㔲㠵㍢㔰㝡づ戱㉡ㄵ敥〴敥收㔵愸㈳ㅢ晥攲㔵㜱ち㜱㔴㘸㈰攴愳挲㕤㠰㔱㈷ㄲ㘸晡〳㜶㈵㘰㌷〲㔶〲㈰㔵戸㍢㘲ㅥㄵ攲㝤㐰ㅦㄵ㑥〲〸㉡㕣敤㤱敡㔱㘱㍢愵敥㐹愹㐳〰攰㙦㐰㥤捣ㄸ〲㜲扥㕤㠷㔰慤攳扤敥㔰㐴づ㈶㤳挷㈳扤㤵昵〵ㅣ㐹㌱㐸㐷扣ㄵ攲㘴㡤㕤っ㜸㌸ㅥ㈸㤶戰㠰㘹慡㝤㥡捥捤换愷改挶㑣愸㜹㙤㑣㘶㘳捡㕡搴㈶昸捡扦敢㕦㡤㜲昳戳攲挳敦㤰㌰て㉦㘵ち摡㌴攱戰晥㍣㕥戶㈸㥡㤵昶㕥㥣戹戶昳㌵㍣〰㈲㕤挱㤷㈰搱户㑣㌶慣㘹㤰㕦㑡㔸换搷㔲㐲慢〷㡢挷て捡摡〴换㝣ㅢ㤱愵愹捤捤㉣㈶㠴㝦昲摡ぢ捡ぢ慦㐷ち㌳慢晢愰攰戱㡤攱つ㠸㔳㥦捡扥㠸敦摤搳摤戳戴㑦㑦㈵㜲㠹㘸㍣㥦㡡攷㔲㠹慣愹㘷ㄲ挹㐸㌲㤷㡡㥢㤹㜴㉡㥡㡥㐷㤴晤㕣愸ㄱ捤㘸愶ㅥ㑤㘹改㑣㍣㤱换愶㌳改㔸㌴ㄵ换攸愹㔸㈴ㅡ㌵㜴㑤㤹敡㐲昵㙣㌴ㄷ㡤挴㡣㘴㑡搷ㄲ戹㝣㉡㙢㘸ㄹ㍤㡦捦㜰挴愲㤱㘴㍥ㄵつ㝦摥慥㠹扡㍦昲愸搳㐸愶㠳㠴㑦㜰昸〷㤰搵㐱昲㈹昲㜹晣㈲㙦敢㐴㔹㜸收っ㙥〴晦攳ㅥ㡤㔰ㄳㄸ㐴㜹愱ぢ愳愹戹戹㙥㝢㕥㜷愴攲扥攲愴㈸㍣㔱〹㍥〹〳搵敥改晤㌳愱㔶ㅥ晢㌳㌳㉡㡢㌷昸㔹昹㈴㐸㈸㝣ち㈰慣㤰㤲㐲㜴晢㥥敥㍥扣㜷攳㝤扤㐷㐹㠳摦ち扥㕣㜰㉥挵慢㡤㑡〶㥣敤挰愹晥㤶㠶㤲〵㝢ㅣ搸㥥愳攵昰愹戶㜴昹攰㤷晣㙥㠴㝡㌰㘰昲㌳ㄲ攲㜴㈴戲㠲敡愷挱㘲㠰㡡ㄵ㘷㈲挴㘱㈶ㅥ㐰㉢搹戹挱っ㈸㥤㠰㡣搸㘳挵㝤㠰戱搷㔶昷扡戳㈰㐵昶扡㙥㘴㐶慦㍢ㅢ㜱搹敢㝡㄰户㝡㕤㍡㥤㑣㘶㌲戹慣㥥㑦㤹㠹㜸㍣㤹㌵っ扣ㄸ㥤搴㑤㍤㤲㌶㈳㕡㐴㤹攵㐲攳㐶㈲㘵㐴㔳㝡㔲㌳戵㐴㉣㤶换改㕡挶挴戹㜱㠶戹昲㕡㔲㤹敤㐲㔳昸戶㑢挴捣㘹㜹㜴攱㐴㈶㤳搶㈲戱㔸㈶ㅤ捤挶㌳愹㔸㉡㙤攴挳攷搸㌵㔱攷㈰㡦㍡㤷㘴ㅥ㐸昸㕣㠷㍦㥦慣㐳㐸づ㈵晦扦ㅣ扥㠴捡㑣挴㡢ぢ挰㘷捦ㄳ摦㐳攳搹㉢挰挴㐳㑤捣户〴㈴ㄴ扥㄰㠹搲扡㑢ㄱ昵戳㙥㉦昸搵搶㕤〶㑥㡤ㄹ㤵攵攰搵㕢㍣晣〵㕢扡㘵摤摤㔸昶慥㈴㐷〱㉥㉥㘲扤ㄸ㍢㥡㌱〴愴㜵㜹ㅡ㈴慤㝢㉤㙡敢㔸㔷攵㝣挴愹㐷㕣つ㙥扤㈱㉦㐶㈶㘹挸捦〲〷㐳㕥㠲戸㌴㘴ㅦ攲㤶㈱攳戹㘴㐲搷攳㝡㉣ㅦ㡦㈵搲昱㝣㔶搷昵㝣㍡㤷㌰愲昹慣㠹敦㐰㈸㉢㕣㘸捡㌰昴㍣捣愱敢愹㐸㈲㙦愴㌲扡㤶㑡攴愳搹㑣㐴㑦㘳慥㠸㈸㥡ぢ搵攳㠹㔴㈴㤳㡣挶㘲㤸㥥㡣〸っ㡥㘲㔲㤹愸㤶㡣㤸㥡ㄶ㡢㠵㜹〸挵㥡愸㌹攴㔱昳㈴㍡㐸昸㔲㠷㙦㤰㘵㤲慣㈴晦㌲㠷㉦昱㠴捡㑣㘲ㄳ昸搲㤰ㄷ㝢つ㔹㘰晡〰㐸㈸捣戳㈷愹〲づ㔳㤵㘳㔲攵㌰㔴㌹攸挲㕦㜷ㄲ㌷戰㉡㝢㤱㔴㤸㌸ㄹ㈱㜱㈵ㄲ昱㌷愰慥〵㡢〱㘹㠷慢㄰㤲㜶㌸挷搷づ㘷昹摡攱㙡㘴㤲㤵搸〰㔱戰挳㌵㠸㑢㍢㝣ㅥ㜱㝢㐰㈵㌳戱㙣㌴㤳㑡攸搱㑣㈲㥥搴戲㜹摤㐸攰㝤晥㡣㥥挹㙡㤸戰㤵ㄳ㕣㘸㑥㡢ㄹ昹㕣㈴ㄷ捤㈵ㄲ㠹㔴㍥㤶㑤ㅡ昹㔸㍡㥡搳愲戹戸愹㐵つ攵㐴ㄷ㥡搱昲昹㠴㙥㐴㈲ㄹつㄶ㐹敢戹㥣㤱㠸挵愳㘶㍣㤲㌴㤲㕡㌴ㅢ扥搶慥㠹㝡ㄲ昲愸㈷㤳㙣〴〹㝦搳攱㥦㐲搶愹㈴愷㤱晦㉤㠷㉦昱㠴捡㑣攲㍡昰愵ㅤ搶㝢敤㜰㌶搳捦〱〹㠵慦〷㘰㐴㍢昰㘰换搲て昵扤㍦挹ㄷ㤸㜵㉡㐲攲㈶㈴攲㙦㐰扤〸㉣〶愴ㅤ㙥㐶㐸摡㘱挰搷づ慢㝤敤挰搳㈹㔹捥㈵㄰〵㍢摣㠲戸戴挳㔷㄰户散㐰㈵㈶㡣㘴搶捣愵愲㠹㜴㉡㤲㐵㥦捤㐲摢戱㜸㉡㤶挳ㅣ愴㕣敡㐲㑤㌳㥤㌰㡤㔸㉡ㄱ㡢收㌱㕢改㌹〳㕦㠷㌰ㄲ㤹㍣㙥慦㘹㈳ㅢ㔳㉥㜳愱㝡㌴ㅥ㡦挶ㄲ〹㍤㤵捤㈵㤲戹㔸㌶ㄱ㌳攲㕡㔴㡢挷㜲㜱〸㑦㠷㜹ㅣ挶㥡愸㤷㈳㡦晡㔵㤲㑤㈰㘱ㅥ㠵㐹晥搷挸晡㍡挹ㄵ攴摦敥昰慢昱攲㉥昰愵ㅤ㡥昵摡攱ㅡ收扢ㄶ㈴ㄴ扥ㅢ㠰ㄱ敤挰搳戱㘱㍢㐴㔹㥦ㅢ㤸㌵㠲㤰戸ㄷ㠹昸ㅢ㔰㙦〲㡢〱㘹㠷ㅦ㈰㈴敤戰挴㙢〷摥㜵攴扣戴挸搷づ昷㈱㤳㉣攷ㄶ攰㘰㠷晢ㄱ㤷㜶戸ㄵ㜱换づ㝡㌴㘶挴昰挵慦㙣ㄲ㌳㐷㐶换攴㈲㘶〶ㄳ㡤㤹㠹㐷戲㤸㔱っ攵㌶ㄷ㙡攸㜸㈴㉢慤愷㌳戹㔸づ㥦〸㑢收㌲愹㘸搶㌰搳愹㝣ㅣ㔳㤹愶㉢户扢搰㘴㈲㥢换㤹㌰㘵ち㔳㕣㉡㥡换㘲㔶㠲㠵つ㍤愲攷昳ㄸ㐷攱〷散㥡愸㜷㈰㡦㝡㈷挹㕤㈰攱〷ㅤ晥摤㘴摤㐳昲㝤昲ㅦ㜲昸㐴㔹㜸收ㄴ㡦㠰㉦敤搰攵戵挳晤〴㍤〰ㄲち㍦ち㠰㔴〱㙦㌰㉡敦㈶㉡㙦㈰㉡敦ㄸ攱挷㥣㐴㌹㉦㘵愸昴㌴挹㡦㤰㈸ㅥ㐷㈲晥〶搴挷ㄹ㐳㐰摡㠱㈷㘴搲づ㐹慦ㅤ摣晢㐳摣搷づ㍣㈷㤳㤵昸〹㐴挱づ㍦㐱㕣摡攱愷㠸㕢㜶㌰ㄲ昱愸㤶㠸愷ㄳ㌱捣改㔱㍤慦㘹昱㤴ㄹ㐹㘵戲㔰㕤ㄲ昷〰攵愹㘱㘸ㅥ摣㉣〶㐴㌶㠳㑦㘴㈵攲ㄹ摣ㄳ㑣㍤ㄹ搷㔳㐹㔳㌳㌳㔱攵㘷㉥搴〴㌷㤱搷捤㝣搴㌴ㄳ搹㡣㤶捤ㄹ搱㜴㌲㠵㐵㐲㈴ㅤ㌳戳昹昰㑦敤㥡愸㑦㈳㡦晡㜳㤲㘷㐰挲㑦㌹晣㘷挹㝡㡥攴㜹昲㜹㑥挷㥡て㐳㘵㑥挱挳㌸㘹㠷扤扤㜶㜸㤹昹㕥〱〹㠵㥦〵㐰慡㈰㐵㕥捤晤攱㌹㈷㔱摡㘱㈶攵扦㑥ㄸ摦昵ぢ扥㠰挴摡挵愴攷㠹㍢捦〱㔱㌳攰㘱捦愹㥤戵㉣㌵㤷っ㘹〵㝣㑢㙤ㄱㅣ挷ㄵ戲戶〵㜷㘳㤳攵扥摦散㡡㕣㌶攱㌳挷㜲㘱㕣慢㠳敡〵戵摤㌶昹愱㠱慤㜳㕥㠶㠲ㄳ㘱扢㡦㔷ち㑣㔲戳㙣㘷愷〸愹㙦搰搶㜰㜴扥〸〰㌱敡敦挱㜰㉥挱〳愰㍡㙥㤰捥敡㡦敦ㄹ㘷晥昱搸搲搹㡦慤昱〱挵㘹〵ㅣㄲ㝣㡣攷㐱晦㠰扡〸㍡挳敢敡㈰㝥攵㜰摦㈴〶㐵挸戱㑥㘷慢ㅣ敢ㄳ㍣㘳㕤㜹ぢ㤰㤱㔷晡摢晢㑥〰慦㐱㤲散晤敦㈰㌳㈶〰晡㕣㔹㡣昲㉥攲昶〴㤰挱㠰搶戴愸㤹换㐷ㄲ㌹㕤捦㤸㔱摤挴搷㥤㈲㠶㤹㐹ㄹㄹ㌳晣扡㥤㐷晤㌳昲㠴㝦敢挴摥㘳散㜷㑥㡣㘹㙤㙦㈰挶㥤㠶㠲㝦㥦攸ㄵ愶㉢㔶づ㝦㌹㠷捡搹㔴㑥愴昴捥㑡晥㉣㤴㈷㍦㝥愵晥〳㌵ㄱ㙦㍡昵晡㈷㘳㐸㤳㝡愵㕦㔵敡㌵攸搱敢昰ㅡ扢搱㔷㠵㙦㈳㤳㔴攱㠷㄰〵ㄵ搲㤳㑡㘹ち昷ㄴ㤶ち㤳㜹搳㑣改ㄹ㈳愱㤹㤸ㄶ搳㕡㉥ㄶ捦攵㜳搹㔸ㄲ㕢敢㕣㕥㡢㉡捣㘰㐱㘳㜱㉣晣愲㤸㜲㘳㔸ち㐶㜰㠳挲摣愸攷㜵㉤愲攵㡤㔸㈶慢㉢挲㠵㘲㡡捤挴㔳㤹愴ㄶ挷捣ㅣ挱ㄲ搱㑣㘵ㄲ戱㜴㌶㥢捡㈶㈳㠸㠴摦戵㙢愲㌶㈰㡦㡡挷㉦昱收ㅣ㐸㤸慥㕣晣挲㙢㐸㤶㐲搲㑣㍥扤扢㤲㑦㤴㠵㘷㑥昱㌷昰㌷攲㥦昸摢〷㥥捤㔲㉢㐱㘳㐱㐲攱扦㈳㜱挴㌹㤴摥㕤㤹㈸攷搰〵㉣㜷〲戳ㅥ㡡㤰昸〷挵㤲戵㈳ぢ㐲〰㍦〱㐱攷慣戴挳ㅦ㔰㘰晤㕥攷つ㜰敢昷㍡㜴搱捡㜲㈶㐲〶散㐰㜷㉣愵㈹扢㠲摡㕤㌹〲㤵㙢㔰㘷㉡㡥㤵㜳㍥愱㐵㤲搸攲ㄸ㔸ㄱ㈴愳昹㔴㉡愷散收㐲昵㔸捡㠸攴戸つ挲㥡㐲挳㕥㌷㤱挶㘲㈴ㅦ挵㉡㈱ㄶ㑦挶戳捡敥㉥㌴㥥㑤攴挰㐹㐳ㄶ㉣㥣㌴㌴摣晥戴㐴ㅡ㐶㐸㥡戹㑣㈶ㄶ愶㑦㤸㌵㔱昷〰㔵㈷㤱戴㠳㠴改て㤶晣㍤挹㥡㑣戲ㄷ昹〱㜴ㅣ挹㈷捡挲㌳愷愰ㅦ㔸摡攱㐵慦ㅤ昶㈳㘸㉡㐸㈸摣〴挰㠸㜶愰㥦㜱搸づ㝣㥤㐹㡤㌰敢㔲㙡扣ㄹ㠹愸㑤㐰㡤戱㈰〴昰㠳㔳ㅥ㜰愵ㅤ㥥昴戵挳㡦㝤敤㄰㜲捡㐹㐱〶散㐰㥦㉥愵㈹㘹㔰摢づ㐶㉥㤵㡢ㅢ改㔸㈶㤷㠷敥戴ㅣ㤶㜶愹ㅣ㔶㙣搹㐴㈴ㄵ㡦㈵㤵㡣ぢ挵愷㌳㡤ㅣ㍣㑦戱㐴挴㑣愴攱ㅢ㐸攷㤳搸搲㘰㍤㡥〵㕦㉣㤹㔳戲㉥㌴ㄱ㡦攵㈳㈹㌳ㄳ搳戳戱㠴ㄶ㑢㘴ㄲ㤹㜴捥㡣ㅡ㌱慣昱㈲㘶㌲ㅤ㙥戵㙢愲ㅥ㠸㍣敡㐱㈴〷㠳㠴改㔴挶㙦㐰㥤㐱搶愷㐹㘶㤲㑦㍦戳攴㑢㍣愱㌲㤳搸づ㝣㘹㠷晦昶摡㘱ㄶ搳㘷㠳㠴挲摢〳㌰愲ㅤ挶㍢㠹㜲㍣ㅣ捤㜲ㄷ㌰㉢㕦搴ㄲ㍢㈰㔱摡㘱㈱㔸慥ㅤ㜶〲㔷摡攱㝢扥㜶昸慥慦ㅤ㜶㜶捡㔹ち㔱戰挳㉥㠸㈳ㄴ㔰㝡㐱㉤㍢㘸改㝣㍥愷㈵昲㌹㉣㥡ㄳ攸戱㌹㌳慦㘱摢㡥慦戳㈵㑣㔳㠷㍦㜰㤹ぢ㑤挵㌵搳㐸ㄸ㌱散昷㌳〹㍤㤹换愵㑣㌳㥢挴捥㌲㥡捥攵搲㐶㐶㔹敥㐲攳改㝣㍣ㅢ㑤ㄸ扡ㅥ挱㌰㡢挱〶愹㌸㝣㌹改㌸㌶愷㤱㔴㉥ㄱ㥥㘸搷㐴㍤ㅣ㜹搴㈳㐸㡥〴〹搳㌳㡤㕦愸㠲慣愳㐹㍥㐳晥㙥づ㕦㐲㘵㈶攲挵㈴昰愵ㅤ扥攱戵挳ち收搳㐰㐲攱㜶〰㐶戴〳㥤搵挳攳㐱㘳戹慢㤸㜵〵㐲攱挹㑥攲㜱㘰㡤㙤っ搲晤㝡搰挸て〳㜹㍣㜷搳㜰㘲㕥昵㈹戵搹昸㌴摡㝡㘴て㌴攲㘹㜸敢ㄹ昲愶㠶〳户㑥ㄶ㔷㕤㘱搶て晦㠲ㄷ愳搵晦㠱ㅣ昶慥㘱て㌷㈵㑥挲㍦戵㠰〶〷改㤹昵㍤㤱慦晤〸愷昷搳扣扣慢敦㌰㌰扦っ㔷㈷摥㤲㕥㔶散㜲扦て扣㥤攳〲㥤收㝣攱㙢敦㘱㡥昳挰㡢㤳㙤㔱挹捤㠷㉦㘶挱㕢㡥㠴㘹晣ㅥ搸づ挳㌱捦㌳昸扢づ㜳昱㥣ㄳ㥥扥㌰㜴㐷㘲ㄹ㑦愳㌷㌵㌴搶扤㙥㉣ㄷ改昶㤷㠰昹搰㍤愵攱敢㜵昳昵敤搱㠲㕤㝤摥㐰攸敥慦㔸慦㈳㈳㕤愸晢㐲㌹捡㈰搴搴㍣㘳㑡昷搱㔳ㄲ挹攰ㄷ㘱㠹摡攳攷ㄱぢ愹搶㍢㡢㘴攷〸愹㙢㈰㔱搰㡦㑥攵ぢ㜵㍦㤶㔲戲㑡改改㐲㈹攲㝣㤴挲㤲挰〳㥣㕦昳ㄶ昴愵㕢昰愹㠴慦戵攱摤㠴㥦㘳挳搹挷㐳敡㍡挲改㤲愷〴戲〴㕤昳㡥㌸㐱ㄷ㍤㈳昸〹戴㈵㐰㘹捣㥡㘵摡扢摣晦昰敡㤴㌴搰㘲晦㠶敤摦〹㥤㙤㐹㈷攷戱㘲捦㡢扡㠲慦㥥㕣晢㝡昴㥢㑢敥摡攳㡣搵挱捥戸扣搴捥慢搷捣〸㍤㝦昵㜶㥤攲㘰攴昴㝢搳昱㜴㔴捡昷㤵攷搳散㠴摡㡦㔱㠵㍦つ㐹㜲㕣㥦㠴㈶㡦㙤ㄴ摤㠸㜳昸㡡㔳㤰㠳㘳㐶㜶昳㡤搴〷晤挱㤶晡攸搸㔶㑥戵搵搷㌵㈵㥡ㄶ㈷〲改愸㈷愴㥥㑥昸㕣ㄷ㍥㡢昰㌳㙤㜸㌷攱敢㙤戸愵敤戳〹㥦攷挲改攰㔶捥戵攰攸㌱㠰て搹㜰㈴挰㌸攷ㄱ㍥ㅦ㘱搷㌸㠷搸ㄱ㈴〴〴㍤搹慥㜱攸愳摥㍡攳㉣㜱㜲㡥㘴ㅣ㤴攵㜳扤㍢㔳ㅣ㠵㥣㝥挶㔹㠳㔶昸ㅡ愷㘸㈷搴㝥㈸㉢㝣㌴㈴㐹攳㕣㠴㤶挱㌸㥦㐵㕣ㅡ㘷〰㌹㕣攳㝣㤹晡愰愳搷㌲㑥ㅦ㐲捡㈵攰㘱挰昵㜴㑦㠹愷㐵扦慤㍥㑢摢㤷ㄲ㑥ㄷ戲〵㕦㐱昸攵ㄶㅣ摡〶摣戰攱㐸㠰戶㌷ㄱ慥扢㜰㡤昰慦摢搲扢〸搷㙣㌸㜸㠰㕦㐹㌸扤搱慥㜱㑣㍢挲㜴戱搲㡥攰㈷搰㐶扦昳搶ㄹ㠷捥㙡㤹㜳㈴攳㔸㈳收㕦敥ㄸ戴ㅥ㜸㔳㍡㐵〵㌹晤㡣㜳っ㕡攱㙢㥣捦搸〹戵ㅦ昱ち慦㠵㈴㘹㥣㙦愲㘵㌰捥〶挴愵㜱㡥㐲づ搷㌸摦愶㍥㑥㐲㤲愵㙤㝡戰㤵敢挰戳㡣ㄳ㡤㡢攵戶晡㉣攳摣㐰昸挹㉥晣〴挲㙦戲攰ㅣち㜱戱挴㠶㈳〱摡扥㤹昰㡤㉥㥣㥥㙣攵ㄶ㕢㍡挶㘵㕣ㅣ㘶挳挱〳晣㌶挲㑦〱挸㌵づ㕤搵㡣㌰㕤搰㘵捤〸㝥〲㙤㜴㐶㙦㥤㜱捥㜱㜲㡥㘴ㅣ㠸昷戹㌰㜲攸挵昶㌳捥㍣㔴捡搷㌸㜳敤㠴摡て㡣㠵㉦㠲㈴㘹㥣㝢搰㌲ㄸ攷ㄲ挴愵㜱㘶㈳㠷㙢㥣㝢愹㡦换㤱㘴ㄹ攷㉢〸㈹㍦〰捦ㅥ㌹㔱搱〵戴愳慢㤰㝡㍦攱㜴㌶㕢㜰扡戶㤵〷㙤㌸㠶㐲㔴捣戰攱攰㐱摢てㄳ扥挹㠵㕦㐶昸㈳ㄶ㥣〳㉤㉡戲㌶ㅣ〹㠰㍦㐶㌸晤搶㑥㠱攲敢㜶㠴攲挴ㄵ㜶㠴攰戶㙢㐰户捥㌸㜴㙢㡦㍡㜲㈰摥攷㠲㜱攸摡昶㌳㑥〲慤昰㌵㑥摣㑥愸晤昸㔹㤸ㅥ㜱㘹㥣㥦愰㘵㌰捥㉤㠸㑢攳㐴㤱挳㌵捥㔳搴挷ㅤ㐸戲戴㝤㉢㐲捡搳攰㔹敢㠸㘸㔶ㅣ㔰愵扥㘷〸扦搳㠵摦㐶昸㜳ㄶㅣぢ〲挰愷摡㜰昰愰敤ㄷ〸愷ㄷ摡㤲㝥㍢攱扦戰攱戸㐵㘵挵摥㌶摣ㅡ㤷㉦ㄳ㝥㌷㐰慥㜱敥戱㈳ㄴ㈷攸摣㘶ち㝥〲㙤昷㠳㙥㥤㜱ㅥ㜰㜲㙥昱挸昹ㄱ㜲晡ㄹ愷ㅤ㤵昲㌵捥㈴㍢㘱㘵捤搷敥挳㡦㐳㤲㌴捥㙢㘸ㄹ㡣㐳㕦户㌴捥敥挸攱ㅡ攷㜵敡攳㘹㈴㔹敡愳〳㕣昹ㅤ㜸㤶㜱㘲㔹戱ぢ搰㡥㐶㐲敡敦〹愷㕢摡㠲搳〹慥晣搱㠲攳ㄶ〵昸づ㌶摣搲昶㥦〸㝦挶㠵晦㡣昰户㙤㜸ㄷ攱摢搹㜰昰㘰换㜷〹㝦ㄶ㈰搷㌸捦搹ㄱ愶㡢攷敤〸㝥〲㙤㉦㠳㙥㥤㜱攸〰ㅦ㜵攴㙣㤸㜰搳摣㕦㑦㡣㜵㍥挱㙢㐱戲㜳㌱ㄶ㙦㙦晥㙣㐶愷㜸ㅤ㌹晤㡣搳㡡㔶昸ㅡ㘷㡣㥤㔰晢搱㌸昱〶㈴㜱㐵慣晥ㅤ㉤㘳攳昸㉦散㜸㘷挵ㅦ㥣㘴㤷挳㘴㍡㐳愵㐵摦〷ㅡㄶ愵昳㔲㕡戴ㄹ挵戸ㄶ晤㈷ㄲ〵晤㡥㤶㠹攸搱㔴㍥〰㡦㜳攱㥣㈹搹㜸戰ㄱ㘸摦㙦㘲搸㝢〳㍣ㄳ敥㙣㉥㘶てづつ搴㉦摣挹〹愹ㅦ戲㥣昷㈰㥤昲挸ㄲ晦㐰㘴㔸㍤㍢㠳㘷㝤扦攷挳㝦㡤愰㥥㝦摢〹戵摦敦〹晦ㄳ㤲㘴㑢昱改㙣戶昴㐳挴㘵㑢晦㠵ㅣ㙥㑢ㄵ㈴㡡〶㔴挳㙡㈹〷慤搲〲㥥㍤戱愴挴晦〰㍤摣㜷㐳㠴搳ㅤ㘸挱愹㜲愵搵㠲㜳㘲㐹㠹扦搸㜰㈴愰㝤攳〸㙦㜲攱㜴㐰㉡㘱ㅢ㡥㠹㈵㈵摥戱攱攰〱扥㍤攱昴㉣扡㝤㔷戱㈳昸㠱愷挹㡥愰㡥㠱戶㔶㐴戶慥敦搲昱㌸㙡摦㝤攸㙦晢ㅤ㜳攱㠳捦捥戴㕥〳㜸㜱愶摣㜹扣昹敢㤹㘲〲㜲づㅢ㘷㍤慡㘱ㄹ攷㡦㘸㠵㙦摦晤㠳㥤㔰晢㙤愱昰㡥㤰挴㌶慢㍢㠳挲㌸ㄳㄱ㤷挶㜹〳㌹㕣攳㑣愴㍥昶㐰㤲愵㙤㝡㈳㤵摤挰戳㡣ㄳ㑦㠸摦搸敡愳㐶㐲敡ㅥ㠴搳㐷㘸挱㜷㈳扣摤㠲挳㌸㠰晦捡㠶㈳〱昰挹㠴户扢㜰㝡㈵㤵㈹㌶ㅣ㑢攵㠴㜸挹㠶㠳〷昸㍥㠴搳摤攸ㅡ㘷戲ㅤ挱㑦㐰搰晤攸昴㤳戶晤㄰搹㍡攳搰ㅢ㌹慡㜱慣挵散㥢昶㘲昶摤㤹搶㘲昶敦㌳㐵〴㌹晤㡣昳ㅣ㕡攱㙢㥣㘷敤㠴摡敦ㅥ㠵㘳㤰挴㌶慢搳㐱㘱㥣ㄴ攲搲㌸㍦㐷づ搷㌸ㅤ搴挷㠱㐸戲戴㑤ㄷ愵ㄲ〱㡦㜳㐴昷㤴㘴㕡晣戴㑡㝤㌱挲改㌸戴攰ㄹ挲ㄳㄶㅣぢ㈰挰㝦㙣挳㉤㕢愶〸㍦搸㠵搳㔵愹㘴㙣改㕤㠴㍦㙡挳㤱〰攳ㅣ㐸㌸㝤㤰慥㜱㍥㙤㐷㤸㉥攸㤳㜴㡤㌳ぢ㤱慤㌳づ㕤㤴愳ㅡ㘷㈶㜶攴㙢㘶㡣敤挴㘳㕤戸戶敢摣〱㌷㠱つㄳ㜶敥ㄴぢ㤰搳捦㌸て愲ㄵ扥挶㜹挰㑥愸晤ㅣ㔳㜸㈱㈴愱戱〱戵ㄳㄴ挶㔹㡡戸㌴捥㝤挸攱ㅡ愷㥢晡㌸ㅣ㐹㤶戶改户㔴㘶㠱㐷攳㘰㈸挴挴昷慢搴㌷㠷㜰扡〸㉤昸㌲挲攷搹㜰っ㠵㤸戸搳㠶㠳〷㙤ㅦ㐲昸㤱㉥㥣晥㑢㘵㠱〵攷㘲㌶㈶㙥戵攱㤶㉤ㄷㄲ㑥挷愴㙢㥣愳敤〸㝥〲㠲㡥㑡搷㌸㉢㄰搹㍡攳搰㙦㌹慡㜱攴摢㑤扢散搸㠹㌲㜱㑤戴ㅤ㈹㤳㍢挵㉡攴昴㌳捥㑤㘸㠵慦㜱㙥戴ㄳ敡㍥ㄵ㐵㤷愷敦㙤㔱扥㘴㙡晤晦っ㥥晦ㄲ㠳㙦挱〵㑤㍥愵㍢挶戴搸昴㔲捡户つぢ㌸て㉤㤶㕡昱㔱㤷ㄲ晥㔳㡡〵昸㠰ㄱ㍥攵㠲晦愸换㝥晥ㄱㅦ㌶攲㕢ㄸ捥㘷㐳㔴ㄹ㘳㘶挵㕣㔴挲㜷㐴㥡捤昹㘵扣㑦愷户攰愳晡ㄵ㝣ㅢ㜶㜰㕢㌸㈰ㄷ昸㡦㉣搸㈳㜰扢攷㝦㘴搱攰晢扣慦㠹㘴㕦㠷愰愵挲㘱㝤㌸敦㔴㌵昰㕢㌰㕢㜷㍣慥㉣㐳捦ㅣ昱愹昴㈶㜱㍤散㙣㥤㤶㙤っ㝣㈴㉢ㅥ㘸挰晦㠲㠳㑣捡ㄱ㈰㡤㜸㙣㔵慥挰㐰㐲敡㤱攰挸㠷扦㈵〹〴ぢ攸ぢ戵㉤攴㘳搸㜳愸㠲㥡晦㌶㘲捣ㄸ㌶摢戹㥡搶㈰敢㘸捥㔴㈴〷㥡〷晡㌴晥敦㠴㉤〳㝤〵㘳㜰㘵㘵㤵晢㍦ㄲ攲㤱〹㝣昶㔱㍤ㅡ昵㘱㔱晣㈷㉡挸㐲愹敡㘷扣摣㜵づ昷ㄸ㉦昷㈴㜰搹㤱㤵㘳挱ㅤ㐵㍢㔷昹㙡愷て㤹㤴ㄵ㈰搵摡搱挰昱㘸㐷㙣㐴〱搴㤰㜳㠹搳ㄱ㤱㌵捣〳改搶晢㙣㠷慢㝢戹攷㌹㕣挳换扤〸㕣㔹㙦ㄳ摣㔱敡㝤㤹㙦扤㔷㈱㤳㑡慢づ㕢昴㌸戲昸㌸扦㘵㔱昱㘵ㄴ㔰㔵攷㑢㥤㝡ㄴ㠰㜴敢扣挹攱づ㜸戹㔷㍡摣㐱㉦㤷敥㈲㔹攷㈲戸愳搴昹ぢ扥㜵晥ㅣ㌲搵搴戹㑣㤶愷捥摦㐶〱㔵㜵扥挱愹挷㤰户ㅥ㌷㍢摣戵㕥敥㙤づ昷㜸㉦昷ㅥ㜰㘵㥤搷㠱㍢㑡㥤捦昲慤昳〶㘴慡愹昳〹㘴㜹敡㝣㉦ち愸慡昳晤㑥㍤㑥昲搶攳㘱㠷㝢戲㤷晢㤸挳摤攸攵搲戹㈰敢㝣ち戸愳搴昹㈴摦㍡㥦㠶㑣㉡晢昴㜰摦㌸㠳㉣㑦㥤㥦㐲〱㔵㜵㝥挶愹挷㔹㐰扡㝤攳〵㠷㝢戶㤷晢戲挳㍤挷换攵㥥㕢搶昹㕣㜰㐷愹昳㤰㙦㥤捦㐳愶ㅡ㍤㕦㐰㤶愷捥慦愳㠰慡㍡晦摥愹挷ㄷ扣昵昸㤳挳晤愲㤷晢慥挳扤挸挳つ㜳㉢㡡㜸㐰晤ㄲ愸晡㘵㤲㡢㐱昰㐹〷㈴挸挶㕣㠲㈸㡦愳昰㕦搰㤵慢㍦ㅦ摣㈰晡㥤㤶扣ㄹ摢㘵㜸扥扤㤴㔲戸ㄳㄴ㔴愳㥣㙢㉦㈷换搳㤲㝦㐲㍡㕢搲㝢搹㍤㥤晦㡥ㅦ摢㈵戸戱㤴戳挹㈶㈰㕤敤㜳㈷㈸㉢昱㌵〴㐶搱㘸捥愹㐷挰㍢敦㕦㠱㑣㌵ㅡ晤〶㔹㥥㝡㜰㌷㔹愵㔱敥ㄷ㘵㍤慥㐶挰慤挷㌸㠷㝢㡤㤷换摤㥦挴㕥敢攵敥㡣㠸慣昳㌷ㄱㄸ愵捥㐷昹搶昹摢挸㔴㔳攷敢挸昲搴㜹㈲攲㔵㜵收㌶㑡搶攳〶〴摣㍡㜳户㈴戹㌷㝡戹晢㌸摣㥢扣摣改㠸挸㍡㝦ㄷ㠱㔱敡扣搸户捥摦㐳愶㥡㍡摦㑡㤶愷捥ㅤ㠸㔷搵㤹扢ぢ㔹扢摢ㄱ㜰敢捣㑤㠴攴摥攱攵ㅥ攸㜰敦昴㜲㍢ㄱ㤱㜵扥ぢ㠱㔱敡㍣搷户捥昷㈰㔳㑤㥤敦㈵换㔳㘷㉥挹慢敡㍣〷っ㔹扢ㅦ㈰攰搶昹㄰㠷㝢㥦㤷扢搰攱摥敦攱〶て㐷攴㘳慦㤵攸㕥搹捡愷散ㅥ㐰㌹攲㐸ㄲづ敤〷敤〰㈳㙤㐷摢㤱ㄶっ戸㐰ㅢ㔷ㄷ㘴㕢㌱慥㉡摣㤸攰挲㠰ㄵ㔶ㅦ㈲㥢敢〱㈹敤㘱㍢㈰愵昱摥敦收㘸攳㍤㝦㌸挶㝢扤ㅢㄳ扣㕤㑢㘹㍦㈴晢㌸㍢㑤㝤挴づ㐸㘹扣㉢扢㌹摡㜸㌷ㅥ㡥つ㝡㘳㠲㌷㔲㈹敤㔱戲㜹て㈵㔲㝤捣づ㐸㘹扣㕦づ攷㕦㕢ㄵ攳晤搱㑤ㄳㅢ㄰㤳搲㝥㐴㌶敦㙥㔲摡攳㜶㐰㑡攳㥤捣捤搱挶㍢搸㜰㙣愳㌷㈶㜸昳㤱搲㝥㑣㌶敦㍢㔲摡ㄳ㜶㐰㑡攳㍤㘶㌸㍦敦㉤挳㌱摥㔳摣㤸㌸て㌱㈹敤㐹戲㉦戰搳搴㥦搸〱㈹㡤戳扦㥢愳㡤戳晥㜰㡣戳扤ㅢㄳ㥣攵攵收㌳㡡㔱挱捤攷挱㌴㝥㠳㈲㌸昳换㠴㠸㥤挰户挱㕢昰愵ㄷ摥つ㘴挲愷散〴㍡㌲搴愷㈹㤵昳扣慣摡捦ㄹ扢㥣㠴㘹捦搸〱㐶摡㌸㥤てㄷ捦ㄹ㔹收㜸㤶㙣㑥挶㌲挷㜳㜶㐰收攰挴敢收㘸攳㠴㍢ㅣ攳㐴敢挶〴攷㑡㈹敤㜹戲㌹㑤㌲㑤㝤挱づ㌰搲㜶㠳ㅤ戱㍡㌸愷㐲㌷㝦摢㑤摥㤸攰㉣㈶愵扤㐸㌶㈷㌰㈹敤ㄷ㜶㐰㑡攳㘴㌵㥣晦㡥慡ㄸ㈷㈷㌷㑤摣㠳㤸㤴昶ㄲ搹㥣㕡愴戴㤷敤㠰㤴挶㘹挴捤搱挶改㘳㌸挶㘹挳㡤〹㌹㥥搹戶㔷挰㜶慥㌰挷㌵攳敡㉦㐱攱㔹㤰攳㤴㜱挷㠱㑣㘴㤸攳㔵愲㕥戵㔰㜲晣ㄱ㔵㈵㡢攳㔰愲㕥戳㔰㜲㕣搵愱㌸扥㈴敡㜵ぢ㈵挷㑢ㅤ㡡攳㐶愲㝥㘷愱攴㌸㈰慡慡㕥ㅣてㄲ昵㝢ぢ㈵晢㜷㥤㉣昶㜳㠹晡愳㐴戵戱攳ㅤ〱㔴挳㍡㤱㕦愱慦㔸昱㝥㕢㔳晢挴愶㈳㍢㕢㉦㝢昵昱搷㉥㝡收㤸ㄹ㙦㝣戰㘹搳㌳慦㕦昴挴〷昷收㘶㍣㝡搵㔵てㅦ㜲挵ㄳ慦㙤㙦㕥搹㜰挷晢ぢ慥㍣㈱扡晡㠴捦㤹换昷㥦㝢挲㔱挷㉤㠹㉥摥㙥㕡㘳㘳㜳昳扥攳ㅦ摢㜹扦昰挶捦摤㈵ㅥ㜸㜱愷㐱㈱晢㜲㕤㘵搹愷㘵㌵晥㈴慢㈱㘴晦慤慢散㜳づ敡㙤ぢ㈵晢㘵ㅤ㡡晤ㄳ㝦昱〹〲ぢ㈵晢㕢ㅤ㡡晤㑥愲摥戳㔰戲ㅦ搵愱搸㥦㈴敡慦ㄲㄵ㜶㙣㉡搸㈵攴戰ㅤ㘳て摢㙥攴㙤挱〷㤷㕥㜵ㄲ㐲㌵〹㌴扣捣愱搶㈴搰搶㌲愱愵㈶㠱收㤵〹捤㌵〹戴愸㑣㔰㙡ㄲ㘸㐴㤹㄰慣㐹愰㕡㘵㐲㔳㑤〲㌵㈹ㄳㅡ㙢ㄲ愸㍣㤹搰㔰㤳㐰㝤挹〴㔱㤳㐰ㄵ挹㠴㐰㜵挲㤸晦〷挵摥㌹㙦</t>
  </si>
  <si>
    <t>㜸〱敤㝤㜷㥣ㄴ㔵搶昶摣㘱愶㤸㙡㔲㑢㄰〳㈲㈰㠸〸㡥㥤㠳㡡っ㌰㠰㈴㠹㘲㐰ㄷ㍢㔴挳挸〴㤹ㄹ㤲㘱挱㉣慥慥㘲㕣㐵挵㥣㐱㕤㘵㔵㡣㤸昳慥㙢㡥㙢捥㙢㕣搳慥攸昷㍣户㙥搵摣敥慥ㅥ挲扢敦敦昳㡦户㤸㍥搴㌹昷戹愷㑥㍤愷攲慤搳搵㘵愲慣慣散㔷㑣晣㥦㔳〵㘷晡捣㔸摡搲㙡㌵㔴㡦㙥慡慦户㌲慤㜵㑤㡤㉤搵㈳㥢㥢㔳㑢㈷搵戵戴㜶〰挰㤸㔳㠷昶㤶捡㌹㉤㜵㐷㔹㔵㜳ㄶ㔹捤㉤〰㔵㤶㤵㔵㔵㤹攵㘸摦㕥㝤晣㡥㘲戲㤷㔹㐱〱㔴㤹㘹㔰㜴愴愸愲㌰㈹㝣ㄴ㥤㈸㍡㔳㜴愱攸㑡搱㡤挲㑦戱つ㐵㜷㡡ㅥㄴ㍤㈹㝡㔱㙣㑢搱㥢㘲㍢ち㉥摦摣㠱㘲㐷㠸捥㝤㈰㘶㡥ㅥ㌵㈵㝤〴搶㘶㐶㙢㔳戳㌵慣摦㉣㍢收攱挱㘰㜵戰㍡ㄲて挶慡〳挳晡㡤㕥㔸摦扡戰搹ㅡ摥㘸㉤㙣㙤㑥搵て敢㌷㜵㘱扡扥㉥㌳搱㕡㍡戳㘹扥搵㌸摣㑡〷挲改㔴㈴ㄱ㡣㐴愳戹㘴㌲搱㜹㈷㜸摥㝦昴愸愹捤㔶慥攵扦攵戳㉦㝤㑥ㄹ㍤慡㝡㝦慢昵扦攵㜳㘷昸㠴换摡愶㠶㔴㕤攳㝦挹㘹㈵㜳ㅡ慤戵㌲㜵㑣扥㘵㌵搷㌵捥慤㐶搸㜹㐴㐳㡢㔷㡦㙣㘹㔹搸㜰㈴户愳搱㔶㝤晤㜴㉢㈷㤳摥㔰摢搲㍡㌵搵摣搰搲戹㠱晣㔹捤㔶㘳挶㙡改摡㌰㘶㐹挶慡㔷挰㤶慡㠶㔹愹收晤㔳つ㔶〵㘷扡㌵搸㌹ㅣ㥦戵ㅡ㕢敢㕡㤷㜶㘹㌸愰挵㥡㥥㙡㥣㙢ㄱ㔲搹㌰㙥㘱㕤㔶㔴㔴攰慦慣挳㘰慦挸㘴愲㄰㑦挳攸㜹愹收㔶愹㌱㠵㐱㉦慣戶戹挸戵挸㡢㡢㥢㔴扦㠲㕥捣搹㡣扡㠶㠹㔶㜳愳㔵捦㠵㌰㤳㐳ぢ㐰㤲㈰㍢て㉥㔳捥敡㌰㑢愲㤳摡昹戸㉥㕣㡡搱て㘲挰捣收㍡慣收挲晡㔴昳戰挹㜵㡤挳〳挳㈶搵捤户敡敢慣㤶㔶捣㑦㑥㉤ㄹㅥ㌴晢〳㘷づ㘰㡦㕤㈰㉡㐶搷㈶㠲收㐰摡〶㐱㠸㡡搷戰㤷敢扥戹愷㤵捦㐹㤵捦㐹㤷捦挹㤴捦挹㤶捦戱捡攷攴捡攷捣㉤㥦㌳慦㝣㑥㕤昹㥣㈳捡攷捣〷挶㤹慡㍡㜶㉣㔷搳昷〷㔴扦㍡攸挷㜷㈷晥昹敤㠷㍦㡡戴㌶敤㉡戸㘳换攳挲㘰捣㙣㑥慣扢〱㘷づ㠱㌰㜶㠷㐰慣愱戸㌹㤴戶㘱㄰㐲㍣㡦㔸ㄹ敦ぢ㡦㕥㜱搳搰㙢㍥ㅥ㜹昳捡㤶昳㕥㥣昳昹昷㠲〷て戹愰㙡捣㙣捥㠲昶愴搳〰㠴ㄱ㠴挰㠲㠲ㄱ㌳㐴㕢ㄸ㐲㠸愷搵㠲ㄶ慥㕤㤱扡㘳挴㥥㤳捦戳㑥㝤扦戵慡㙣㤴攰〱㑡㉥㈸㡡㤹〳ち搸て㔶㈷㈲㠹㜸㌴攰㑥㐱㉤ㅤ愱敡愰摥ㄴ〸㠴㘵㝥挲搵㠱㠸搶㈳㄰㠸㤸㌱挶ㄱ㠷㌰ㄲ㄰㠸㉤ㄲ㌲㤳戴敤〵㈱挴㈳㉡戶攷ㅢ〷㍦扣㍡昰㘰敤㕤㐳㥥㥡昸昱㤸攳㝡〸ㅥ㌷㘵㙣晢㘰㘶㜰㐱㙣㠱敡㐴㔴㡢㈶㘸㙦ㅣ搵ㄱ㜳㌸㍤敦ぢ㘱㡣㠰挰搲攲㐱戳㠶戶㤱㄰㐲摣愷㤶㜶搵ㅢ㤷㕦㜰敦搵户㑤戸改昵〵ㅤ㈲改㡥㘳〴昷㔵戹戴搱㤸搹ㅣ捡㙢改㜴っ㠴㌱ㄶ㠲戹つ㤸攳㘸摢て㐲㠸㍢搴㠲搶㙦戸㍣㍢㙥散㜵ㄳ㤶㕦㝦搱㤵㝤㍥㝣愳㤳攰㐹㐰㉥㘸〲㘶㘲〵慢ㄵ慤㑥敡慢ㄵ㤷慢㤵慣㡥㈷昵㈹㤱㌴㈷㜲㐱㤳㈰㡣挹㄰㔸㜸㌴㘰敥㑦摢ㄴ〸㈱㙥㔱ぢ晦㜶攵扣㙢晥㌱攵昳㐹慢晤攷捥㔸㍢慤㜹扡攰挹㐷㉥㝣ㅡ㘶㌶㘷㉤愷搳改っ〸㘳㈶〴ㄶ㤴〸㤹〷搰㌶ぢ㐲㠸敢搵㠲㈶㉣戹㍥晣收捡㜳㐶慥戹昴散攵㐳ㅥ㝤㝦㠵攸㠴㘶戹愰㠳㌰戳㌹ぢ㍡㤸㑥て㠱㌰㘶㐳㌰㙦㐹昳㔰摡づ㠳㄰攲ち戵愰搷攲挷㘷㘷ㅦ㍦㙥搴㔵㠳户改㜰攲㕤昷昸〴㑦愲㜲㐱㜳㌰戳㝢〱㥤㠱敡㐸㐸攷㌳㔰ㅤ㤵㡣〶慡攳收攱挰㥢㈹〸㈳つ㠱〵挶㐲㘶㠶戶㉣㠴㄰慢搴〲扦改晡敥攴㔷摥昲㑦戹攱挶攷㜶㥤摦㘷攸ㄹ㠲㈷㙣戹挰ㅣ㘶㌶㘷捤收搲改㍣〸愳づ㠲㙢㤶㌰㡦愰㙤㍥㠴㄰攷慡〵㤵㝤㝣搶〹户摦扦㙥晦扢换户㝤㔴昴㕣㄰ㄷ扣㈸㤰ぢ㙡挰捣㍥〵㙢ㄶ慥㑥挶挳㜱㝤摤㈲搵㌱攸㍣㐶挶慡愳㤱㠸扥挱㤸㡤㕣㕣ㄳ㠴㜱㈴〴㐲㠸㐶捣〵戴㌵㐳〸㜱㠶ち㘱㐱㘲搸戵捦㉦晤㝥搲㐹㜷搷㡥㥤㌴愸晦㐶挱㑢ㄲㄹ㐲㉢㘶㐶ㄴ㠴㄰㡤㔴㐷〳戱㍣㝥㘳㤱敡㈰っっ㈲㠱慤㌶慥㐷ㄱ㌴ㄷ㜲㠹㡢㈰㡣挵㄰㡣㈲㘸㉥愱㙤㈹㠴㄰㈷慢㈸愶㥤戵挶㍡㜶昲昹戵㔷㐵㡤㝢㙦㍢扦㍣㈴㜸㑤㈴愳㌸ㅡ㌳㠵㝢㑣愸㍡慡戳㘰ㅦ㠵㄰㠶扥晥挹㘴搸㍣㠶ぢ㍡ㄶ挲昸㍤〴ㄶㅥ㑥㥡换㘸㕢づ㈱挴㌲戵昰㜷ㅥ㡤㕦昴昶〷扤㙢㙦搹晦㌲㜳搸愲㐵㠷㔴昲㕡㉣散㜵㜲㉢㍣㙦㡥挵昵㔶㈶搵搲慡㑥改㍣㝡晤㜷捦昸㥢㍥攱㡦㙤捥晣敦㥦昰戱㤰晦捡〹摦㍣ㅥっ㤹㈷㐰ㄸ㈷㜲㙥㙡㜳搳㤱ぢ㜱愲㑦㤹㈷㔱㍤ㄹ㐲㠸愵㉡㉤㈷搴捣昸㌴㌸攲㤳搱敢㈷㜶ㄹ㜲昰捤ㄳ㜷ㄶ扣㍡㤶摢挴愹㤸搹㥣扤㜰〵㥤㥥〶㘱晣〱〲昹㡦㐵捣搳㘹㍢〳㐲㠸㘶戵愰㥦攳㉦㍤戳扥摦㥡㜱㤷晣㤸㍥昱㤵㤳づ㝥㔴昰ち㕣㉥攸㑣捣散㔵戰ぢ㈴慢㈳㘱㝤ㅢ㑦挴昵㜳ㄲ㉥戹攵慥㄰㡣㘲㠷㌴捦攲挲㔶㐲ㄸ㘷㐳㈰㠰㐸挴㍣㠷戶㜳㈱㠴㤸慦〲㌸攴搸ㄱ㡢㜷摦收㡥〹愷搷扦昰昰摦搶㡥ㄹ㈵㜸昵㉦〳㌸ㅦ㌳㥢戳愶ㄷ搰改㥦㈰㡣ぢ㈱戸愵㈷捣㡢㘸㕢〵㈱㐴㔶㉤㘸摢㠳ㅦ㤸昴㐵摦㔹㤳㑦ㅤ㌷㝣搵つ㜷扦㌷㐵昰づ㐳㉥攸ㄲ捣挴ぢ搶ㄴ慢㄰搲搷㌴敦㌴㠵〳㡥㕣搱㘴㜵搰扣㤴㑢㕡つ㘱㕣〶挱搵㡣㥢㤷搳㜶〵㠴㄰㠷愹愵扦㝣攲ㄵ㠳㠷扥搹㜵摣捡㡦㑥㝤敢改㥦㌷晥㕥㙣㡢㘶戹昴慢㌰戳㌹慢㜹㌵㥤㕥〳㘱㕣ぢ挱㠴㐶捤敢㘸扢ㅥ㐲㠸㔹㙡㐱㍦捥㥥戳㑢昴㤹㔴敤㡡㍥㤷づ搹㝢搸㡡㠵㠲户㑦㜲㐱㌷㘲愶㌸愱昱扣㠳㉡㙥㥢散㔵攳㡤㔳摥㈱㈵㘱摥挴㠵慤㠱㌰搶㐲㈰㠰㔰搴扣㤹戶㕢㈰㠴㤸愲〲戸愷摢慢敦㍥㜱敤扡㠹㌷㕥㜲晢扣ぢ㍥慣敤㈵戶㐳戳っ攰捦㤸昹㥦ㅤ搷㙦攳攲㙥㠷㌰搶㐱㤰散戰昹ㄷ摡敥㠰㄰㘲㍦ㄵ㐲攵㕥慢づ㍦昱挹捡昱敢㝥愸㝤戸攷㠶搶㌷挴昶㘸㤶㈱摣㠵㤹㜱〵愹づ攱ㄲ㑥摢㡣㐳搵ㄱ昷〲㔰捥㐴㘴慥挳搵攱㔸㥥㍤㙣慥攷㤲敦㠶㌰敥㠱㐰㌴攱㤸㜹㉦㙤昷㐱〸㌱㔲㐵㌳攵搷攱㝤捦㤸戹㘴挲㜹愷昴ㄵ㐳㈷㝣搴㕢散㠰㘶ㄹ捤〳㤸㈹扣〸㑤㔴㐷ㄳ晡〵㘵㈸愶挵ㄶっ㔴〷昳㠳戰㜷㌸ㅣ晦昳㠲㡥㤸ㅢ攰摡㝣㄰挲㜸〸㠲挹㑡㤸て搳昶〸㠴㄰㝢愹搸慡攷㙦㙢昶㝡㘰㐹敤㕤攷摣㍤攵换搸㤲㐷挵㡥㘸㤶戱㍤㠶㤹㐲愶㠲搵㠱㤰ㅥ㑤㜵㈸㉦ㄸ㌴捡㕢㤶敡㔸㈲捦ㅥ㌲ㅦ攷㤲㥦㠰㌰㥥㠴㐰㌴戸慡㝡㡡戶愷㈱㠴〸慢㘸捥㝤攳昷㝢慣扦㘳昶戸㤳敥㕢㌱愰昷搴㡢づ散晣㉣㥡愷愹ㅢ愷摡收搴㘲摣㡡戶摤攵㈲㙦晣户改摢㝢摣摤攷愲戹㜸㉥ㄸ捣㐶〳愹㜰慡戲㍦摣㙥敥㝤㈴㑦挶㥤㜳〷搶㌵㘶㥢ㄶ换ㅢ换㍥愳㔲㉤㔶摢㘹㘷愸㙡ㅢ搵戴戰㌱摢戲愳㜷攳㡣搶㔴慢戵㐳㘱㕢㥢㤳愲㙥㌳㜰摢㙤戵挸攵昵㉤散㌶㉢㔵扦搰ㅡ戹愴捥㙥摥愹愰ㄹ㌷摤㑤改搲慤㘳㥢慤〵㙥㙢㔱㐴㈳㌱㉡戴㐸晡㉥㕡㑢扢挹㡥慢摦攸㜹㑤㉤㔶愳っ㙦㘸挳搴扡捣㝣慢㜹㠶挵㌱㈵㉢㉢㔷戵ㄷ㥢搴㥤晦搰㈹㡤㔸㔱摣换㘷〷攸搶摣㤸㈵慤㔶㘳搶捡昲㍣㘸㌵户㉥㥤㤹㑡搷㕢摢收㐱散㘵愲㘱晢㍣昳搸愶捣挲㤶搱㑤㡤慤捤㑤昵昹㉤㈳戳㡢㔲ㄸ㙤挸㑥㙥捡㕡ㄸ㉣愸攰㔴㈶捡㍡㜴㄰愲㙣㜷慦㡢ㅡ晡㙤愹㤶㠹搰㔲扣ㄳ㜲扥㕤晥㘶㔷㍤ㅤ㙢㠷戵愸户戸㑤㤶て摣㠴㌳改㤷㙥㠶㤴〶㙡敢挴〱㌸愲㜷㉢㡤㤶㌱扡㤹晢摦〵㤷㤷昷㔰㙢㍦㘶ㄱ㐶㘴昶㑢㌵㘶敢慤收㜶㠷て〵㈳㌲晦ち㔱ㄹ挰摥㕣㤲扤ち㈰挴ㄲ戱戴㜲㜱㕤戶㜵㥥㌱捦慡㥢㍢㡦ㄷ摢ㄸ㘲慣慡㈲戵㐵㤳昹ㅣ㑣收摦㈹㥥㠷昰昹捡㡣ㄷ〸㌲㝣收㡢戶㕥㌹〰晦㙦昹㔸㑦㌹㝡㤹㜲㙣〹〳㠱㉤㤵つ戸愰㙤改搰挱㙢㉤昷㑢戵捣㙢攵收搹㝥㈳晤扤㐴昱㌲㐴攵㐰㠸㑤づ㈵昱㠶愳㠲㈳㘶㕤ㅡ㙡慤㕣ち攳㤴㜲敦ㄶ愹捡〶㝢攸慢搶㙡挹㤸ㅣ㈳ㅢ㡦㝤㘵㠹㠱㌹散晣㥤ㅢ戸昵㕢㑢㕡㙢㔳慤愹㡥つㄸ㙤㐳㤶㑣㠰㠶捡㕥昶ㅣ㝢㜶㤱㌶愷户㑦㘹昰攰㤷戳㥡㤷㑥搲㘰㝢挲㡥㠳晤愵慣㠳㤲敤慦〴㘲攷攵戱㔱戸愱攷㡦㥡㘱㌰㉦㍢捥㙡㥣戹昴㐸慢㠵昰㉡愳㕤㉡ぢ㜷㉦㍡㥢㤲㐹ㅦ搰㕡㔷摦㔲㡤㐸挷㌵㌷㉤㍣昲扦改㠷扥捣㔷㈰㥣愹㜲㌰戶攲捤㕦㈷搰㔵搶㜱ㄱ㜳㌳㘷㑥㔹ㄵ扤搱㘲扣〶挱戳㕤搲攴㈶ぢ㡦扦攲㍦㌹㤹㙦攰㍦㥦㐹㐰㠹戶捡㐱㘸摢㤲㘱挶㑡攰㍢㌷㠰愶㤹捤㤶ㅣ㌸慤㤲ち㈸敦搲㜰㘰㔳昳晣㜴㔳搳㝣㙥㔴㕤愵搶㌲捦戲㕡㌹ㄸ搹㐹つ扥捡㐱㔶㈱㍡㜴挸ㅢ㑤搴㐶㉤㜷㠶㝦攳㙤〸晦捣愶㙣㔳㑢扦㝡㝥敡搲捤㑤㉤挶㍢戰㜶挰挸愸昱㉥㘶㘲攳愶ㅥ㍣㘷捣㡣㤹攳㈷㡦ㅣ㍤㝥捡晥扢㡤挶㜸㈶戶搶㍤㜰愰㕦㡡㠳㘸搳㤰㝥㜳ㄶ㜱㜴㍥搰㉦ㄸ摣〳㝦愱㐰昵㤲晡㤶㈵㘲㈷搰挳搱挱慢㑦㥡㝢摡挰㔷㜷ㅤ㝦㘱晡㠰㍦摥戰扦ㄸ㈴晡愸㠶愲昱挹摤戰戴晥昸㤸ㅦ㐰㠸ㅤ〰攳戱〷昳昹㤳昹ㄱ㜴昳㘳㡡㑦㈰㜰〴㤱㤴攳〰昲ㄹ㔴攳㜳ち晢攸敦ㄳ㘲〸㌴ㅥ㑦捣㝦㔲㝣〱㈱㠶㐲㜰㙦㌶扦㠴㜰㈶攱挷愲戸㤱㌰搱收敥ㄴ㐵㌹晥ㄶ㔶㕦㝢㙤㘲ㄸ㄰捣戳昹㌶〵㘹㌴㐹愱㌰攰搸㤳㡢㑡搵㔰㌴㠴扡㈷扡㐹㉥㝥㘶晦づ㠰㜹㜳昱ぢ㤷㐱㡥㑣㙥愲ㅡㄷ攵戶㉡〲㘸㤳〴㜴㠰挱攴㠳㈳ㄱ㠲㐹ㄲ㔰〹捤㤹挴扦㝦搱〸〸挲㕣㑣㠰㐹㥦㘶㍢㙤㈲㡣㝥㕥〴㝣〵攷㥥〴㝣愹ㅡ㡡㠶㜶㘳昰搴㥦㔱㜴㘷挸晦〴捣㥢㠰㥥㘸㌶㝢㔱㙣ぢ愱ㄱ戰㥤慤㡡㌸㥣㐸〲戶㈷㘸〷〸㤱㠴㐹ㄲ戰㈳㌴㘷ㄲ敦敢〴㈴㘰㉥㈶㘰㘷晡㌴摢㘹ㄳ㝢愱㥦ㄷ〱慦㤵㈲攰㔵搵㔰㌴㝥㍣ㅣ㥥晡㌳㡡摤ㄸ昲换㈵〹搸ㅤ捤收㔰㡡㘱㄰ㅡ〱搵戶㉡昶㠵ㄳ㐹挰㥥〴〵㈰㐴つ㑣㤲㠰㈰㌴㘷ㄲ捦㙡〴ㄸ㘱戴攰㔸㠷㘱捣愲晤㈰㡡㈶㥦㐹㐰㠹㌶㌱ㄲ㍥扤㔸㜸戸ㄴぢて愹㠶愲㜱敤㕡㜸敡㡦㡦戹㉦ㄶ㈷㌶㤴㘴愱㠶搱㡣愴ㄸ〵愱戱㔰㙢慢㘲っ㥣㐸ㄶ挶㄰㌴ㄶ㐲㡣㠳㐹戲㌰づ㥡㌳㠹㍢㌵ㄶ㑣㡥㡤ㄷ慦攴㐴晡㙣慦㑤散㠷㝥㕥〴慣㉤㐵挰ㅡ搵㔰㌴摥㍥ㄱ㥥晡㌳㡡㤹っ昹挶㤲〴捣㐲戳㜹㈰挵㐱㄰ㅡ〱㠷搸慡㤸〴㈷㤲㠰搹〴ㅤち㈱昶㠷㐹ㄲ㜰ㄸ㌴㘷ㄲ㔷㘸〴ㄸ㜳搰㠲捤㈰㥡㈸㘶㈱㠵㈶㥦㐹㐰㠹㌶㌱〵㍥扤㔸昸㔳㈹ㄶ㉥㔰つ㐵〳晦搳攱愹㍦㍥收ㄱ㔸㥣㌸慦㈴ぢ昵㡣愶㠱愲ㄱ㐲㘳攱㐸㕢ㄵ㌳攰㐴戲戰㠰愰㘶〸㜱〰㑣㤲㠵ㄶ㘸捥㈴㑥搷㔹㔸㠸ㄶ戰㤰っㄴ慦改㘲㌴昹㑣〲㑡戴㠹㔹昰改挵挲昱愵㔸㌸㑥㌵ㄴ㍤㤵㌸ㄸ㥥晡攳㘳㉥挷攲挴戲㤲㉣ㅣ捦㘸㑥愰㌸ㄱ㐲㘳攱㘴愸挶㈹㄰摢捥挲㌹㍣搵㤸敡㤷戵晡戵㉣㍣戲愹愵㉥㔳昷搰㙤㡤㌸㘱ㅥ〲晦㤲愰㔳搹㝦〵㠴㌸ㄴ㈶㐹搰㘹搰㥣㐹㉣搴〹㍡ㅤ㉤扣㌲㡡ㄷ㤳昰㐷㌴昹㑣〲㑡戴㠹挳攰搳㡢愰昹愵〸㍡㐲㌵ㄴ㍤㑤㌹ㅣ㥥晡攳㘳㕥㠰挵㠹㜹㈵〹扡㤰搱㕣㐴戱ち㐲㈳攸ㄲ㕢ㄵ㈹㌸㤱㉣㕣㑡搰㙡〸㤱㠱㐹戲㜰ㄹ㌴㘷ㄲ㜳㜴ㄶ慥㐰ぢ㡦㤹ㅥ㥢挹㔵㘸昲㤹〴ㄴ戳㈰摢㐴ㄶ㍥扤㔸㌸愰ㄴぢ㌳㔵㐳搱㈳㥥戹昰搴ㅦㅦ㜳つㄶ㈷愶㤷㘴攱㘶㐶㜳ぢ挵慤㄰ㅡぢ户搹慡㤸〷㈷㤲㠵摢〹㕡〷㈱昸攴㐷戲昰ㄷ㘸捥㈴挶敢㉣摣㠹ㄶ㙥ぢ戱攲㌵㕤㡦㈶㥦㐹㐰㠹㌶㌱ㅦ㍥扤㔸ㄸ㔱㡡㠵㝤㔵㐳搱昳愷㐶㜸敡㡦㡦昹㄰ㄶ㈷昶㈹挹挲㈳㡣收㔱㡡挷㈰㌴ㄶ㥥戰㔵搱〴㈷㤲㠵㈷〹㝡ち㐲㉣㠰㐹戲昰㌴㌴㘷ㄲ㘱㡤〵昳㐸㤸㡢㔷昲㙦昴搹㕥㥢㘸㐶㍦㉦〲㠶㤴㈲㘰㌷搵㔰昴昴㙢㈱㍣昵㘷ㄴ慦㌲攴㕤㑢ㄲ昰㍡㥡捤㌷㈸摥㠴搰〸昸㠷慤㡡㐵㜰㈲〹㜸㥢愰㜷㈰挴ㄲ㤸㈴〱敦㐲㜳㈶戱㤳㐶㠰昱㍥㕡戰ㄹ㐴㍤㉥㈰㍥㐴㤳捦㈴愰㤸㈱搹㈶㤶挲愷ㄷぢ㍤㑡戱搰㕤㌵ㄴ㍤㝤㍢〶㥥晡攳㘳㝥㠹挵〹㝦㐹ㄶ扥㘶㌴摦㔰㝣ぢ愱戱昰㥤慤㡡㘳攱㐴戲昰㍤㐱㍦㐰㠸㘵㌰㐹ㄶ㝥㠴收㑣愲愳挶㠲昹㝢㤸㡢㔷昲㘷晡㙣慦㑤㉣㐷㍦㉦〲㌶㙥㉣㜱㈱晤戳㙡㈸㝡〲㜸㍣㍣戵㌳㍡㥡昷搰慤㈷戰㜹愳愳㥤㜳㘳敢敡㕢慤㘶㌹〰搶㉤㠷晦散㍡㈲愹㜷攱愰㕦㜳㉡㘳㔷攸昴捣㡤挶戸ㅦち㤷㕡㤷捡挱㉤〹㈹ㅡ㜷戴㙦捣晥㙦㜴昵㌷㌷扡㉡挷㔶昳㐶㔸摢ㄹ扤挴㐶㔳㌰扥摡㍥㔸摢㠸㌸戰攸㌹っ㈲户㤷㙡㜸捥摦挸㠸㉦ㅣ戸㤱搵㔹㉥㕥摦〸㠹づ㤴ㅥ㜵攵挶㕥扣㤱戲㔳挹ㄱ捥㘷搱昸㝦攳挳㠵攵愵昶昸㜰㘵㌹づ㙥〶㐵㐷㡡㉡ち㔶㤶㡡敦㜱㌰攲敤晡戱㌸捥扤て〲ㅦ㠶㤱㠷㝢㔴㡥ㄲ搳㤹愲ぢ㠴㜶㤸敤〶搵㘰㈵㙡㐷㙥㉣捤愹㘶㕣㡢㥥㠰ㅥ〳搸㙢ㅢ搸捤敥㄰㥤㝢㐰散扦㥦㔵㡦㘷っ晦慤㔲捥捡㤳戰㠸昶㐷㐵戱摤㜴〷㘸摢㠶ㄹ㑢ㅢ㌳昳㥡㥢ㅡ㔱㔰换挱摡㤱ㄹ搴㐲戶㠸㤴搱㌰愹㘹昴挲㔶愳㘱扦㍡晣搷戹㘱扡㜵愴㤵㙡ㅤ㡤㘷㐸ㄸ〹㥥㠴慡ち㌹捥㍢㍥扢攴晦攷㌸㜰㔹〵㔶愱㑣㈰つ捥㔰戰㈸摣㙢敤ㄱ㔹㐵㙦㜵㙤ㄳ敡㙡㉤㔹㔲㑣摡つ〳㘳晡扦挱㠱㕥㔴ㄸ㈳扡搵㕦摦戰昷愰㑢㙥晥㔵晤扦っ㕢㥦㥣捣ㄳ戱搲挵㘷攰摥攸攲㙢慦㑤戰㠲挳㍤〳ㅢ㝤㠰敦㠰捤挰ㅥ捦㝢户搴㔹昸ㅤ搵㜰㐲㘱挱挷ち㜸敢捦㐸晡挱㤱昸㠷摡㍦㘰挸㥦捣〱㘸㌶㜷愱ㄸ〸愱敤ㅦ扢摡慡㘰つ挸〰㝣捣挱〴敤〶㈱㑥㠷㉡㉦㐳㠶㐰㜳㈶昱ㄲ㤶攱づ㘸晥〱收㘲ㄲ昶〰摥㘷戶搳㈶㔸㕤攲㤲愰つ㘸㍥㕤㡡㠰愷㔴㐳㔱㈱捡㔹昰㈴〹㠸㌱攴㈷㑡ㄲ㤰㐰戳㤹愴搸㡢搱戵つ敥敥㘳慢㘲㈵ㅣつ攰敡っ㈷㘸㕦〸㜱づ㔴㐹挰〸㘸捥㈴ㅥ搰〹㌸ㅢ收㘲〲㐶〳敦㌳摢㘹ㄳ攷愲㥦ㄷ〱㝦㈹㐵挰㍡搵㔰㔴〸㜳〱㍣㐹〲㈶㌱攴摢㑡ㄲ戰㍦㥡捤㈹ㄴ㔳ㄹ㕤ㅢ〱搳㙤㔵晣〹㡥〶㜰㜵㘶㄰㌴ㄳ㐲㕣〴㔵ㄲ㜰〰㌴㘷ㄲ㌷攸〴㕣〸㜳㌱〱〷〳敦㌳摢㘹ㄳ慣扡昱㈲攰戲㔲〴慣㔶つ㐵〵㍡㤷挲㤳㈴㈰捤㤰㉦㈹㐹㐰ㄶ捤愶㐵㤱㘳㜴㙤〴捣戳㔵戱ㅡ㡥〶㜰㜵敡〸㍡〲㐲㕣づ㔵ㄲ㌰ㅦ㥡㌳㠹㜳㌵〲㡣〶戴昰㝥㈴㕡捣㐲ㄳ㥡㝣㈶〱㈵摡挴ㄵ昰改挵挲㘹愵㔸㔸愱ㅡ㡡ち㠵慥㠶㈷挹挲ㄲ㉣㑥㥣㔲㤲㠵愳ㄸ捤搱ㄴ挷㐰㘸㉣晣摥㔶〵㙢㠷〶攰㘳㉥㈳㘸㌹㠴戸づ慡㘴攱㌸㘸捥㈴㝥慦戱㘰㕥ぢ㜳昱㑡㥥〴扣慦扤㌶㜱㍤晡㜹ㄱ搰㕡㡡㠰ㄶ搵㔰㔴挰㜴ㄳ㍣㐹〲晥挸㤰ㄷ㤴㈴攰㉣㌴㥢㉢㈹捥㘶㜴㙤㥢挱戹戶㉡㔸扢㌴㠰慢㜳ㅥ㐱攷㐳㠸㥢愱㑡〲㉥㠰收㑣㘲㥥㑥挰㕡㤸㡢〹㔸〵扣捦㙣愷㑤摣㠲㝥㕥〴晣慥ㄴ〱㠷愹㠶愲〲慡摢攰㐹ㄲ㜰ㄵ㐳㥥㕤㤲㠰㙢搰㙣㕥㑢㜱ㅤ愳㙢㈳攰〶㕢ㄵ户挳搱〰慥捥㡤〴摤〴㈱晥〲㔵ㄲ戰〶㥡㌳㠹改㍡〱㉣戵㉡㈶攰㔶攰㝤㘶㍢㙤㠲㌵㔹㕥〴散㔷㡡㠰㜱慡愱愸㝣㙢㍤㍣㐹〲搶㌳攴㌱㈵〹戸〷捤收扤ㄴ昷㌱扡㌶〲ㅥ戰㔵挱㘲慤〱㕣㥤つ〴㍤〸㈱敥㠵㉡〹㜸〸㥡㌳㠹㝤㜴〲敥㠱戹㤸㠰挷㠰昷㤹敤戴㠹晢搰捦㡢㠰㔰㈹〲㠲慡愱愸㘲㙣〳㍣㐹〲晥挶㤰昷㉣㐹挰摦搱㙣㍥㑦昱〲愳㙢㈳攰㈵㕢ㄵて挲搱〰慥捥换㌰㤸慦㐰㠸㠷愱㑡〲㕥㠵收㑣㘲㔷㥤㠰㠷㘰㉥㈶攰㑤攰㝤㘶㍢㙤攲ㄱ昴昳㈲愰㑦㈹〲㜶㔴つ㐵㘵㘹㡦挳㤳㈴攰㐳㠶扣㝤㐹〲㍥㐶戳昹〹挵愷㡣慥㡤㠰捦愱ㅡ晦愴㔰㑦㝡㜱㐹〱㥦〳戸㘶㕦挰㙣㝥〹㈱㥥㠲㉡戹昸ち㥡㌳㠹㙥㍡ㄷ㉣㘰㉢收攲㕦挰晢捣㜶摡挴搳攸攷挵㐵㘵㈹㉥㉡㔴㐳㘱㔱㕣攵㕦攱㘹ぢ㡡㤹㍡㌱攰摣慣㍡㙢㌱慢㉦扡收昰搵慡搱ぢ㕢㕡㥢㘴愹㐸㤷㕣㙤搳晥㑤慤戵㜵㉤㐷搶愷㤶昶挸愹㤹〳攷㔹㡤㈸攴㙡㐶㍤㔷㠱慤改挸㈳慤慣㤹㥢搱戴戰㌹㘳㡤慦晤㉤ㄴ㝡㘱晤㤰㍡㔹攳㔵㉥㌰㙤㕤敤ㄲ㕣〸㙣㌰㤸捡㉡㥦㠳挳挲ㄲㄴ㙤〸愱㙤戴捡て㘰户㌶㐶㘷搶戵搶㕢㥤㜲戲㕤捥㔷攵挰㈲慡攳戲ㅤ㜳㌳攷愱㉡愳戶㑢㙥㕣㜳㕤戶扥慥搱㘲㌲㌰〲挶敦慢㑤戲收愲ㄲ㙥㉡㥥愹昰扢㜴㕤㜲㌳㥢㔳㡤㉤㐷戲愸㈷戳戴㝢㥥㈶敦ち㉢㜳愳敡ㅡ㕢戰ㄸ㤹㐵捥㜷换捤㤸搷戴ㄸ㕦敢㕣搸搰㌸㉥㜵㘴换㙦㈲㉢㠲㘹㤱㤳㑣㡤㈸ㄷ攵攵愲慡扣㙡㙢昳㘳㙣挴㍥戶ㅤ㌶搰搶收扡昴㐲昹昴愹㕦㕢㈵慦㕣㔰〸戲㠲㐲㈶戲慣昲敦㤸㙢㘷㈸㠸〳㐲慡㐸㤱〵㜸っ㌸敦ㅢっ㥥戵㘰敥ㄷ㘶㌹〸㘴晥㠲㤸㍡晦ち㌱㘱摣〱攳摢㑡㔳晦㐷摦㍥慤㝣ㅥ㥥ぢ㙦戴ぢ㌷㍦户ㄲ戰ㄷ挰㕤敤敤㠸㌶㙥㔶搸㍤戱㌹㔰㉢摣㌶㝤㌹㠹攱㘶摡戵㙤㜶㉣㡡挹㍡攷㈶愵搲㔶㍤㙡攰ㅡ㔲慤㕤㙤㠵挳㘲つ愹晡ㄶ搵㌶扡愹愱㈱挵敤㡥摢散㡣㑣慡摥慡捡㡤㕣搸摡㠴㉦㉥㥡㌹〸戹㜱㉡㔳㙡〹㑣愹㈵搲搴㌹㌷㥤戵戱㜲㥥扥㥡收愶㥡敢㕡攷㌵搴㘵慡愸戰㝥昵㌷戱挱攲〸㔰〱㌲㥤挹㌹愰ㄴづ昴搸㐳ㅥ㐸㜷㌵捥㈴愴㡥改挷㘶㕤㉥っ晣ㄳ㕢㔹㍡㠹愳㡦㍣慢㤸愲〳㙡〷攱ㄱ〶戵〷㝤昵慢㌳戳っ㌳昲〸㈵㕥㈴〰ㅦ戳ㅣ㜰捥昰㔳昱ㄲ㐴扢㜵㜵ㅤ〱昰㑤㙡㑡㘵挷㘲㄰扥愹戹愳晡戶㜴ㄵ㔲换攳㑤戳㥦㤵㡥愳㔱㍣㡢㕡慤㐵㜵㔹慢戹㡡㠶ㄹㄸ扣慡㘰㡤愴㘱攷㄰〳ㅢㅤ捡㉡㉢㍢㔵㜹㉤㙢扣攳㙢愰㉡ㅤ搳扦㙤㍥扥挸晦攷搳ㄲ㈳挸扡捦挷搸㑣㌸㐶捤ㄱ搷㠹㌵㤴㕣㥦〲〰扦㥤㙣ㅡ㄰㤵慦愰戱㌰㌷昹㐵㠷㈸㑤㌴〱慡㤰摦㌳㘶㌹㘴ㄵ㑡〷㘵ㅤ㘵愵㕣㤱㑥㕡晤愳㘱㤷㍥㔶㌹㕦㕥㌶㘶㘰㉢户戲㍥晢㈰换愱㍢愶愳扣扣〲愹㌶ち㥦㡥ㄴ㉤ㄶ捥ㅡ㘶㔸戲㌰㔲昴㐵〸㐶㐷㐴摣㤹㍢ぢ晣捦挱愳捥㘰搱㈵㠴捦㘷捡㙦搳晢挴ㅢ攸攰慣㜹㘷捣㉢㙡㝣㕣昳㑥㄰攲〳ㄸ㜹ㄱ㠰㔹攷㤴㈵㍥㠲挶搳㔶㤹搱ㄹ㤰㉤㍡㑣㡡㡦搱㡤㠷㑡戳ぢ扤㝦㠲㌹ㅥ㠱摣㉤戲ㅢ慣㥢摥㈲㍦㘳て㝣㑣㍦㥤㈸㐵戰㠸捥㔹ㄷ㉤捤摢〰㘳㜶㈷昰ぢ㙦㐰て〲㝡ㄲ昰㈵〰㑣戵搱ぢ㥡㐶㈱扥㔹㕣㔸㘷〴ち㝢〳㔴收ㄳ摦㙡㕥㌵ち户愳搷敤改昵㘷〰ち㈹晣〵㌶㥢挲ㅤ〰搹㌲ち㔹㔰㈷㈹摣㤱摥戹晥㜹ㄴ敥〴敢愶㈹㉣㐷㌷㐹㘱㕦改挴㔶〴换昰㍣㈸摣ㄹㄸ戳ㅦ㠱ㄵ摥㠰晥〴っ㈰㠰㔵㝢㤲挲㕤愰㘹ㄴ攲㍢搳ㅥㄴづ〲〸ㄴ戲㜴捦㔹㉣昷㈲戵ㄵ敥㑡慦㠳改㤵㘵㜶㠵ㄴ戲戶捥愶㜰㌷㐰戶㡣挲㕥攸㉢㈹ㅣ㐲敦慣捤换愳㜰㈸慣㥢愶㜰㍢㜴挳ㅦ㑡摢攸〴㌳昲挳㐲㍥㘷㕤戴慤㜰て㘰捣㙡〲㔹攴攷〱搸㤳㠰〰〱慣晢㤳ㄴ〶愱㘹ㄴ攲慢摤ㅥㄴ㠶〱〲㠵㍢㙢㕥戵慤㌰㐲慦㔱㝡㘵愱㕥㈱㠵慣捥戳㈹㡣〱戲㘵ㄴ戲愸㑦㔲ㄸ愷昷㘱搰昲㈸㑣挲扡㘹ち㔹〵㠸㍦っ愷搲㠹㐳㈱㑢〱㍤ㄸ摡ㅢㄸ㜳ㅦ〲㔹㈶攸〱ㄸ㑥挰扥〴戰㜲㔰㔲㌸〲㥡㐶㈱扥慦敥㐱攱㐸㠰㐰㘱㔴昳慡㔱㌸㡡㕥㐷搳㉢慢晣ち㈹慣㠱捤愶戰ㄶ㤰㉤愳㜰㈴晡㑡ち挷搰晢㈸㘸㜹ㄴ㡥㠳㜵搳ㄴ搶愲ㅢ晥昰搵㜸㍡㜱㈸㘴ㅤ愱〷㐳攳㠱㌱㈷㄰㌸搶ㅢ㌰㤱㠰㐹〴戰散㔰㔲㌸ㄹ㥡㐶㈱扥㠹敦㐱攱ㄴ㠰㐰㈱㙢て㥤挵㙡㍢昲㔴㝡㥤㐶慦慣ㄳ㉣愴㤰挵㠱㌶㠵搳〱搹㌲ち㔹㔳㈸㈹㥣㐱敦〷㐱换愳昰〰㔸㌷㑤㈱㡢㄰昱㠷敦摤搳㠹㐳㈱㉢ㄱ㥤㜵搱㜶攴〳㠱㌱て㈲㤰㔵㡡ㅥ㠰㠳〹㌸㠴〰ㄶ㉥㑡ち㘷㐳搳㈸挴晢〴㍣㈸㍣っ㈰㔰㤸搲扣㙡㕢攱敦攸㜵づ扤戲挸戰㤰挲㝡搸㙣ちて〷㘴换㈸㘴㐱愲愴㌰㐵敦慣㑣捣愳㌰〳敢愶㈹㘴〵㈳晥昰〵㝦㍡㜱㈸㘴ㄹ愳〷㐳ㄶ㌰㘶㡥㐰㤶㌸㝡〰收ㄲ㌰㡦〰㔶㍤㑡ち敢愰㘹ㄴ攲㍢㝤ㅥㄴ捥〷〸ㄴ戲敡搱昱慡㔱㔸㑦慦つ昴扡ㅣ㠰㐲ち㡦㠷捤愶戰ㄱ㤰㉤愳㤰搵㡣㤲挲㈶㝡㍦ㄱ㕡ㅥ㠵ぢ㘰摤㌴㠵㈷愳ㅢ晥㔰昷㐹㈷づ㠵㉣㜴㜴搶㐵摢ち㕢㠰㌱昹ㅥ㈵挱㈲㐸て挰㐲〲ㄶㄱ挰扡㐸㐹攱㘲㘸ㅡ㠵ㅥ挵搳戸愸㔹ち㄰㈸㘴㕤愴攳㔵愳昰㈸㝡㍤㥡㕥㔹挳㔸㐸㈱ぢㄷ㙤ち㡦〱㘴换㈸㘴扤愳愴昰㔸㝡㘷攱㘳ㅥ㠵换㘰摤㌴㠵㉣㤰挴ㅦㅥ㌸搰㠹㐳㈱慢㈴㥤㜵搱㈸㍣づㄸ昳㜸〲㔷㝢〳㑥㈰攰㐴〲㉥〳㐰㔲㜸ㄲ㌴㡤㐲扣搵挲㘳㉢㍣〵㈰㔰㜸㤵收㔵愳昰㔴㝡㕤㐱慦㉣㠰㉣愴㤰㔵㡦㌶㠵愷〱戲㘵ㄴ戲㔸㔲㔲昸〷㝡㘷搵㘴ㅥ㠵㘷挰扡㘹ち㔹㕤㠹扦㌲昳㡦㜴攲㔰挸ㄲ㑢てち捦〴挶㍣㡢㐰㤶㕦㝡〰㔶ㄲ㜰㌶〱慣挸㤴ㄴ㥥〳㑤愳㄰敦敢昰愰昰㍣㠰㐰㈱㉢㌲ㅤ慦ㅡ㠵攷搳敢〵昴捡敡挹㐲ち㔹㌲㘹㔳昸㈷㐰戶㡣挲㐷搱㔷㔲㜸㈱扤戳攴㌲㡦挲㔵戰㙥㥡㐲㤶㘶攲慦捣扣㤸㑥ㅣち㔹㥦改慣㡢戶ㄵ㕥〲㡣㜹㈹㠱慣摤昴〰慣㈶攰㌲〲㔸捥㈹㈹扣ㅣ㥡㐶㘱愴戸㤶ㄵ㍢昲㤵〰㠱㐲搶㜴㍡㕥㌵ち慦愲搷慢改㤵昵㤷㠵ㄴ戲攸搲愶昰ㅡ㐰戶㡣㐲搶㙡㑡ち慦愵㜷ㄶ㙤收㔱㜸㍤慣㥢愶昰ㅦ攸㠶扦㌲昳〶㍡㜱㈸㝣ㅢ㜳捥扡㘸ㄴ摥〸㡣㜹ㄳ㠱敦㜸〳搶㄰戰㤶〰ㄶ㠴㑡ち㙦㠶愶㔱㠸㤷愵㜸㙣㠵户〲〴ち㔹昴改㉣㔶愳昰捦昴㝡ㅢ扤戲㜸戳㤰㐲㔶㙣摡ㄴ摥づ挸㤶㔱挸㐲㑦㐹攱㍡㝡㘷挵㘷ㅥ㠵㜷挰扡㘹ち㔹ㄹ㡡扦㌲昳㑥㍡㜱㈸㘴㜹愸戳㉥ㅡ㠵㜷〱㘳慥㈷㤰愵愳ㅥ㠰扢〹戸㠷〰㔶㤳㑡ち敦㠵愶㔱㠸㔷扥㜸㔰㜸㍦㐰愰㤰㈵愵㡥㔷㡤挲〷攸㜵〳㐴㈵搷愷㥤㘱㐸搴戶㘸㈵㝤㕤攱搳挸ㅤ搰㔸搷㡡ㄱ㐲づ㜴㡣慤㙢挵㔸㐷攷ㅣ〴㘶㘵敤摤づ㜲攴㔰敢㌴搴㝤㉣戱㜳㜱㔳摥㜳㡡扥挵敤晡㠳㡢㠱ㅥ捤昶㈳つ敤㐹挶愶㐰昲搱㠶㐷㡣扦愵㘷ㅤ挲慥挹㔲㡦㍢挴愰搲㤵㡢ㅡ敦ㅣ愹晥ㅦ㍣ㄹ㌱ㅥ挴搶㠰慦〵㥡て㜱挳攱攰〶づ㘵て㘳㥥㡦㑡㡣㑤㙥㈴㕡㈹㈷ㅦ㐵昹昸戸挴戶㜵㔱戵挲攳ㅢ㕢㌰搶攸㔳ㅡ㐶㤲扢慡搹㈹ぢ㕢昳㕡㔲㑢㝡愸㤶㤱昵昵㔳ㅡ昱㉣㈰㤳㙡捥晥㐶〶㡦戱㙥昶㠳づ㌹づ扣㜵て愱㌰㥥㈷愷慦㌸㥥愴㈶㥦昹㠸攲扡㈳戸摥㤲㑡搸㙥昰搰㠵㜴扢〵戲㔵搴㈶㕢愹㐶㤹㠵ㄹ慤搹㕡㙢㤱㝣㈲㌸搵挲攳㍣扣㝢戱摥敡㈱㍢戸慡ㅣ㈸㌵㜳㈳搳㉤㜸扡搴捡愷〶㙡㑥敥敡㘶㙥扡㔵㥦攲㍢㈳㌰挸慦收愶㘶㕡㔱昷敤㍡攰晢㈰㝥㍢ㄹ〲㈳ㄵ㉡㑢㐲收挹㘸攷〸㤷扦ㄲ摣㡢戶㉥慢㍣搴攷攴昴挵〸㜱搱㠵㥣慥ㅦ㔱收捣愸㘷㡥㔵㐸㙥㍢捦慡㜰戴搵换㤶戹㈷昵㜰慡改敤㘳㥣㍣㝣㜵㜶㙣㝣愰搵㠵㑦ㅦ㥢㕢昱搲ㄴ扥愳慢ㅢ㜷㥤㝡㡣昸户搶攱搹㑤晤搲慥戹昱㡤㤹晡㠵㔹㑢㍥昸㜱㡥摡昲昹捦㙦㈲㕦ㅣ搶㔴㝢㔴㍢扣㈸㔲挶攳扤戵捥㑢㌴戶晥ㄱ戰昹㈸昶㌴㜹捡㠴て㥦昹戸摡敦㔸愱扣挵㌵攲㍥㐴摦扤敤ㅢづ昲㙤愶㌸戴ㄵ㤹㜸㑣㘳挱敦㘸愷捣㕣敥㜱ㅡ㙣㔲搳愴㈶㍥㐲搶㑣晢搵搹愶摦㐴㥥戰㥥㜶㥡っ〳㡦扦戶㜲て愱㤳攵昳㙢昸㕦搹㘵㡤㌵愷敦摤慦敥搱户㕥ㄹ㠱㉣昰㠱扣㘰ㄱ戸扣㜲㤳〵戸㍣〹㤵㠵㠰㉣愷挰㘹㠸㄰㤶㠸换ぢ戴㈷㤱㌵搱〵㥡㝤㠱㠶㌲ㅦ㈶昵㘹㠸㑤㕦愰戱愶㥣㥢㥤昹っ㥤㘰㐶㝥㔸㑣敥㕣㈹搱攰昳愱戵捣㝣㤶㝥晦㑡㈰ぢ捤㍤〰㝦㈳攰㌹㠸捡㥥〰ㄴㅥ㘸㑡㤶㑥愳㐳㔹㘵〳ㅦ㌹㔵㌵昰搱ㅢ㜶㔳〳㉦晣㐰㘹㌸ㅥ㤱ㄹ㥤慡㔸㕡㙤晥ㅤ愸㘷㥥㝥㝡㌸戰㘵㠲戵挹捥昲戵㈱扥攷戹晣ㄷ㈰〴㙢㠸ぢ慦㠶㔹㌸㙣㕦つ扦〸挸㤶㕤つ戳摥㔸㤲晤ㄲ扤戳昰㌸敦㙡昸ㄵ㔸㌷㑤昶慥攸㈶挹㝥㤵㑥戸ㅥ晣っ㠶搵㔹ㄷ敤㙡昸㌵㘰捣搷〹摣捤ㅢ昰〶〱㙦ㄲ挰愲㘶㜹㌵晣ㄶ㌴敤㙡㌸敡㜹㑦昶㌶㐰戸ㅡ摥㐳昳慡㕤つ扦㐳慦敦搲㉢慢㤰ぢ㈹㘴改戱㑤攱㝢㠰㙣ㄹ㠵慣㔸㤶ㄴ扥㑦敦㉣㕤捥愳昰㐳㔸㌷㑤㈱㑢㥣㈵㠵ㅦ搱㠹㐳㈱敢㥣㍤㈸晣ㄸㄸ昳ㄳ〲㔹〳敤〱昸㤴㠰捦〸㘰㔹戴愴昰㜳㘸ㅡ㠵㜸㠵㥦挷つ挵ㄷ〰㠱㐲搶㐶㍢㕥㌵ち扦愴搷慦攸㤵㜵捣㠵ㄴ戲㜸搹愶昰㙢㐰戶㡣㐲搶㍣㑢ち扦愱㜷ㄶ㍦攷㔱昸㉦㔸㌷㑤㈱㡢愴㈵㠵摦搱㠹㐳㈱㉢愵㥤㜵搱戶挲敦㠱㌱㝦㈰㜰愶㌷攰㐷〲㝥㈲㠰㠵搵㤲挲㝦㐳搳㈸挴换〹㍤㈸晣ㄹ㈰㔰挸敡㙡㘷戱ㅡ㠵ㅢ改昵ㄷ㝡㘵㈵㜴㈱㠵㉣㝦戶㈹晣ㄵ㤰㉤愳搰㐲㕦㐹㈱敦㉢㐴づ㕡ㅥ㠵㜸摣扤ㄹㄴ捥㐳㌷㐹㘱〷㍡㜱㈸㘴慤戵戳㉥ㅡ㠵㜸㈱ㄷ㕥ㄶ㑦㈰敢戰㍤〰〶〱ㅤ〹㘰㘹戶愴戰ち㥡㐶㈱摥戰攸㐱愱て㈰㔰挸搲㙣挷慢㐶㘱㈷㝡敤㑣慦㉣愳㉥愴㤰戵搳㌶㠵㕤〰搹㌲ち㔹㜲㉤㈹散㑡敦慣扤捥愳搰て敢愶户㐲搶㘸㑢ち户愱ㄳ㠷㐲ㄶ㙡㍢敢〲㍢㑥㍣戲㐸愲㍢收捤ㅥ〴戲㠸摢〳搰㤳㠰㕥〴ㅣ〷㠰愴㜰㕢㘸ㅡ㠵㔱㑦ち户〳〸ㄴ㥥愴㜹搵㈸摣㥥㕥㜷愰㔷ㄶ㘲ㄷ㔲挸敡㙢㥢挲ㅤ〱搹㌲ち㔹戴㉤㈹散㐳敦慣摥捥愳戰㉦慣㥢愶昰㕣㜴㤳ㄴ敥㑣㈷づ㠵㉣昵昶㘰愸ㅦ㌰㘶㝦〲㔹〶敥〱ㄸ㐰挰㉥〴戰㌲㕣㔲㌸㄰㥡㐶㈱摥㝥改戱ㄵ敥ち㄰㈸㘴㜹戸攳㔵愳㜰㌰扤敥㐶慦㉣攵㉥愴昰ㅡ搸㙣ち㠷〰戲㘵ㄴ㕥㡢扥㤲挲摤改晤㍡㘸㜹ㄴづ㠳㜵搳ㄴ戲㑥㕣㔲戸〷㥤㌸ㄴ戲㔸摣㔹ㄷ搸㥤慤戰ㅡ昳收㥥〴戲㤰摣〳㄰㈰㈰㐸〰㙢换㈵㠵㈱㘸ㅡ㠵㜸㝢愷〷㠵ㄱ㠰㐰㈱ぢ捣ㅤ慦ㅡ㠵㔱㝡㡤搱㉢㡢挱ぢ㈹㘴〵戸㑤㘱ㅣ㤰㉤愳㤰㠵攳㤲挲〴扤戳㠲㍣㡦挲扤㘰摤㌴㠵慣㌴㤷ㄴ敥㑤㈷づ㠵㉣㌷㜷搶〵㜶㠷挲㝤㌰㙦づ㈷㤰愵攸ㅥ㠰㝤〹㘰㝤㤴㘰㜵扡愴戰〶㥡㐶㈱㕥㌹敡㐱攱㈸㠰㐰攱㘳㥡㔷㡤挲搱昴㕡㑢慦㉣㈷㉦愴㤰㌵攴㌶㠵㘳〰搹㌲ち㔹㝡㉥㈹ㅣ㑢敦㉦㐰换愳㜰㍦㔸㌷㑤㈱㙢搵㈵㠵攳改挴愱㤰〵敢ㅥっ㑤〰挶㥣㐸㈰㡢搹㍤〰㤳〸㤸㑣〰敢摢㈵㠵晢㐳搳㈸挴㥢㔱㍤㈸㥣ち㄰㈸㘴㤱扢攳㔵愳㜰ㅡ扤㑥愷搷て〱㈸愴昰㘳搸㙣ち㘷〰戲㘵ㄴ戲㜸㕤㔲㌸㤳摥㔹挵㥥㐷攱㉣㔸㌷㑤㈱慢摤㈵㠵〷搲㠹㐳㈱敢摣㥤㜵㠱摤搹ちて挲扣㜹㌰㠱慣㠱昷〰ㅣ㐲挰㙣〲㔸ㄶ㉦㈹㍣ㄴ㥡㐶㘱摣昳扡昰㜷〰㠱挲㝦㘹㕥㌵ち攷搰敢攱昴捡㈲㕡ㄹ㙤㡡ㅡ晡昰㘲愸㔲㐰ㄶ搶昷ㄵ搵㕥捡㈵攴㔸㠵㌹愳㜵㘹㍤㉡㕦㌹换㝡㍦㝢㡥户㑦ㄸ㔷㠴つ㔵㠸㑤捤ㄸ㔲愸㈸晣摥戶摢昷㔹㉣戴㔳捦㠲户㝥捡㙥㙣㘱㤱㘷攵愵晦㈹㝥戳愵摢㥦㠱户扤〲㤰㝤㌸ㄹㄹ㠴搸㜳㜲㕤〶慦挹㙢捡戵昶㥢㠱搲敥㝥㝣㡢㙡づ㘳ち㈳㉢㉦㠶㐷捦㘵㜲挵㉡ㅡ昹敢㈷㡢昸㔶㐱摦晣挶愶挵㡤㌲㥡捡ㄶ扥㑣㔶昲搵戱㈳ㄷ挳㤱〶㌹敤〲昲晣攵愰㡤㥤㑤ぢ戲㑢〷㝦〷攸攴搳挸㐱ㅦ㌴㝡搴攸改㜳搲㠱㘴㉣ㄷ㑢㘵㤲搹㔸㈴ㄲ㑤㕢愹㔰㈴ㄲ㑢㠶㐳戱㜰㈶ㅣ捤㠶挳挶㕣ㄷ㥡〹㘵攳改㘸㌸㙣㠵愳挹㐸㌸㥣㑤㐴㠳搱㐴㈴ㄷ㑡愵慣㐴㍡㄰㐹ㅡ昳㕣㘸㈴ㅡ捡〵㔳㜸㐹㝦㈴㘸㐵㤲㤱㜴㍡ㄸ㠹㘴㘳㤹㐸㌸ㄶっ挷㐲攱㥣扦㐲㐵㘲搶愱㡦㜹〴挵㝣〸㝦愵㘳慦愷愹㠱愲㤱㜶挳戱㑢愸散㐴㝣愵〹晢收㔶㘰〲㡦㡢㘶㤱ㄱ㔹㘱㔵㜴散㔸㌴㘰㕥㔴戹改扥愱搲㌰㔸戸㔹昹㐷㈴愸㜰㤴摤扢㔳㝥晥搹ㄹ㥢㑣㤹搹挲昵㘹㠵昰昹㌹㙣挰㠰㡣㠵㤰摤㐷㡦㥡㠳㌷㈶敡㉦㘶㌴ㄶ挱摥ㄹ㜶㌹〴㌴ㅤ㙦愶㌵ㄶ挳戲つ㉣昹扦㡦㘳㉣㠱戹㉢捣㕡〵扢扦㤳昲㙥扥换挵づ愰㌸ㅡ㌰戳㍦收㐴ㄷ㌴捡㑤收㔸㤸㌸㈳㍦摤㘸攵攷㜸慣㈵㌷㙥㌴㤴ㄹ换〰㈹戹挵㡡攵㠰㜱慢捤摦敡晣捥挲㡦㐳㘷㙣㜵摢㐰挷㕦㤹㜱㍣㜴戵搵㈵㤲挱㔴㍡ㄱ挹愶㠳愱㐸㍣ㄵ㐹㠶㠲㤹㉣摥㘶㥤〹㈶慣㙣㉡㘷ㄹ㈷戸搰㘸㈶ㄱ㠸㈷㘲㠱㜰㈸㤰㡣㘴戹㠹挶愳改㐸㈸㥢捥挲ㄲ㑥㠴㡣ㄳ㕤㘸㍡ㅤち愷㘲戱㘰ㅣㅢ㕦㈴㠱捤㉥㤸㑡㘶㈳㠹㑣㌰㤰〸㕢㠱㘴捥摦㕤㐵㘲㥥㠴㍥收挹ㄴ愷㐰昸㝢㌸昶㔳㘹㕡㐱㜱ㅡ敤㍤ㅤ扢挴ㄳ㉡㍢㠹摥戰㜳换ㄳ捤㔸㜹㙥ㄵ㌲扢㘷戲晤㉣〸㥦㝦㍢㌴㘲愶捣㔸〹改㤵摤戳㘱捦捦敥㌹戰㜸㘴昷㕣㤸ぢ戳扢扤昲㙥㘷㜷〸㤶㘳㕥〰㤸戹ㅢ收挴㡥㡣㡢愶ぢ㘱攲っ昴㌲戱ㄳ慤晣攴㄰慤㥢摤㔵㠰㤴捥㙥ㄶ搰攲散昶㠵ㄷ㜴㉢㌳㉦㠱㐴㜶㜷㠶㡥扦㌲攳㔲攸㜶㜶㤳㔶㈴ㄱ㑡㘶㤲搱㔴〸㈹㑥㐶ㄳ搹㘴ㄶ摦慥㐸〶㘲㤱㜸挰ち㠵㡣搵㉥㌴㡣昷㜰㈷㌳挱慣㘵㔹㤹㠸㤵㡤愵㘲㠹㜴㌴㥡㑤攱㑤昴㠹㜴㈴㤵㌳㉥㜳愱㤹㐸㌰㡡扣收㈲愱㑣㈴㠲愳㔶㍡㥤㠸收㐲挹㔰㈲ㄴ〶㍡ㅤ昷昷㔳㤱㤸㤷愳㡦㜹〵挵㤵㄰晥晥㡥晤㉡㥡慥愶戸㠶昶〱㡥㕤攲〹㤵㥤挴㈰搸㘵㜶㘷改搹扤㤱敤㌷㐱昸晣扢〲㠰㤹㌲㘳つ愴㔷㜶搷挲㥥㥦摤㥢㘱㈹㐸愳㜱ぢ㙣挵ㄹ昷て㔶摥敤散〶㐸昵㥥ㄴ户〳㉥㠶愰㔱㘶㜷ㅤ㌵㤸愱攳愵愴戴昲㌳㐱换慥挹㝤㤷㈷ㄶ戱㥦㘷㈲㠷愱〳ㄱ收㕤㤰㐸攴ㅥ搰昱㔷㘶慣㠷㙥㈷㌲㥡捣愴㈳㘱散㐰ㄹㅥ挴㈳挱㘴㌰㤶㡡㐷㐲㠱㐸㉥㤷㠸㔹搱㠴㜱户ぢ㑤㈶㔳㐹散㥦㤹㜸㉡ㅣ㠸㠴㔳挱㔴㌰㄰㡡㠷搳攱㑣㉡㤵づ㈷ㄲ㌱攳ㅥㄷㅡ㡤〵㜲㜱愴㉣㤰つ㈴㈲㔶㈲㤸戶㘲㔶㉡ㄸ㐷㘶ㄳ㤱㑣㌶㤱昶㔷慢㐸捣㝢搱挷扣㡦攲㝥〸晦㥥㡥晤〱㥡㌶㔰㍣㐸㝢挰戱ㄳ㘵攳搹㔳㠴㘱㤷㠹摣㑢㑦攴㘳〴㍤づ攱昳㐷〰挰っ扥㈹㑣ㅢ昷㐹㤳扢愱挹㥤捥ㅦ㜵ㅡ攵㌱㤴㉦〲㌵晦捡挶ㄸ收㐴ㅣ㡤㌲て捦挱攴收㈱㐹㉢㍦搵㝡ㅥ㜸搶㤷㜹ㄸ收㤹㠷扤㥣攵扣〸ㅣ昲戰㌷㜴晣㤵ㄹ㉦㐱㜷㜶愸㈴ㄸ㑤㠶㜹昸㡢㈴㜲搹㘴㉥ㄵ挸㐴ㄳ愹㕣㈰ㄴ㡤攲㤷㘶㡣㤷㕤愸㤵ち挴㘲攱㘰㈰ㄳち㘶㈳㤱㜴㉣ㄱ㑤〶㜳愱㜴㌶㤰挹挵㌲昱㜸搰㜸挵㠵㈶㤲戱㔸㉡㤲捡㠴戰敢攱散ㅣ挵㜷㝥昰慢㜷㤱㈰扡挷㤲挱㜴挶扦㡦㡡挴㝣ㄵ㝤捣搷㈸㕥㠷昰て㜷散㙦搰昴㈶挵㕢戴敦敢搸㠹㙡敢㈴㐶挲㉥昳搰㔷捦挳㝢〴扤て攱昳㡦〲〰㌳㘵㈶㑦㠶㈶捦㝣㈶㑦㜶㈶㑦㙤晥搱㑥愳捣挳扥㠴㝤挶㐶づ㜷㡢㌱㘸㤴㜹昸㈷㑣㙥ㅥ挶搱捡㑦㜷㍤て㍣摡挹㍣昸㍤昳戰㥦戳㥣慦㠱㐳ㅥ挶㐳挷㕦㤹昱つ㜴㤵㠷㘸㈰㥡挹㔹ㄱㅣ㥥㘲㤱㕣㌴㤶㑥㠵㐲改㜸㉣㘵愵戲愱㘰㉥㤵㌴扥㙤㠳攲晣㤴戵㌲攱㜰〴扢㔰㈰㤴㑤㈶搳愹ㄸ㌴愶〴愷愹戴昱㉦ㄷ㙡㠵ㄳ戹㘸㈸㤳㑤㈶㔲㌸㕢攱㜴㤸㡥〵㈲㜱散ㄴ挱㕣〶挹挸昸㈷愸㐸捣敦搰挷晣㥥攲〷〸晦㐴挷晥㈳㑤㍦㔱晣㥢昶㐹㡥㕤㐲㘵㈷攲挵ㄴ搸㘵ㅥ捡昵㍣晣捡㝥㘵㤵捣挳㔴〰愰攱摤㝦戴昱㈸㘶昲挰㘵昲㐸攵㥦收㌴捡㍣㡣㈱慣㤶愲ち㕤挵っ㌴捡㍣昰户ㅦ摤㍣ㅣ㐰㉢㍦摦晦扢敤慣搳㜶㕣晡ㄷ慣挵㈷㤸㔹捥㜲扡挰ㄵ昲㜰㈰㜴晣㤵ㄹ㕤愱慢㍣㈴戳㘱敥〹㈱㕣愲攲㕣㘰愵㤳愹㕣捥㑡㘷㌳挱㈸攸㑢㠶㡣㙥㉥ㄴ㔹挸挶㐲ㄱ㉢ㄴつ挶㈲〹㉢㤴㑥㘶〲㤹㘴㉥㤴捤〵㜰㐹㄰挹ㄹ晥㌶愸㤵挸㈴慣㈴㡥㐰挹㜸㈴ㄲ捦㈴〳愹ㅣづ㘰昱㔰㉡㤹〹攱㜰攷㍦㐸㐵㘲㙥㠳㍥㘶㜷㡡ㅥ㄰晥㠳ㅤ㝢㑦㥡㝡㔱㙣㑢晢㈱㡥摤㠵捡㥥攲㌰搸㘵ㅥ㍥〴〱敥攵挳㡥散搷〷挲攷晦ㅤ〰愰摣晢戸㌴挷㘹㤴㜹㤸㐴搸㉥散㍡ㄱ㜳㈲㠵㐶㤹㠷㐱㌰戹㜹挸搰捡捦㙢㝡ㅥ摣攳搲㉢㥥㜹挸㍡换ㄹ〲㔷挸㠳〵ㅤ㝦昸㌹㍦攸㜶ㅥ慣㙣㈸㠴㔳㙦㍡㤳捡〶㈳挱㑣㌸捤挳㌹㑥昸㌸敥〷㜰攵ㅦ㌰㠶戶㐱慤㔸㌸ㅤ㡡攱㤴㙥㘵㈳㠱㉣㡥㐸戸㥥㑢㠶㐲㤱ㅣ敥ㄱ戲搱慣㌱捣㠵㠶攳㠱㕣㌸㤹㡤㘷㘲㘸づ㈵㔳戸扦㐸㔹㌸搲㘵㌲㈹㕣㔱㘴㤲晥㥣㡡挴摣〳㝤捣㙡㡡㍤㈱晣㜳ㅤ㝢㠰愶㈰㐵㠸昶㜹㡥㕤㐲㘵㈷攲挵㝣搸㘵ㅥ㥥搴昳㄰㘷扦〴㠴捦㕦て㠰捣㠳搷㜱愹挱㘹㤴㜹㤸挱㍣㡣㘰搷改捣㐳ㄳㅡ㘵ㅥ㐶㜲㐱戰㐰挷晢㉡㘸攵攷㍥捦㍣摣攳㤹㠷㘶㜴㤰㐱㡣㠱㉢攴愱〵㍡晥昰搳㝢搰敤㍣〴㠳㌹ㅣ㡢㤲㜱㉢㤴挰㔵ㄴ戶摦㐰㉥㤲ち愶㠳㔶㈲ㅥづ㠷㤲㌱㘳㕣ㅢ㌴ㄷ㑦㈴㐲戸㙣㡡挴搳㍣㌴愱㕢㌸ㄷ㑥攰㤷㔰㐲挱㜸㍣㤱㌲昶㜳愱戱〴㙥敢㔲挹㐰㍡㠳攳㔱㈲ㄳ㑢攴搲改㔴㌶㥤㡢攵昰㑢ㅤ㔶㈶攴㙦㔵㤱㤸攳搱挷㥣㐰㌱ㄱ挲扦搰戱㑦愲㘹㌲挵晥戴㉦㜲散ㄲ㑦愸散㈴㤶挲㉥昳戰㔶捦挳っ戶捦㠴昰昹㡦〲愰㘴ㅥ㡥㜶ㅡ㘵ㅥ昸〶㕡㜳㌶扢昲㝤户攲㔸㌴捡㍣ㅣ〶㤳㥢㠷㘵戴昲㜳㠵㘷ㅥ㉥昳捣挳㜲㘷㌹㈹戸㐲ㅥ㡥㠳㡥扦㌲㈳つ摤捥㐳㌶㤱㡡㈷〲戹㐰㌰㤹㑡㐷㜲改㘰㍡ㅤ㠸㐷㤳㔶㉥ㅤ挷愵㔰㌴ㄶ㌶㌲㉥ㄴ㌷摢㤹㐴ㄴ攷〲摣敥攰晥㌸㠱慢愷㘸㌰㡢〳㍥㡥㘵㔹ㅣ摡㡣慣ぢ挵㙦㑦攵㜲ㄱㅣ挸㤰㉣晣扥㈴㝥㠹㈹㤷㐳慥㐲愹㐸ㅡ㈲㤸昲ㅦ慦㈲㌱㉤昴㌱㜳ㄴ㜳㈱晣㈷㌸昶㜹㌴搵㔱ㅣ㐱晢㠹㡥㕤㐲㘵㈷攲挵㈹戰换㍣㥣慤攷愱㠹晤㡥㠴昰昹㑦〵愰㘴ㅥ㔶㌸㡤㌲て㈹收㘱㌱扢ㅥ捥㍣晣〱㡤㌲て㑢戹㈰㔸愰㤷㠹㌳㘸攵攷㘴捦㍣㥣攸㤹㠷㍦愲㠳っ攲㔸戸㐲ㅥ捥㠴㡥㍦晣戶ㅤ㜴㍢て〱摣晣攱搶〰昷〸愱㘰挴㑡攷㤰㠲㘰㌲ㄳ捦愵攲㐹㈴㈴㥢㌱㤶戹㔰摣㤱攰ㅥ㈴㤹挸㘵㜰㔹ㅢ挳㔸㐶㤶攷昵㜴㉡ㅥ㐸〵㜲㔶㈸㘰㉣㜷愱㠹㐰ㄲ昷㈰㠹㘸㌶㤶ぢ㐷㉣ぢ㠳㈶昱㜴㌸㤲戶㜲挹㐰㈸ㄱ捤㐴晤㘷愹㐸捣攳搰挷㍣㥥攲〴〸晦㑡挷㝥㈲㑤㈷㔱㥣㑣晢搹㡥㍤ㅦ㉦捥㠳㕤收㘱㤱㥥㠷㍦戰摦改㄰㍥晦昹〰㤴捣挳〵㑥愳捣挳㍣㌰㘳㥥挳慥㜳挹昸㠵㘸㤴㜹㌸て㈶㌷て慢㘸攵攷〸㍤て敥晤挳㍣捦㍣㕣散㉣攷㐲戸㐲ㅥ㉥㠱㡥扦㌲攳㈲攸㜶ㅥ攲愹㕣〶户㜱㌸〱㕢ㄱ摣㌳㘴㤲㐱摣㠸㠷㈲㠹㐰㍡㤰㑢㔸改㤸戱捡㠵㘲〴〰㌷㠱㈱っ㉡〵㜰㑥挸愵搲㜱㕣㔴㔹戸㕡ち攵㘰换挴㡣㡢摢愰㤹ㄴ㑥搴㠱〰㜶ㅡ摣㤳㠴㜰昰ち㕡攱㔸㈴㡡㈳㔵㌰㤱㐸〶晣㤷慡㐸捣㑢搰挷扣㤴㘲㌵㠴㝦戵㘳扦㡣愶换㈹慥愰晤㌲挷㑥㔴㕢㈷㜱㈵散㌲て㠷攸㜹戸㤶愰敢㈰㝣晥慢〰㤰㜹昰扡㝦戸摡㘹㤴㜹㘸㘲ㅥ㙥㘶搷㐶收攱㕡㌴捡㍣摣ち㤳㥢㠷敢㘹攵㘷㝦捦㍣㑣昲捣挳つ捥㜲搶挱ㄵ昲㜰㈳㜴晣㤵ㄹ㝦㠱㙥攷㈱ㄹ〹㐴㔳戸戶挱㑤㜶〶㈷㕦摣㍤攰昷㙢㔳戸㔳戳愲戱㔰㌰㤸㌱敥㜰愱愹㐴㌶㤳捣㘴戳愹㈸㙥ち㤰ㄳ摣㌹㘰㤰㈶ㅡ挲㑥㤱攳㔵㤴㜱愷ぢ㡤愶㜹㌳㡦愱挲㐸〸攷㤱㜸㌶㘱愵㜰ㄴ戳㜰㙦㤷挵〵㔴㍡攲扦㐹㐵㘲摥㠵㍥收㝡㡡扢㈱晣㙢ㅣ晢㍤㌴摤㑢㜱ㅦ敤㙢ㅤ扢ぢ㤵㍤挵慤戰换㍣散慢攷攱㈱昶㝢ㄸ挲攷晦㌳〰㈵昳㜰㥢搳㈸昳戰㠸㜹㜸㡡㕤ㄷ㌲て敢搰㈸昳昰っ㑣㙥ㅥ敥愰㤵㥦㤰㘷ㅥ〲㥥㜹戸搳㔹捥㜳㜰㠵㍣摣〵ㅤ㝦㘵挶摦愱摢㜹㠸挶愳㌹㡣㜳㐵㌳挹㜸㈶㤲㑡㈴搳戸㌵㡢攱づ㈲ㄱ㐹〶㉣㉢㥥㌰㥥㜷愱㌱ぢㄷ愰搸〷〲㌸愳攳ㄶ㍣㤹挴挵㉡敥愹㘳㐹㥣户ㄳ愸ㅦ㌴㕥㜰愱㠹㔸づ攷㠱㐰㈲ㄵつ挵㈳㔶㈰㤶㡥愷愲攸㘹挵ㄲ愱㐴㉣㥢㡥晡搷慢㐸捣ㄷ搱挷㝣㠹攲㘵〸晦摤㡥晤ㄵ㥡㕥愵㜸㡤昶㝢ㅣ㍢㔱㙤㥤挴晤戰换㍣っ搰昳昰て㠲摥㠶昰昹ㅦ〰愰㘴ㅥ㌶㌸㡤㌲て挷㌲てㅦ戱敢㌱㤸慢㝣〸㡤㠵㐳慢摡㙢㉥戴〲㘶㍥昵昶㙢㔵攵㜲㤰㜶㥢摣戴㠵愹㝡晣㕡昸ㄴㄴ㌶戶搲昴㕢㈸㠷慢戰换㑢㌷㌹㍥㉤㔷㘱昶㘱ㅣ㈶㉥攴㈰㝦㜸㔹慤㥢晣搵愴慤㉢慥昳㔵昶㐶敥㌶㙦㈹摣ㅤ摡ㅥ㘲㌰㍡㈴〹㙦㌶晡㤴戹㐶㤵摤挳㔰攵扥昳ㄹっ捥㈴ㅥ昱戲㔶㍥ち敢收㔷㙥搲㙢て㍣攰攰㝢㡥昱ㄶㅣ扥ㄵ㘴㘸㍤㡡㔸㌷攳㈵㉣㥦㈳ㄶ昱戸㔷っ攲㐹挷晡〵㌱㔸〴㜴㝣㙢㠷㔶㝥戶搱昶㜵攳㉢㐰㑡㡦㡣㜶昳㍣〰㍣〳㉦㜲敢晦〶㥤㜱〰㜸㤶㕥戱〸攳㕢攸昶〱挰挲捥ㄹ㡣㘷㠳戹㐴〶㘷戹㐴㈴ㅤ挵ㄱ㌹㤰挵昸㕡㈶ㄲ挳㜱搳晦㔷搵挷晣ㄷ晡昸晦收㘸摦㔱㝢捥搱搸搶敤敦搰㌸敥㙥攰昳㕦㥤晣捦挳㌳晥㡡〶㘲㕥㜰散㈷戰昱㍦〸挲㍣ㅥ㜳攲㈵搸攵㜶戰ㄱ㈶㤷搷㔷㘸攵愷㕣攳搵㜴敦㌹换㍣㈹㝣ㄵㅤ㈴㠵晣㜱㜶㔰昸ㅡ㜴晣㤵ㄹ攵搰㙤ち戳㔶搸㑡㠰㍣っ㐵㠶㈲㤹〴㐶㤹㐳ㄶ〶ㅦ㜱㥢ㅦ挷扤㝦㌶㘰㜴㜰愱昱ㄸ慥搸㌲挹㔴㈶㙢㐵㌱扡㤸挴㠳〴ㅣ㈳㌱愸㤹㡣昰愱㔷搰愸㜰愱㤱〰捥㕤挱〰㑥㡥戸㤲挸愶㐳ㄸ〷〸㠷㌳㌹㈶㉡ㄹ挳攱搹晦扡㡡挴慣㐴ㅦ搳愰攸〸攱㝦挳戱㔷搱㘴㔲昸㘸㝦搳戱㑢愸散㐴扣㜸ㅢ㜶㜹っ晤收㈷敤摥扦ㅢ晢昹㈱㝣晥㜷〰㤰ㄴ㜸摤㜳扥敢㌴捡㘳攸㘹捣㐳㙦㜶㕤挱㍣扣㡦㐶㤹㠷敤戹㈰㔸愰攳㤹㌴慤晣㝣㠸〵㍡㈳晦㙤㘳㌰敦挳㕡㍣〶昳ㄱ㍡挸㈰㜶㠲㉢攴攱㘳攸昸㉢㌳晡㐲㔷㜹挰㤰ㄷ㥥挳㐴戳㘹㍣㘳挱㜵ㄷ挶晡昱㌰㌰㤷㐸㔸㤱㔸㌸ㅢ㑥ㄹ㍢扢㔰摣㤹㠶㌲戱㙣㌸㤰㑣㘷㈳愹㙣㍣ㄹ挲㠵㜹ㄶ攳㤸戹㑣㉣㥣挴㘹慦㥦ぢ捤愴㠱挱㔸㘵〸愹挴搰㐰㈸㤵捥昲㠹㐰㤲㑦て㌲ㄸㄷ昰㝦愲㈲㌱晢愳㡦㌹㠰㘲ㄷ〸晦愷㡥㝤㈰㑤㠳㈸㜶愵晤㌳挷㑥㤴㡤㘷㑦昱〵散㌲て㉦改㜹ㄸ㑡搰㌰〸㥦晦㑢〰㈴〵㕥搷㜶㕦㌹㡤㌲て㉢挱㡣ㄹ㘶㔷扥愷㔶㝣㠳㐶㤹㠷㈸ㄷ〴ぢ昴㌲昱㉦㕡昹㜹搲㌳て㡦㝢收攱㍢㜴㤰㐱㈴攱ち㜹昸ㅥ㍡晥捡㡣扤愰摢㜹㠸㠳挲㌰敥㌵㌱ㅣ㡣挷㉥戸㔴㠸㔸㌹㍣㍦㠹㠶戲愱㈸㐶㘱㈲挶摥㉥ㄴ㘳昶〹搰㥥ぢ㈵㠲戹㐸㍣㡢换㌵㡣㘲㘶㌰〰㥦捤㈶㘲㤹㜰挰搸挷㠵挶㤲愱㜰㈴ㄱ㑤〵挲昰ㄱ挸挶搲㔱㡣昴㈰攱㜰ㅤ㑤㘶〳㐱晦て㉡ㄲ㜳㌸晡㤸晢㔲㡣㠰昰晦攸搸㙢㘸ㅡ㐹㌱㡡昶㥦ㅣ㍢㔱㌶㥥㍤挵捦戰换㍣慣搷昳㌰㡥愰晤㈰㝣晥㡤〰㤴捣挳㉦㑥愳捣挳㥦挰㡣㌹㠵㕤昹扡㕣昹昵㈸㤹㠷㘹㕣㄰㉣〰攳㜰〴㘷㌲て㙢㍤昳㜰㤳㘷ㅥ㍡愰㤳っ攲〰戸㐲ㅥ㉡愰搰㥢㌱ぢ扡㥤㠷㕣㍣㤳㡥〷㌲㠹㙣㌴㠸㥢㑦㡣搱㐷昱〰㍤ㅣ挳㤰㔵㍣ㄶ㡤愶㘲挶㠱㉥㤴户昰㠱㔰㉥ㅡ㠸攳㠱㈶ㅥ㜴愵㐲㜱散っ㠹㌴敥㡦㘲㤱㜴㌶㙥ㅣ攴㐲攳戹㘴㄰㜷愸ㄱ㡣户愴㈳ㄱ㕣㕥〷攳戸㜶挴㜸㜱㌶㠱昱㥢㙣搴㕦愹㈲㌱て㐶ㅦ昳㄰㡡搹㄰㝥挳戱ㅦ㑡搳㘱ㄴ扦愳扤愳㘳㜷愱戲愷昰挱㉥昳㜰愹㥥㠷っ晢㘵㈱㝣晥㑥〰攰捦㝢㑣戲戳搳㈸昳挰㔷散㥡昳搹昵㔲㌲摥ㄵ㡤㌲てつ㌰戹㜹昰搳ちづ挵搹㝡ㅥ摣昳挳㔹㥥㜹搸挶㔹捥〲戸㐲ㅥ扡㐳㤷㜹㘸㠶㙥攷㈱㤴挸〶慣っ㠷慡昸〴搸捡㈶㜱㌸捡〵戰ㄵ愷㤳㘱晣㡣㜷挶㘸㜱愱㤹戴㤵捥㘴挰㉣敦㌹ㄳ㌱ㅥ㙢㌰㕥ㄶ换㘲ㅣ㈶〰攲〳㐶慢ぢ挵搸㑣搸捡攱㤹㑢㈴㥢挳㤹㍡㠳昱戲㕣㌲ㅣ㐸㠴㌰昶ㄹ㡥愷ㄲ晥ㅥ㉡ㄲ㜳㈱晡㤸㡢㈸ㄶ㐳昸㝢㍡昶㈵㌴㉤愵㌸㡡昶㕥㡥㕤㐲㘵㈷攲挵㜶戰换㍣ㅣ慦攷㘱ㄹ晢㉤㠷昰昹户〷〰㝦摥捦㑡㜶㜰ㅡ㘵ㅥ慥㈱散ㄴ㜶扤㥡㜹攸㠳㐶㤹㠷ㄵ㌰戹㜹攸㑢㉢昳戰㐸捦㠳㝢敦摦敡㤹㠷㥤㥤攵㥣〱㔷挸㐳㍦攸㌲て㝦㠴慥昲㠰㠷敥慣㈰〹㈴㉤㍣摦㡦〷㜱㉢ㄲ戳㜲㜸〲㥣挳㌹㈰㤸㑤ㄹ㘷戶㐱㐳㌸挲昰〹㐸㄰㜷㐲ㄸ㕡挴㘰㔸㈰㥡〸昱㙣㡤昱摦㘰搰㌸换㠵㐶戱㔷攱㘰㤷㑡㐵㘲㔱㍥摦挷改㈲㤸〹㈲戱㘹ㅣ搹㠲戹愸扦扦㡡挴㕣㠹㍥收搹ㄴ攷㐰昸〷㌸昶㜳㘹㍡㡦攲㝣摡㜷㜱散ㄲ㑦愸散㈴㜶㠵㕤收㈱愷攷㘱ㄵ摢㉦㠶昰昹〷〳㠰㍦敦晤㘱㌷愷㔱收㠱敦ㅡ㌶慦㘴搷㥢㤸㠷摤搱㈸昳㜰㌵㑣㙥ㅥ㠶搱捡㍣ㅣ愲攵挱戸ㄶ㤰搲搷愱〷㜹㈶㘷て㘷攱搷愳㌳㤲㔳つ㕤㈶攷〶攸㜶㜲搲㌱㡣㍥昲㜱㙥㌲㡣ㅢ㑡㡣〸㘷ㄲㄸㅦ㑢攱散ㄱ挲搰㡢ㄵ㌳㙥㜴愱㈱㡣昷㐶戲搹㜴㈲㥤挶挱挹㡡愷㜰㡡㡥攲昲ㄵ〳挱㌹㝣㔲挶㑤㉥ㄴㄷ㑢㌸愴攱晣挰攷㈷㜸㍥㠳ㄱ㠳ㄴ㜶㤹㐴㈶㥡っ攳搹㝤挰扦愷㡡挴㕣㠳㍥收㕡㡡㥢㈱晣〱挷㝥ぢ㑤户㔲晣㤹昶愰㘳㜷愱戲愷㠸挰㉥㤳㌳㐱㑦捥ㅤ散㜷㈷㠴捦ㅦ〵〰㝦㘵挶㕤㔰扤㥥搰慦㠷㍤晦〹晤摤戰ㄴ㍦㡤㌷敥㠱戹攰挱扤㍦愶扣摢㑦攸㙦㘷㜶敦〷捣扣㡤搹㑤愰㔱㘶㜷〳㑣㙥㜶昷愲㤵搹摤㔷换㙥摢㔵搸㍥㥥㠹摣摢㔹捥㈳㜰㠵㐴敥〳㕤㈶昲㔱攸㙡㉦㡢㠴攲㔶摡攲〹㈷㡣㐱㠴㌸㠸㑥㈵㜲挱㄰ち㉦㐲昱㜸㍡㘹㍣收㐲㌱㝣㥦挳戰㍦㡥㠲㜸㘸㈶㉦㠵㜱捦㠱㥦㐲㐷扡㐳㜱っ〸ㄹ㡦扢搰ㅣ㑥㕣㘱㡣昲㠷㌲㤹㜸㈴㡣㔲㥤㘸㌸㤷挲〲㉣晣㜶㍡昶攱戸㝦戸㡡挴㝣〲㝤捣㈷㈹㥥㠲昰敦敢搸㥦愶改ㄹ㡡㘷㘹ㅦ攱搸㈵㔴㜶㈲㕥㡣㠲㕤㈶戲㕡㑦攴昳散昷〲㠴捦㍦ㅡ〰晣㜹敦㘵戵㑥愳摣换昸㍥㘷昳㜵㜶攵㉢愲挵㔸㌴捡㍣扣挹〵挱㐲收挴㝥戴㌲て〳昴㍣㜰㉦㤳㑦㠶晢㜹收㠱戵愷昸㉢㌳摦〱づ㜹㤸〰㐵收攱㕤攸㜶ㅥ㈲㐱っ㍥㘲㥣ㅦ捦ㄵ㔱挸㘰挵㤲㠹㜰㍣㥣挴攰㘵㈰㘳攱㉡㌹㙣扣攷㐲㜱㜵㄰戰戰晦愵㜰㈹ㄶ挱捦搱攳㙡㤸挳㘶愸扦挳㐵㔹㍡㄰㌲摥㜷愱㌸挵攰搹㑣㈰㤴㑣㘰㤰㉤ㄷづ愷㌸昶㠳〱搴㈴㑡㌱㤰戲㤰㝦愲㡡挴晣〰㝤捣て㈹㍥㠲昰㑦㜲散ㅦ搳昴〹挵愷戴㑦㜶散ㄲ㉡㍢ㄱ㉦愶挲㉥昳搰㕤捦挳㤷散昷ㄵ㠴捦㍦つ〰晣愱㔸㠴㌶敥㍤㈶㜷ㄸ㤳扢㠷㝦扡搳㈸昳昰㈰㘱㍦戰㜱〳收挴㑣㌴捡㍣晣〴㤳㥢㠷㔹戴㌲て㠶㥥〷昷散㕦攱㤹㠷〳㥤攵㙣㠴㉢攴攱㈰攸㌲て扦㐰户昳㄰㐸挷挳扣㜷ぢ攰㑡ち搷慤㌸搳㐴愳戱ㄸ㥥㥣攰搸ㄵ换攰㌱攳慦㙤搰㌰㡡捥㜰㈶㡦㘷攲㔱㐰〳挹㘸㍣ㄵ㑣㘴㔲挸ㄷ㡡ㄹ㔱㈹㔱㠶愱㈶㜵戸捣㠵㘳昱㘰ㄶ㘳㜵愰ㅥ㑦〶㌰㉡捤㑡㈵㕣㌹攳㐸ㄸ㡤收晣〷慢㐸㑣㠱㍥㘶㌹㐵〷〸晦㈱㡥扤㠲愶㑡ち㠳昶搹㡥㥤愸戶㑥攲㜷戰换㍣㝣晦愳㜶㜷搸㠹愰捥㄰㍥晦ㅣ〰昰攷㝤昶㍦摣㘹㤴㜹㜸㠲戰ㅥ散捡ㄷ㘶晢㔳㑥㘳㉦㤸扡㜴愸戴愰敦㕤晡㤵〱㕡㌵攱㔰㝣慦ㄶ敦㈴戶戲㜸ㄱ㈸㝥㌹愷㜵改㤸挶搶收愵攵㜰摡〱㉦〲戵㕦㥦㔹㔱扥搷搶昹攲搸ㄷ扦㑤捤㑦攵愷㔸敢晦㠱ㅦ㙥㕤㙤〳㔶昴戸㌳㍥㘶㙦慣㜰㈵㑢㐶㍤扦户㙢㔷㔳捥挰ㅢ㔰慤敡搱愳攲搵㘳㤶㘴慣㝡㝥㐷ㅡ㌵㤷搸㔶捡㝡㌵㡣㙦挱㉣㝥㌱㘸㘶搳㐸昹捤㕤㤶ㄴ㙦攳㤴㘵づ㜵㝥㌴㝥㔰㥢挵昹㕡扣搳㙤㑡戳摢て㍦挲㡥ち㕥㌴っ攵㑦捣昷㙡搳戴搷㡦敥搸㘶挵摢㄰㐰戸㤵㜵㍣戶攰㐵㥣ㄵ攵ㅤ㡡㝥㝡㐷づ㤵搶㌶㌵攰〷搴慡昹扥㔱㝡㙢㙥慡ㅦ㥦㈵〱㍢㝡扣㝣㜵㔴㕤慢㝣㜹㜱ㅦ戴ぢ㌳〷㜲㡣敤㐱㔳挷攱〳㐷㡦ㅣ㤸㐸㔶㝥㠸㑣ㄴ㝥㐹戵攴㐲昲㜹攷㈲戹㔷晡捣ㅤ攱㔱ㅣ〱摦㈴㕦㤸㜳戹㤴㥤搴㔲㐶㘱㈹攲㕤㉣㠵㑢㐲〳攰㍢ㄳ㍥摦㠵捦㈳扣扦つㅦ㜵〸攱㙦㈹㌸㌷㍤㥦戹ぢ攱昵〰㌹ㅥ㐴㠳㔲戸㜴搱愸ㄴ㠲扢戵搰ㄷ㘶昸搱愶慦㐶㈸愵挶晥扦㑡晤敦㔷晦昷慣改搶敡昴㍣㑣昴㍦㝢㘴攵摢换ち㝦㉡挸敥㔹㈸扦ㅡ㈱㡥㐶捦㐱戰㥢㙦㔳扣㐳挱晤㔲扣㡡戵㜸つ扦㉥㔴昴搳收慦愸㠶挲㥦㌶昷ㅦぢ㑦昸㉢㌳㠷㘰㤵扢㜴㄰挷㐱攱敥㉢㕥㐲て敥㌳㜲㌳ㅦ㑡㍥㑥㠲搹㘶晢㜸捣ㄹ㝢搸昴㡤ㅥ㌵㌰ㄴㄷ㝦〷搲攱捡㘷敥㐹昸挹㉥晣〴挲㠳㌶ㅣ㙣〳晥慣㠲摢㙣㠷〹㍦挵㠵㥦㐸㜸㔴㜹ㅦ㐹昸㤳ち㙥愷㍥㑥昸愹〰㌹ぢㄴ㉢㤴㈲㤳㜳㥡㔲㘴㜲捥愴㉦慣摥㤶㈷攷㉣愷攷ㄶ㈷攷〲昴昴㑡捥㈳㔸ぢ捦攴㍣慣ㅡち㝦㙢摤㝦㈱㍣攱て昵㘸㔸㘵㈴攷ㄲ㈸㌲㌹て愲㠷㥢㥣ㄱ攴攳㜲㌴搹挹戹ㄴ㜳挶㐸㐵摦愸㠱挱㠸戸㑦搱㐷㔷㍥㜳㌴攱㔷戸昰搵㠴㡦戱攱㐸づ攰敢ㄵ摣㑥捥㌸挲慦㜴攱㤷ㄱ㍥㕥㜹ㅦ㐹昸㕦ㄴ摣㑥捥㐴挲慦〲挸㑤捥搵㑡㤱挹戹㐶㈹㌲㌹㌷搲搷㔶㈵攷㈶愷攷ㄶ㈷攷㜶昴昴㑡捥慤㔸ぢ捦攴摣愲ㅡち㝦〷摥扦づ㥥昰㠷㤷㕢㘲㤵㤱㥣扢愰挸攴慣㐵て㌷㌹㌳挸挷扤㘸戲㤳戳ㅥ㜳挶〱㌶㝤㘰㍢ㄲㄲ㌷㈸晡㙣戶て㈴晣㍥ㄷ㝥㌷攱〷摢㜰ㅣ㍣〱扦㐶挱㙤戶㘷ㄳ㝥扦ぢ㘷ㅤ慣㜱㤸㠲㡦㈲晣ち〵㐷〳㔲㍦㠷昰〷㌰敦㈶㘷㠳㔲㘴㜲ㅥ㔴㡡㑣捥㘳㔰戶㉥㌹㡦㍢㍤㑢㈵愷搷摡㜱敦ㅣ㜵敥挶ㄱ㜳攵扢㑡㐴捤㘱㘷㍥昸摤㙥㠷㔶搵〸搶挰㝡㈵攷ㄲ慣㠵㘷㜲㉥㔶つ㠵扦㔱敦㝦づ㥥昰㠷㙦愷㘰㤵㤱㥣ㄷ愱挸攴㕣㠴ㅥ㙥㜲收㤲㡦㔷搱㘴㈷攷㈵捣ㄹ㜵㡡扥㤱〳攳㐹㜱扥愲捦㘶㝢㍥攱慦戹昰㤷〹㙦戰攱挸㈵攰㘷㉢戸㥤换㈶挲㕦㜷攱慦㄰扥㐰㜹ㅦ㐵昸ㅦㄵㅣつ㐸㑥ぢ攱慣㝡㜵㤳昳愶㔲㘴㜲摥㔲㡡㑣捥㝢㔰戶㉥㌹敦㍢㍤㑢㈵㈷㉣愷捦搴搹敢慢ㄱ㌲㐷戹敦㐷㠸捦搰搳㉢㌹㉢戰ㄶ㥥挹㌹㔵㌵㕣昵挶攵ㄷ摣㝢昵㙤ㄳ㙥㝡㝤㐱㠷㐸扡攳ㄸ晦㍦攱〹㝦ㄸ戲挲㉡㈳㌹㕦㐳㤱挹㌹ㄹ㍤摣攴ㅣ㑤㍥扥㐳㤳㥤ㅣ㔶捡ㅡ挷㉡晡㜰㔶〸㠸攳ㄵ㝤㜶㜲㤶ㄱ捥愲㔴ㅢ捥㙡㔹攳㌸〵挷㈹㉡㈰㝥慦攰㘸〰摢㈷㄰捥捡㔵ㅢ晥㉦挲㑦戲攱㍣㐵〵挴㔱ち㙥攷昲ㄴ挲㝦〴挸㑤捥㑦㑡㤱挹昹户㔲㘴㜲㜸挹戱㜵挹㘱愵慣散㔹㉡㌹〸摤㘳挲〵〱ぢ㘵扤㤲戳㄰㙢攱㤹㥣㔶搵戰㝥挳攵搹㜱㘳慦㥢戰晣晡㡢慥散昳攱ㅢ㥤晣㈶㍣㘱〵捡捣㌳戰捡㐸㑥ㄷ攸㌲㌹捤攸攱㈶攷㑣昲挱㔲㔵㥢扥慥㤸㌳㔶扡昴㐵ㄳ愲㌱㡦扥㜳〸㘷愵慡つ敦㐶昸㜹㌶ㅣ搷て㠰ㅦ愱攰㕣戲捦扣㠰昰ㅥ㉥㥣㘵戴挶㠵ち㍥㤲昰㥣㠲摢愹㕦㐵㜸㑦㠰摣攴昴㔲㡡㑣づ敢㘵搹㈲㤳戳㈳㝤㘱㈱晣㘸搳㘶㕣慤戱㝣戶摤攴攰㌵㈹㤸㝡搷搸㙥晢搴挸ㄷ㌰㕤戸㑢㡤㘰〹敤㈰㔸ぢ慦搶㔲〸捡㌳㌹㠷慢㠶㙦㔷捥扢收ㅦ㔳㍥㥦戴摡㝦敥㡣戵搳㥡愷晢〷挱㤳㑣捥攵㔸㘵㈴㘷〸㜴㤹㥣摦愱㠷㥢㥣㉢挹〷㑢㔱㙤戶㔹㔳㙢㕣敤搲㤷っ㠸㐳㠰㈶㈳㌶㝤搷ㄲ捥昲㔵ㅢ㍥㤴昰敢ㄵ㝣搴㐰挰㘷㈹戸㥤㥣ㅢ〹㘷㡤慢つㅦ㐶昸ㅡㅢ㡥㍤〷昰改ち㙥敦㌹㌷ㄳ捥愲㔹㌷㌹㉣㥥㜵㤶㉥㔸㐴敢㈶㈷㑥㕦㈰㙡换㤳挳㥡摡㜶㤳㘳㈷愵㔰㘲捦ㄹ㠱㥥㠳㍣㤲㌳ㄹ㙢攱㤹㥣㐹慡㘱挲㤲敢挳㙦慥㍣㘷攴㥡㑢捦㕥㍥攴搱昷㔷昸㐷挲㤳㑣捥㍡慣㌲㤲㌳〶扡㑣捥〴昴㜰㤳㜳〷昹㘰㤱慡㑤ㅦぢ㙤㡤扢㙣晡戰㉢㈴攲㘲慣愲捦㘶晢㙥挲㔹晥㙡挳挷ㄱ㝥慦つ〷摢㠰㡦㔲㜰㥢敤晢〹㥦攸挲㔹㜰㙢㙣㔰摥㜱昳ㄵㄷ晢㉡戸㥤晡㠷〸㥦〴㤰㥢ㅣ㔶搴扡挹㘱㘵慤㥢㥣ㄹ昴戵㔵挹㤹改昴摣攲挳摡㙣昴ㅣ攴㤱㥣㈴搶挲㌳㌹〹搵昰㕡晣昸散散攳挷㡤扡㙡昰㌶ㅤ㑥扣敢ㅥ㥦晦㌰㜸㤲挹㜹〲慢㡣攴愴愰换攴挴搰挳㑤捥㔳攴㠳㐵慢㌶摢慣扥㌵㥥㜱改㡢〷㐴㈸㡦扥扦ㄲ捥㐲㔷ㅢ捥ち㕣攳㌹〵挷ㄹ㍥㈰慡ㄵ摣捥攵昳㠴戳ㅡ搶㠶戳ち搷㜸搱㠶昳晡㈱㈰㜶㔷㜰㍢㤷㉦ㄳ捥昲㕡㌷㌹㉣戳㜵㤳挳㜲㕢㌷㌹㉣愴摤扡攴戰晡戶摤㍤挷扥㈰㜸㕤㕤㄰扣慤㉥〸㍥ㅣ㈱ㄶ愳攷㈰㡦攴っ挲㕡㜸㈶㘷愰㙡昸愶敢扢㤳㕦㜹换㍦攵㠶ㅢ㥦摢㜵㝥㥦愱㘷昸㔹戸㉢㤳昳㈶㔶ㄹ挹㌹ㄶ扡㑣捥〰昴㜰㤳昳て昲㜱ㅣ㥡㙣晡㔸㤲㙢扣㘳搳挷㍤㈷㈶晡㉡晡㙣戶摦㈳㥣㠵戲㌶㝣ㄹ攱ㅦ㈸㌸㜶㠵㤸搸㐱挱敤㕤攱㈳挲㔹㔲㙢挳㔹㥡㙢㝣㘲挳戹愳挵挴戶ち㙥㈷攷㌳挲㔹㜳敢㈶㠷戵户㙥㜲㔸㠳敢㈶攷て昴戵㔵㝢捥改㑥捦㉤摥㜳捥㐱捦㐱ㅥ挹搹〶㙢攱㤹ㅣ扦㙡㈸晢昸慣ㄳ㙥扦㝦摤晥㜷㤷㙦晢愸攸戹㈰敥㍦て㥥㘴㜲扥挶㉡㈳㌹㉣挹㤵挹改㡡ㅥ㙥㜲扥㈵ㅦ㤷愰挹愶㡦㜵扡挶㜷㌶㝤戸㜱㠹㐶㠴㑦搱㘷戳晤〳攱慣㥥戵攱慢〸晦挹㠶㠳㙤挰つ〵户搹晥て攱慣愰戵攱慣搷㌵㌶㉡敦戸㝥㠸㠸㜲〵户㔳晦㉢攱㉣挴㜵㤳㜳戹㔲戸㜴挱挲㕣㌷㌹㉣戹摤扡攴戰㑥户摤㍤挷昷昲㤵㐷づ㝦戲㕢㡤摣㠳㙥敢㕥戳〶户㍤㍤慢㜷愸ㄱ慣搵ㅤ攴㤱㥣㡤㍦㤴㐸捥捦慡㘱㐱㘲搸戵捦㉦晤㝥搲㐹㜷搷㡥㥤㌴愸晦㐶㍦㑢㝣㘵㜲㉡慢㘴㜲搶㐱㤷挹昹㌷㝡戸挹改㠸㐶挱㐲㔹㥢㍥ㄶ敦ㅡ㈶㙣ㄸ㤲㈳摢㐹昱㍤搰づ㈳㍥戳ㄳ攱慣㤳戵攱㜷㄰摥挵㠶昳㙡㉤㈹扥㔱㜰㥢敤㙥㠴摦敤挲㔹挴㙢㙣愳攰㐸㝤㔲㝣愱攰㜶敡㝢㄰捥敡㕣㌷㌹昷㉡㐵㈶㠷搵扡㑥㈸摤㔸㠷扢㜵挹㘱昱㙥扢挹㤱㔷㙢㌵ㄳ㙢㤰㠶戲戲慡愹昶搵摡㠲㔹㌵攲㈹昴ㅣ〴㕢攱搵摡㈷㔸ぢ捦㍤攷㘳搵㌰敤慣㌵搶戱㤳捦慦扤㉡㙡摣㝢摢昹攵㈱㍦敢㝥㘵㜲戶挷㉡㘳捦㘱昱慥㑣捥㠷攸攱㈶㘷㐷昲昱㈲㥡㙣戶㔹搱㙢散攴搲ㄷ挶㐸㘶ㅥ㝤㍢ㄳ捥㍡㕢ㅢ晥㍣攱晤㙤㌸㜲〹昸㕢ち㙥敦㌹扢㄰捥㕡㕢ㅢ晥〲攱㠳㤴昷㔱㠴扦愶攰㜶㉥〷ㄳ捥㤲㕤㌷㌹㉣摤愵㈲㤳挳ㄲ㕥㌷㌹㉣捥摤扡攴戰愲户摤攴搸㌷㥤ㄵ㌵捣つ戲㔳㈳慦慣㥦昶搷〸㔶昵づ㠲愹㌰㌹㉦㘲㉤㍣㤳昳㠲㙡㜸攷搱昸㐵㙦㝦搰扢昶㤶晤㉦㌳㠷㉤㕡㜴㠸㘰愵㈹〷㤷捤㍤戰捡㕣㌹㝥晣㥦挱捡㐹㝣敥㌴㍢ㄶ搲改㘷㜵愷捣攸㥥攸㠴㡣戲ㅡ㔳㘶昴㙦㔸㡣㥢搱㈰㐹㘴㈱愵捤昹户㤸㌳挲戰㜱〴扣㜶㘰㌲㕣昹㌴搰㥥扦慣愹㠶搹昱ㄲ㔶㘷㥣㝥㑣攳㐲晥㐸㠷昶散㠱〳戲戴昸捣㈸㤷昳ㅤ扣搳ㅦ㑤攲㍦㔰〶㘱挶愶愷て㘲戶挷㠵ㅦ㔳㉣ㄴ㡤ぢ㍦慡ㅡち㝦ㄶ摥扦ㄱ㥥攴㥡敥㙤慦愹㐰扥攴㥡㍥㡣ㅥ敥㥡づ㘷〴㤵㘸戲搷㤴㤵㤴挶〸戵愶㈳〷挶㈲攲〱愰㥤慤挷㘷㡥㈴摣㜰攱ㅤ〸ㅦ慤攰愳〸扦㐷挱敤㡤㜱っ攱ㅤ㕤㌸㉢㉡㡤㜱㌶ㅣ㥢㍡攰㜷㉡戸扤愹㡦㈷㥣愵㤲敥戶㙢㉡㐵㙥扢㍥愵㄰摣慤ㅢ㝤㘱㠶ㅦ㙤摡㡣摢㐰㔶㔲捡㥥㕢㝣㑡敥㡤㙥㙤挹㜹〷㡢戵㤳㜳ㅢ搶挲㜳摢晤戳㙡㈸晣挹㝡晦昶昰㈴㤳㌳〵慢㡣捤㜰㈷攸㌲㌹户愰㠷㥢㥣㘹攴愳㍦㥡散攴戰扣搲㤸攱搲ㄷ㠹㠸㥢昲攸㍢㠰㜰ㄶ㍤摡昰㥤〹㍦搰㠶㜳攸㌱㈲慥㔳㜰戲改㌳て㈶㝣ㄷㄷ摥㡦昰搹ち㡥愱挷㠸戸㑡挱敤㕣ㅥ㐶㌸敢㈷摤攴っ㔲㡡㑣捥慥㑡㤱挹ㄹ㑡㕦㔸〸㍦摡戴ㄹ挹㘱㜹愵散㔹㉡㌹㝤㑦晡㙣摡㥤㙦つ戰㑦挹攱㕤㙢㝡㜲㈸戲攷㥥㌵㈲㡣㙥㕥挹㔹㡤戵昰㑣捥愵慡攱㤰㘳㐷㉣摥㝤㥢㍢㈶㥣㕥晦挲挳㝦㕢㍢㘶㤴㍦ち㑦㌲㌹ㄹ慣㌲㤲㤳㠴㉥㤳㜳㌱㝡戸挹戱挸挷㜰㌴搹㙣敦㠵㌹㘳慥㑤ㅦて攳〹昱㈷㐵㥦扤㙤搷ㄱ捥㑡㐸ㅢ扥㌷攱昳㙤㌸㤲〳昸戹ち㙥㈷愷㠱昰ㄱ㉥㝣ㅦ挲㥢ㄴㅣ㐷晤㠴㌸㑢挱敤攴㉣㈰扣〶㈰㌷㌹㈳㤵㈲㤳挳㈲㑢戶挸攴㡣愳㉦㘴㠵ㅦ㙤摡㡣攴戰收㔲昶㉣㤵ㅣ捤㥤㌶㡢㝢昴㈹攸收㤵㥣㍦㘰㉤㍣㤳㜳㥡㙡搸昶攰〷㈶㝤搱㜷搶攴㔳挷つ㕦㜵挳摤敦㑤昱㑦㠳㈷㤹㥣挵㔸㘵㈴攷〰攸㌲㌹愷愲㠷㥢㥣愵攴攳㘰㌴搹㙣戳㄰搳㌸摡愶㡦搷㑢㔱㜱愲愲捦㑥捥戱㠴ㅦ攲挲て㈴㝣㤹つ攷昵㔲㔴㉣㔷㜰㥢敤攳〸㥦敤挲㔹㤰㘹㥣愰攰戸㕥㡡㡡㘳ㄴ摣捥攵㐹㠴ㅦち㤰㥢㥣挳㤴㈲㤳挳捡㑢㌷㌹ㄹ晡〲㜷晣㘸搳㘶㈴㠷㠵㤸戲㘷愹攴挸搱慣敤户慤戱摤敥愰昶愰〱㌵㘲㍥扡㜹㈵㘷㌱搶挲㌳㌹㡢㔴挳换㈷㕥㌱㜸攸㥢㕤挷慤晣攸搴户㥥晥㜹攳敦晤慣攱㤴挹昹〳㔶ㄹ挹㔹〰㕤㈶愷ㄵ㍤摣攴㥣㐱㍥㔸搴㘸㈷㠷搵㤹挶㤹㉥㝤戱愸㌸㌲㡦扥㤵㠴戳㄰搲㠶户㄰㝥㡥㠲攳㥣ㄳㄵ昵ち㙥㈷攷㍣挲ㄷ扢㜰㔶㘹ㅡㄷ搸㜰㥥㜳愲㘲㥥㠲摢愹扦㤰㜰㤶㕦扡挹㔹慡ㄴ㤹㥣愳㤴㈲昷㥣㘵昴〵晡昸搱愶捤㐸捥㜲愷㘷愹攴㘸敥戴㔹散㌹愷愰愷㔷㜲㌲㔸ぢ捦攴愴㔵挳㡦戳攷散ㄲ㝤㈶㔵扢愲捦愵㐳昶ㅥ戶㘲愱㝦〵㍣挹攴慣挶㉡㈳㌹慣捥㤴挹㌹ㅣ㍤摣攴㕣㑥㍥㔶愲挹㘶㥢㈵㥢挶㤵㌶㝤搸ㄵ㐲㔱㜱愸愲捦㘶晢㙡挲㔹㐸㘹挳捦㈴晣㕡ㅢづ戶〱㍦㐸挱㙤戶慦㈷㥣㜵㤴㌶㥣愵㥢挶㡤捡㍢ㅥ〹㐴挵㑣〵户昷㥣㌵㠴戳㈶搳㑤づ㙢㌳愹挸攴戰㐶搳摤㜳㔶搱ㄷ戸攳㐷㥢㌶㈳㌹ㄷ㍢㍤㑢㈵㐷摥㘹㥣扥㑢㡤敤㜶戰㝤愷戱㝤愰㐶㕣㠹㥥㕥挹㤹㠲戵昰㑣捥晥慡攱㥥㙥慦扥晢挴戵敢㈶摥㜸挹敤昳㉥昸戰戶㤷晦㙡㜸㤲挹戹つ慢㡣攴㕣て㕤㈶㘷ㄲ㝡戸挹㔹㐷㍥㔸ㅥ㘹搳㜷〳收㡣㍢㙣晡挰㜶㈴㉣昶㔳昴搹㙣摦㐵㌸慢㈳㙤昸㡤㠴摦㙤挳㤱㑢挰㙢ㄵ摣捥攵扤㠴摦散挲㔹扡㘹摣慦攰戸㝥〸㡢ㅡ〵户㤳戳㠱㜰搶㘴扡挹戹㔵㈹㌲㌹慣搱㜴㤳㜳〷㝤㠱㍥㝥戴㘹㌳㤲挳㤲㑤搹戳㔴㜲㑡摥愳摦㡦㙥㕥挹搹ㅢ㙢攱㤹㥣扤㔴㐳攵㕥慢づ㍦昱挹捡昱敢㝥愸㝤戸攷㠶搶㌷晣ㅢ攰㐹㈶攷㌱慣㌲㤲昳〸㜴㤹㥣〴㝡戸挹㜹㠲㝣㍣㠱㈶㥢敤㐷㌱㘷㍣攵搲ㄷ㡥㠹㐸ㅥ㝤捦㄰捥㡡㐷ㅢ晥ㄸ攱㝦㔵㜰㥣攱㘳㈲愰攰㜶㜲㥥㈳㥣㘵㤱㌶㥣攵㤸挶昳㌶ㅣ愹〷㝣㤸㠲摢愹㝦㤱㜰搶㔹扡挹㘱扤㈵ㄵ㤹ㅣ搶㕤扡挹㘱㐵㈵晥戶㈲㌹㉣挳㤴㍤㑢㈵㘷晡㥤扣㕥㉢慢挱ㅢ〱㌱㜵愸㜹昷㈸㕥慦昹㙡挴敢攸收㤵㥣挱㔸ぢ捦攴散慡ㅡ愶晣㍡扣敦ㄹ㌳㤷㑣㌸敦㤴扥㘲攸㠴㡦㝡晢摦㠴㈷㤹㥣搷戱捡㐸捥㍢搰㘵㜲〶愲㠷㥢㥣㌷挹挷〷㘸戲改㘳㙤愶昱て㥢㍥㕣㝥㠵ㄲ愲㥦愲捦摥戶摦㈱晣㐳ㄷ晥ㅥ攱敦㈹㌸㡥㠲〹搱㐷挱敤攴㝣㐰昸㐷㉥㥣㌵㥡挶㐷㌶㥣㐷挱㠴搸㑥挱敤攴㝣㐲㌸㡢㉦摤攴㝣愲ㄴ㤹ㅣㄶ㘳扡挹昹㤲扥戶㉡㌹慣捤㤴㍤㑢㈵攷㥦搳㤰㥤愱晤㙢昰搶㐶㑣〳㙢㈶攰㐲㝡敤戸㘱㌵攲〷㜴昳㑡㑥て慣㠵㘷㜲扡慢㠶敡昹摢㥡扤ㅥ㔸㔲㝢搷㌹㜷㑦昹㌲戶攴㔱晦㑦昰㈴㤳昳㈵㔶ㄹ挹搹〸㕤㈶挷㡦ㅥ㙥㜲扥㈶ㅦ〲㐳㝥㜶㜲㔸戰㘹㝣㙢搳㠷攴㈴㐲愲戳愲捦㑥捥㜷㠴戳㡣搲㠶晦㑡昸て㌶ㅣ㙣〳㕥愵攰㌶摢㍦ㄱ摥挱㠵戳㜰搳昸㡦昲㡥㔱攷㤰愸㔰㜰㍢㤷ㅢ〹㘷㐵愶㥢㥣㑡愵挸攴戰㐲搳㑤㑥㈷晡摡慡攴戰㘰㔳昶㉣㤵ㅣ㝢捦昹㙡㠴扤攷㝣㍢挲摥㜳晥㍤㐲昴㐰㑦慦攴晣晡㝤㠹攴晣愲ㅡ捥㝤攳昷㝢慣扦㘳昶戸㤳敥㕢㌱愰昷搴㡢づ慣散〵㑦㥥㠳ㄸ昲㌷戸慡攵㉦㘵昱〵愴㔶㡢㌴㜴挳㡡㔶收㔸摦搸㈹㘷㥢㔹㥥㈹㝦㡣愹㕥扥㙦戴㜳㙥㜲慡㜹扥搵㍣愹慥搱㙡改㥣㥢㔱搷愰㕥㐶㔹摢㈵挷ㅦ愹㜰㝥㉡摥㤴ㅡ㍢ㅢ戹㈹捤昸敤昸㡥戹昱㉤昸戹愱㙣㔵挳搴㔴㙢慢搵摣昸㕢昸㝥戶㈸慢愸攰〶㠴㜱愵づ昸戵愵㜲捦㤷慦㍥㡢㘶捦㑡㐸㥢挲㌶㍥㥣㥦㥣㈹㉦慦ㄲ攵㕢昷敤㙣愳㠳搹捥㉢㠲㉢挴捦挸戳晤㘵捤攵㘵扦捡挰昱㕥㔱戳ㄲ㥤っ〳愲〳摥㈱㉡㠷㥤㈰㝣㘶㐷㔸攴换㡣愵㈸慢散㡤㙤愱㜰つ昹㑥摣戱愴愰㜲㜱㕤戶㜵㥥㌱捦慡㥢㍢慦ㄵ敦扥敤挴搵㜶愶㡡ㅤ搱戵扤㉡㔲敥㌶ㅤㅢ收愴㥡㥢㔳㑢慢ㅡ收搴㕢㡤㜳㕢攷㔵捤㔹㠴愲㔹㝣㝤ㅢ㥤慢慡慡㑣ㄳ昱㜰㔱晣㠸㥤改ㄱㅦ搳愷㕢㜷㜱慣㥤㜴敢㄰㔸戹㈱ㅢ㥤㘱㉤昹〲攵ち昱慤㈷㍢㕤搱挹攸〶㤱捦㡥ㅦㄶ㡤ㅤ㌱ㄴぢ㈰㐳捥㈴昶㠴㈲㈳散づ愴ㅢ㜷搸戱昶搰慤㜱挷摡㔳户づ㠷㔵挶摤ぢ搶㜶攲晥搴㌳敥摥攸㘴㌲敥戶㡣㙥㑦ㄳ㕦㑦㙤㘷㔴㡣挰〲昲㘲ㅥ敤挴戱㈳㤰㙥捣攳ㅣ㙢ㅦ摤㍡搱戱敥愴㕢愷挱㉡㘳敥ぢ㙢㍢㌱扦攳ㄹ㜳㍦㜴㌲晡㐳攴㜳㍤〰ㄶ㍤敥ㄹ㔸㐸㕥摣〷㍡戱っ〴搲㡤㝢戶㘳ㅤ愴㕢攷㌸搶㕤㜵慢〵慢㡣㝢㌰慣敤挴晤㡡㘷摣㐳搰挹攴ㅥ搴挶昵㔰㥡㌴慥攷㘲〱㜹㌱捦㜷攲搸〳㐸㌷收㈶挷㕡慤㕢㕢ㅣ敢㥥扡㤵㤵㔵㌲收〰慣敤挴晣㔷捦㤸㐳攸㔴戰㝤㐴㘸搲㘲㍥ㅡぢ挸㡢㜹㤹ㄳ㐷㑣㡦攳〴挷ㅡ搷慤愷㌸搶㠴㙥㘵挱㤱㡣㌹〹㙢㍢㌱㍦敡ㄹ昳摥攸㘴㜲晢㘸攳㜹㌸㑤㕡捣㘷㘲〱㜹㌱㥦攳挴㌱〲㐸㤷攷ぢㅣ㙢㡤㙥㕤攵㔸㐷敡㔶搶攱挸㤸㐷挱摡㑥捣昷㝡挶㕣㡢㑥〵摢挶㔸㥡戴㤸慦挴〲昲㘲扥搶㠹㘳㍦㍤㡥ㅢㅤ敢㜸摤㝡戳㘳㥤愰㕢搷挱㉡㘳㥥〸㙢㍢㌱摦敥ㄹ昳㘴㜴㌲昶㠷挸摦て愷挰愲挷㝤〷ㄶ㤲ㄷ昷摤㑥㉣搳㠰㜴戹扥摦戱㑥搷慤て㌹搶ㄹ扡㤵㤵ㅢ㌲敥㤹戰戶ㄳ昷㡤㥥㜱捦㐲愷〲慥て愲㐹攳晡㈹㉣㈰㉦收扦㍡㜱ㅣ愲挷昱扣㘳㥤慤㕢㕦㜶慣㠷敡㔶ㄶ㌴挸㤸て㠳戵㥤㤸慦昰㡣㜹づ㍡ㄵ挴㥣愲㐹㡢昹ㅦ㔸㐰㕥捣敦㌹㜱㘴昴㌸㍥㜲慣㔹摤晡㤹㘳戵㜴㉢㥦昳换㤸㜳戰戶ㄳ昳㠵㥥㌱捦㐳愷㠲晤昰〸㥡戴㤸扦挵〲昲㘲晥挱㠹愳㕥㡦攳㍦㡥戵㐱户晥敡㔸ㅢ㜵㙢㈵㉥扢㘵捣㑤戰戶ㄳ昳㔹㥥㌱㉦㐰愷㠲㤸㕢㘸搲㘲敥㠸〵攴挵摣〹㠶ㅤㄱ㡢戹㔰㡦愳㥢㘳㕤愴㕢㝢㌸搶挵扡㜵㝢㔸㘵捣㑢㘰㙤㈷收㔳㍣㘳㍥ち㥤ち㘲㍥㠶㈶㉤收ㅤ戱㠰扣㤸㜷㜶攲昸扤ㅥ挷㉥㡥㜵㤹㙥ㅤ散㔸㤷㙢㔶晦ㅥ戰捡㍢戲攳戸慣攳㈹㑥㠰昰㠹㍤搱㈰㔷收㐴愸晣敥ㄱ扥昳搴搲㉦㙢昵㍢戲搹㕡㔴搷㔲昷搰㙤㡤攵攲㘸㘷㑤㍥ぢ㙤摦㜶㡤㜹㌲扤昰㔹愵攰㘱㐱㕥㕦㥥㑡㤳戶㈶㐱㜸攷㥡捣戸㜰㝤捤挶昰㘱㈳㐵搴㠹敥㌴㈰摤愳挹摥㑥㄰㝦㠰戵ㅤ㐶㕢㥤㌸捡昴㙢摤㌳戸搰晣㌳昵㤹〵㜱っ㔷㜱㌰㑥㑥㘲愴ㄳ挷㑡㍤㡥㌱㡥昵㙣摤㍡摥戱㥥愳㕢愷挰㉡㠹㍢ㄷ搶㜶㘲㥥敦ㄹ昳昹攸㔴戰ㄵ晣㠹㈶㡤扢㘹㔸㐰摥㔶㜰㠰ㄳ挷㐵㝡ㅣ〷㍢搶㔵扡昵㌰挷㝡戱㙥捤挰㉡㘳扥〴搶㜶㘲㑥㝢挶扣ㅡ㥤ち㘲扥㥣㈶㉤㘶ぢぢ挸㡢戹捥㠹攳㑡㍤㡥〶挷㝡㤵㙥㕤攰㔸慦搶慤㝣攰㈳㘳扥〶搶㜶㘲㍥搸㌳收敢搰愹㈰收ㅢ㘸搲㘲㕥㡡〵攴挵㝣慣ㄳ挷㑤㝡ㅣ挷㌹搶㌵扡昵㈴挷扡㔶户昲㌹㠸㡣昹㘶㔸摢㠹㜹慡㘷捣户愲㔳挱昶㝣ㅢ㑤㕡捣㘷㘰〱㜹㌱慦㜴攲㔸愷挷㜱㥥㘳晤㡢㙥扤搰戱摥愱㕢昹㜸㐰挶㝣㈷慣敤挴㍣捥㌳收昵攸㔴挰昳㍤㌴㘹㌱㕦㡥〵攴挵㝣戵ㄳ挷㝤㝡ㅣ搷㍢搶晢㜵敢ㅡ挷晡㠰㙥攵愸戹㡣㜹〳慣敤挴扣慦㘷捣て愱㤳昱㌰㐴晥ㄵ搱㈳戰攸㜱慦挳㐲昲攲扥换㠹攵㌱㈰摤㘳搸扤㡥昵㜱摤扡挱戱㍥愱㕢㌹愰㉣攳㝥ㄲ搶㜶攲㡥㝡挶晤㌴㍡ㄵ㜰晤㉣㑤ㅡ搷㑦㘰〱㜹㌱㍦攳挴昱㌷㍤㡥攷ㅣ敢㜳扡昵㐵挷晡㜷摤捡㜱㔶ㄹ昳昳戰戶ㄳ昳㌰捦㤸㕦㐴㈷㤳㕣户㕤攵扦㑣㤳ㄶ昳㥢㔸㐰㕥捣敦㌸㜱扣ち愴换昳〷㡥昵㌵摤晡㠹㘳㝤㕤户㜲昸㔱挶晣〶慣敤挴扣㡢㘷捣㙦愱㤳挹㉢收戶㤸摦愶㐹㡢昹㙢㉣㈰㉦收敦㥣㌸摥〵搲㡤昹㈷挷晡㥥㙥摤攸㔸摦搷慣㤵㤵㔰㌶㝢㙣㠹挵㐳㕢昹㔲扣て戰ㅣ挱昱㈰晡㌰㍦㔴㌳㔴扡㜱㔴㠶㌳㔵ㅣ挳改收换搳㌸ち攳戶㠹慥搰ㄸ戰昹ㄱ捤ㅣ㍦㤱摥㍥㔶㌳搲㕢㜷愵搸摥㝡攴㘹ㅣㅢ㘹昳搶ㅢ㥡昴昶〹捤ㅣ搹㤰摥㍥㔵㌳搲摢㡥㑡戱扤昵挹搳㌸㙡搱收慤ㅦ㌴改敤㌳㥡㌹摥㈰扤㝤慥㘶愴户㠱㑡戱扤つ捡搳㜶搵㌵㌱〴㥡昴昶㑦㥡㠷慡㌶昳ぢ㌵㈳扤敤愱ㄴ摢㕢㜵㥥戶愷慥㠹㄰㌴改敤㑢㥡㜹㡦㉥㘳晢㑡捤㐸㙦㌱愵搸摥攲㜹㕡㐲搷挴摥搰愴户慦㘹收摤戳昴昶㡤㥡㤱摥㐶㈸挵昶㔶㤳愷㡤搴㌵㔱ぢ㑤㝡晢㤶收戱慡捤晣㤷㥡㤱摥昶㔳㡡敤㙤㝣㥥㌶㐱搷挴㘴㘸搲摢㜷㌴㑦㔱㙤收昷㙡㐶㝡㥢愶ㄴ摢摢昴㍣㙤㠶慥㠹㔹搰愴户ㅦ㘸㍥㐸戵㤹㍦慡ㄹ改敤㄰愵搸摥㘶攷㘹㠷敡㥡㤸〳㑤㝡晢㠹收㤴㙡㌳晦慤㘶愴户㡣㔲㙣㙦搹㍣捤搲㌵㌱て㥡昴昶ㅦ㥡㡦㔰㙤收捦㙡㐶㝡攳㝤ㄲ㘷㙣㙦つ㜹㕡愳慥㠹〵搰愴户㡤㌴户愸㌶昳ㄷ㌵㈳扤昱づ愶捤摢愲㍣㙤戱慥㠹愳愰㐹㙦扦搲㝣㡣㙡㌳昹戲㐸㍡㤰摥㜸㙦搱收㙤㔹㥥戶㕣搷挴㜱搰攴攳㥣㕦扦戳ㅦ攷散挳㔵㉡㌷〴敦㉢㘴挳㉦慡㘱戸㙣㄰攲〴愷㘱愳㙡ㄸ㠱〶戳㠲㡢㍦ㄹ㑤㌲戴㑡㙡愷㐲㘳㄰愶愱㠷㜶㥡戲㑡摡挴ㄹ㑥㡦㡥挴㥣改昴愸搲㝢慣搴㝢㜴㍢㍢㑦㍢㐷搷挴昹搰攴昲㑤昶晦㤳㙡㌳昱㌲搳㌶㙡㉥搲㝢㜴㕢㤵愷㕤慣㙢㘲㌵㌴改慤ㄳ晢㕦慥摡捣捥扡户㉢昵ㅥ摤慥捡搳慥搶㌵㜱ㅤ㌴改慤ぢ晢摦愰摡捣慥扡㌷㕥愴戶愵㙤㑤㥥戶㔶搷挴慤搰愴户㙥散㝦㥢㙡㌳晤扡㌷㕥㍥戶㜹晢㑢㥥㜶㠷慥㠹昵搰愴户㙤搸晦ㅥ搵㘶㜶搷扤昱挲慥捤摢晤㜹摡〳扡㈶ㅥ㠲㈶扤昵㘰晦㐷㔴㥢搹㔳昷挶换慤㌶㙦㡦攷㘹㑦攸㥡攰ㄵ㤲昴搶㡢晤㥦㔵㙤收戶扡㌷㕥〸戵㜹㝢㉥㑦晢扢慥〹㕥扢㐸㙦扤搹晦㘵搵㘶㙥愷㝢攳㈵㑡㥢户搷昲戴搷㜵㑤昰慡㐲㝡摢㥥晤摦㔶㙤收づ扡㌷㕥㍣戴㜹㝢㉦㑦㝢㕦搷挴〷㑥㝦愷摣ㄹ晢㑥㤹㥦㘷㜳㜹户摦〷㕥昱晣㔵㥥㥤戹㔷敤〴㥤ㄳ慦㑣晣ㅦ㍢愸扥㌶㑡㥥㜵搱㘰敥慣㔰㐴晡㍦㜵㔰晤㙣㤴㍣㥢ㄲ搵㕦㐷昱慣㉡㤷㌸挰㐶晤ㄳ㍡搷挰捣㡢敢ぢ〷㌵搰㐶挹戳ㅦ㔱㜹㑢攴㔹㔰晡摡搵㐶㝤敤昸捡㕢㈲捦㙥ㄲ戵㥢㡤晡搶㐱攵㉤㤱㘷㉤㠹摡摤㐶挹戳㔰㔱㕣摦㍢愸㘱㌶㑡㥥㕤㡡㔰㍣换㐸㕦搵㌶㑡㥥㌵㡡㔰晦㜶㔰〱ㅢ㈵捦〶㐴攵㐵捦戳㠲昴ㄵ戲㔱昲㈸㕦㠴攲搱㕥愲㈲㌶㑡ㅥ扤㡢㔰㍣㡡㑢㔴㑣愲扡昱戰㝡㈰㔰攵㑢㐴收昰散攱㠷晦搸慤愲摦づㄵ〷搵㜴扥昰敤㈷摦㍤晢㠵㐳㠷㝦昴昳挵ㄷ扦昰晥搹㑦晦㝣㑦㝡昸㘳㔷㕣昱昰㠴搵㑦扦摢㍤㜷㔹昹㕦㝥㥣㜴搹㌱挱昹挷㉣挸ㅤ戰晢戸㘳づ㍥㘲㕡㜰敡㌶㐳㍢㜴攸搸㜱㜰㡦挷户摢捤扦㝣挱㥤㘲挳慢扤ㅢ㠵㍣㔲㌳㡣㌸㤶挴㠹扦摡改攷ㄱ㕢㠶㤱㤰㘱〸㜹㜴㐶㐳晥㈶挰愳戴㐴敤㘵愳攴㔱㤷愸㍣㝡㜸昴㤵愸㝤㙣㤴㍣㥡ㄶ愱㜸㔴㤵愸㝤㙤㤴㍣㑡ㄶ愱㜸戴㤴愸ㅡㅢ㈵㡦㝥㐵㜱昱㈸㈸㔱愳㙣㤴㍣慡ㄵ昹攲搱㑤愲㙡㙤㤴㍣㕡ㄱ㌵〶扡㌳昹㜹搴㤲愸戱㌶㑡ㅥ㠵㠸捡㕢㐷ㅥ㡤㈴㙡㍦ㅢ㈵㡦㉥㐴攵昹攲㔱㐶愲㈶搸㈸㜹搴㈰㉡㙦㌳攷搱㐳愲㈶搹㈸敥昷昲㐴㝣㥢㍡摦㡥㐲㤷㉡晣晡㈷て〰〴㜶愹㄰摣敢㈵收捦〵ㄸ㘷㘷ㄴ摣攳㈵攲搶〲㠴戳ㅥ㠲㝢扢㐴摣㤲㡦㄰摣挱㘵挳捤〵つ摣愷㘵挳摡㠲〶敥挶戲㘱㑤㐱〳昷㕣搹㜰㔳㐱〳㜷㔶搹㜰㘳㐱〳昷㑦搹㜰㐳㐱〳㜷㐹搹㜰㝤㐱〳昷㐲搹㜰㕤㐱〳㜷㍣搹㜰㙤㐱〳昷㌵搹㜰㑤㝥㠳㥦晢㠴㘲㤸㍢㠲挴㕣㥤㡦ㄱ摣昶㘵挳㔵〵つ摣摣㘵挳㤵〵つ摣挲㘵挳ㄵ〵つ摣愸㘵挳攵〵つ摣㡥㘵挳㘵〵つ摣㜴㘵挳敡晣〶扦戳摤〹㙥戶ㄲ㜱㘹㍥㐲㜰㑢㤵つ㤷ㄴ㌴㜰攳㤴つㄷㄷ㌴㜰㝢㤴つ慢昲ㅢ㍡晤㍦㜴ち摢㕦</t>
  </si>
  <si>
    <t>㜸〱捤㝤〷㤸ㄴ㔵搶昶摣㠱㈹愶㥡搴〶㡣㠸㠰愰㈸㌸㜶づ㉡㌹㠹㠰㈸㘰づ㔰摤㕤つ㈳ㄳ㜰㘶㐸㠶㌵扢收慣慢慥慥㌹㉥㘲㡥慢慥㜹捤搹㌵慥慢㘲捥慥㘱捤晥敦㝢敦慤㥡摢摤搵㐳昸扥晦㜹扥愶晢㔰攷摣昷㥥㝢敡㍤㤵敢㑣㔵㡤愸愹愹昹ㅤㅦ晥捦㑦㜷㑥昴㥦戵慣扤挳㙤㙥ㄸ摦摡搴攴收㍢ㅡ㕢㕢摡ㅢ挶戶戵㌹换愶㌵戶㜷㜴〳挰㥡搳㠸昶昶扡㌹敤㡤〷扢昵㜳ㄶ扢㙤敤〰搵搵搴搴搷摢戵㘸摦㔸晦挲㥥㘲戳㤷摤㥤〲愸ㅡ摢愲攸㐱㔱㑦㘱㔳㠴㈸㝡㔲昴愲攸㑤搱㠷愲㉦㐵㤸㘲ㅤ㡡㜵㈹搶愳㔸㥦愲ㅦ挵〶ㄴㅢ㔲㙣㐴挱昱敤㑤㈸㌶㠵攸搵ㅦ㘲昶昸㜱㌳㜲〷㘲㙥㘶㜵戴戶戹㈳〶敥愱㘲ㅥㄹ㡤㌶㐴ㅢㄲ改㘸慡㈱㌲㘲攰昸㐵㑤ㅤ㡢摡摣㤱㉤敥愲㡥㌶愷㘹挴挰㕤ㄷ攵㥡ㅡ昳㔳摤㘵戳㕢ㄷ戸㉤㈳摤㕣㈴㥥㜳ㄲ㤹㘸㈲㤹㉣㘶戳㤹㕥㥢挱昳㉥攳挷敤摡收ㄶ摢晦户㝣づ愰捦ㄹ攳挷㌵散攲㜶晣㙦昹摣ㅣ㍥攱㜲㐲㙢戳搳搸昲扦攴戴㡥㌹㑤㑥㜰昳㡤㑣扥敢戶㌵戶捣㙢㐰搸㈵㐴㐳㑢㌷㡣㙤㙦㕦搴扣㤰换搱㜸户愹㘹愶㕢㤴㐹㙦㥥搰摥戱慢搳搶摣摥慢㤹晣戹㙤㙥㑢摥㙤敦搳㍣㜱㘹摥㙤搲挰昶晡收㍤㥣戶㕤㥣㘶户㍢㈷晡㌶慢ㅣ㑥㈹戸㉤ㅤ㡤ㅤ换㝡㌷敦摥敥捥㜴㕡收戹㠴搴㌵㑦㕥搴㔸㄰摤扢攳㕢搳㙤慢愰挸㘴愲㄰㑦昳昸昹㑥㕢㠷搴㤸挲㘸㄰搶㔸㕣攴㕣㤴挴挵㐵㙡㘰㔹㉦收㙣㔶㘳昳㔴户慤挵㙤攲㈰捣攴昰㌲㤰㈴㐸攵挱㘷捡㥢ㅤ㘶㐹昴搴㉢ㅦ攷㠵愳㔸〳㈱戲戳摢ㅡ㌱㥢㡢㥡㥣戶ㄱ搳ㅢ㕢㐶㐶ㅡ攲㠹ㄱ搳ㅡㄷ戸㑤㡤㙥㝢〷搴挴㠸改捥㔲晣㥦㑣㘶㑢㍥〹㝢㄰扡摢㠳改㘸ぢ㠸敥攳㈷愴㌲昶㄰摡㠶㐲㠸敥慦㘳攵㌷㠷攴ち㔸㍢挷愹㥤㤳慢㥤㤳慦㥤㔳愸㥤攳搶捥㈹搶捥㤹㔷㍢㘷㝥敤㥣挶摡㌹〷搶捥㔹〰㡣昷愹敦搱愳㔶㝦㝥㍥㈷戴摥攰攱ぢ㈷摦摥攷敥㔷ㅥ㍤攱戶㔳〵搷㜷戹戹搸ちㄳ㠳换㘷挱㡣㕦㐶ㅦ戵㠷〱㘷㙦つ㘱㙤〳㠱㔸㘳㈹㝢㌸㙤㈳㈰㠴㜸ㄱ戱㌲摥㡦愷昵㍣㘲攷收㡦愶摥昹攴戶㘷扥㌶敡㤲㜳〴户㈹㜲愰〶㑣慣捥㐰摢搱㘹〴挲㡡㐲㤰㤴戸ㅤ愳㉤づ㈱挴㔳㝡愰搰晣㐹慦晦摡㙤搱昸敢摦㥡㥥敦晤㐹收ㅥ挱敤㤶ㅣ㈸㠹㠹搵ㄹ㈸㐵愷㘹〸㉢〳挱㌹㡡摡㔹摡戶㠷㄰攲ㄱ㍤搰㔶㜳扦ㅤ㘶㙦晡捤㤴ㄳ㡥㥡戹搹㔵㑦慥户㥥攰戶㔱づ戴㈳㈶㔶㘷愰㤱㜴㍡ち挲ㅡつ㠱㠱搲㈹㝢っ㙤㘳㈱㠴戸㑦て昴捥昴㜱㈷㠶摦㉢㑣扣㙥摥㠳㈳敥㍦攲昷ㄵ㠲慢愲ㅣ㘸㍣㈶戶㈹捦㔱㐳㈲㤶㌴昳搴㤰搴换㔹摡㥥㐰攷ㄳ㈱慣㐹㄰ㄸ㌰㤹戵㈷搳戶ㄳ㠴㄰㜷攸〱搳㐷晦昴搳昷㕢昴㥣戶晣戴ㄹ敦扤㌳昸捣戹㠲摢㝡㌹攰捥㤸㔸㥤㌹㥢㑡愷搳㈰慣改㄰ㅣ㈸㘱敦㐲摢っ〸㈱㙥搴〳㈵摥搸改敦慦㌵搹㘳㑦晣慤敦愸晥㈷慥㜷㤹攰晥㐴づ戴ㅢ㈶戶㉦㥢戳㔴㐳㈲㘵捣㔸扡㈱ㄵ㈹昹愸昹㡣㐶ㅡ㔲〹㝢㈶〷㥢〵㘱捤㠶㐰〰㔸㔸㜶愷㙤て〸㈱慥搵〱㑣扡攳挷㈵〷收㌶㥣㝡摦昳搱㌹㑦㑦㜶㙣搱ㄳ捤㌲㠰扤㌰戱㍡㜳扡㌷㥤敥〳㘱敤ぢ挱ㅣ㐶散晤㘸摢ㅦ㐲㠸换昴㐰昶愵㐷㙤㌳㘴㡢ㄹ㤳㡥㌸昲愸捣㥢昷摣昴㠵攰晥㔲づ㌴〷ㄳ攵㜳㡡㙤㐲戶㌴㠷㘹㥤挳㙣扡㘴㔳㤱㐹摢㜳搱摦㜶㈰慣ㅣ〴〲㠸㈶敤㍣㙤〵〸㈱晥慣〳㜸攲㙦㍢扣㜵晤㕦㥥㥤㝡㘲晥搳㍦㍦㌴敡㠳㉢〴昷搵㌲㠰㈲㈶㔶㘷㑥攷搱改㝣〸慢ㄱ〲〳㘵攲昶㠱戴㉤㠰㄰攲㙣㍤搰㘶㈷㍥摡敦收昷挳㤳㑥㜹晥愱㤷摡㌷户㕦㄰㍣ㅥ㤰〳㌵㘳㘲㜸㔹㑥㈳つ改㔴改㥣㘶搵㜶愵〱㥢㤱ㄶ㝡㙦㠵戰ㄶ㐲㜰搶㌲昶㐱戴戵㐱〸㜱㡡ㅥ㜱攱攲ㄱ户攷扦晤㜶散ㄱ㝦㜸㌹扦㘰㥢搸㘰挱㠳て㌹㘲〷㈶捡戹㡤㌵㘴㈲收㠸昱㠶㜸挹㔲ㄴ㠹换〰ㄲつ愹㤸扤㠸㠳㉤㠶戰㤶㐰㌰戹㌱㝢㈹㙤换㈰㠴㌸㑥〷昰晤愲㜹㕦㙦㍦㜶晡㠴㔳㝥扣昶攴挱㝤㡥搸㕣昰挰㐷〶㜰〸㈶㌲㘵戳ㅣ㙤㠸㥢㡢㜱戴㈱㈵〷㡣㌵挴攲愵戹戵て攵㔰㠷㐱㔸㝦㠰挰昰㔸戰て愷敤〸〸㈱づ搷挳㙦昲晥〱慦㕥㜶攸ㄹ㤳慦昹挳昷昷㥣昴攲昷㑦ぢㅥ㜲挹攱㡦挲挴敡愴昶㘸攰散㘳㈰慣㘳㈱㌰㔰㍣㘲ㅦ㐷摢ㅦ㈱㠴㔸慡〷摡攲挶搱㜷㥤㜳挱㍦愷ㅦ昷晥捦㤷晤晢戴㘴㔱昰戰㑥づ㜴〲㈶㔶㘷愰ㄳ改昴㈴〸敢㘴〸づㄴ户㑦愱敤㔴〸㈱づ搲〳つ㌹㜷挰㙥挷㙣晤晤㡣ㅢ捦㘸扣㙣晦搷㥦扦㕢昰搰㔱づ㜴㍡㈶㉡㜷慣搱戴戱㕤㠸㌴挴昴捡ㄲ㉢㕤㔹戲㘹晢っ㡥㜵㈶㠴㜵ㄶ〴ㄹ捤摡㘷搳㜶づ㠴㄰〷敡昱㝦挹摥㝥挷戳摦㉤摦昹慡晦ㅥ㤵摣㙦愴㔸㈲㜸搴㉡挷晦ㄳ㈶戶㉡㑢㘸愴㈱㘳㉥㔰㔱扤〰㈷散昳攸昹㝣〸敢〲〸㡥㤶戴晦㑣摢㠵㄰㐲攴昵㘸ぢ扥㔹攷攲ぢ昶晢㘶昲慤て㕣昲捦挲㍦㠷㕦㉣晡愱㔹㡥昶ㄷ㑣慣づ慤ㄷ搳改㈵㄰搶愵㄰ㄸ㈸ㄶ户㉦愳敤㜲〸㈱昶搳〳㕤㜷㠵㝢捦搱㔷㝦㍤昶㠸㉤㑦摣昲慥㈳晢慥㄰㍣〴㤷〳㕤㠹㠹摤换㘶㉢㠱㔵戳㘴捤㌰㐹㑥㤶㙤㝣愳敡㘰㈶摤㤰㐹㤸㝤愲㈹晢㉡挶㜱㌵㠴㜵つ〴㘲㑢挷敤㙢㘹扢づ㐲㠸摤㜵㙣㝦㝢㘹晢晣捡敤捦搸改愶㑢㍥㥢㌶昹攲㑢㍥ㄲ㍣㌳㤰戱㉤挷挴敡㤰㜰㍤㥤慥㠰戰㙥㠰挰㐰挹㤴㝤㈳㙤㌷㐱〸戱㡢ㅥ㘸攴㠲㔷搷摤㘷摢攱㤳㡥晤晣摣戴㜸扤敥〴戱ㄱ㥡攵㐰户㘰㘲㜵〶扡㤵㑥㙦㠳戰㙥㠷㈰摢〹晢づ摡敥㠴㄰㘲戲ㅥ㘸㐵慣昶愹㑢㝥晣㘱挲㜹户㥦㜲昹捣愶㥥㑦㠹㡤搱㉣〷扡ㅢㄳ慢㌳搰摦攸昴ㅥ〸敢㕥〸づㄴ戳敦愳敤敦㄰㐲㡣搱〳㑤扦㘸搰㤱㤷㉣㝡㘰挶戱㘷攷㡦㍥㘹攰㤳愷㠸㑤搰㉣〷㝡〰ㄳ㙢㜲㝣昰㈰㥤㍦〴㘱㍤っ㠱〱㔳ㄱ晢ㄱ摡ㅥ㠵㄰㈲慢〷ㅣ昱昲㙤㡦㙤㜰㔰摢搸戳敥㕦㤹㝢户敦㍤㍦㡢㑤搱㉣〷㝣っㄳ慢㌳㘷㡦搳改ㄳ㄰搶㤳㄰ㄸ㈸㥥戴㥦愲敤㘹〸㈱㘲㝡㈰㜷㝣㝡晢晤㔷㝣戲昳ㄹ晦㜹晥㍢攷扢慤㝥散昵㉣㥡㜷搳〷摢ㄳ摡㥣㈵㌸㝤改㍣㌳㡡㌵㐴昸㙦搵愷㠴㌸㈳㉣㈶㡢改㘲㌴㕡㐸㐶㥣戸㔳㌷〸㙥㔷昷摣㠳摢昶㕥挵㍤ㅢ㕢ち慤㑢攴挹㐸晦㜱㑥扢摢㜹㙥㌲㕣户㡤㙢㕤搴㔲㘸摦㌴戸㜱㔶㠷搳攱㙥㔲摥搶改愴愲摢㉣㥣慡戹敤㜲扣〱攵摤昶㜰㥡ㄶ戹㘳㤷㌶慡收捤捡㥡㜱愲搶㥡慢摥㍡愹捤㍤挸㙦慤㠸㘸㉣慥㈴㉣㤶扥㉢收㔲㌵愹戸〶㡥㥦摦摡敥戶挸昰㠶㌷敦摡㤸㕦攰戶捤㜲㜹ㅤ挲㉤挸㔹敤挷㈶㝤戶㌸㝣㐶ぢ㘶ㄴ攷㝦㠵挱愶戵㌸㜱㘹㠷摢㔲㜰ぢ㠸㜷愱摢搶戱㙣戶㤳㙢㜲㌷㈸㠱愸㌱搱戰㜱㠹㜹㔲㙢㝥㔱晢昸搶㤶㡥戶搶愶搲㤶戱㠵挵づ捥㔰ぢ搳㕢ぢ㉥㑥㌰扢昳㔳㈳㙡扡㜵ㄳ愲㘶㥢愰戳㍣晡㙤㙦㤰㠹㌰㔲扣ㄹ㜲扥㔱改㘲搷㌰ㄳ㜳㠷戹㘸㜲戹㑣搶づ㔹㠵㌳改㤷㙥戶慥づ㌴收㠹ㄷ㙤㠸ㅥ㔶ㅤ㉤㘳昴㌳昷晦ㄷ㕣㕢扢㥥㥥晢㠹㡢㜱ㄶ扦㤳搳㔲㘸㜲摢扡扣攴㈴ㄸ㤱晤ㅣ㐴摤㜶㔸㥢慢戲搷ㅤ〸戱㔴㉣慢㕢搲㔸攸㤸㙦捤㜷ㅢ攷捤攷㘱ㅢ㉥㑢搵搷㤳摡㡡㡦晤〲㑣昶㡢ㄴ㉦㐱㠴㐲㌵搶换〴㔹㈱晢㥦㑡慦ㅢ㡣晦搷晣晡㐰㉤㝡搹昲㝡〴㉥ㅥ戵搷㌵㑦㙡㙤㙢敦搶㉤㘸㉥㜷㜲摡攷㜷㜰昱散扡㤱晥㕥愱㜸ㄵ愲㙥〸挴㉡㉦㍦昴〵愸㍢慦戲昴㙥㥥攰ㄶㅤ㕣摢㤲㙢户㜰敡㥡搵攵㤲〹㙥㝢摥收㜵㤵㈹㔸㔷㤶㕡㤸挲捡摦慢㤹㑢扦扢戴㘳㠲搳攱昴㘸挶ㄵㅡ㘴挹〶㘸戸散愵愶搸戳户戴㜹扤㐳㕡㠳㠷戰㥣㌴扣昴㤴〶攵〹㉢づ搶㤷㥡㙥㕡㜶㍤ㄳ㠸㝤〰㘶挲㉡㕦搰㑢慦戴攰〲㔰㘱戲摢㌲㝢搹㐲户㥤昰㝡慢㑢㉡换㔷㉦㍡㥢㤱捦敤摥搱搸搴摥㠰㐸㈷户戵㉥㕡昸扦改㠷扥散搷㈰扣㑦摤㤶㔸㡡㔷㝦㥥㐰㔷㑤㡦挵捣捤㥣㌹㌵昵昴㐶㡢昵〶〴昶㜶㌸捦攷㈲ぢ㡦扦攳㍦昹戱晦㠵晦㐲㌶〱㔵摡敡㠶愲㙤㑤㉥㑤搵〱摦慢ㄹ㌴捤㙥㜳攵挵戶㝡愹㠰昲摥捤㝢戶戶㉤挸戵戶㉥攰㐲搵㐷㙡敤昳㕤户㠳ㄷ戰㝡敡ぢ㜶昲挲㥣㄰摤扡㤵㕣㙡㌲慥㜴㙤づ晦搶㍢㄰攱搹慤㠵搶昶㠱㑤晣㌵收摡㕡摢慤㜷㘱敤㠶慢㘹搶㑡㑣愴㈶敦扡昷㥣㠹戳㘶㑦㤹㍥㜶晣㤴ㄹ扢っㅢ㡦ぢ㘰㔸㕡户挵㠶㝥ㄹ㌶愲慤㕢て㥣戳㤸㔷㜴㈳〳愳搱㙤昱㡤㐵ㅡ㤶㌶戵㉦ㄵ晤㐱て㉦ㅤ㕤㜹散扣ㄳ㠷扣戶攵㤴昳㜳扢㥦㝡摤㉥㘲愸搸㔴㌷㔴㕣扣ㅡ㠶搱〶攱㘷㝦〰㈱㌶〶㡣摢ㅥ㑣㤷㝥散㡦愰摢ㅦ㔳㝣〲㠱㉤㠸愴ㅣㅢ㤰捦㤴㉡戶挶晦摣㠸搸㥦㔳㝣〱㈱㠶㐳㜰ㄵ戶扦㠴昰㍥㈲っ晦㕣㌲㤸㕤㝢ㅢ㡡㡡挴㝥〳㙢愸慢㌶㌱〲〸㈶搷㈶㤹㌶戹戳挹㥢戰攰㌸㤰㠰㍡摤㔰㜱㔱㙤㍢㜴㤳〴晣挲晥摤〰ぢ㈶攰㌷㡥㐱㘲㙣㉥㤷〶〱戵㑡ㄵㄱ戴㐹〲扡挱㘰昳づ㠳㠸挱㈴〹愸㠳收㝤挴㑦扦ㄹ〴㐴㘱慥㈴挰愶㑦扢㡢㌶ㄱ㐷扦㈰〲扥㠲昳㐰〲扥搴つㄵㄷ晢㔲昰㌴㠸㔱慣换㤰㍦〷㉣㤸㠰昵搱㙣昷愳搸〰挲㈰㘰㈳愵㡡㌴㥣㐸〲㌶㈶㘸ㄳ〸㤱㠵㐹ㄲ戰㈹㌴敦㈳摥㌳〹挸挰㕣㐹挰收昴㘹㜷搱㈶戶㐷扦㈰〲㕥慦㐶挰㙢扡愱攲㈲攴㐸㜸ㅡ挴㈸㠶㌱攴㔷慡ㄲ戰つ㥡敤攱ㄴ㈳㈰っ〲ㅡ㤴㉡㐶挱㠹㈴㘰㍢㠲㈲㄰㘲っ㑣㤲㠰㈸㌴敦㈳㥥㌱〸戰攲㘸挱〶㉥㤳愸㘴㈱㠹愶㤰㑤㐰㤵㌶㌱ㄶ㍥㠳㔸㜸戸ㅡぢて改㠶㡡㉢愴ㄳ攰㘹㄰㝥昶㈸っ㈷ㅥ愸捡挲ㄸ㐶㌳㤶㘲ㅣ㠴挱挲〴愵㡡㠹㜰㈲㔹㤸㐸搰㈴〸挱ぢ愶㤲㠵挹搰扣㡦戸搳㘴㘱ち㕡㜸昶㤴慥㥣搳愹㘸ち搹〴㔴㘹ㄳ㍢挱㘷㄰ぢ㉢慡戱㜰扤㙥愸戸㙣㍢ㄵ㥥〶攱㘷捦挶㜰攲慦㔵㔹搸㠳搱散㐹戱ㄷ㠴挱挲㍥㑡ㄵ搳攰㐴戲戰㉦㐱晢㐱㠸㕤㘰㤲㉣散て捤晢㠸换㑣ㄶ收愰㠵㉣挴㉡攷搴㐱㔳挸㈶愰㑡㥢㤸〱㥦㐱㉣㥣㔷㡤㠵㍦改㠶㡡㙢捡㌳攱㘹㄰㝥昶㠱ㄸ㑥㥣㔳㤵㠵㈶㐶搳㑣搱〲㘱戰戰㔰愹㘲ㄶ㥣㐸ㄶづ㈲愸つ㐲散づ㤳㘴愱ㅤ㥡昷ㄱ㈷㥢㉣㉣㐲ぢ㜷昹搱捡㌹㕤㠲愶㤰㑤㐰㤵㌶戱〷㝣〶戱㜰㔴㌵ㄶ㡥搴つㄵㄷ戶昷㠶愷㐱昸搹㐷㘰㌸㜱㜸㔵ㄶ㡥㘲㌴㐷㔳ㅣ〳㘱戰㜰㥣㔲挵㍥㜰㈲㔹昸㈳㐱挷㐳㠸晤㘰㤲㉣㥣〰捤晢㠸挵㈶ぢ㈷愱㠵㉣㘴㉡攷昴ㄴ㌴㠵㙣〲慡戴㠹晤攱㌳㠸㠵愶㙡㉣㉣搰つㄵ㔷摤攷挲搳㈰晣散㜳㌱㥣㘸慣捡挲㜹㡣收㝣㡡ぢ㈰っㄶ㉥㔴慡㜰攰㐴戲㜰ㄱ㐱㝦㠱㄰㜹㤸㈴ぢㄷ㐳昳㍥㘲慥挱㠲㥤㠳戹㜲㈶㉦〷㍥搴㔵㥢㈸愰㕦㄰〱㝢㔴㈳㘰㜷摤㔰㜱搵㥦ㄷ昱〷㌱㡡攵っ㜹㔶㔵〲㔶愰搹扥㠱攲㐶〸㠳㠰㥢㤵㉡收挳㠹㈴攰ㄶ㠲㙥㠵㄰〷挲㈴〹戸つ㥡昷ㄱ㍢ㅢ〴㔸㜷愰〵㡢㐱㌶㘰㘵戸ぢ㑤㈱㥢㠰㑡㠶㘴㥢㔸〰㥦㐱㉣㡣愹挶挲㘸摤㔰㜱㑢愲〵㥥〶攱㘷㍦㠸攱挴挸慡㉣㍣捣㘸ㅥ愱㜸ㄴ挲㘰攱㌱愸搶攳ㄴ敡㉡㐱愸㐶戴挲㥦㈴攴〹攲㥦㠴㄰〷挱㈴〹㜹ち㥡昷ㄱ㜱㠳㄰㝢㈱捣㤵昳晢ㅣ昰愱慥摡㐴ㅢ晡〵㜱戱㜵㌵㉥㠶改㠶㡡㥢㈵㡢攰㘹㄰愳㜸㡤㈱㙦㔹㤵㡢㌷搰㙣扦㐹昱㉦〸㠳㡢㝦㉢㔵㉣㠶ㄳ㐹挰摢〴扤〳㈱㤶挲㈴〹㜸ㄷ㥡昷ㄱ㥢ㄹ〴㔸敦愱〵㑢㐴㈶㔲挹挲〷㘸ち搹〴㔴㘹ㄳ换攰㌳㠸㠵昵慡戱戰慥㙥愸戸㘳㜳㈸㍣つ挲捦晥ㄲ挳㠹㜰㔵ㄶ扥㘶㌴晦愱昸〶挲㘰攱㍢愵㡡挳攰㐴戲昰㍤㐱晦㠵㄰㠷挳㈴㔹昸〱㥡昷ㄱ㍤㑣ㄶ㝥㐲ぢ㌷㡦〱扢捡㕦搰ㄴ戲〹愸㘴㐱戶㠹㈳攰㌳㠸㠵㕦㝦慤㜲昴晣㡢㙥愸戸㜱㜴㌴㍣つ挲捦慥慢㐵摣㍦〱ㄶ㝣昴摣〳捤㜶㍤〵㑢㠷っㄶ㝡㉡㔵ㅣ〳㈷㠳改愸ㄷ㐱扤㈱〴敦㈷㐹ㄶ晡㐰昳㍥攲㙢㡣攱㥦㍦ㅤぢ㜳攵㑣慥ぢ㝣挸敥愲㑤昰㉥㔵㄰〱ㅦ㔶㈳攰〳摤㔰㜱㐳敢㐴㜸㤲〴㙣捡㤰摦慢㑡挰㘶㘸戶〷㔰㙣捥攸㍡㑦㈰〷㈹㔵㥣〴㐷㠳㌹㍢㠳〹摡〲㐲昰㍥㤷㈴㘰〸㌴敦㈳摥㌰〹㌸ㄹ收㑡〲㠶〱ㅦ戲扢㘸ㄳ愷愲㕦㄰〱捦㔷㈳攰㌹摤㔰㜱愳敤っ㜸㤲〴㐴ㄹ昲㌳㔵〹㠸愳搹㑥㔰㈴ㄹ㕤㈷〱㘹愵㡡㌳攱㘸㌰㘷㈷㐳㔰ㄶ㐲㥣つ㔵ㄲ戰㍤㌴敦㈳ㅥ㌱〸戰㜶㐴ぢ搷㠳㠰〳攷㔱㘸ち搹〴㔴㌲㈴摢挴㌹昰ㄹ挴挲摦慡戱㜰户㙥愸戸摤㜷ㅥ㍣㐹ㄶ㈶㘳㌸㜱㘷㔵ㄶ愶㌰㥡㥤㈹愶㐲ㄸ㉣㑣㔷慡㌸ㅦ㡥〶攳㘷敦㐲搰っ〸昱㘷愸㤲㠵㕤愱㜹ㅦ㜱㠳挹挲㑣戴㤰㠵㜸攵㥣捥㐶㔳挸㈶愰㑡㥢戸㄰㍥㠳㔸戸戲ㅡぢ㔷攸㠶㡡摢㤰ㄷ挳㤳㘴㘱㝦っ㈷㉥慢捡挲ㅣ㐶㌳㤷挲㠱㌰㔸挸㉢㔵㕣〲㐷㠳昱戳ぢ〴戹㄰攲㌲愸㤲㠵㈲㌴敦㈳捥㌷㔸戰㉦㠵戹㜲㈶て〴㍥搴㔵㥢戸ㅣ晤㠲〸㌸慤ㅡ〱愷敡㠶㡡摢愳扣㜵㈹〹㘸㘷挸㈷㔷㈵㘰ㄱ㥡敤挵ㄴ㑢ㄸ㕤攷捡戰㑣愹㠲户㍦〷㜳㜶づ㈶攸㄰〸挱㕢愰㤲㠰㐳愱㜹ㅦ㜱戴㐱㠰昵〷戴㜰搷ㄸ㜰戰㜴〴㥡㐲㌶〱㤵っ挹㌶㜱ㅤ㝣〶戱戰慣ㅡぢ㑢㜵㐳挵㡤㔸摥㔷㤵㉣㥣㠰攱挴攲慡㉣㥣挴㘸㑥愶㌸〵挲㘰攱㌴愵㡡ㄵ㜰㌴ㄸ㍦晢㜴㠲捥㠰㄰㌷㐲㤵㉣㥣〹捤晢㠸㘶㠳〵晢〶㤸㉢㘷昲㕣攰㐳㕤戵㠹㥢搰㉦㠸㠰㝣㌵〲㜲扡愱攲〶㌱敦昷㑡〲㉥㘶挸㜳慢ㄲ㜰㈹㥡敤换㈸㉥㘷㜴㥤㡢挱㤵㑡ㄵ户挱搱㘰捥捥㔵〴㕤つ㈱㜸摦㔸ㄲ㜰つ㌴敦㈳昶㌴〹戸ㅤ收㑡〲㤶〳ㅦ戲扢㘸ㄳ㜷愲㕦㄰〱搳慢ㄱ㌰㑤㌷㔴摣戸晥ㅢ㍣㐹〲㙥㘳挸㍢㔷㈵攰づ㌴摢㜷㔲摣挵攸㍡〹昸㥢㔲挵㍤㜰㌴㤸戳㜳て㐱昷㐲㠸晢愰㑡〲敥㠳收㝤挴㔸㤳㠰㝢㘱慥㈴攰㐱攰㐳㜶ㄷ㙤攲敦攸ㄷ㐴㐰扡ㅡ〱㈹摤㔰㜱㐳晤㐱㜸㤲〴㍣挹㤰ㄳ㔵〹㜸ㅡ捤昶㌳ㄴ捦㐲ㄸ〴㍣慦㔴昱㄰ㅣつ收散扣㐰搰㡢㄰攲ㄱ愸㤲㠰㤷愰㜹ㅦ㌱摣㈰挰晡㈷㕡戰㈱㐰ㄱ攸换〰攰愲㉥慦摣捡㡦晤㉡㥡㜰摦ぢ戲㑡㥢攰慤晢㈰ㄶ〶㔵㘳㘱愰㙥愸戸换捦㥢昶㤲㠵㜷㌰㥣ㄸ㔰㤵㠵㤵㡣收㍤㡡昷㈱っㄶ㍥㔴慡㜸〲㡥〶攳㘷㝦㐴搰挷㄰攲㈹愸㤲㠵㑦愰㜹ㅦ搱捦㘰挱㝥ㄲ收捡㤹晣〲昸㔰㔷㙤㠲㈵〵㐱〴昴慣㐶㐰㐸㌷㤴㔷ㅦ搴昱㙥收ㅡ摣㌵敥挹㠰㡢㝢㌴扡㑢㜸㥢慢㑦ㄱ㜵捦攳ㄷ戵㜷戴捡㝢㜲扤㡢ㄳ㕡㜷㘹敤㤸搰搸扥戰挹㔹戶㕥㔱㑦散㌹摦㙤挱ㅤ昳㌶摣㌸㉦戳戵㉥㕣攸ㄶ散攲慣搶㐵㙤㜹㜷捡㠴晦ぢ㜷搴㌱㝦㐸㥤扣㤹㕥㉢昰㔹扢㥢挴㜰㈱戰㤴攰㔳㔳昷〲ㅣ㤶摦敢㤳搵搷挶㝤㜹㌹ㄹ〶戰㙦㈷愳戳ㅢ㍢㥡摣㥥㐵㜹㑦㕣㑥搷ㄷ挱㈲捡㄰ち㍤㡡戳攷攳昶搷㠴摥挵挹㙤㡤㠵愶挶ㄶ㤷挹㔸㕦㐱愷戹昳㔰㜲戰㙢㙢㝢㈳ぢ摤㝢ㄷ㘷户㌹㉤敤ぢ㜹昷㌴扦㙣摤ㄲ㑤摥㘶慤㉢㡥㙢㙣㘹挷㌰㌲㡢㥣敥㕢㥣㌵扦㜵〹晥收㘲㔱㜳换㘴㘷㘱晢晦㠹慣〸愶㐵㝥㘴㙡㐴慤愸慤ㄵ昵戵昵㙢㥢ㅦ敢扦㔸挷㌶挲〲摡搱搶㤸㕢㤴㙦㝣攸㤶㤶㠱㥤戵㘲㜲愰ㄸ㘴㜷ち㤹挸㥡㍡摥㥤㉦扦㔹㙡攴戱慣搲㠱〱㤷晣㐱㐱攰㑤㜷晦慦㔹㌶〳摣晥〱㌱昵晡ㄱ㘲攷挹扢㑦改慣〱晡ㅦ晤㘹㐸ㅤ敢〹㔶扢攴愲ㅦ挰㝤搴㜲挴㌲っ㉥㔶㔸㍤戱㌸㔰㉢㕦㌶㐳㐵㠹攱㘲摡愷㜳㜲ㄲ敥摡昷㉡㑥㜳㜲㙥ㄳ㡡つ㥡㥤㡥㍥㑡㘱搵㐷戳搳搴慥摢挶户㌶㌷㍢㕣敥昸〷㄰戳昲㑥㤳㕢㕦ㅣ扢愸愳ㄵ㝦㔵㘰ㄷ㈱攴挲愹㑤捥㔲㤸㥣愵慡㉣愰㌸㤳㐵㐸㜲㥡扥㕡攷㌹㙤㡤ㅤ昳㥢ㅢ昳昵㔴㔸㈸昴㝦㘲㠱挵ㄶ愰㍢挸昴㍥摥〶愵扣捥㐰摤敤㐷扡ㅢ㜰搱㡤搴㌱晤㔸慣㙢㠵㠵㝦㘲㉤㙢㔴戰昵㤱㝢ㄵ晢㘷㜸攳㜵てㄸ昴ㅡ昴搵敦摥挴攱㤸㤰㕢㈸昱㑦〲昰戳㝦〱㤴ㄳ晣㜵㘷㤵㐷㤷〵っ㍤〰〸㑤㙢㜵ち㤳ㅣ摣昱㙥敢愱晦㤴愹ㅥ愹攵昶愶㉤捣㤲㤲昱愸㔲挲㑤昱挵㡤〵户慤㥥㠶㔹昸㔳慤敥㉣㐶戱㔴づ㜱㔳扤㕢㑤㕤㕤捦晡愰戱愶㜸扥㠶攸㝢昴收㥦㠲㑤愹昰晦搹㙥㤹搱㘴㍤ㄴ㘲㙣昶慦㤸ㅤ晢㌷捥搳慢㔰㌹㍦㘵㠰摦〹㘰㤵㕦摤㙢㘸㉣捦㑤㘹㜵〷㙡㐰㙣㠰扡换㍦〲㘲摤㐹㍤㙡㌴㘴挱㑡㥤㥣㤱㥥㐶愱㠹愵㙡㑣敡扤扦㉣戲㘶㘱㈹㜷ぢ㈱戵㤱㘵㐱ぢ搳㔱㕢摢ㅤ愹戶捡㡢昴㉡㠶㠵戳收㔹慥慣㐰ㄱ慣扡戰〴㈲敥挵㤵〵晥攷〴ㅥ㐳㠵㐲㌶㔸〵ㄱ攲㕦㤰摥㥣昷愲㐵㔱搳ㅤ慤㌶晦㜲㑡戰慣㠰〷〱㤸昴㜶㔹㠲戵〴摣㙤搵㔸ㄶ㈰㙢戴㤹ㄴㅦ愳ㅢ㌷㤵㜶て㝡晦〴㔳摣〲昹㑢㈴晦〲㙦搵㑢攴㘷散㠱㥦ㅤ愲ㄳ慤〸ㄶ㉥㜸昳㘲愴戹㈷㌰㜶㉦〲扦〸〶昴㈶愰て〱㕦〲挰㔴㕢㝤愱ㄹㄴ愲㌰扦晣㌰ㄴㄴ慥〳㄰㈸晣挶昰捡㐵㐰㔳戸㉥扤慥㐷慦扦挰㔸㑥㈱慢ㄱㄴ㠵敢〳戲㘶ㄴ昲㔰㔸㔲搸㡦摥㌹晦㈵ㄴ㙥〸敢慡㈹慣㐵㌷㐹攱㐶搲㠹㔲〴㑢ㅦ〲㈸摣ㄸㄸ㝢ㄳ〲扢〷〳㌶㈵愰㍦〱慣㤴㤰ㄴ㙥〶捤愰㌰㤹っ愲㜰㜳㠰㐰愱㙤㜸㌵㈸ㅣ㐸慦㠳攸㤵愵つ攵ㄴ戲㥥㐱㔱㌸ㄸ㤰㌵愳戰ㅦ晡㑡ち户愰㜷搶㐳㤴㔰㌸ㄴ搶㔵㔳挸扡〹㝣㙢散㉤改〴ㄳ昲户㌱㘴〰㠵㕢〱㘳て㈳㜰㤳㘰挰搶〴㙣㐳〰㙢㉤㈴㠵挳愱ㄹㄴ攲㙦戲〲㤶挲㙤〱〲㠵㥢ㅢ㕥つちㅢ攸㜵㍢㝡㘵㜱㐴㌹㠵慣㠸㔰ㄴ㐶〰㔹㌳ち㠷愳慦愴㌰㑡敦㈳愰㤵㔰ㄸ㠷㜵搵ㄴ戲昲〲㕦㕣㔷愵ㄳ㡦㐲㤶㕦〴㔰㤸〴挶㑥ㄱ挸搲㡣〰㐰㥡㠰っ〱慣搶㤰ㄴ㘶愱ㄹㄴ〶㔴愱㘱㐵摥〱㈰㔰㤸㌴扣ㅡ摢挲ㅤ改㜵㈴扤戲戲愲㥣挲㌱戰㈹ち㐷〱戲㘶ㄴ㡥㐵㕦㐹攱㘸㝡ㅦ〷慤㠴挲戱戰慥㥡挲〹攸㠶㉦捡㌹攸挴愳㤰戵ㅢ〱っ㡤〷挶㥥㐰㈰敢㍡〲〰ㄳ〹㤸㐴〰㑢㍤㈴㠵㤳愱ㄹㄴ攲敦攷〲㤶挲㈹〰㠱挲愹㠶㔷㠳挲㥤改㜵㉡扤戲㉣愳㥣㐲搶㘲㈸ち愷〱戲㘶ㄴ敥㠹扥㤲挲改昴捥㕡㡥ㄲち㘷挰扡㙡ち昷㐱㌷㝣㙢散㕤改挴愳㤰㠵ㅦ〱っ敤〶㡣㍤㤳挰晤㠲〱戳〸㤸㑤〰敢㐴㈴㠵扢㐳㌳㈹慣㉣ㄵ挲㔲戸㈷㐰愰搰㌱扣㠶㘸㔱㝢攴扤攸㜵㙦㝡㘵㑤㐷㌹㠵㑤戰㈹ち昷〱㘴捤㈸㘴晤㠷愴㜰㕦㝡㘷㈱㐸〹㠵晢挳扡㙡ち㔹㌰㠲㙦㡤㝤〰㥤㜸ㄴ戲㙡㈴㠰挲㌹挰搸㜳〹㘴㐵㐹〰挰㈱㈰㐷〰㡢㑣㈴㠵㜹㘸〶㠵昸摢挶㠰愵搰〵〸ㄴ㉥㌱扣ㅡ㑢㘱㤱㕥攷搱敢ㄱ〰㤴㔳㜸ㄴ㙣㡡挲昹㠰慣ㄹ㠵㉣ㅥ㤱ㄴ㌶搲晢㌱搰㑡㈸㕣〰敢慡㈹㘴戵〹扥㌵㜶ㄳ㥤㜸ㄴ戲攴㈴㠰愱㘶㘰散ㄶ〲㔹㡥ㄲ〰㘸㈵㘰㈱〱慣㔰㤱ㄴㅥ〴捤愰㄰㝦戵ㄹ㐰㘱㍢㐰愰㤰ㄵ㉡㥥㔷㘳㜷挲挷㉡搸㡢攸㤵搵㈴攵ㄴ戲㠴㐴㔱戸ㄸ㤰㌵愳昰㝣昴㤵ㄴ㉥愱昷ぢ愰㤵㔰戸っ搶㔵㔳㜸㈱扡攱㡢㥢づ㜴攲㔱挸㝡ㄵ㙦㕥㡣攳挲㐳㠰戱て㈵㤰戵㉣〱㠰挳〸昸〳〱ㄷ〳㈰㈹㍣ㅣ㥡㐱㈱晥敥㌴㠰挲㈳〱〲㠵慣㜱昱扣ㅡ㑢攱㔱昴㝡㌴扤㉥〷愰㥣㐲ㄶ愱㈸ち㡦〱㘴捤㈸㘴敤㡡愴昰㔸㝡㘷ㄱ㑢〹㠵㝦㠴㜵搵ㄴ戲搸〵㕦㤴㌹搱㠹㐷㈱㉢㕥扣㜹㌱㈸㍣〱ㄸ晢㐴〲㔹つㄳ〰㌸㠹㠰㤳〹㘰㠱㡣愴昰ㄴ㘸〶㠵昸㡢摡〰ち㑦〳〸ㄴ戲〸挶昳㙡㔰㜸㍡扤㥥㐱慦て〲㔰㑥攱挳戰㈹ち捦〴㘴捤㈸㘴攱㡢愴昰㉣㝡㘷〵㑣〹㠵攷挰扡㙡ち㔹㈹㠳㉦㉡慥攸挴愳㤰㌵㌲摥扣ㄸㄴ晥〹ㄸ晢㍣〲㔹㍦ㄳ〰㌸㥦㠰ぢ〸㜸ち〰㐹攱㥦愱ㄹㄴ攲㑦㠴〳㈸扣〸㈰㔰挸扡ㅡ捦慢㐱攱㕦攸昵㘲㝡㘵つ㑣㌹㠵㉣㝣㔱ㄴ㕥〲挸㥡㔱昸㈶晡㑡ち㉦愵㜷ㄶ捥㤴㔰㜸㌹慣慢愶昰摦攸㠶㙦㡤㝤〵㥤㜸ㄴ扥㡤㈹㙦㕥っち慦〴挶扥㡡挰㜷㠲〱㔷ㄳ㜰つ〱敦〲㈰㈹扣ㄶ㥡㐱㘱㐰ㄵち昶挸㝦〵〸ㄴ戲㈸挷ㅢ搶愰㜰㌹扤㕥㑦慦㉣愰㈹愷㤰㔵㌳㡡挲ㄵ㠰慣ㄹ㠵㉣戶㤱ㄴ摥㐰敦慣扡㈹愱昰㈶㔸㔷㑤㈱慢㜳昰慤戱㙦愶ㄳ㡦㐲㤶攸㜸昳㘲㔰㜸ぢ㌰昶慤〴戲㝣㈷〰㜰ㅢ〱户ㄳ挰㡡ㅥ㐹攱ㅤ搰っち昱㠷摡〱㑢攱㕤〰㠱㐲㔶敤㜸㕥つち敦愶搷扦搱㉢攷愷㥣㐲㤶摣㈸ち敦〱㘴捤㈸㘴愵㡥愴昰㕥㝡㘷挹㑥〹㠵㝦㠷㜵搵ㄴ戲戴〷㠱搷搸昷搳㠹㐷㈱敢㝢扣㜹㌱㈸㝣〰ㄸ晢㐱〲㔹晢ㄳ〰㜸㠸㠰㠷〹㘰㌹㤰愴昰ㄱ㘸〶㠵昸ㄳ昴〰ち晦〱㄰㈸㕣搷昰㙡散㤱ㅦ愳搷挷改㤵昵㍢攵ㄴ戲㘸㐷㔱昸〴㈰㙢㐶攱〰昴㤵ㄴ㍥㐹敦㉣晡㈹愱昰㘹㔸㔷㑤攱㈰㜴㤳ㄴ㍥㐳㈷ㅥ㠵慣㄰ち㘰攸㔹㘰散攷〸㘴昵㔰〰攰㜹〲㕥㈰㠰〵㐵㤲挲ㄷ愱㤹ㄴ〶敥㑥㕥〶〸ㄴ戲慡挸昳㙡㔰昸㑦㝡㝤㠵㕥㔹〱㔴㑥㈱换㝥ㄴ㠵慦〲戲㘶ㄴ戲㕡㐸㔲昸ㅡ扤戳㙣愸㠴挲㌷㘰㕤㌵㠵㉣㉦㤲ㄴ扥㐹㈷ㅥ㠵慣㌱昲收挵㔸ち晦〵㡣晤ㄶ㠱搹㘰挰扦〹㜸㥢〰㤶㈴㐹ち摦㠱㘶㔰㠸攷〳〴㉣㠵㉢〱〲㠵愳っ慦挶㡡晣ㅥ扤扥㑦慦㉣ㅦ㉡愷㤰㌵㐳㡡挲て〰㔹㌳ち㔹㙡㈴㈹晣㤰摥㔹㜳㔴㐲攱挷戰慥㥡㐲搶㈶㐹ち㍦愱ㄳ㡦㐲ㄶ㈸〵㔰昸㈹㌰昶㘷〴戲㜸㈹〰昰㌹〱㕦㄰挰㝡㈶㐹攱㤷搰㑣ち〳㡦ぢ扦〶〸ㄴ戲㥥挹昳摡㥢ㄶ㜵㠲昷ㅦ㝡晤㠶㕥㔹㝢㔴㑥㈱ぢ㡥ㄴ㠵摦〲戲㘶ㄴ戲㑥㐹㔲昸ㅤ扤㍢搰㑡㈸晣㉦慣慢愶㤰㠵㑤㤲挲ㅦ攸挴愳㤰搵㑤摥扣ㄸ㑢攱㡦挰搸㍦ㄱ攸〶〳㝥㈶攰ㄷ〲㔸っ㈵㈹晣ㄵ㥡㐱㈱ㅥ攷㄰戰ㄴ晥づ㄰㈸㘴㐵㤴㌷慣戱㈲搷㈰〴㥢昷㔵〴慢㤷捡㈹㘴挹㤲愲㄰ㄷ搶搷㤰㐲㔶㍡㐹ち扢搱㍢㑢㥥㑡㈸慣㠳㜵搵ㄴ㉥㐳㌷㐹愱㐵㈷ㅥ㠵慣㡦昲收〵㜶㙦㜱攸㠱㘹扢㥥㐰搶㑥〵〰昸㤸㍡㍢㐴〰换愹㈴㠵㍤愱ㄹㄴ〶ㄴ搳攱愰愶㌷㐰愰㤰㈵㔳㥥㔷㘳㐵敥㐳慦㝤改㤵愵㑦攵ㄴ戲摥㐹㔱ㄸ〶㘴捤㤶㐲㤶㐹㐹ち搷愱㜷搶㑢㤵㔰戸ㅥ慣慢愶㤰㜵㔵㤲挲昵改挴愳㤰挵㔵摥扣挰敥㔱搸て搳昶〶〴戲昰㉡〰戰㈱〱ㅢㄱ挰㕡㉣㐹攱挶搰っちㄳ㠱㠷搶㥢〲〴ち㔹㤰攵㜹㌵㤶挲晥昴扡ㄹ扤戲㜸慡㥣挲㑢㘱㔳ㄴづ〰㘴捤㈸㘴愱㤵愴㜰㜳㝡㘷挵㔵〹㠵㠳㘰㕤㌵㠵㔷愲㥢愴㜰㌰㥤㜸ㄴ戲㍣换㥢ㄷ搸㍤ち户挰戴㍤㠴㐰㤶㙥〵〰㠶ㄲ戰㈵〱慣收㤲ㄴ㙥〵捤愰㄰㑦ち〹㔸㤱户〶〸ㄴ戲愴换昳㙡㔰戸つ扤づ愷㔷㤶㕦㤵㔳挸㥡㉢㐵攱〸㐰搶㡣㐲㤶㙡㐹ち户愵昷扢愰㤵㔰戸ㅤ慣慢愶㤰戵㕤㤲挲〸㥤㜸ㄴ戲挰换㥢ㄷ搸㍤ち愳㤸戶㘳〴戲昸㉢〰㄰㈷㈰㐱〰敢挱㈴㠵㐹㘸㈶㠵㤵㌵昲㔸㤱搳〰㠱㐲ㄶ㠵㜹㕥つち㌳昴㥡愵㔷ㄶ㜰㤵㔳挸慡㉤㐵攱昶㠰慣ㄹ㠵㉣昶㤲ㄴ敥㐰敦慣晡㉡愱㜰㈴慣慢愶㤰搵㘱㤲挲㔱㜴攲㔱挸ㄲ㌱㙦㕥㘰昷㈸攴㑤㕢㝢っ㠱㉣ㅦぢ〰㡣㈵㘰ㅣ〱慣㈸㤳ㄴ㡥㠷㘶㔰㠸愷扡〴㉣㠵ㄳ〱〲㠵慣㈸昳扣ㅡ摢挲㐹昴㍡㤹㕥摦〱愰㥣㐲㤶㝣㈹ち㜷〲㘴捤㈸㘴愵㤸愴㜰ち扤扦て慤㠴挲愹戰慥㥡㐲㤶㤶㐹ち愷搱㠹㐷㈱敢换扣㜹㠱摤愳㜰㍡愶敤㕤〸㘴敤㔹〰㘰〶〱扢ㄲ挰㜲㌴㐹攱㙥搰っち昱扣㥡〰ち㘷〱〴ち㔹㤳收㜹㌵㤶挲搹昴扡㍢扤戲㜸㐵㐶扢〷㌵昴攱㥥扣㡥〵〸攵昷搵㉢㙡ㅥ攴〸㐵㔶㍦捣敡㔸搶㠴㡡ㄳ㑥昲㍥扢㥡㘲挵㐰㐸摡㜰昷扦戵つ㜷㈸扢㤷㍦㝡挳敦晢㉣〶敤戹㝥搹㘳㑤㘴㌷戶戰戸愲敥摡㥦㉢ㅦ摤攱昷㘷攰㥤捦㌸㘰ㅦ㝥慣扤㄰攲晡搳ㅢ昳㜸づ㐰㙢戱㘳攰㉣㤴㔴つ攴㘳㘲㡡㌵㌵㤱戱㜵㔷挳㘳攰㤸㥣戱敥㉤㝣㈴攸㘲㍥㌶㈱戴愰愵㜵㐹㡢㡣愶慥㥤㑦换㤱㝣昵攸挱㘱㜸㈷㐰㝥戶〰㜹㘱ㄶ㘲戰戳扤て㘴敦㙥㘱㔶㌲㤰㑦㙢㕦攸㐳挷㡦ㅢ㍦㜳㑥㉣㤹㡦ㄵ昲㙥㍥ㄵ㜱㡢㠹㑣摡捤㈵摣㝣愱㤸㐹收㌳愹㝣㍡ㄱ㡦㕡晢昹搰㜸㉥㔷㜴㡡㔹㈷㤱㑢㈷ㄲㄹ㑣ㄵ㤲慥攳收㤲〵挸〴戰搶晥㍥㌴㤱㡢收㜳㠵㘴㉡㤳㑥ㄷㄲ改㜸㉡㤷㑥戹昹㐴㈶ㅥ㡦挴㤳〵㈷㤳つ戳㥣㠲㤱搸〷愰㡦㍤㠷㘲㉥㐴㤸愵ㄴ搲敥搰㤴愳挸搳㑥㘳〰扥慥ㅢ㡣慢㕢昹〰㍦㌵㈲㈷昲愲㈰摣敥㍤㝡㠸愱㘵㑦㤰愹愸㤸昰ㅦ挱㘱㔹㉣㤸愸㍢ㅦ〹㕡扤㑥愵昹㘷㘷捣ㄷㅥㄱ挸昹㘹㠴〸㠵扢㈳㜰〶㘴ㅤ〸戹敥昸㜱㜳昰㐸〸昳挹ㄳ搶〲搸㝢挱㉥慢㐲昰㤰搹㜶慢〹㤶㜵㘰㈹㝤㘸慣搵っ㜳ㅦ㤸㡤捡戱㜰㥤昶㙥慦攴戰㠳㈹ㄶ〲㘶て挲㤴攸㠱㐶戹挸戴挱挴〹攸戸昶〱挹搵㑣㥣㠲戹攴挲つ㘳㡤搵〱㐸搵㈵㔶㥣〴ㄸ㤷摡搲愵㉥〴㑦攸㠶扡㝦㐸㉣㜵㍤愱㜳〸㙢〹㜴戵搴ㄵ㘲㑥ㅥ㡦㔰㑢愴㡡㠵㜴㈲ㅦ㉦㘶㔳戱㘴㉣㥥㡡挶㤲慥㕢㈸戸ㄹ㙢愹て㑤ㄷ㡢改㐸㍡ㅦ挹㈶摣㐴㈲㤱㑦攴ち㤹㘴㉡㥥㠹ㄶ摤㘲㍡ㅡ㡦愶慣㘵㍥搴㐹㍡昱㐸搱挵攲㥣㑡㈷㌲㠵㘴慥㤰㑤挷㥤㘲慡㠸捥㔱挷捤㠷㝢改㐸散㠳搱挷㍥㠴攲㔰㠸㜰㙦捦㝥ㄸ㑤㝦愰㌸㥣昶㍥㥥㥤愸捥㑥㘲ㅤ摡昱ㄳ㠷㘱收戹㔴挸散ㅥ㐳搰戱㄰愱昰扡㘸挴㐴㡤㜵ㅣ㘴㔰㜶晦〸㝢㘹㜶㡦㠷愵㉣㡤搶〹戰㔵㘶㍣扣㥥昶慥戲扢㌵愹ㅥ㐶㜱ち攰愲ㅦ攳愲㜶㉡㌵㑣㐰慦ㄱㅢ㐲捡散ㅥ㠴㘸扤散摡捣㉥㌷㍤愲ㄵ搶捡㐴㙥攴㡤㜳㈶㜰㐸攴挶搰改捤㍡ぢ扡㑡㘴ㅥ慢戹攳攴搲㠵㜴㌲㤷㐸㈵㜲㤹㝣戱㄰换攵㈲愹㑣ちてㄱ㑢愴慣戳㝤㘸㉡㤷㡢㘶昳戱〸晥㉦㈶愲㜸〰㘱㍣㕦挸㌸戹㘴㌱攷㈶攳改㕣搴㍡挷㠷收㤲改㙣㉥敥㘶㡢㔹㌷㤹挸㐵昲㤹〸扡㈰愷挵㐸捣捤㍢挵㘴㜸ㄳㅤ㠹㝤㉥晡搸㝦愲㌸て㈲扣愹㘷㍦㥦愶ぢ㈸晥㑣㝢㝦捦㑥㤴挲戳愷搸㥣㜶晣㠴㘳㈶昲ㄲ㠲㉥㠵〸㠵〷愲ㄱㄳ㌵㌶ㄳ㘹㌳㙢㌶ㄳ㘵㌳㌳攱㐱㕥攳㑡㈲㈲ㄴ摢㔱㕣㡢㐶戱〵摤㔲扢㡥ㅡ㈶愰搷㠸愱㤰㌲て扢〷收㘱㔶㘰ㅥ戶㐴㈷㌸愹戱㔷㐰㈲て㕢㐱愷㌷敢〶攸㉡て愹㘲㈲㥥㜷㥣㑣㍣㕡㡣㈷㈲㠹㔸㉥㥡㉥挶㤲㜸摣㙤㉣㤳㜰㔲㤱㤸㜵愳て㡤㘱㤵换㐴ㄲ㜱㈷ㅦ㑢㈴ㅣ㌷㤹换㘲㐳㥦㡦ㄴ搲改㙣㍡㤱㑣ㄷ慤㥢㝣㈸㔷挶㐴㍣ㄷ捦愱㍤㤱㑢ㄵ㌳㜱㌷㤱换挵㘲㐸㙤㍡敡愴㘳攱㘱㍡ㄲ晢㘶昴戱㙦愱戸ㄵ㈲扣戵㘷扦㡤愶摢㈹敥愰㝤ㅢ捦㑥㤴挲戳愷搸㤶㜶晣挴㐴㌳て昷㄰㜴㉦㐴㈸摣㠰㐶㑣〴攷㘱㍢慦㜱㈵ㄱ㘹㡡ㄴ挵㈳㜴ㅤ愵㕢㙡㡦㔲挳〴昴ㅡㄱ㠷㤴㜹挸㥡㜹攰晥㔹慥て改挰㍣㈴搰㐹〶昱〴㈴昲㤰㠴㑥㙦搶㤳搰㔵ㅥ㈲搹㉣㤶昲戴㥢捥愴㥣㐴㉡㤵捥愴㤳㔸戴㌳㤱㔸戶㤰挱ㄲ㥣戳㥥昲愱〵㈷ㄵ㑤㘷㔳〵㘴〷ㅢ挲㠸敢攴㌳挵㜸㌱ㄷ㑢愵昲㑥挶㉤愶慣愷㝤愸㥢㠹㈲ㄱ㉥㥥搹㤹换㈴昰㝣㍥挷㐹愶ㅣ㌷攵ㄴ搲㔱㌷㤵换㘴挲㈹ㅤ㠹晤っ晡搸捦㔲㍣〷ㄱ㑥㝢昶攷㘹㝡㠱攲㐵摡㌳㥥㕤㐲㘵㈷攲挵づ戴攳㈷戶㌶昳昰㉡晢扤〶ㄱち敦㠸㐶㑣搴搸摣㙤搹摣㐷搹摣㉤搹摣〹㠵㐷㝡㡤㉢㠹ㄸ㐵昱㌶ㅢ㐷㘲㑡㡣愶㕢㥡摥㠵挹捦挳㔸㔸㘵ㅥ㌶ぢ捣挳愶㠱㜹㘰〵ぢ㥣攰㔹㐶㤰挸挳㜸攸昸搶㔸ㅦ㐲㔷㜹挸ㄶ㘳㈹㌷㤷㡦㐷㜳挹㑣㈲㤱㑥㘵戲㤰搹〸㡥㐵㡡挵㕣㌴㤲戶㍥昲愱戱㑣捡㉤收㡡搹㜸㌴ㅡ㐹㘴ぢ〵㈷㡢攵摣㠹攷戲㌸㘸挹㐴搳㐹敢㘳ㅦ㕡捣㘰㍢㠷㥤㐹㈴㔷㠸㈷㔲㤹㑣㌶ㄷ挹㌸㤹㘴㍡㤳挹挷昳昹㐴㍥㍣㐱㐷㘲㝦㠲㍥昶愷ㄴ㥦㐱㠴㈷㝡昶捦㘹晡㠲攲㑢摡㈷㜹㜶愲㍡㍢㠹㈹戴攳㈷㝡㥢㜹昸㤶愰敦㈰㐲攱㥤搱㠸㠹攰㍣㑣昵ㅡ㔷ㄲ㌱㤱攲ㄷ㜶㥤㠰㈹㌱㥤㙥㘹晡つ㈶㍦て㌳㘰㤵㜹㄰㘶ㅥ㍡㌸〴昷て扦晦ㄴ戴㝦㘰ㄹっㄱ㜶㙤㥤捣挳㙥搰昱慤戱扡㐱㔷㜹㠸愵㤲戹㑣㉣㤲㡣㈷㜲㙥〲慦ㅡ挸挶昲慥㠳晤〴昶て〵㙣㔳㡡㔶㜷ㅦ㡡㝤㜷ㅡ摢愶㐸捡㡤挵ㄳ搱㘲㈲㥢㡣㈴ち㌹ㅣ㤸㈶戰㙤㑢愵㕤慢捥㠷㘶㜳㠹㘸㉡㥡㡤㍢㠵㕣㈱ㄱ换挶戱㉢挱㠱〳て㈶㡡挹㜸捥㡤㠵㘷敡㐸㙣ぢ㝤散ㅥㄴ昵㄰攱㔹㥥㥤敦㙤戰㐳ㄴ㍤㘹㥦敤搹㑢昱㘲㑦摡昱ㄳ㕦㠳〰㝦㐷ㅦ㘶扦㜵㈰㐲攱扤搰㈸㈹〸摡㍦散敤㌵慥㈴㐹搳㈸愶㔲㙣㡣慥㘲㕦扡愵戶〹㌵㑣㐰挷㌵㕤㐸㤹㠷昷㌱愰扦㥦昶户㑢㉢〳昳挰㕡ㅡㄹ挴〰戸挲晡㌰〷㍡扤㔹㥢㐳㔷㜹㠸㐷㜲挹愸㠳ㅤ㙥ㄲ㠷㔱㤹㘲㌲㡢挵㌶㥥㡣㐲捤攵愳戹㡣㘳つ昴愱㘰戶㤰㡢㈴愳搹㔴㌲㥤挸㐶㈳㌸挴捦攳昹换愹㔸㌱㡦ㄵ㈸㤳戲〶昹搰㘲づ㝢㡤㘲㈱㠳㠳㝦敥愷愳㑥㈶㤷㜶愳㑥㉥㥦㐹㐷㜲愹㕣㌴㍣㔷㐷㘲て㐶ㅦ㝢ぢ㡡㈱㄰㘱挷戳て愵㘹㑢㡡慤㘸㘷㉤て㈳㤷㈸㠵㘷㑦攱搲㡥㥦㜸搹捣挳〸昶摢ㄶ㈲ㄴ㉥愲㔱㔲㄰戴㕤㥡攷㌵慥愴敢㔹ㄴ〹㜶㥤㠹㈹搱㐸户㌴愵㌸㄰㈶愰搷㠸〵㤰㌲て㡦㥢㜹昰搷㠷㝦〴收愱〹㥤㘴㄰摢挳ㄵ昲搰っ㥤摥慣ㅤ愰慢㍣愴㡡改㤸㤳㜳昰扥㡤㝣㉥㐱挲㤲愹愲ㄳ㡢㍡㤱㑣㌴㠶慤㔵摡摡搱㠷㘲ㄷㅤ捦攳㐸ㄷ〷戳㔸㜱ㅣ㉣昳昹㘸㈴㤹㜲㤳㤱㔴摣㐹收攳搶㐸ㅦ㥡㑣愴戰挲愴搲昹㠴攳攰㥣㉤㠹㔵〰㐷㔸搱愸ㄳ挷摥〷〳㠵㕢㜴㈴昶㈸昴戱㐷㔳㡣㠱〸户㝡昶戱㌴㡤愳ㄸ㑦㍢ぢ㠲ㄸ戹㐴㜵㜶ㄲ敤戴攳㈷敥㌲昳戰ㄳ晢㑤㠱〸㠵㍢搰㔸㜵㝤㔸攴㌵慥愴㙢㍥㉤挷摥㥢㘲㌷㜴ㄵ㑢攸㤶摡㑣㙡㤸㠰㕥㈳㤶㐱捡㍣㕣㙦攴挱㥡つ㐸昵戳㤲扦〶㈶攷㘰㜸㤲㤱敤㠱捥㐸捥㈱搰㌹㠴戵㈷㜴㙦㈵㠹攷愲昱㠴㤳㡤ㄵ㘲〹㥣㕦㘴攳㙥㌴㡦㑤扥㠳捣㘰晢攵㔸㝢昹㔰㈷㤵挵㜶捡㜱ちづづ戰ち挹㤸ㄳ㡢攰愸㉡㠶㔵㈹ㄲ㉢㈲挳搶摥㍥ㄴ㘷挰〹㌷㔲㈸挴㤱戶㐴摡㜱㥣㜴㈶㡢㜵挳㠹㌸㤱㜴㌱㤲㜷挲㠷敡㐸散㝤搰挷摥㤷㘲㍦㠸昰㘱㥥㝤㝦㥡づ愰㤸㐳㍢㑢㡤ㄸ㜹ㄹ㕥ㅣ㐹㍢㝥攲㈲㌳㌹〵昶㜳㈱㐲㘱㤶ㄴ㤱〲慢〸㌵攸慣㘴ㅥ散愵㘷㈵昳㘱愹㍣〳戱ㅡ㘱㉥㍢㔹〹ㅦ慤扤慢戳ㄲ㠷〱㌶〱㘶捦挵㤴㌸㤶㜱搱挴搷敡昸搹晤㈳慣㌲扢㘷ㄸ搹戵晤慤摤㘹㠱㠹㘴挱㤱㑣㘴ㅢ㕣㈱㤱㈷㐰挷户挶㙡㠷慥搷戲㜴愴㤰㡡㐵昲昹㘴ㄴ摢㍢㌷攳㌸挸㘴㌱㤹㡡攴㈲㑥戲㤰换㔸ㅤ㍥搴捤㐷㥣〴捥㕢ㄲ挹㌸㜲ㅥ㜱㜰㝣攵收愳㠵㜴ㄶ㐷㕣㠵㝣搴戵ㄶ昹㔰㙣㌳昳改㜸〶㠹攴敥慣㤰捦㘵ち戹ㄸ㑥㝢㤲搱ㄴ㔶㌲挷つ㥦愸㈳戱ㄷ愳㡦扤㠴㘲㈹㐴昸㈴捦扥㡣愶㠳㈹づ愱晤㘴捦㑥㔴㘷㈷㜱ㅡ敤昸㠹㈳捤㐴ㅥ㐱搰㤱㄰愱㌰ぢ㥢㈴〵㐱㕢扢㌳扣挶㤵攴㥢て㈳戲㡦㘷搷㜹㤸ㄲ㘷搱㉤㑤㈷挲攴攷攱ㅣ㔸㘵ㅥㄶ㤹㜹攰㕡㈶昷晥敤㠱㜹㘰搵㤲っ攲㔴攰㤰㠷㍦㐱挷户挶㍡つ扡捡㐳㉣㠷㐵扥㔸㡣㘵摤㑣㈱㤱挷戹㐸㌴ㄵ㜷搳戹㔴〲〷扤㜹慣〳搶改㍥㌴㡥㤳っ慣ㄹ㠵㐸㉥ㅤ㐹攰摡〰㔶挲㑣㡣敢㕦㈲ㄷ㉦㘴㥤戸㜵㠶て㉤昲㄰㈱攱㈶戱㘳㑡㈴ち㌸㈱挴㤱㕤㌲㠲㜷ㅥ挵㘳㌱㌷㥥㑦㠷捦搳㤱搸㘷愲㡦㝤ㄶ挵搹㄰攱昳㍤晢㌹㌴㥤㑢昱㈷摡㉦昰散㐴㜵㜶ㄲㄷ搱㡥㥦㜰捤㍣㕣㐸搰㐵㄰愱㌰慢愳㈴〵㕣愱㙣慥㍤㌶㔷ㄸ㥢慢㐷昸㘲慦㜱㈵昹㙥愵戸㠲㡤㝣挲㤲戸㤴㙥㘹扡ち㈶㍦て㤷挳㉡昳戰户㤹〷㝦㝤搸㌳㌰て㔷㜸攳㕣〷㔷挸挳㤵搰昱慤戱晥ち㕤攵㈱㤳捣攵㈳挹㘴㍡㤲〵㔹㌸摦挸㘰㑢ㄵ㑦攳昲㐹〴挷戱挵㥣㘳㉤昷愱㔱㥣㐲ㄶ㤲㌸㘴换ㄷ㤱扡㐲㌶ㅢ捦愴昳㑥㌲㤳㐹ㄷ㔲㑥㌴㔹戴慥昷愱〵㘴ㄲㄹ㉡攴昳捣㕤㍥㥥㜵㜱㝡㔲㡣㈰㠷昹㘸㌲㥦㑣㠷慦搲㤱搸㉢搰挷扥㠱攲㐶㠸昰搵㥥晤㈶㥡㙥愶戸㠵㜶㤶㕥㌱㜲㠹㔲㜸昶ㄴ㝦愵ㅤ㍦㌱挵捣挳㥤散㜷ㄷ㐴㈸扣ㅣ㡤㔵搷㠷敢扤挶㤵㜴扤㤸攲㝥㜶㕤㠴㈹㜱〳摤搲昴㈰〷挲〴昴ㅡ㜱ㄳ愴捣挳挸挰㍣散㄰㤸㠷㥢搱㐹〶昱㈸㕣㈱て户㐰愷㌷敢ㅦ搰昵㜶㈹㤵㡤昳挲㤴敢㘴㜱㌱ぢ㤷慢昲愹㔸㍡㡤㈵ㄸ〷挹搹㜸㉡㘵㍤收㐳㘳戹㐲㉥㠵扤扡㥢挷敢戹㜰昴㠵㈳㌲㈷㥢〴户搸晤扢昹㜴挱㝡摣㠷ㄶぢ㌸戰换攲戲㙤愱㠰慤㕤㈱㠱戵㈲ㅥ捤㘳㕤㉡㐴㡡㠵㘸摣つ摦慡㈳戱㥦㐰ㅦ晢㐹㡡愷㈰挲户㜹昶愷㘹㝡㠶攲㔹摡㔹扦挵挸㈵㑡攱搹㔳摣㐵㍢㝥㘲㕢㌳て㉦戱摦换㄰愱昰摤㘸慣㥡㠷扦㜹㡤㉢改晡㌰㡡㌷搹㤵捦㤷ㄲ昷搲㉤㑤㙦㜱㈰㑣㐰慦ㄱ㝦㠷㤴㜹ㄸ㘴收挱㍦ち摢㍣㌰て昷愳㤳っ攲㕤戸㐲ㅥㅥ㠰㑥㙦搶㑡攸㝡㝤挰㜶〵㕢ㄱ散ㅦち㐵散㤲昳㤹㕣㈶㡥攳攱㔸っ挴㘶昲戹㥣昵㥥て㉤ㄶ㜱㈲㥦挷㜶㈶㤲挷愵㄰㘴㈰㤶㠸挵昰㡢攲㜰ㅡㄷ㑢ㄲ搶晢㍥㌴ㅡ攵ち㠶晤㐱搶挹㈷ち搹㑣づ〷〲〹ㅣ挱㘱㜳ㄷ㠹愵戲㙥㤸㔵㕦㡣挴晥〰㝤散て㈹㍥㠲〸㍦攴搹㍦愶改ㄳ㡡㑦㘹㝦搸戳ㄳ愵昰散㈹晥㐱㍢㝥㘲ㅤ㌳て㕦ㄱ昴㌵㐴㈸捣㘲㉦㐹㐱搰㔹挹攳㕥攳㑡㠶㜲っ挵搱ㄴ㍦搲昵㤳㘸㤴㜹昸㠹ㅡ捣搰㙢挴搳㤰㌲て㜵㠱㜹攸ㄶ㤸㠷㘷搰㐹〶昱ㅢ㕣㈱て捦㐲愷㌷敢㜷攸㉡て㤱㜸㍥ㅢ换愶㌲㉥㌶㐶㠹㐸扣㤰㉢ㄶ㡢搱㌸昶てㄱ愴㈱㥦㉢㕡㌵㤶〷捤愷㌲挹㐲戲㠸敢㠱搸愵〰㤰挵ㄱ㙥ㄴ㈷㝢㌹ㅣ攵㍡愹㑣ㅥ㝦攷敡㐱㔳搹㝣ㄶ㉢㑡挲捤〲ㄴ捦㍡㌸搲㉡ㄶ㔲搱愴㡢〳㙡㤸㤳㘱㤶㡥㌱ㄲ扢ㄶ㝤散㙥ㄴ摤㈱挲捦㝢昶㍡㥡㉣㡡ㅥ戴扦攰搹㈵㥥㔰搹㐹扣㑣㍢㝥攲扢ㅦ㡤戳挳㕥㙣敦つㄱち戳㘲慣㙡ㅥ㕥昱ㅡ㔷㌲ㄴ㍥ㄵ换㍥㤱愲ㅦ扡㡡搷攸㤶摡〶搴㌰〱扤㐶扣〱㈹昳昰㌱〶慣㍣㍢晣㄰搶捡慢戸㙦愲㤳っ㘲ㄳ戸㐲ㅥ晥〵㥤摥慣㑤愱慢㍣㈴㘲戸㠳㠳㤳昲㝣摡㐹㈶搲戹㕣搶㈹㘰晢攱㈶㘳戹㘴戶㔰㡣挵慤晥㍥搴挱㝡ㄳ捦攴昱㌲㠲㔴㈶ㄱ㈳ㄸ㕢㌴㕣㔵㈹ㄴ攳戸昰㕥挸㕢㥢昹搰㔴っ户㝦㤲㔸换㕣搷㑤㈴㌳㜹㈷㤶㡦戸搸昸ㄵ愳戹㕣㍡㥡㜵挲慣㍦㘳㈴昶〰昴戱㌷愷ㄸ〸ㄱ晥户㘷ㅦ㐴搳㘰㡡㉤㘸㝦摢戳ㄳ愵昰散㈹㔶搲㡥㥦㜸捤捣挳㌰㠲戶㠶〸㠵摦㐳愳愴㈰攸㜸改㝤慦㜱㈵㐳㌹㤳㈲挲慥㝣摥㤷昸㤰㙥㘹㡡㜱㈰㑣㐰挷扤㔱㐸㤹㠷愷〳昳昰㘴㘰ㅥ㍥㐱㈷ㄹ㐴ち慥㤰㠷㑦愱搳㥢㤵㠶慥搷〷㥣扥㘵㔳㈹搷㡤攱㉡㙥㌴㠲㠳捡〲摥搱㔸㠸愶ㅤ㌷㥤捣㌸〵㉢攳㐳㜱㠱㍣㔷攴㘹㘴㌱㥤㑤㘰搳㠴㙢昰戹㈸㙥愱攴ち㙥㍣ㄶ㡤ㄵ慤慣て〵晢㠵㜸ㄲ扢攷㈲㑥㈴〱㜲摣㐸㈶㤹㑤㈵ㄲ摣摣㐵昲昱昰㘷㍡ㄲ㝢㝢昴戱㜷愰搸ㄱ㈲晣戹㘷ㅦ㐹搳㈸㡡搱戴㝦攱搹㑢昱攲㙢摡昱ㄳ昷㥡㜹㤸挰㝥ㄳ㈱㐲攱晦愰戱㙡ㅥ扥昱ㅡ㔷㤲敦昳㈹愶戱㉢㥦㌸㈶扥愳㕢㥡㜶㠱挹捦挳㝦㘱㤵㜹戸挹捣㠳扦㝦戸㈱㌰て㍦㜸攳捣㠴㉢攴攱㐷攸昸搶㔸戳愰慢㍣㈴攳㤹ㅣ㑥搸ㄲㄹ搷挵愵㜱敥ㄱ㈲㉥慥㐳㘱㕢㤲㉣愴攳㠵戸㌵摢㠷挶ㄳ戱㐸㌶ㄳ㑦挵戰㙢㐸愴攲㤱㉣ㄶ昶㔴㈱㕤挸攳ㄵ㉡戸㐸ㄵ户㜶昷愱戸㌴㥦挶晡㠲㡢㡤搱㙣㈲㥢㉤㘴愳搹㥣㤳换攲㜶㤵㠳换挰昱㘸昸㈷ㅤ㠹扤〷晡搸㝢㔲散〵ㄱ晥搹戳敦㑤搳㍥ㄴ晢搲晥㡢㘷㈷㑡攱搹㔳晣㑥㍢㝥攲㔲㌳て㜳〹㜲㈰㐲㘱㈶㐱收㈱㘸晦㈰扣挶㤵攴晢ㄲ㡡㡢㈹ㅡ改㕡搶戵㔱㍢㤰ㅡ㈶㌰㑣㡤愸㐳ㄷ㤹㠷㜳捣㍣昸挷慤㘷〵收挱昲挶㘹㠱㉢攴愱〷㜴㝡戳㕡愱慢㍣愴㥣㌴㑥攲㔲㘰㌳㡥㑢㔱昱㘲㈶㤵㡤㐴搲㙥㈴ㅥ㑦㈴㡢㌸㜶戵ㄶ晡搰㜴㉡㤵㑢㈶㥤㔸㌱攱㐶ㄳ㜸㍤〴敥ㅣ攱ㄶㄳ慥昴㈶㜱㘵㌶㤵㑥㕢〷昹搰㡣㡢〳搹㘴ㄱ搷㠷㘳㠵〴愶戲㌸㌲㡥㈲㈵㌸搰挵㐹㐵㉡ㅦ慥搷㤱搸㙤攸㘳户㔳㜴㐰㠴㙤捦扥㠸愶挵ㄴ㑢㘸て㜹㜶㠹㈷㔴㜶ㄲ扤㘹㘷ㅥ㡥㌵昳㜰㈸摢て㠳〸㠵晢〰㠰㙦昰㔵摣扥㕥愳捣〳㥦㤳㘶ㅦ挳慥㔷㤱昱㜵搰㈸搷㠷攳㘰昲昳戰ㅥ慣㌲て换捣㍣昸敢挳㤲挰㍣慣敦㡤㜳㈲㕣㈱て晤愰换㍣㥣〴㕤攵挱㡤攰〴㌷㡥敢ㅣ戸㘸㡢晢て搸㉣攵摣㝣㌱㤳㜶㜰ㄸ㠵晢㐷㈹敢㘴ㅦ㕡挴㘵㐰散慡㤱愶㕣づ㤷㘶㈳㤹㑣〲㌷㉡㌲戸㠲ㄸ㉤收㜰㌱搸㍡挵㠷攲㍣㈴ㄲ挵㐹㐳ち挷戹〹㕣㤹捣攲㝡ㄸ捥戹㜱慦㉦㕢㑣㘶攲改昰〶㍡ㄲ晢㔴昴戱㑦愳㌸ㅤ㈲扣愱㘷㍦㠳愶㌳㈹捥愲㝤㈳捦㑥㔴㘷㈷戱㈹敤捣㐳愳㤹㠷昳〸㍡ㅦ㈲ㄴ敥て〰扥挱㜷㤷㌶昳ㅡ㘵ㅥ昸愴㌶㥢捦㝤戳㉦㐵㔷㈱㉢散愸㕤㐶つㄳ㘴㑥っ㐲ㄷ㤹㠷晤〳昳戰㙦㘰ㅥ㔸㘷㈷㠳戸ち慥㤰〷搶搴挹㍣㕣つ㕤攵愱㠸晢㐰扣晢㠳㐳㥥㕣〲㐷㐸㤹愲ㅢ㠹收㕣㕣㌸捦收ぢ㘹㌷㘶㕤攳㐳愳㔱ㅣ㝤㍡戸㘴㡢摤㐹〲愷ㄸ戸㝣㠸晢攱㜱散㈲攲戸敡㕢㡣㔸搷晡搰㈴㉥戸攳㤶㝡㍡㕡㈸愶ㄳ㠵㘸ㄱ㠷㘴㌸㡡捤攵㜱扢〹㌷戲昲搹㌰ぢ晢ㄸ㠹㝤ㅤ晡搸㝦愵㔸づㄱㅥ敡搹慦愷㘹〵挵つ戴㙦改搹㝤愸散㈹戶愶ㅤ㡥挴㜴㌳て户戲摦㙤㄰愱昰㌶〰攰ㅢ㥣㠷攱㕥攳㑡㈲㙥愳戸㤵攲㕥㜴ㄵ摢愲㔱慥て昷㔱㠳㤹昱㡡敤㘰㤵㜹ㄸㅢ㤸㠷搱㠱㜹㠸㜸攳㍣〸㔷挸㐳ㄴ㍡扤㔹て㐱㔷㜹挰戹㌱ㄸ捡攰敥㈸捥〰㜲㜸㌵㈱㡥㘶㌲〵愷㠸㙢戸改㈲慥ㄱ㔹て晢㔰摣㥦挰ㅡ挱㜵〵扢昴㙣㈱㡥敤ぢ敥〹挶㔲㈸㠶㠱㈵ㄹ戵ㅥ昱愱㐵㥣戸攵㔲㙥〴ㄷㄵ愳㠹っ㉥捥㘳㤷㠲㝢摥戸ㄳ㔵㠸攱㉣㍣ㄶ㡥改㐸散㐷搱挷晥〷挵㘳㄰攱戸㘷㝦㥣愶㈷㈸㥥愴㍤攱搹㝤愸散㈹搲戴㌳て㔱㌳て捦戱摦昳㄰愱㜰〶〰㝣㠳昳挰㘲㐱搹㈸昳挰攷搶搹㝣ち㥥晤ㅡ扡㡡ㅤ搰㈲昳昰㍡㌵㤸㘵ㅥ㐶挲㉡昳㌰搴捣㠳扦㝦搸㈲㌰て慣昸㤳攳扣〵㔷挸〳慢晢㘴ㅥ晥つ㕤攵㈱㥤挷㍤戸㠲挳ㅤ㌰㕥慥㤷挰戵㜲摣㡣换愷昲㙥㌶㤳㠹扡㌹搷㝡摢㠷㐶ぢ㘰㕣㉥晤挵ㄸ㙥㠰挴戳㜹㕣户㐵改㐱㌶攷ㄶ戰㜹㡢㔹敦昸㔰慣㐹改㈸捥っ戱昷挱㠵㜷摣攴换㈷戳戸昲㠱㔲愶㈸㡥㘸戳昱昰ㄸㅤ㠹晤㉥晡搸㉢㈹摥㠳〸㡦昵散敦搳昴〱挵㠷戴戳攲㤰㤱㜷㐲㘵㑦㌱㤱㜶㌴㠸㝥㘶ㅥ㍥㘳扦捦㈱㐲攱㐹〰攰ㅢ扣㝦㤸散㌵慥㈴攲㈱㡡㙦搹昵㐱㑣㠹㈹㘸㤴㜹昸ㅥ㈶㍦て㔳㘱㤵㜹戰捤㍣昸晢㠷ㅥ㠱㜹㤸收㡤昳ㄳ㕣㈱て搳愱㜳㙥慣㥦愱慢㍣攰慡㜷ㅡ㔷敦㔰摥ㄱ㐷ㄶ愲㉥戶㑢戸ㄱ㠷搳㠲っ㡥㑦ㄳ㐹挷晡挵㠷㐶愲扣慡攴ㄴ戲㜱散慡㔳搸㐶挵㜱㔱愳㠰㑢㜹㌸㐳㜳㜳挵㠲昵慢て挵㜹㐳ㄲ㔷〹〱㑡㈶㜰㜶㤸收㔱ㄲ敥攰攲㈲㝢㉥㕡挰㑤摡昰㉥㍡ㄲ晢㌷昴戱㝦愷愸挱ㄳ㝢挲㌳㍣㍢摦㍢㙣搷㔲㜴愳㝤㔷捦㑥㤴挲戳愷㤸㐵㍢昳昰攳て挶㜹㕣㍤㐱㝣慢㝢㈸㍣ㅢ〰㝣㠳搷㠷摤扤㐶㤹㠷㈷〸㝢㥣㘲ㅤづ戹㠷搷戸㉥戴摥摤敡㔸㠸户㐳㔹摤㔹昰搳扦㠶㤷扦昴㙤㈲㕥攲挶㍦つ愸改㠶挷ㅥ愹㠷〵㜵慦摤㝥敤㝣戱戲㡤捦ち攳慦敥㜳捣昵晦挰て㤷慥捥㕡㐷㝡摣ㅣ㍦㝢㝤捣㜰ㅤ慢晢㈲㐱㈱㜶昵㌶㜲愴愴愶㕦昳㤴㜶ㄴ扤攱慤昶戳㕢挷晡慦㐴㕦挷㉢㠶ㅢ敥扤㡢㙣㘸愷㘵㙣慥ㅤて㥢敢㜰扤㙥㌳摡晣㝥㜸户ㄷ敡㈶搱㌰㥣㙦㉥敢搷愹ㄹて㕢摡戴搳㍡愵愵ㅤ㙦搹㜳ぢ㥥挷㜶㍣㜶愸㝢㙤㌷ㄱ昸晣㌳晤昲㜳㍥㕤㠹摥昰㥥扤㈹〵ㄲ戰㘹挰愳愶挶㌵㜶挸㐷戵昵㐷扢戰昷〵㌹搶〶愰愹挷挸㈱攳挷つ㐹愷敡㍥㐶㈶㔶㝢㤰㔲摥㌹㈴晣攱㠱㡦ㅢ挱愳㘰㐵㈵挹ㄷ昶㝥ㅣ㘵ㄳ㍤捡㔸㡣㈲摥挷㈸ㅣ㠹㉢㜱挸敥㑦昸㕣ㅦ扥㍦攱〳ㄴ㝣摣㍥㠴扦愳攱㕣昴㐲昶㐰挲ㅤ㠰攸〱晦愱愲㔲㉢㜴㈷㔸慣挹ㄶ㠲晢捥㠷挲㘴昲㘷㝣扥ㅡ慤㤵㌱敡晦㝡晤㝦㔸晦扦晥㤸扥㡤㕥捦晤挵愰㌳挷搶扤㝤昸挵㕦㕦户挳搰㡢㙥昸㕤晦㝦昸㐳摦つ摢敦戴〷㕦ㅥ㝤挱昹晣扣㌶晡搳摤敥ㅣ㜰散愷敦㡣ㄶぢ搱㜳㈸晣摡敦㔰扣㑢挱昵㔲扣㠹愰㕥挷攳㐱㉢摥㤸昵㠶㙥㈸㝦㘳㔶戸つ㥥昰挵敤㘹捣㜲敦㙥㘲㌱ㄴ慥扥攲㌵昴攰㍡㈳ㄷ昳㘱攴㠳攵㠴㡡敤㈵㤸戲戶㔱昴㡤ㅦ㍢㈴㤶ㄲ㉦〳搹挹昶〸挲て昱攱㑢〹㙦㔰㜰戰つ昸昳ㅡ慥搸㡥㄰㝥愸て㘷愹愳ㄵ搳摥挷ㄱ晥戴㠶愳〱挹㐹㄰㝥ㄸ愶晤攴晣㐱㉢㌲㌹㠷㙢㐵㈶㠷搵㡡㙢㤷㥣㘳扤㥥搵㤲㠳㔸〲㍥㕦㡤ㄶ愷愰㘷㔰㜲ㅥ挳㕣〴㈶攷ㅦ扡愱晣㙤㕥攱㔳攱〹㕦扣㜸ㅥ戳㡣攴㥣〹㐵㈶攷ㄱ昴昰㤳戳㈳昹㌸ㄷ㑤㉡㌹㘷㘱捡ㅡ愵攸〳摢愹戸㜸㐰搳愷搸ㅥ㐳昸㥦㝣昸搹㠴㡦㔳㜰攴ㄲ昰㝢㌵㕣慤㌹ㄳ〸㍦捦㠷㥦㐳昸㈴つㅦ㐷昸㕤ㅡ㡥〶㈴㘷㈷挲㔹㤷攸㈷攷〲慤挸攴晣㔹㉢㌲㌹㤷㐰㔹扢攴㕣敡昵㕣攳攴㕣㡢㥥㐱挹戹ㄵ㜳ㄱ㤸㥣㕢㜴㐳昹㥢挶挲搷挱ㄳ扥戸㔸㠳㔹㐶㜲㔶㐰㤱挹戹〹㍤晣攴散㑡㍥㙥㐶㤳㑡捥つ㤸戲㘶㉡晡戸㉡㐴挵昵㥡㍥㤵㥣搹㠴摦攲挳㙦㈴㝣て〵攷㡡ㄶㄵ搷㙡戸㑡捥㕥㠴摦敡挳㔹搳㘸敤愳攱㔸㜳愲攲㑡つ㐷〳㤲戳ㅦ攱户㘱摡㑦捥敤㕡㤱挹戹㐳㉢㌲㌹昷㐰㔹扢攴摣敢昵㕣攳攴㍣㠲㥥㐱挹戹〴㜳ㄱ㤸㥣㡢㜵㐳昹㕢搰挲㡦挲ㄳ扥㈸慥挷㉣㈳㌹㑦㐰㤱挹戹〸㍤晣攴ㄴ挸挷㌳㘸㔲挹㜹ㄲ㔳㔶㔱搳㌷㜶㐸㈶㈱捥搷昴㈹戶攷ㄳ晥慣て㝦㡡昰〳㌵㝣ㅣ攱攷㘸㌸ㅡ挰㜶ㄳ攱捦昹昰愷〹㙦㔱㜰愴ㅥ昰㌳㌴㕣愵㝥㈱攱慣㘰昴㤳昳㠲㔶㘴㜲㕥搴㡡㑣捥慢昴㠵㐱昸㌳㍥慢戱捦㘱㠱愳散戹挶挹㜹ㅢ㍤㠳㤲㜳㌲收㈲㌰㌹㈷改㠶昲㤷戳㠵㔹ㅢ㠹㉦㉥㉥㘱㤶㤱㥣て愰挸攴㥣㠰ㅥ㝥㜲㤶㤲㡦㑦搰愴㤲挳慡㐷敢㘰㐵ㅦ户㔳㘹㜱慣愶㑦㈵攷㔰挲㍦昵攱慣㝣戴晥愰攰摣ち愶挵㤱ㅡ慥搸㍥㠲㜰搶㈳㉡敦ㅦㄳ㝥㤴昶㡥捤㕡㕡ㅣ愶攱㘸㐰㉥㡦㈱晣㜳㑣晢挹昹㐲㉢㌲㌹㕦㙡㐵㈶攷㕢㈸㙢㤷㥣敦扣㥥搵㤲ㄳ㤷㥦㌷昴愱挵摢愳㜱㈷〹㥦て㐶㡢㕦搰㌳㈸㌹㑢㌱ㄷ㠱挹㔹愲ㅢ捡摦ㄹㄷ晥つ㥥昰挵㙤ㅡ捣㌲㤲㔳㕢愷㤳戳〸㍤晣攴㥣㑣㍥㉣㌴㈹晡㔸ち㘹㥤摡㐹㕦㑣ㅣ㔴㐲摦改㠴昷昰攱摤〹㍦㔳挳㤱换㤸㘸搶㜰㤵换戳〹慦昷攱㉣㠹戴捥㔵㜰收㌲㈶ㅡ㌵㕣攵昲㍣挲㙤㠰晣攴㠴戴㈲㤳挳摡㐷戶挸攴戰慡㜱敤㤲戳㡥搷戳㕡㜲㡣ㄵ搱㤸挴〱挱挶攸㌹㤴㤴㤶ㅤ慤ㄵ㄰㔴㘰㜲昲扡愱晣㔵㜶攱㑤攰㐹㈶攷㉦㤸㘵㈴㘷〰㜴戹收㌸攸攱㈷攷ㄲ昲㌱ㄸ㑤㉡㌹慣㡦戴㉥昳改㑢㐷挵晥㐰㝢㡣㠴散㉢〸㘷搵愲㠲戳㐶搲扡㑡挱戱愲〱扥户㠶慢攴㕣㐳昸㄰ㅦ㍥㠸昰敢㌴ㅣ挷昷㔱戱扢㠶㌳搰㤰扤㥣㜰ㄶ㐰晡挹搹㔲㉢㌲㌹㕢㘹㐵㈶㠷愵㡥㙢㤷ㅣ搶㐷㜶戹㔹㝢攵昲㠵㈳㐳慦㙣㍣㘶㥥㕣㘳〶㡣搹改㥤㠳搷㕦㌱㜹攸ㄸ㤱㐰捦愱〱挹搹ㄵ㜳ㄱ㤸㥣ㄹ扡㘱搲ㅤ㍦㉥㌹㌰户攱搴晢㥥㡦捥㜹㝡戲㘳㠷㔹㕡㈹㤳㜳㌳㘶ㄹ挹搹ㅥ扡㑣捥㜴昴昰㤳㜳㉢昹ㄸ㠵㈶挵㌶㡢㈶慤摢㌵㝤㘰㍢㈳愶㘸晡ㄴ摢㜷ㄲ捥㔲㐶〵㘷攱愴㜵户㠲㘳㔵〰㝣愲㠶慢㔵攱ㅥ挲㔹昴愸攰㉣㥥戴敥搳摥㤱㥣㡣ㄸ慢攱㉡㌹昷ㄳ㍥ㄶ㈰㍦㌹攳戴㈲㤳挳㉡㐹㙦㌹改扢ㄳ㝤㠱㈸晥㡣捦㙡散㜳愶㜸㍤搷㜸捤搹つ㍤㠷㘲戰昲㌵㘷㐷捣㐵㘰㜲㜶搰つ攵㉦晥ぢ戳摥㔲㈶攷㔱捣㌲㤲挳晡㐸㤹㥣㉣㝡昸挹㜹㡣㝣散㠳㈶㐵ㅦ㡢㈶慤㈷㝣晡愲㐹㤱㉣愱敦㈹挲㔹捡愸攰㉣㥣戴㥥搱昰戱㐳〰㡦㙡戸捡攵㜳㠴戳攸㔱挱昷㈶晣〵〵㐷㉥〱摦㔶挳㔵㉥㕦㈲㥣㔵㤱㝥㜲づ搰㡡㑣づ慢㈴晤攴ㄴ攸ぢ㐴慤㜹㜲㔸㌴㈹㝢㔶㑢㑥㐸慥㍡㉢晤㝤捤扥愷㍤㠸搳搲㉦㐷ぢ搶㍤づつ㐸捥㌰捣㐵㘰㜲戶搲つ攵㉦㈵っ户挰㤳㑣捥敢㤸㘵㈴㠷㌵㡦㌲㌹㐳搱挳㑦捥㥢攴㠳㐵㠷㡡㍥ㄶ㐲㕡㙦㈹晡戰㥤捡㐶挵㈰㑤㥦㘲晢㙤挲㔹㥥愸攰ㅤ㠴扦慢攰㘰ㅢ昰捤㌴㕣戱晤ㅥ攱㉣㔱㔴㜰ㄶ㐴㕡ㅦ㘸敦攳〸摦㔸挳搵㥡昳ㄱ攱换〰昲㤳㜳戰㔶㘴㜲㔸昹攸㈷㠷㌵㡤㙢㤷㥣㈳扤㥥搵㤲㘳慣㠸挶㈴昶㌹挷愳攷搰㠰攴慣㡦戹〸㑣捥㝡扡愱晣㕤㠹攱ㄳ攱㐹㈶攷ぢ捣㌲㤲㜳㉡㜴㤹㥣㜵搰挳㑦捥㔷攴㠳㤵㠸㡡㍥㔶㐷㕡晦搱昴㘱㔵挸㠸摥㥡㍥㤵㥣㙦〹㘷捤愲㠲戳㐲搲晡㕥挱戹㉡㘴㠴慤攱㉡㌹㍦㄰捥扡㐵〵㍦㠳昰㥦戴昷㜱㠴搷㘹戸㑡捥㉦㠴戳晣搱㑦づ换㈰愹挸攴戰ㅣ搲㑦づぢㅤ搷㉥㌹慣㡥散㜲捤㌹〴㝢㤸㜷づ晥㘸昴搳㑦昱昳搹攸慤㜱㌱攷扢㘱摦㡥ㄶ㔷愰攷搰㠰攴搴㈰挲挰攴晣晥㕦搵㔰晥昲挶昰㔵昰㈴㤳㔳㕢㉦㤳㜳ㅤ㜴㤹㥣㕦搱挳㑦㑥㜷㌴ちㄶㄹ㉡晡㔸㌲㘹㔹戰攱㤲ㅣ搸捥㐴挴㡦㐰㝢㡣㠴散㝡挲㔹挸愸攰㉣㥢戴㐲ち㡥ㄵつ昰敦㌴㕣攵戲ㄷ攱㉣㜹㔴㜰㤶㑥㕡㝤㌴ㅣ愷㐵ㄱ昱戵㠶慢攴㠴〹扦〹㈰㍦㌹慣㡤昴㤳挳ㅡ㐹㉦㤴扥慣㝥㕣扢攴摣攵昵慣戶收ㅣ㠴挳㠱换ㄷ㕡晡㠰㈰㌴㐶㈵㙢摤㌱㠲㘵㤳㐳〳㤲昳ㄹ收㈲㌰㌹㥦敡㠶昲㜷㑡㠶ㅦ㠴㈷㤹㥣つ㌰换㔸㜳ㅥ㠵㉥㤳昳㌱㝡昸挹搹㠸㝣㍣㠱㈶㐵ㅦ敢㈸慤㑤ㄴ㝤㐸㑥㍡㈶摥搷昴愹㔵愱㍦攱慣㙥㔴昰挷〸ㅦ愰攰㍣㕡㡢㠹㜷㌴㕣㈵㘷㈰攱慣㠳㔴㜰搶㔳㕡㠳㌵ㅣ〷〴㌱昱㉦つ㔷挹ㄹ㐲㌸ぢ㈵晤攴戰㘰搲㑦づぢ㈷晤攴戰㈴㜲敤㤲挳㍡捡㉥搷ㅣ㜵攱昳㍢㝤攱昳㐷㝤攱㔳㡣ㄱ慣愵ㅣㅡ㤰㥣㔷㌱ㄷ㠱挹㜹㐵㌷㤴扦敡㌲晣ㄶ㍣挹攴㙣㠳㔹㐶㜲摥㠵㉥㤳昳㌲㝡昸挹ㄹ㐱㍥㍥㐰㤳愲㡦挵㤵㔶㠳愲て挹㠹㐷挴昳㥡㍥㤵㥣〸攱㉣㜹㔴昰昷〸㡦㈹㌸㤲〳昸搳ㅡ慥㤲㤳㈰晣㈳ㅦ捥㈲㑢㉢愵攱攳〸㝦㕣挳㔵㜲㌲㠴戳㝡搲㑦捥㈷㕡㤱㥢㌵㔶㔳晡挹㘱㥤攴摡㈵攷㙢慦㘷戵㌵〷昴〷㝣戰捦昹ㄱ㍤㠷愲愹晣㘸敤㘱捣㐵㘰㜲ㅥ搲つ攵慦攱っ晦〴㑦㌲㌹愳㌰换㐸捥㙦搰㘵㜲ㅥ㐰て㍦㌹㘳挸㐷㉤收㔲戱捤㡡㑢㙢㕣㈷㝤戸㤲㔹㐲摦〴挲㔹〷愹攰愴挷㥡愴攰捣㈵慥㘴㙡戸捡攵㑥㠴㜷昷攱㠲昰㥤戵㜷攴㌲㉥㙥搳㜰㤵换㘹㠴戳愴搲㑦㡥愵ㄵ㤹㥣ㅥ㕡愱敦扥扤攸ぢㄳ晣ㄹ㥦搵㌸㤴㘶挵愵散戹挶挹㘱挱㘵㔰㜲㙥挴㕣〴㈶攷〶摤㔰晥㡡搰昰〶昰㈴㤳㌳ㄳ戳㡣攴㙣〲㕤㈶攷㝡昴昰㤳㌳㥢㝣っ㐰㤳㘲㥢㘵㤸搶ㅥ㡡㍥㙥搶搲攲㕡㑤㥦㘲㝢㉦挲㔹ㅣ愹攰㉣挵戴昶㔱㜰㙥搶搲攲㑡つ㔷㙣敦㐷昸㐰ㅦ扥ㄹ攱〷㘸㌸㌶㙢㘹㜱愹㠶慢㌵㘷㉥攱㠳〰昲㤳㌳㔸㉢㌲㌹慣扢昴搷ㅣ㔶㔴攲扢ㄶ挹㘱ㄹ愶散㔹㉤㌹㙡戳昶㠸摥慣㍤慥㌷㙢捦㡦ㄶㄱ㜴ぢ㑡捥㠵㤸㡢挰攴晣㔹㌷㤴扦戹㌴ㅣ㠳㈷㤹㥣㈲㘶ㄹ挹㐹㐱㤷挹㌹ㅦ㍤晣攴捣㈷ㅦ摢愳㐹戱捤摡㑣敢挰㑥晡攲攲㥣ㄲ晡㥡〸㘷挵愴㠲戳㍥搳㙡搱㜰㈴㈷㉥捥搰㜰㤵㥣㠵㠴戳戶㔲挱㔹愳㘹戵㈹㌸㔳ㅦㄷ愷㘸戸㑡㝤〷攱㈳〱昲㤳㌳㑡㉢㌲㌹㉣挶昴㤳㌳㠱扥搶㉡㌹慣捤㤴㍤慢㈵㐷㕤㕢晢㔴㕦㕢晢㑡㥦敦㝣㍦㕡㑣㐳户愰攴ㅣ㡦戹〸㑣捥ㅦ㜵㐳昹ぢ㔵挳㉣敢㤴挹㌹ㄸ戳㡣攴捣㠴㉥㤳㜳㉣㝡昸挹㌹㤴㝣散㠱㈶㐵ㅦぢ㌶慤㍦昸昴挵攲攲挸ㄲ晡㡥㈰㥣㘵㤴ち㍥㥢昰愳ㄴㅣ㙢づ攰㠷㘹戸㑡捥㌱㠴戳㤴㔲挱㔹戸㘹ㅤ愷攱戸㘵㄰ㄷ换㌴㕣慤㌹挷ㄳ捥㡡㑣㍦㌹晢㘸㐵㈶㠷ㄵ㥡㝥㜲收搲搷㕡㈵挷昱㝡㔶㑢づ扣〶㝣戰捦㘱扤㘶㔰㜲㍡㌰ㄷ㠱挹㘹搷つ攵㉦㝢つ戳搶㔳㈶攷㔴捣㌲㤲挳㠲㑤㤹㥣㠳搰挳㑦捥改攴㠳ㄵ㤰㡡㍥㔶㜱㕡㘷晡昴㘵愲愲戹㠴扥戳〹㘷㙤愵㠲㉦㈴晣㕣〵挷慡〰㜸愳㠶慢㔵攱㍣挲㔹㕡愹攰慣收戴㉥搰摥㜱攴ㅤㄵ慥㠶慢㕣㕥㐸㌸换㌴晤攴㉣搶㡡㑣づ换㌶晤攴戰㈰ㄳ㕦昹㌳愸㕣㡤㝤捥㘱㕥捦㙡挹改㈹慦㄰慣㌷㘶扥扣戶戶挱㤸〳攴ㄵ㠲捤挷㠸㘳搰㌳㈸㌹㜳㌱ㄷ㠱挹㤹愳ㅢ捡摦㐱ㅢ㍥づ㥥㘴㜲㉥挳㉣㈳㌹慣攲㤴挹搹ㅦ㍤晣攴㕣㐱㍥㔸㐶愹攸㘳㘹愷㜵㤵㑦㕦㌲㈵昶㉥愱敦ㅡ挲㔹㜰愹攰㈷ㄳ㝥㥤㠲㈳㌹㠰敦慥攱㉡㌹换〹㘷搱愵㠲戳挴搳㕡愱扤㡦㈳㝣㌷つ㔷㙢捥㡤㠴戳㜶搳㑦づ㙢㌸愹挸攴戰㤶搳㑦づ慢㌴昱㕤㡢攴戰戴㔳昶慣㤶ㅣ㈳搷挶㈴搶㥣㑢搱㉤㈸㌹搳㌰ㄷ㠱挹㤹慡ㅢ捡摦㡦ㅢ扥っ㥥㘴㜲㙥挷㉣㈳㌹㔷㐱㤷挹㤹㠲ㅥ㝥㜲敥㈴ㅦ慣慤㔴昴㕤㡤㈹敢㙥㐵ㅦ搸㡥㈵挴㐴㑤㥦㘲晢ㅥ挲㔹㕡愹攰慣昹戴敥㔳㜰㤴㤱〰㍥㔶挳ㄵ摢昷ㄳ扥摣㠷戳敥搳㝡㔰挳戱ㄵ㑣㠸㤱ㅡ慥搶㥣㠷〹㘷㐱愷㥦ㅣㄶ㜶晡挹㘱㠱愷㥦ㅣ㤶㙥攲扢ㄶ挹㘱扤愷散戹挶挹戹ㄷ摤㠲㤲㤳挱㕣〴㈶㈷慤ㅢ捡摦摤ㅢ扥て㥥㘴㜲㥥挰㉣㈳㌹て㐲㤷挹㐹愲㠷㥦㥣愷挸挷愳㘸㔲㙣戳〸搴㝡㐶搱挷攴挴㐴㔴搳愷㤲昳ㅣ攱慣户㔴昰㠷〹㝦㐱挱㤹㥣㤸搸㔶挳㔵㜲㕥㈲㥣㐵㥣ち捥㘲㔰敢㥦ㅡ㡥攴挴挴搶ㅡ慥㤲昳㉡攱慣昲昴㤳挳㙡㑦㍦㌹慣晡昴㤳挳㝡㑥㝣搷㈲㌹㉣〲㤵㍤搷㌸㌹慣〱つ㑡捥㄰捣㐵㘰㜲戶搰つ攵敦ㄵづ扦づ㑦㌲㌹㙦㘱㤶㤱㥣户愰换攴っ㐲て㍦㌹㙦㤳㡦㜷搱愴攸㘳㘵愸昵慥愲て挹㐹㘵挴㘶㥡㍥㤵㥣昷〸㘷扤愶㠲扦㑤昸〷ち㡥攴〰扥戱㠶慢攴㝣㐴昸㝢㍥晣ㅤ挲㍦搱㜰摣㥢换㠸㝥ㅡ慥㤲昳ㄹ攱㉣晤昴㤳昳㠱㔶攴㘶㡤愵愰㝥㜲㍥愳慦戵㑡づ㉢㐳㘵捦㙡挹愹㝡㈷㤴搵愱㐱挹〹㘳㉥〲㤳搳㔷㌷㤴扦敥㌸晣㍤㍣挹攴晣〷戳㡣攴晣〴㕤㈶愷㌷㝡昸挹昹㤶㝣晣㠶㈶挵㌶换㐵慤敦ㄵ㝤㐸㑥㍣㈹㙣㑤㥦㑡捥て㠴戳㠸㔳挱㔹㌲㙡晤愴攰扣㐲㤰ㄴ㜵ㅡ慥搸晥㠵昰ㅡ㕣捥㔴昰㕦〹晦㑤挳㜱㠵㈰㈹㠴㠶慢㕣愲㌴ㄴ㔵㝣㠰晢挹愹搵㡡㑣づ敢㐳晤攴搴㐳㠱㍢昹挳㝦摥㘷㌵づ〸㔸㉥㉡㝢㔶㑢㡥攷慢昴㝦散㜳㔸㉤ㅡ㤴㥣㕦扥慦㤲㥣㥦㜵㐳挵慢㤸搷㠵愷㔵扤㡡㤹て㥤㜴摢攵敢㠲晢㈲㤴扡㈲ㅦ㤳搹戳愸捣㉣づ挵㠳㌲ㅢ㥢㥡攴㌳㈶㝢攱愵愹㙤ぢ摣戶㘹㜸㐱㌰㕥㤵㍡慢戱㔹㍦㠰㄰㉦づ收㍢㈸扤搷㜲摡㔲㘳㘷慢㌸愳つ敦改散㔱㥣搲㡥ㄷ㍢ㄷ敡㥢㜷㜵㍡㍡摣戶㤶晦ぢ㙦㔴ㄵ㌵摤扢㜳㜹㘳挵㉦摥㔴㔹ㅢ昸挰㑤㍥㐹㌳戰づ㔳㌲搶搰挹挷㌴扣昹㤷ㄵ慦戵㝣搷敡摡扤攳搹戲戰㘴㔶㝤㉣㙣㜷昱㈳昲慣晥愸昳㠸㥡摦ㄹ㌷㐶挳搳㡣搰挹戲㈱扡攱戹㤱戲挰ㅢ㈲㘴㠷㘰㤱㑦㕦㤵愲愶㙥㝤㉣ぢ攵㜳挸攷愰㑥㈲〵㜵㑢ㅡぢㅤ昳慤昹㙥攳扣昹ㅤ㜸摥㘹㑦捥戶昷改扥ㄱ扡㜶㔵挳捡搵愶㐷昳ㅣ愷慤捤㔹㔶摦㍣愷挹㙤㤹搷㌱扦㝥捥㘲㤴散攲㠵搱攸㕣㕦㕦㙦昷㐲㍣ㅣ㡡㍦搱ㅦ㐶㝡戵㝢㥢搶㠱㥥戵㡦㘹摤ㄲ㔶㉥挸㔶㕦㔸扢㘰攷慢㐰㜶搶㐱㈷㙢㕤㠸㔲㜶搶㠳挵㘰㐷っ挳〰㘴挸晢㠸ㄱ㔰㘴㠴晤㠰昴攳㡥㜸搶つ㑣㙢挲戳㙥㘸㕡户㠷㔵挶扤ㄱ慣㕤挴晤㘱㘰摣㥢愰㤳捤戸㍢㌳摡㥦㈶㍥㑦㔷㘵㔴散㠸〱㑡㘲ㅥ攳挵㌱〰㐸㍦收〹㥥㜵㜳搳扡㤳㘷ㅤ㘸㕡㜷㠱㔵挶㍣〸搶㉥㘲㝥㉢㌰收㉤搰愹㉣收愱㌴ㄹ㌱敦㡡〱㑡㘲㥥敤挵戱㤵ㄹ挷㕥㥥㜵㤸㘹摤捦戳㙥㙤㕡㜳戰捡㤸户㠱戵㡢㤸㕦づ㡣㜹〴㍡搹㕣㝢㍡㜹㙥愰挹㠸戹㠰〱㑡㘲㥥敦挵ㄱ〱搲攷戹挹戳㐶㑤敢㐲捦ㅡ㌳慤慣改㤲㌱挷㘱敤㈲收愷〲㘳㑥愲㔳㔹捣㘹㥡㡣㤸㤷㘲㠰㤲㤸て昵攲挸㥡㜱ㅣ攱㔹户㌷慤挷㜸搶ㅤ㑣㉢㑢㥤㘴捣㍢挲摡㐵捣て〵挶㍣ち㥤捡㤶㡤㌱㌴ㄹ㌱㥦㡣〱㑡㘲㍥摤㡢㘳㥣ㄹ挷搹㥥㜵扣㘹㍤捦戳㑥㌰慤慣〰㤲㌱㑦㠴戵㡢㤸敦づ㡣㜹㌲㍡㤵昱㍣㠵㈶㈳收㑢㌰㐰㐹捣㔷㜸㜱㑣㌵攳戸挶戳㑥㌳慤换㍤敢㜴搳㝡㌳慣㌲收㕤㘰敤㈲收㥢〲㘳摥ㄵ㥤捡㜸㥥㐹㤳ㄱ昳慤ㄸ愰㈴收㍢扤㌸㘶㥢㜱摣攳㔹㜷㌷慤昷㝢搶㍤㑣㉢敢㐵㘴捣㝢挲摡㐵捣搷〴挶扣㌷㍡㔹晢㐰㤴㙥愳昷㠵挵㡣晢㌱っ㔲ㄲ昷㔳㕥㉣晢〳改慦㠷捦㜹搶〳㑣敢㑢㥥㜵㡥㘹㘵㈹㠵㡣㝢㉥慣㕤挴㝤㜱㘰摣㌹㜴㉡㕢㍥ち㌴ㄹ㕣扦㠹〱㑡㘲㝥摢㡢愳㘸挶昱㥥㘷㥤㘷㕡㍦昲慣昳㑤㉢㉢っ㘴捣㡤戰㜶ㄱ昳戹㠱㌱㉦㐰㈷㥢㕣㜷㙥敦㥡㘹㌲㘲晥ち〳㤴挴晣慤ㄷ㐷㉢㤰㍥捦㍦㜸搶㠵愶昵ㄷ捦㝡㤰㘹慤挵搱戸㡣戹つ搶㉥㘲㍥㈵㌰㘶扥㈶扤㡣攷挵㌴ㄹ㌱㜷挷〰㈵㌱搷挳戰ㄱ㘲戱㤷㥡㜱昴昲慣换㑣㙢搸戳ㅥ㙣㕡㌷㠰㔵挶㝣〸慣㕤挴㝣㑣㘰捣㠷愱㔳㔹捣㠷搳㘴挴扣ㄱ〶㈸㠹戹扦ㄷ挷㤱㘶ㅣ〳㍤敢㔱愶㜵㠸㘷㍤摡戴㙥〳慢㡣昹ㄸ㔸扢㠸昹㤰挰㤸㡦㐳愷戲㙤挷昱㌴ㄹ㌱㡦挰〰㈵㌱㐷扣㌸㑥㌴攳㐸㜸搶㤳㑣㙢挶戳㥥㙣㕡㐷挱㉡㘳㍥〵搶㉥㘲㙥ぢ㡣昹㌴㜴㉡㡢昹っ㥡㡣㤸挷㘰㠰㤲㤸㈷㜸㜱㥣㘵挶戱㤳㘷㍤摢戴㑥昳慣攷㤸搶㤹戰捡㤸捦㠵戵㡢㤸ㅢ〳㘳㍥て㥤捡㤶㡤ぢ㘸㌲㘲㥥㡤〱㑡㘲摥换㡢攳㐲㌳㡥晤㍣敢㐵愶㜵慥㘷晤㡢㘹攵扤㉥ㄹ昳挵戰㜶ㄱ昳摣挰㤸㉦㐵愷戲㤸㉦愷挹㠸㜹㍥〶㈸㠹戹挹㡢攳㑡㌳㡥㠵㥥昵㉡搳摡攱㔹慦㌶慤扣〵㈴㘳扥〶搶㉥㘲摥㌳㌰收敢搰愹㙣搹㔸㑥㤳ㄱ昳愱ㄸ愰㈴收㈳扣㌸㔶㤸㜱ㅣ攳㔹㙦㌰慤挷㝢搶ㅢ㑤㉢敦㡣挸㤸㙦㠲戵㡢㤸㜷〹㡣昹ㄶ㜴㉡攳昹㌶㥡㡣㤸㑦挷〰㈵㌱㥦敤挵㜱㠷ㄹ挷㜹㥥昵㑥搳㝡愱㘷扤换戴昲㠶㠱㡣昹㙥㔸扢㠸㜹㘲㘰捣昷愰㔳ㄹ捦昷搱㘴挴㝣〵〶㈸㠹昹ㅡ㉦㡥晢捤㌸㤶㝢搶〷㑣敢㡤㥥昵㐱搳捡敢攸㌲收㠷㘰敤㈲收ㅤ〳㘳㝥〴㥤捡㘲晥〷㑤㐶捣㜷㘲㠰㤲㤸敦昱攲㜸摣㡣攳㝥捦晡㠴㘹㝤搸戳㍥㘹㕡㜹㜹㔹挶晣ㄴ慣㕤挴ㅣて㡣昹ㄹ㜴㉡㡢昹㌹㥡㡣㤸㥦挲〰㈵㌱㍦攷挵昱㠲ㄹ挷㑢㥥昵㐵搳晡慡㘷㝤挹戴昲慡慢㡣昹㘵㔸扢㠸㜹㥢挰㤸㕦㐱愷戲攵昹㌵㥡㡣㤸摦挶〰㈵㌱扦攷挵昱㠶ㄹ挷㐷㥥昵㑤搳晡㤹㘷晤㤷㘹攵挵㐸ㄹ昳㕢戰㜶ㄱ昳愰挰㤸摦㐶愷㌲㥥摦愵挹㠸昹㕢っ㔰ㄲ昳て㕥ㅣ敦㤹㜱晣攲㔹摦㌷慤㌵㔰攴戱挹〷㠶戵慥ㅥ捡㙡㕦㘹攲㕦晣慥㠷㙢㜲㑤㙥扥〳搷㔸挶㌹敤敥昰㈶㕣㠱敡搶㍦攰㙦㡤攵ㅦㅡ㝢搷愷散て㌱㡥〸㔱昰㔲挲㐷㝡㠲㑡摦㕥㕡愹攷ㄵ㥤扥扣㌶㐳戳搲晡㤸㥡㔸〷ㅡ〳戶㍦愶㜹㍤摤㘶㝦愲㈷愴户㝥㕡㔱晤㜹挵愴搳摢㠶愶㈶㌶㠱㈶扤㝤㑡㜳㝦摤㘶㝦愶㈷愴户〱㕡㔱摥㜸㉤愳搳摢㐰㔳ㄳ㕢㐰㤳摥㍥愷㜹愸㙥戳扦搰ㄳ搲摢㔶㕡㔱摥㠶㤵㘸㕢㥢㥡ㄸ〱㑤㝡晢㤲收〶摤㘶㝦愵㈷愴户㠸㔶㤴户㘸㠹挶昳㝥㍦㔲㤱㠴㈶扤㝤㑤㜳㕡户搹晦搱ㄳ搲㕢㔶㉢捡摢昶㈵ㅡ捦挸㍢扤㡤㠲㈶扤㝤㐳昳ㄸ摤㘶㝦慢㈷愴户㜱㕡㔱摥挶㤷㘸㍣㔷敥昴㌶ㄹ㥡昴昶ㅤ捤㔳㜴㥢晤扤㥥㤰摥愶㙡㐵㜹㥢㔶愲㑤㌷㌵戱㉢㌴改敤扦㌴捦搴㙤昶て㝡㐲㝡㥢慤ㄵ攵㙤昷ㄲ㙤て㔳ㄳ㝢㐳㤳摥㝥愴㤹㘷㠶㜴㘰晦愴㈷愴㌷㥥〵㜲㐲㜹㍢愰㐴攳㔹㥦摦㈶㜲搰愴户㥦㘹收㌹㥢昴昶㡢㥥㤰摥㜸㝥收昷攸㍢慦㐴㥢㙦㙡㘲〱㌴改敤㔷㥡㥢㜵㥢晤㥢㥥㤰摥㜸收搴改㙤㘱㠹㜶㤰愹㠹づ㘸搲摢敦㌴㉦搶㙤㌶㕦攷㐴〷搲ㅢ捦㘹㍡扤㉤㉢搱づ㌶㌵㜱ㄸ㌴改㑤戰晦攱扡捤慥㌵扤昱㙣愳搳摢㔱㈵摡搱愶㈶㜸㠲㈰扤㜵㘳晦攳㜵㥢摤摤昴㜶愲搹愳敦㐹㈵摡挹愶㈶㜸攸㉥扤搵戱晦ㄹ扡捤戶㑣㙦㘷㤹㍤晡㥥㕤愲㥤㘳㙡㠲〷搵搲㕢て昶扦㐰户搹昵愶户ぢ捤ㅥ㝤㉦㉡搱晥㘲㙡㠲㠷扢搲㥢捤晥㤷敢㌶㍢㘴㝡攳㔱㙤㈷㙦㍣㥡敤搴慥㌶㌵㜱ㅤ㌴改慤㈷晢㉦搷㙤㜶㉦搳摢ち戳㐷㕦ㅥ㘷㜶㝡扢搱搴挴㉤搰愴户摥散㝦㥢㙥戳晢㤸摥敥㌰㝢昴攵ㄱ㘰愷户扢㑣㑤摣〳㑤㝡敢换晥昷改㌶㍢㙣㝡扢摦散搱㤷挷㘶㥤摥ㅥ㌴㌵挱挳㉡改㙤ㅤ昶晦㠷㙥戳搷㌵扤昱攸愹戳晦ㄳ㈵摡㤳愶㈶㥥㠱㈶扤慤挷晥捦改㌶㝢㝤搳ㅢ㡦㙢㍡扤扤㔸愲扤㘴㙡攲ㄵ㘸搲㕢㍦昶㝦㑤户搹ㅢ㤸摥㜸挴搱改敤捤ㄲ敤㕦愶㈶摥㠶㈶扤㙤挸晥敦敡㌶㝢㈳搳ㅢ㡦〵㍡扤昱ㄸ愰㔳攳扥摦搷挴㠷㕥晦㡤搱摦晢㠴㍦㠲㔵摥㕣摤〴㔶摣㕣㤵㍢㕢戴摡㥢㥡㈸敥㜴㈵慡扦㐲㝤敡昹㉡㐱㝤收愱〶㈸㤴摣㌹㔶昸攲㑥㔲晡ㅡ愸㔰㜲愷㐷㔴㐹㕣㕦㜹愸挱ち㈵㜷㘶ㄵ㈸敥搴愴慦㈱ち㈵㜷㔲ㄵ㈳㝥敢愱戶㔴㈸戹昳愹昰挵㥤㤰昴㌵㑣愱攴㑥愵挲ㄷ㜷㉥ㄲ戵㡤㐲挹㥤〵㔱挳愱㝢㥦㌰㜷ㅡㄲ㌵㐲愱攴㑥㠰愸㤲㜹攴捥㐰愲ㅡㄴ㑡㙥摣㠹㉡昱挵㡤扣㐴㐵ㄴ㑡㙥戴㉢㝣㜱攳㉤㔱㌱㠵㤲ㅢ攳ちㄴ㌷捡ㄲ㤵㔰㈸戹㤱㈵慡㈴㡦摣搸㑡㔴㑡愱攴挶戳〲挵㡤愸㐴㘵ㄴ㑡㙥ㄴ㉢㐶攴挶㔱愲戶㔷㈸戹戱慢㐰㜱愳㈷㔱㍢㉡㤴摣㠸㔵㡣挸㡤㤹㐴㡤㔲㈸戹㜱慡昰挵㡤㤴㐴㡤㔱㈸戹搱愹昰挵㡤㡦㐴㡤㔳㈸戹㌱愹㐰㜱愳㈲㔱ㄳㄴ㑡㙥㈴㉡㔰摣㔸㐸搴㈴㠵㤲㉢㝦㐵㕣摣〸㐸搴㑥ち㈵㔷敡ち㕦㕣戹㈵㙡㘷㠹ち㝢ぢ㡣攰晡㈹慢ㅥ㙥晢㑥㔵㍤㡣㐳摦㝡扣㜶搱㑢㥤攰扡㈹ㄱ户㤶㈲〴㔷㐷搹㜰㑢㔹〳搷㐰搹㜰㜳㔹〳㔷㍡搹㜰㔳㔹〳搷㌳搹㜰㘳㔹〳㔷㉤搹㜰㐳㔹〳搷㈶搹戰愲慣㠱㉢㤰㙣戸扥戴㈱散㉤晤㠲㉢㡦㐴㉣㉦㐵〸慥㉦戲攱慦㘵つ㕣㐵㘴挳㜵㘵つ㕣㉢㘴挳戵㘵つ㕣ㄱ㘴挳㌵㘵つ㕣昶㘵挳搵㘵つ㕣摣㘵挳㔵㘵つ㕣挲㘵挳㤵㘵つ㕣愸㘵挳ㄵ㘵つ㕣㡥㘵挳攵㘵つ㕣㜴㘵挳㘵㘵つ㕣㕡㘵挳愵㘵つ㕣㐰㘵挳㈵㘵つ㕣㈶㘵挳挵㘵つ㕣っ㘵挳㕦捡ㅡ戸攴挹㠶㡢㑡ㅢ㝡晥㍦戲㙤㜱㌰</t>
  </si>
  <si>
    <t>MÓDULO: CATÁLOGOS</t>
  </si>
  <si>
    <r>
      <rPr>
        <b/>
        <sz val="10"/>
        <rFont val="Arial"/>
        <family val="2"/>
      </rPr>
      <t xml:space="preserve">Catálogo "Tipos de usuario" </t>
    </r>
    <r>
      <rPr>
        <sz val="10"/>
        <rFont val="Arial"/>
        <family val="2"/>
      </rPr>
      <t xml:space="preserve">
- Administrador, Usuarios, etc.</t>
    </r>
  </si>
  <si>
    <r>
      <rPr>
        <b/>
        <sz val="10"/>
        <rFont val="Arial"/>
        <family val="2"/>
      </rPr>
      <t>Configuración y parámetros del sistema</t>
    </r>
    <r>
      <rPr>
        <sz val="10"/>
        <rFont val="Arial"/>
        <family val="2"/>
      </rPr>
      <t xml:space="preserve">
-Captura de datos del mail (usuario, dominio, pop3, smtp, contraseña,  remitente) para recuperación de contraseña o envió de notificaciones.
-Control de tiempo de inactividad
-Control de cantidad de intentos fallidos.
-Zona horaria</t>
    </r>
  </si>
  <si>
    <r>
      <t>Catálogo "Registro de Usuarios"</t>
    </r>
    <r>
      <rPr>
        <sz val="10"/>
        <rFont val="Arial"/>
        <family val="2"/>
      </rPr>
      <t xml:space="preserve">
-Permisos a empresa o multiempresas
Permisos y accesos por usuarios (Acceder, Grabar, Editar)
Altas / Bajas / Edición</t>
    </r>
  </si>
  <si>
    <r>
      <t>Catálogo "Generales "</t>
    </r>
    <r>
      <rPr>
        <sz val="10"/>
        <rFont val="Arial"/>
        <family val="2"/>
      </rPr>
      <t xml:space="preserve">
-Conjunto de catálogos que tienes las mismas características: Clave,  Descripción larga, Descripción corta, Activo
-Tiempos de entrega
-Descuentos
-Información técnica
-Tiempos de entrega
-Marca
-Unidad de medida
- Altas / Bajas / Edición</t>
    </r>
  </si>
  <si>
    <r>
      <rPr>
        <b/>
        <sz val="10"/>
        <rFont val="Arial"/>
        <family val="2"/>
      </rPr>
      <t>Catálogo "Clientes"</t>
    </r>
    <r>
      <rPr>
        <sz val="10"/>
        <rFont val="Arial"/>
        <family val="2"/>
      </rPr>
      <t xml:space="preserve">
- Información general del cliente, tipo de cliente, descuentos, usuarios, etc.</t>
    </r>
  </si>
  <si>
    <r>
      <rPr>
        <b/>
        <sz val="10"/>
        <rFont val="Arial"/>
        <family val="2"/>
      </rPr>
      <t>Carga de Contactos</t>
    </r>
    <r>
      <rPr>
        <sz val="10"/>
        <rFont val="Arial"/>
        <family val="2"/>
      </rPr>
      <t xml:space="preserve">
- Altas / Bajas	</t>
    </r>
  </si>
  <si>
    <r>
      <t>Catálogo "Producto"</t>
    </r>
    <r>
      <rPr>
        <sz val="10"/>
        <rFont val="Arial"/>
        <family val="2"/>
      </rPr>
      <t xml:space="preserve">
- Altas / Bajas / Edición</t>
    </r>
  </si>
  <si>
    <r>
      <t>Catálogo "Fletes y tipos de fletes"</t>
    </r>
    <r>
      <rPr>
        <sz val="10"/>
        <rFont val="Arial"/>
        <family val="2"/>
      </rPr>
      <t xml:space="preserve">
- Altas / Bajas / Edición</t>
    </r>
  </si>
  <si>
    <r>
      <t>Catálogo "Empresa"</t>
    </r>
    <r>
      <rPr>
        <sz val="10"/>
        <rFont val="Arial"/>
        <family val="2"/>
      </rPr>
      <t xml:space="preserve">
- Altas / Bajas / Edición</t>
    </r>
  </si>
  <si>
    <t>MÓDULO: Venta en línea (Cliente)</t>
  </si>
  <si>
    <t>Consulta Avanzada de Productos
Objetivo: Navegación por palabras clave
-Consulta precios
-Disponibilidad
-Tiempos de entrega</t>
  </si>
  <si>
    <t>Proceso "Agregar productos a OC preliminar"</t>
  </si>
  <si>
    <t>Consultas "Detalle del producto"
-Al seleccionar un producto o material en particular se mostrará el detalle de
este, imágenes, descripciones, información técnica y se podrá agregar a la  OC preliminar.
-Consultar</t>
  </si>
  <si>
    <t>Pre - Confirmación de compra (Cotización)
-Muestra el listado de productos o materiales listos para confirmar en un  formato preliminar de una OC.</t>
  </si>
  <si>
    <t>Captura de Datos de pago</t>
  </si>
  <si>
    <t>Proceso "Configuración de método de pago" OpenPay</t>
  </si>
  <si>
    <t>Proceso "Configuración de método de pago" PayPal</t>
  </si>
  <si>
    <r>
      <rPr>
        <b/>
        <sz val="10"/>
        <rFont val="Arial"/>
        <family val="2"/>
      </rPr>
      <t>Pantalla "Solicitud de contacto o comentarios"</t>
    </r>
    <r>
      <rPr>
        <sz val="10"/>
        <rFont val="Arial"/>
        <family val="2"/>
      </rPr>
      <t xml:space="preserve">
-Formulario para solicitar un contacto personalizado, este servirá para varias  cuestiones como solicitar contacto, comentarios de retroalimentación, etc.
-Solicitar contacto para algún cambio en dirección, cantidades, etc.</t>
    </r>
  </si>
  <si>
    <r>
      <rPr>
        <b/>
        <sz val="10"/>
        <rFont val="Arial"/>
        <family val="2"/>
      </rPr>
      <t>Perfil de Usuario</t>
    </r>
    <r>
      <rPr>
        <sz val="10"/>
        <rFont val="Arial"/>
        <family val="2"/>
      </rPr>
      <t xml:space="preserve">
- Datos de Usuario
-Confirmación de usuario
-Cambio de contraseña</t>
    </r>
  </si>
  <si>
    <r>
      <rPr>
        <b/>
        <sz val="10"/>
        <rFont val="Arial"/>
        <family val="2"/>
      </rPr>
      <t>Seguimiento a envíos y rastreo del pedido"</t>
    </r>
    <r>
      <rPr>
        <sz val="10"/>
        <rFont val="Arial"/>
        <family val="2"/>
      </rPr>
      <t xml:space="preserve">
-Visualizar estatus del proceso de envío</t>
    </r>
  </si>
  <si>
    <r>
      <t xml:space="preserve">Ambiente: </t>
    </r>
    <r>
      <rPr>
        <sz val="10"/>
        <rFont val="Arial"/>
        <family val="2"/>
      </rPr>
      <t>Web</t>
    </r>
    <r>
      <rPr>
        <b/>
        <sz val="10"/>
        <rFont val="Arial"/>
        <family val="2"/>
      </rPr>
      <t xml:space="preserve"> </t>
    </r>
  </si>
  <si>
    <t>Consultas "Seguimiento de Pedidos" (Admin y Cliente)
-Filtros Avanzados: Orden#,  Cliente, Servicio, Fecha, Estatus.
-Campos: Orden#,  Fecha, Cliente, Estatus, Montos, Acciones
-Acciones: Editar, Cancelar</t>
  </si>
  <si>
    <t>Formato "Exportación a Excel" (ADMIN y CTE)</t>
  </si>
  <si>
    <t>Administración Precios e impuesto
- Altas / Edición</t>
  </si>
  <si>
    <t>Procesos "Carga de productos, precio e inventario"</t>
  </si>
  <si>
    <t>SCRIPTS DE MIGRACIÓN
-Carga de Cliente, Catálogos Generales</t>
  </si>
  <si>
    <t>Modal: -Cambios en dirección de entrega, fecha de entrega, quién recibe, cantidad  de producto o material.</t>
  </si>
  <si>
    <t>Administración (Sistema)
-Cambiar estatus del envío (confirmado, en embarque, en camino,  entregado, etc.)</t>
  </si>
  <si>
    <t>Modal: -Ingresar número de guía (se propone ingresar un link con el portal donde  se podrá visualizar el estatus del envío, ese link y visualización será fuera  del sistema propuesto)."</t>
  </si>
  <si>
    <t>MÓDULO: PANTALLAS (CTE)</t>
  </si>
  <si>
    <r>
      <rPr>
        <b/>
        <sz val="10"/>
        <rFont val="Arial"/>
        <family val="2"/>
      </rPr>
      <t>Consultas "Seguimiento de Pedidos" (Cliente)</t>
    </r>
    <r>
      <rPr>
        <sz val="10"/>
        <rFont val="Arial"/>
        <family val="2"/>
      </rPr>
      <t xml:space="preserve">
-Filtros Avanzados: Orden#,  Cliente, Servicio, Fecha, Estatus.
-Campos: Orden#,  Fecha, Cliente, Estatus, Montos, Acciones
-Acciones: Consulta</t>
    </r>
  </si>
  <si>
    <t>Menú 
-Navegación de los productos por familias y subfamilias (Menú).
-Búsqueda directa de productos</t>
  </si>
  <si>
    <r>
      <t>Inicio ADMIN (Menú de acceso a los módulos de acuerdo a permisos de usuario)</t>
    </r>
    <r>
      <rPr>
        <sz val="10"/>
        <rFont val="Arial"/>
        <family val="2"/>
      </rPr>
      <t xml:space="preserve">
Indicador de carrito de compras(Cantidad, total).
Nota: Admin, Cliente</t>
    </r>
  </si>
  <si>
    <r>
      <t>Inicio CTE (Menú de acceso a los módulos de acuerdo a permisos de usuario)</t>
    </r>
    <r>
      <rPr>
        <sz val="10"/>
        <rFont val="Arial"/>
        <family val="2"/>
      </rPr>
      <t xml:space="preserve">
Indicador de carrito de compras(Cantidad, total).
Nota: Admin, Cliente</t>
    </r>
  </si>
  <si>
    <t>MÓDULO: ECOMMERCE</t>
  </si>
  <si>
    <t>MÓDULO: Pantallas Administrativas</t>
  </si>
  <si>
    <t>MÓDULO: PANTALLAS (Admin)</t>
  </si>
  <si>
    <t>Proceso "Notificación 
-Una vez entregado el pedido, se le enviará correo al cliente de que su pedido fue entregado y se cerrará esa OC en el sistema y se irá al histórico  del cliente."</t>
  </si>
  <si>
    <r>
      <t>Login "Usuario y contraseña" (Acceso Principal)</t>
    </r>
    <r>
      <rPr>
        <sz val="10"/>
        <rFont val="Arial"/>
        <family val="2"/>
      </rPr>
      <t xml:space="preserve">
- Recuperación de contraseña
Uso: Administrador, Usuario o Cliente
Verificación en 2 pasos </t>
    </r>
  </si>
  <si>
    <t>Menú 
-Navegación de los productos por categoría, familias y subfamilia
-Búsqueda directa de productos</t>
  </si>
  <si>
    <t>Información técnica
- Altas / Edición</t>
  </si>
  <si>
    <t>Carga de imágenes
- Altas / Bajas</t>
  </si>
  <si>
    <t>Consulta "Histórico de pedidos"
Filtro: Realizados Activos / Pendientes / Concluidos
-Consulta</t>
  </si>
  <si>
    <t>Modal Consultas "OC Preliminar"
-Muestra el listado de productos o materiales que se han agregado, y la  opción de modificar el listado.
-Editar / Eliminar / Consultar</t>
  </si>
  <si>
    <t>Procesos de Pago
-Toma de decisión (Pago con tarjeta, Pago con PayPal o solicitar crédito)</t>
  </si>
  <si>
    <t>Proceso "Notificación -Envió de confirmación de pedido al cliente por correo electrónico"</t>
  </si>
  <si>
    <r>
      <rPr>
        <b/>
        <sz val="10"/>
        <rFont val="Arial"/>
        <family val="2"/>
      </rPr>
      <t>Consulta "Histórico de pedidos"</t>
    </r>
    <r>
      <rPr>
        <sz val="10"/>
        <rFont val="Arial"/>
        <family val="2"/>
      </rPr>
      <t xml:space="preserve">
Filtro: Realizados Activos / Pendientes / Concluidos
-Consulta</t>
    </r>
  </si>
  <si>
    <t>Proceso "Notificación- Envió de correo con la solicitud de factura a la persona responsable de facturar"</t>
  </si>
  <si>
    <t>Proceso "Notificación- Envió de solicitud por correo electrónico"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</si>
</sst>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quot;$&quot;* #,##0.00_-;_-&quot;$&quot;* &quot;-&quot;??_-;_-@_-"/>
    <numFmt numFmtId="165" formatCode="_-* #,##0.00\ &quot;€&quot;_-;\-* #,##0.00\ &quot;€&quot;_-;_-* &quot;-&quot;??\ &quot;€&quot;_-;_-@_-"/>
    <numFmt numFmtId="166" formatCode="_-* #,##0.00\ _€_-;\-* #,##0.00\ _€_-;_-* &quot;-&quot;??\ _€_-;_-@_-"/>
    <numFmt numFmtId="167" formatCode="0.0"/>
    <numFmt numFmtId="168" formatCode="&quot;€&quot;#,##0"/>
    <numFmt numFmtId="169" formatCode="0.000"/>
    <numFmt numFmtId="170" formatCode="0.0%"/>
    <numFmt numFmtId="171" formatCode="_-[$$-80A]* #,##0.00_-;\-[$$-80A]* #,##0.00_-;_-[$$-80A]* &quot;-&quot;??_-;_-@_-"/>
    <numFmt numFmtId="172" formatCode="#,##0_ ;\-#,##0\ "/>
  </numFmts>
  <fonts count="48" x14ac:knownFonts="1">
    <font>
      <sz val="11"/>
      <color theme="1"/>
      <name val="Calibri"/>
      <family val="2"/>
      <scheme val="minor"/>
    </font>
    <font>
      <b/>
      <sz val="18"/>
      <color indexed="56"/>
      <name val="Cambria"/>
      <family val="2"/>
    </font>
    <font>
      <sz val="10"/>
      <name val="Arial"/>
      <family val="2"/>
    </font>
    <font>
      <b/>
      <sz val="10"/>
      <name val="Arial"/>
      <family val="2"/>
    </font>
    <font>
      <sz val="10"/>
      <name val="Century Gothic"/>
      <family val="2"/>
    </font>
    <font>
      <sz val="8"/>
      <name val="Century Gothic"/>
      <family val="2"/>
    </font>
    <font>
      <b/>
      <sz val="11"/>
      <name val="Arial"/>
      <family val="2"/>
    </font>
    <font>
      <sz val="11"/>
      <name val="Arial"/>
      <family val="2"/>
    </font>
    <font>
      <sz val="10"/>
      <name val="Verdana"/>
      <family val="2"/>
    </font>
    <font>
      <b/>
      <sz val="14"/>
      <name val="Arial"/>
      <family val="2"/>
    </font>
    <font>
      <sz val="9"/>
      <name val="Arial"/>
      <family val="2"/>
    </font>
    <font>
      <sz val="9"/>
      <name val="Century Gothic"/>
      <family val="2"/>
    </font>
    <font>
      <sz val="8"/>
      <name val="Arial"/>
      <family val="2"/>
    </font>
    <font>
      <sz val="14"/>
      <name val="Arial"/>
      <family val="2"/>
    </font>
    <font>
      <sz val="11"/>
      <color theme="1"/>
      <name val="Calibri"/>
      <family val="2"/>
      <scheme val="minor"/>
    </font>
    <font>
      <b/>
      <sz val="12"/>
      <color rgb="FF1F497D"/>
      <name val="Arial"/>
      <family val="2"/>
    </font>
    <font>
      <sz val="10"/>
      <color rgb="FF4F81BD"/>
      <name val="Arial"/>
      <family val="2"/>
    </font>
    <font>
      <sz val="10"/>
      <color rgb="FF808080"/>
      <name val="Arial"/>
      <family val="2"/>
    </font>
    <font>
      <b/>
      <sz val="14"/>
      <color rgb="FF1F497D"/>
      <name val="Arial"/>
      <family val="2"/>
    </font>
    <font>
      <sz val="10"/>
      <color rgb="FFFF0000"/>
      <name val="Arial"/>
      <family val="2"/>
    </font>
    <font>
      <b/>
      <sz val="10"/>
      <color rgb="FFFF0000"/>
      <name val="Arial"/>
      <family val="2"/>
    </font>
    <font>
      <sz val="7"/>
      <name val="Verdana"/>
      <family val="2"/>
    </font>
    <font>
      <sz val="9"/>
      <color indexed="81"/>
      <name val="Tahoma"/>
      <family val="2"/>
    </font>
    <font>
      <b/>
      <sz val="9"/>
      <color indexed="81"/>
      <name val="Tahoma"/>
      <family val="2"/>
    </font>
    <font>
      <sz val="16"/>
      <color theme="1"/>
      <name val="Calibri"/>
      <family val="2"/>
      <scheme val="minor"/>
    </font>
    <font>
      <sz val="12"/>
      <color theme="1"/>
      <name val="Calibri"/>
      <family val="2"/>
      <scheme val="minor"/>
    </font>
    <font>
      <sz val="8"/>
      <color theme="1"/>
      <name val="Calibri"/>
      <family val="2"/>
      <scheme val="minor"/>
    </font>
    <font>
      <sz val="9"/>
      <color theme="1"/>
      <name val="Arial"/>
      <family val="2"/>
    </font>
    <font>
      <sz val="10"/>
      <name val="Arial"/>
      <family val="2"/>
    </font>
    <font>
      <sz val="10"/>
      <color theme="0" tint="-0.14999847407452621"/>
      <name val="Arial"/>
      <family val="2"/>
    </font>
    <font>
      <b/>
      <sz val="10"/>
      <color theme="0"/>
      <name val="Arial"/>
      <family val="2"/>
    </font>
    <font>
      <b/>
      <sz val="12"/>
      <color theme="0"/>
      <name val="Arial"/>
      <family val="2"/>
    </font>
    <font>
      <b/>
      <sz val="11"/>
      <color theme="1"/>
      <name val="Arial"/>
      <family val="2"/>
    </font>
    <font>
      <b/>
      <sz val="9"/>
      <color theme="1"/>
      <name val="Arial"/>
      <family val="2"/>
    </font>
    <font>
      <b/>
      <sz val="12"/>
      <color rgb="FF002060"/>
      <name val="Arial"/>
      <family val="2"/>
    </font>
    <font>
      <b/>
      <sz val="11"/>
      <color theme="0"/>
      <name val="Arial"/>
      <family val="2"/>
    </font>
    <font>
      <b/>
      <sz val="14"/>
      <color rgb="FFFF0000"/>
      <name val="Arial"/>
      <family val="2"/>
    </font>
    <font>
      <b/>
      <sz val="11"/>
      <color theme="1"/>
      <name val="Calibri"/>
      <family val="2"/>
      <scheme val="minor"/>
    </font>
    <font>
      <sz val="10"/>
      <color theme="1"/>
      <name val="Arial"/>
      <family val="2"/>
    </font>
    <font>
      <b/>
      <sz val="10"/>
      <color theme="1"/>
      <name val="Arial"/>
      <family val="2"/>
    </font>
    <font>
      <sz val="7"/>
      <color theme="1"/>
      <name val="Times New Roman"/>
      <family val="1"/>
    </font>
    <font>
      <b/>
      <sz val="11"/>
      <color rgb="FFFF0000"/>
      <name val="Arial"/>
      <family val="2"/>
    </font>
    <font>
      <b/>
      <sz val="12"/>
      <name val="Arial"/>
      <family val="2"/>
    </font>
    <font>
      <b/>
      <sz val="14"/>
      <color theme="0"/>
      <name val="Arial"/>
      <family val="2"/>
    </font>
    <font>
      <sz val="12"/>
      <name val="Arial"/>
      <family val="2"/>
    </font>
    <font>
      <b/>
      <sz val="16"/>
      <name val="Arial"/>
      <family val="2"/>
    </font>
    <font>
      <b/>
      <sz val="16"/>
      <color theme="0"/>
      <name val="Arial"/>
      <family val="2"/>
    </font>
    <font>
      <b/>
      <sz val="9"/>
      <color theme="0"/>
      <name val="Arial"/>
      <family val="2"/>
    </font>
  </fonts>
  <fills count="2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633777886288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DBE5F1"/>
        <bgColor indexed="64"/>
      </patternFill>
    </fill>
    <fill>
      <patternFill patternType="solid">
        <fgColor rgb="FFFFFF0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8" tint="0.79998168889431442"/>
        <bgColor indexed="64"/>
      </patternFill>
    </fill>
    <fill>
      <gradientFill degree="90">
        <stop position="0">
          <color theme="3" tint="0.80001220740379042"/>
        </stop>
        <stop position="0.5">
          <color theme="4"/>
        </stop>
        <stop position="1">
          <color theme="3" tint="0.80001220740379042"/>
        </stop>
      </gradient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rgb="FF00FF00"/>
        <bgColor indexed="64"/>
      </patternFill>
    </fill>
    <fill>
      <patternFill patternType="solid">
        <fgColor rgb="FF00FFFF"/>
        <bgColor indexed="64"/>
      </patternFill>
    </fill>
    <fill>
      <patternFill patternType="solid">
        <fgColor rgb="FF00B0F0"/>
        <bgColor indexed="64"/>
      </patternFill>
    </fill>
    <fill>
      <patternFill patternType="solid">
        <fgColor theme="3"/>
        <bgColor indexed="64"/>
      </patternFill>
    </fill>
  </fills>
  <borders count="59">
    <border>
      <left/>
      <right/>
      <top/>
      <bottom/>
      <diagonal/>
    </border>
    <border>
      <left style="thin">
        <color indexed="22"/>
      </left>
      <right style="thin">
        <color indexed="22"/>
      </right>
      <top style="thin">
        <color indexed="22"/>
      </top>
      <bottom style="thin">
        <color indexed="22"/>
      </bottom>
      <diagonal/>
    </border>
    <border>
      <left/>
      <right style="thin">
        <color indexed="22"/>
      </right>
      <top style="thin">
        <color indexed="47"/>
      </top>
      <bottom style="thin">
        <color indexed="22"/>
      </bottom>
      <diagonal/>
    </border>
    <border>
      <left/>
      <right/>
      <top style="thin">
        <color indexed="22"/>
      </top>
      <bottom style="thin">
        <color indexed="22"/>
      </bottom>
      <diagonal/>
    </border>
    <border>
      <left/>
      <right style="thin">
        <color indexed="22"/>
      </right>
      <top/>
      <bottom style="thin">
        <color indexed="22"/>
      </bottom>
      <diagonal/>
    </border>
    <border>
      <left style="thin">
        <color indexed="22"/>
      </left>
      <right/>
      <top/>
      <bottom style="thin">
        <color indexed="22"/>
      </bottom>
      <diagonal/>
    </border>
    <border>
      <left/>
      <right style="thin">
        <color indexed="22"/>
      </right>
      <top style="thin">
        <color indexed="64"/>
      </top>
      <bottom style="thin">
        <color indexed="22"/>
      </bottom>
      <diagonal/>
    </border>
    <border>
      <left style="thin">
        <color indexed="22"/>
      </left>
      <right style="thin">
        <color indexed="22"/>
      </right>
      <top style="thin">
        <color indexed="47"/>
      </top>
      <bottom style="thin">
        <color indexed="22"/>
      </bottom>
      <diagonal/>
    </border>
    <border>
      <left/>
      <right/>
      <top style="thin">
        <color indexed="64"/>
      </top>
      <bottom style="thin">
        <color indexed="22"/>
      </bottom>
      <diagonal/>
    </border>
    <border>
      <left/>
      <right/>
      <top style="thin">
        <color indexed="22"/>
      </top>
      <bottom/>
      <diagonal/>
    </border>
    <border>
      <left style="thin">
        <color theme="3"/>
      </left>
      <right/>
      <top style="thin">
        <color theme="3"/>
      </top>
      <bottom style="thin">
        <color theme="3"/>
      </bottom>
      <diagonal/>
    </border>
    <border>
      <left/>
      <right/>
      <top style="thin">
        <color theme="3"/>
      </top>
      <bottom style="thin">
        <color theme="3"/>
      </bottom>
      <diagonal/>
    </border>
    <border>
      <left style="thin">
        <color theme="3"/>
      </left>
      <right style="thin">
        <color theme="3"/>
      </right>
      <top style="thin">
        <color theme="3"/>
      </top>
      <bottom style="thin">
        <color theme="3"/>
      </bottom>
      <diagonal/>
    </border>
    <border>
      <left/>
      <right style="thin">
        <color theme="3"/>
      </right>
      <top style="thin">
        <color theme="3"/>
      </top>
      <bottom style="thin">
        <color theme="3"/>
      </bottom>
      <diagonal/>
    </border>
    <border>
      <left style="medium">
        <color rgb="FF808080"/>
      </left>
      <right style="medium">
        <color rgb="FF808080"/>
      </right>
      <top style="medium">
        <color rgb="FF808080"/>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rgb="FF808080"/>
      </left>
      <right style="medium">
        <color rgb="FF808080"/>
      </right>
      <top style="medium">
        <color rgb="FF808080"/>
      </top>
      <bottom style="medium">
        <color rgb="FF808080"/>
      </bottom>
      <diagonal/>
    </border>
    <border>
      <left style="thin">
        <color theme="0" tint="-0.24994659260841701"/>
      </left>
      <right/>
      <top style="thin">
        <color theme="0" tint="-0.24994659260841701"/>
      </top>
      <bottom/>
      <diagonal/>
    </border>
    <border>
      <left style="thin">
        <color theme="2"/>
      </left>
      <right style="thin">
        <color theme="2"/>
      </right>
      <top style="thin">
        <color theme="2"/>
      </top>
      <bottom style="thin">
        <color theme="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2"/>
      </left>
      <right/>
      <top style="thin">
        <color theme="0"/>
      </top>
      <bottom/>
      <diagonal/>
    </border>
    <border>
      <left/>
      <right style="thin">
        <color theme="2"/>
      </right>
      <top/>
      <bottom/>
      <diagonal/>
    </border>
    <border>
      <left style="thin">
        <color theme="2"/>
      </left>
      <right/>
      <top/>
      <bottom/>
      <diagonal/>
    </border>
    <border>
      <left/>
      <right style="thin">
        <color theme="2"/>
      </right>
      <top style="thin">
        <color theme="0"/>
      </top>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theme="0"/>
      </left>
      <right style="thin">
        <color theme="0"/>
      </right>
      <top style="thin">
        <color theme="0"/>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2"/>
      </left>
      <right style="thin">
        <color theme="2"/>
      </right>
      <top/>
      <bottom style="thin">
        <color indexed="64"/>
      </bottom>
      <diagonal/>
    </border>
    <border>
      <left style="thin">
        <color theme="0"/>
      </left>
      <right style="thin">
        <color theme="0"/>
      </right>
      <top/>
      <bottom style="thin">
        <color theme="0"/>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right/>
      <top style="thin">
        <color theme="0"/>
      </top>
      <bottom/>
      <diagonal/>
    </border>
    <border>
      <left style="thin">
        <color theme="2"/>
      </left>
      <right style="thin">
        <color theme="2"/>
      </right>
      <top/>
      <bottom style="thin">
        <color theme="2"/>
      </bottom>
      <diagonal/>
    </border>
    <border>
      <left style="thin">
        <color theme="3" tint="0.79995117038483843"/>
      </left>
      <right/>
      <top style="thin">
        <color theme="3" tint="0.79995117038483843"/>
      </top>
      <bottom style="thin">
        <color theme="3" tint="0.79995117038483843"/>
      </bottom>
      <diagonal/>
    </border>
    <border>
      <left/>
      <right/>
      <top style="thin">
        <color theme="3" tint="0.79995117038483843"/>
      </top>
      <bottom style="thin">
        <color theme="3" tint="0.79995117038483843"/>
      </bottom>
      <diagonal/>
    </border>
    <border>
      <left/>
      <right style="thin">
        <color theme="3" tint="0.79998168889431442"/>
      </right>
      <top style="thin">
        <color theme="3" tint="0.79995117038483843"/>
      </top>
      <bottom style="thin">
        <color theme="3" tint="0.79995117038483843"/>
      </bottom>
      <diagonal/>
    </border>
    <border>
      <left style="thin">
        <color theme="3" tint="0.79995117038483843"/>
      </left>
      <right style="thin">
        <color theme="3" tint="0.79998168889431442"/>
      </right>
      <top style="thin">
        <color theme="3" tint="0.79995117038483843"/>
      </top>
      <bottom style="thin">
        <color theme="3" tint="0.79995117038483843"/>
      </bottom>
      <diagonal/>
    </border>
    <border>
      <left/>
      <right/>
      <top style="thin">
        <color theme="0"/>
      </top>
      <bottom style="thin">
        <color theme="0"/>
      </bottom>
      <diagonal/>
    </border>
    <border>
      <left style="thin">
        <color theme="3" tint="0.79995117038483843"/>
      </left>
      <right style="thin">
        <color theme="3" tint="0.79998168889431442"/>
      </right>
      <top/>
      <bottom style="thin">
        <color theme="3" tint="0.79995117038483843"/>
      </bottom>
      <diagonal/>
    </border>
    <border>
      <left style="thin">
        <color theme="0"/>
      </left>
      <right/>
      <top style="thin">
        <color theme="3" tint="0.79995117038483843"/>
      </top>
      <bottom style="thin">
        <color theme="3" tint="0.79995117038483843"/>
      </bottom>
      <diagonal/>
    </border>
    <border>
      <left/>
      <right style="thin">
        <color theme="0"/>
      </right>
      <top style="thin">
        <color theme="3" tint="0.79995117038483843"/>
      </top>
      <bottom style="thin">
        <color theme="3" tint="0.79995117038483843"/>
      </bottom>
      <diagonal/>
    </border>
    <border>
      <left style="thin">
        <color theme="3" tint="0.79998168889431442"/>
      </left>
      <right style="thin">
        <color theme="3" tint="0.79998168889431442"/>
      </right>
      <top style="thin">
        <color theme="3" tint="0.7999816888943144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auto="1"/>
      </top>
      <bottom style="medium">
        <color indexed="64"/>
      </bottom>
      <diagonal/>
    </border>
    <border>
      <left/>
      <right/>
      <top style="thin">
        <color theme="3"/>
      </top>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59996337778862885"/>
      </left>
      <right style="thin">
        <color theme="3" tint="0.59996337778862885"/>
      </right>
      <top style="thin">
        <color theme="3" tint="0.59996337778862885"/>
      </top>
      <bottom/>
      <diagonal/>
    </border>
    <border>
      <left style="thin">
        <color theme="3" tint="0.59996337778862885"/>
      </left>
      <right style="thin">
        <color theme="3" tint="0.59996337778862885"/>
      </right>
      <top/>
      <bottom/>
      <diagonal/>
    </border>
    <border>
      <left style="thin">
        <color theme="2"/>
      </left>
      <right style="thin">
        <color theme="2"/>
      </right>
      <top style="thin">
        <color theme="2"/>
      </top>
      <bottom/>
      <diagonal/>
    </border>
    <border>
      <left style="thin">
        <color theme="2"/>
      </left>
      <right style="thin">
        <color theme="2"/>
      </right>
      <top/>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right/>
      <top style="thin">
        <color theme="0"/>
      </top>
      <bottom style="thin">
        <color theme="2"/>
      </bottom>
      <diagonal/>
    </border>
  </borders>
  <cellStyleXfs count="15">
    <xf numFmtId="0" fontId="0" fillId="0" borderId="0"/>
    <xf numFmtId="166"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14" fillId="0" borderId="0"/>
    <xf numFmtId="9" fontId="2" fillId="0" borderId="0" applyFont="0" applyFill="0" applyBorder="0" applyAlignment="0" applyProtection="0"/>
    <xf numFmtId="0" fontId="14" fillId="0" borderId="0"/>
    <xf numFmtId="9" fontId="14" fillId="0" borderId="0" applyFont="0" applyFill="0" applyBorder="0" applyAlignment="0" applyProtection="0"/>
    <xf numFmtId="0" fontId="14" fillId="0" borderId="0"/>
    <xf numFmtId="0" fontId="2" fillId="0" borderId="0"/>
    <xf numFmtId="165" fontId="2" fillId="0" borderId="0" applyFont="0" applyFill="0" applyBorder="0" applyAlignment="0" applyProtection="0"/>
    <xf numFmtId="165" fontId="14" fillId="0" borderId="0" applyFont="0" applyFill="0" applyBorder="0" applyAlignment="0" applyProtection="0"/>
    <xf numFmtId="0" fontId="28" fillId="0" borderId="0"/>
    <xf numFmtId="0" fontId="2" fillId="0" borderId="0"/>
  </cellStyleXfs>
  <cellXfs count="516">
    <xf numFmtId="0" fontId="0" fillId="0" borderId="0" xfId="0"/>
    <xf numFmtId="0" fontId="2" fillId="0" borderId="0" xfId="3" applyFont="1" applyAlignment="1">
      <alignment wrapText="1"/>
    </xf>
    <xf numFmtId="0" fontId="2" fillId="0" borderId="0" xfId="3" applyFont="1" applyAlignment="1">
      <alignment horizontal="center" vertical="center"/>
    </xf>
    <xf numFmtId="0" fontId="2" fillId="0" borderId="0" xfId="3" applyFont="1"/>
    <xf numFmtId="0" fontId="15" fillId="0" borderId="0" xfId="3" applyFont="1" applyAlignment="1">
      <alignment horizontal="right" vertical="center"/>
    </xf>
    <xf numFmtId="0" fontId="16" fillId="0" borderId="0" xfId="3" applyFont="1" applyAlignment="1">
      <alignment horizontal="right" vertical="center"/>
    </xf>
    <xf numFmtId="0" fontId="2" fillId="0" borderId="0" xfId="3" applyFont="1" applyAlignment="1">
      <alignment horizontal="right"/>
    </xf>
    <xf numFmtId="0" fontId="2" fillId="4" borderId="0" xfId="3" applyFont="1" applyFill="1"/>
    <xf numFmtId="0" fontId="17" fillId="0" borderId="0" xfId="3" applyFont="1" applyAlignment="1">
      <alignment horizontal="right" vertical="center"/>
    </xf>
    <xf numFmtId="0" fontId="3" fillId="0" borderId="0" xfId="3" applyFont="1" applyAlignment="1">
      <alignment horizontal="center"/>
    </xf>
    <xf numFmtId="0" fontId="2" fillId="5" borderId="0" xfId="3" applyFont="1" applyFill="1"/>
    <xf numFmtId="0" fontId="3" fillId="0" borderId="0" xfId="3" applyFont="1" applyAlignment="1"/>
    <xf numFmtId="0" fontId="2" fillId="0" borderId="0" xfId="3" applyFont="1" applyAlignment="1">
      <alignment horizontal="left" wrapText="1"/>
    </xf>
    <xf numFmtId="0" fontId="2" fillId="0" borderId="0" xfId="3" applyFont="1" applyAlignment="1">
      <alignment horizontal="left" wrapText="1" indent="1"/>
    </xf>
    <xf numFmtId="0" fontId="3" fillId="0" borderId="0" xfId="3" applyFont="1" applyAlignment="1">
      <alignment horizontal="left" wrapText="1"/>
    </xf>
    <xf numFmtId="0" fontId="2" fillId="0" borderId="0" xfId="3" applyFont="1" applyAlignment="1">
      <alignment vertical="center" wrapText="1"/>
    </xf>
    <xf numFmtId="167" fontId="2" fillId="0" borderId="0" xfId="3" applyNumberFormat="1" applyFont="1" applyBorder="1" applyAlignment="1">
      <alignment horizontal="right" vertical="center" indent="1"/>
    </xf>
    <xf numFmtId="0" fontId="4" fillId="0" borderId="0" xfId="3" applyFont="1"/>
    <xf numFmtId="0" fontId="5" fillId="0" borderId="0" xfId="3" applyFont="1"/>
    <xf numFmtId="0" fontId="5" fillId="0" borderId="0" xfId="3" applyFont="1" applyAlignment="1">
      <alignment vertical="top" wrapText="1"/>
    </xf>
    <xf numFmtId="0" fontId="3" fillId="4" borderId="0" xfId="3" applyFont="1" applyFill="1" applyAlignment="1">
      <alignment horizontal="center"/>
    </xf>
    <xf numFmtId="0" fontId="4" fillId="0" borderId="0" xfId="3" applyFont="1" applyAlignment="1">
      <alignment horizontal="left" wrapText="1"/>
    </xf>
    <xf numFmtId="15" fontId="4" fillId="0" borderId="0" xfId="3" applyNumberFormat="1" applyFont="1" applyAlignment="1">
      <alignment horizontal="left" vertical="center"/>
    </xf>
    <xf numFmtId="0" fontId="2" fillId="0" borderId="1" xfId="3" applyFont="1" applyFill="1" applyBorder="1" applyAlignment="1">
      <alignment horizontal="center" vertical="center"/>
    </xf>
    <xf numFmtId="0" fontId="2" fillId="0" borderId="0" xfId="3" applyFont="1" applyFill="1" applyBorder="1" applyAlignment="1">
      <alignment horizontal="center" vertical="center"/>
    </xf>
    <xf numFmtId="0" fontId="2" fillId="0" borderId="0" xfId="3" applyFont="1" applyBorder="1" applyAlignment="1">
      <alignment wrapText="1"/>
    </xf>
    <xf numFmtId="0" fontId="2" fillId="0" borderId="0" xfId="3" applyFont="1" applyBorder="1" applyAlignment="1">
      <alignment horizontal="center" vertical="center"/>
    </xf>
    <xf numFmtId="0" fontId="6" fillId="6" borderId="10" xfId="3" applyFont="1" applyFill="1" applyBorder="1" applyAlignment="1"/>
    <xf numFmtId="0" fontId="6" fillId="6" borderId="11" xfId="3" applyFont="1" applyFill="1" applyBorder="1" applyAlignment="1"/>
    <xf numFmtId="167" fontId="6" fillId="6" borderId="12" xfId="3" applyNumberFormat="1" applyFont="1" applyFill="1" applyBorder="1" applyAlignment="1">
      <alignment horizontal="right"/>
    </xf>
    <xf numFmtId="0" fontId="7" fillId="0" borderId="0" xfId="3" applyFont="1"/>
    <xf numFmtId="2" fontId="8" fillId="0" borderId="0" xfId="3" applyNumberFormat="1" applyFont="1"/>
    <xf numFmtId="0" fontId="3" fillId="0" borderId="0" xfId="3" applyFont="1"/>
    <xf numFmtId="0" fontId="8" fillId="0" borderId="0" xfId="3" applyFont="1"/>
    <xf numFmtId="0" fontId="2" fillId="0" borderId="0" xfId="3" applyFont="1" applyFill="1"/>
    <xf numFmtId="167" fontId="2" fillId="8" borderId="1" xfId="3" applyNumberFormat="1" applyFont="1" applyFill="1" applyBorder="1" applyAlignment="1">
      <alignment horizontal="right" vertical="center" indent="1"/>
    </xf>
    <xf numFmtId="1" fontId="2" fillId="0" borderId="0" xfId="3" applyNumberFormat="1" applyFont="1" applyBorder="1" applyAlignment="1">
      <alignment horizontal="right" vertical="center"/>
    </xf>
    <xf numFmtId="1" fontId="8" fillId="0" borderId="0" xfId="3" applyNumberFormat="1" applyFont="1"/>
    <xf numFmtId="0" fontId="3" fillId="3" borderId="0" xfId="3" applyFont="1" applyFill="1" applyAlignment="1">
      <alignment horizontal="right" vertical="center"/>
    </xf>
    <xf numFmtId="0" fontId="9" fillId="3" borderId="0" xfId="3" applyFont="1" applyFill="1" applyAlignment="1">
      <alignment horizontal="right" vertical="center"/>
    </xf>
    <xf numFmtId="0" fontId="2" fillId="0" borderId="0" xfId="2" applyNumberFormat="1" applyFont="1" applyBorder="1" applyAlignment="1">
      <alignment wrapText="1"/>
    </xf>
    <xf numFmtId="2" fontId="9" fillId="5" borderId="0" xfId="3" applyNumberFormat="1" applyFont="1" applyFill="1" applyBorder="1" applyAlignment="1">
      <alignment horizontal="right"/>
    </xf>
    <xf numFmtId="0" fontId="3" fillId="9" borderId="0" xfId="3" applyFont="1" applyFill="1" applyAlignment="1">
      <alignment horizontal="right" vertical="center"/>
    </xf>
    <xf numFmtId="0" fontId="3" fillId="7" borderId="0" xfId="3" applyFont="1" applyFill="1" applyAlignment="1">
      <alignment horizontal="right" vertical="center"/>
    </xf>
    <xf numFmtId="0" fontId="3" fillId="10" borderId="0" xfId="3" applyFont="1" applyFill="1" applyAlignment="1">
      <alignment horizontal="right" vertical="center"/>
    </xf>
    <xf numFmtId="15" fontId="2" fillId="0" borderId="0" xfId="3" applyNumberFormat="1" applyFont="1" applyAlignment="1">
      <alignment horizontal="left" vertical="center"/>
    </xf>
    <xf numFmtId="0" fontId="6" fillId="2" borderId="6" xfId="3" applyFont="1" applyFill="1" applyBorder="1" applyAlignment="1">
      <alignment horizontal="center"/>
    </xf>
    <xf numFmtId="0" fontId="3" fillId="0" borderId="0" xfId="3" applyFont="1" applyAlignment="1">
      <alignment horizontal="center" wrapText="1"/>
    </xf>
    <xf numFmtId="0" fontId="6" fillId="7" borderId="12" xfId="3" applyFont="1" applyFill="1" applyBorder="1" applyAlignment="1">
      <alignment horizontal="center" vertical="center" wrapText="1"/>
    </xf>
    <xf numFmtId="0" fontId="2" fillId="0" borderId="2" xfId="2" applyNumberFormat="1" applyFont="1" applyBorder="1" applyAlignment="1">
      <alignment horizontal="center" wrapText="1"/>
    </xf>
    <xf numFmtId="9" fontId="2" fillId="0" borderId="7" xfId="3" applyNumberFormat="1" applyFont="1" applyBorder="1" applyAlignment="1">
      <alignment horizontal="left" vertical="center"/>
    </xf>
    <xf numFmtId="0" fontId="6" fillId="2" borderId="8" xfId="3" applyFont="1" applyFill="1" applyBorder="1" applyAlignment="1"/>
    <xf numFmtId="0" fontId="2" fillId="0" borderId="9" xfId="2" applyNumberFormat="1" applyFont="1" applyBorder="1" applyAlignment="1">
      <alignment horizontal="center" wrapText="1"/>
    </xf>
    <xf numFmtId="9" fontId="2" fillId="0" borderId="9" xfId="3" applyNumberFormat="1" applyFont="1" applyBorder="1" applyAlignment="1">
      <alignment horizontal="center" vertical="center"/>
    </xf>
    <xf numFmtId="168" fontId="2" fillId="0" borderId="9" xfId="3" applyNumberFormat="1" applyFont="1" applyBorder="1" applyAlignment="1">
      <alignment horizontal="center" vertical="center"/>
    </xf>
    <xf numFmtId="0" fontId="10" fillId="0" borderId="0" xfId="3" applyFont="1"/>
    <xf numFmtId="0" fontId="11" fillId="0" borderId="0" xfId="3" applyFont="1" applyBorder="1" applyAlignment="1">
      <alignment wrapText="1"/>
    </xf>
    <xf numFmtId="0" fontId="2" fillId="0" borderId="0" xfId="3" applyFont="1" applyAlignment="1">
      <alignment vertical="center"/>
    </xf>
    <xf numFmtId="0" fontId="18" fillId="0" borderId="0" xfId="3" applyFont="1" applyAlignment="1">
      <alignment horizontal="right" vertical="center"/>
    </xf>
    <xf numFmtId="0" fontId="12" fillId="0" borderId="0" xfId="3" applyFont="1" applyAlignment="1">
      <alignment vertical="top" wrapText="1"/>
    </xf>
    <xf numFmtId="15" fontId="2" fillId="0" borderId="0" xfId="3" applyNumberFormat="1" applyFont="1" applyAlignment="1">
      <alignment horizontal="right" vertical="center"/>
    </xf>
    <xf numFmtId="0" fontId="19" fillId="0" borderId="0" xfId="3" applyFont="1" applyFill="1"/>
    <xf numFmtId="0" fontId="6" fillId="6" borderId="12" xfId="3" applyFont="1" applyFill="1" applyBorder="1"/>
    <xf numFmtId="0" fontId="2" fillId="0" borderId="0" xfId="3" applyNumberFormat="1" applyFont="1" applyFill="1" applyBorder="1" applyAlignment="1">
      <alignment wrapText="1"/>
    </xf>
    <xf numFmtId="0" fontId="13" fillId="0" borderId="0" xfId="3" applyNumberFormat="1" applyFont="1" applyFill="1" applyBorder="1" applyAlignment="1">
      <alignment wrapText="1"/>
    </xf>
    <xf numFmtId="0" fontId="2" fillId="0" borderId="0" xfId="3" applyFont="1" applyBorder="1"/>
    <xf numFmtId="2" fontId="9" fillId="6" borderId="12" xfId="3" applyNumberFormat="1" applyFont="1" applyFill="1" applyBorder="1" applyAlignment="1">
      <alignment horizontal="right"/>
    </xf>
    <xf numFmtId="0" fontId="3" fillId="0" borderId="0" xfId="3" applyFont="1" applyBorder="1"/>
    <xf numFmtId="0" fontId="2" fillId="0" borderId="0" xfId="0" applyFont="1" applyAlignment="1">
      <alignment vertical="center"/>
    </xf>
    <xf numFmtId="0" fontId="2" fillId="0" borderId="0" xfId="0" applyFont="1"/>
    <xf numFmtId="0" fontId="2" fillId="0" borderId="0" xfId="0" applyFont="1" applyAlignment="1">
      <alignment wrapText="1"/>
    </xf>
    <xf numFmtId="0" fontId="18" fillId="0" borderId="0" xfId="3" applyFont="1" applyFill="1" applyAlignment="1">
      <alignment horizontal="right" vertical="center"/>
    </xf>
    <xf numFmtId="0" fontId="16" fillId="0" borderId="0" xfId="3" applyFont="1" applyFill="1" applyAlignment="1">
      <alignment horizontal="right" vertical="center"/>
    </xf>
    <xf numFmtId="0" fontId="7" fillId="0" borderId="0" xfId="3" applyFont="1" applyFill="1"/>
    <xf numFmtId="0" fontId="2" fillId="0" borderId="0" xfId="3" applyFont="1" applyFill="1" applyAlignment="1">
      <alignment wrapText="1"/>
    </xf>
    <xf numFmtId="0" fontId="2" fillId="0" borderId="0" xfId="3" applyFont="1" applyFill="1" applyAlignment="1">
      <alignment vertical="center"/>
    </xf>
    <xf numFmtId="167" fontId="3" fillId="8" borderId="1" xfId="3" applyNumberFormat="1" applyFont="1" applyFill="1" applyBorder="1" applyAlignment="1">
      <alignment horizontal="right" vertical="center" indent="1"/>
    </xf>
    <xf numFmtId="165" fontId="2" fillId="0" borderId="0" xfId="3" applyNumberFormat="1" applyFont="1"/>
    <xf numFmtId="0" fontId="2" fillId="4" borderId="0" xfId="3" applyFont="1" applyFill="1"/>
    <xf numFmtId="0" fontId="16" fillId="0" borderId="0" xfId="3" applyFont="1" applyAlignment="1">
      <alignment horizontal="right" vertical="center"/>
    </xf>
    <xf numFmtId="0" fontId="17" fillId="0" borderId="0" xfId="3" applyFont="1" applyAlignment="1">
      <alignment horizontal="right" vertical="center"/>
    </xf>
    <xf numFmtId="0" fontId="15" fillId="0" borderId="0" xfId="3" applyFont="1" applyAlignment="1">
      <alignment horizontal="right" vertical="center"/>
    </xf>
    <xf numFmtId="0" fontId="3" fillId="0" borderId="0" xfId="3" applyFont="1" applyAlignment="1">
      <alignment horizontal="right"/>
    </xf>
    <xf numFmtId="0" fontId="2" fillId="0" borderId="0" xfId="3" applyFont="1" applyAlignment="1">
      <alignment horizontal="right" vertical="center"/>
    </xf>
    <xf numFmtId="0" fontId="3" fillId="4" borderId="0" xfId="3" applyFont="1" applyFill="1" applyAlignment="1">
      <alignment horizontal="right"/>
    </xf>
    <xf numFmtId="0" fontId="2" fillId="4" borderId="0" xfId="3" applyFont="1" applyFill="1" applyAlignment="1">
      <alignment horizontal="right"/>
    </xf>
    <xf numFmtId="165" fontId="20" fillId="0" borderId="0" xfId="3" applyNumberFormat="1" applyFont="1" applyAlignment="1">
      <alignment vertical="center"/>
    </xf>
    <xf numFmtId="9" fontId="7" fillId="0" borderId="0" xfId="8" applyFont="1"/>
    <xf numFmtId="9" fontId="2" fillId="0" borderId="0" xfId="3" applyNumberFormat="1" applyFont="1"/>
    <xf numFmtId="9" fontId="2" fillId="0" borderId="0" xfId="8" applyFont="1" applyAlignment="1">
      <alignment horizontal="center" vertical="center"/>
    </xf>
    <xf numFmtId="0" fontId="14" fillId="0" borderId="0" xfId="9" applyAlignment="1">
      <alignment vertical="center"/>
    </xf>
    <xf numFmtId="0" fontId="27" fillId="0" borderId="15" xfId="9" applyFont="1" applyBorder="1" applyAlignment="1">
      <alignment horizontal="center" vertical="center" wrapText="1"/>
    </xf>
    <xf numFmtId="1" fontId="27" fillId="0" borderId="15" xfId="9" applyNumberFormat="1" applyFont="1" applyBorder="1" applyAlignment="1">
      <alignment horizontal="center" vertical="center" wrapText="1"/>
    </xf>
    <xf numFmtId="2" fontId="27" fillId="0" borderId="15" xfId="9" applyNumberFormat="1" applyFont="1" applyBorder="1" applyAlignment="1">
      <alignment horizontal="center" vertical="center" wrapText="1"/>
    </xf>
    <xf numFmtId="9" fontId="2" fillId="0" borderId="0" xfId="8" applyFont="1"/>
    <xf numFmtId="165" fontId="2" fillId="0" borderId="0" xfId="12" applyFont="1"/>
    <xf numFmtId="0" fontId="3" fillId="0" borderId="0" xfId="3" applyFont="1" applyAlignment="1">
      <alignment horizontal="center"/>
    </xf>
    <xf numFmtId="167" fontId="2" fillId="8" borderId="7" xfId="3" applyNumberFormat="1" applyFont="1" applyFill="1" applyBorder="1" applyAlignment="1">
      <alignment horizontal="center" vertical="center"/>
    </xf>
    <xf numFmtId="0" fontId="27" fillId="11" borderId="14" xfId="9" applyFont="1" applyFill="1" applyBorder="1" applyAlignment="1">
      <alignment horizontal="center" vertical="center" wrapText="1"/>
    </xf>
    <xf numFmtId="0" fontId="25" fillId="0" borderId="0" xfId="9" applyFont="1" applyAlignment="1">
      <alignment horizontal="center" vertical="center" textRotation="90"/>
    </xf>
    <xf numFmtId="0" fontId="8" fillId="0" borderId="0" xfId="3" applyFont="1" applyAlignment="1">
      <alignment vertical="center"/>
    </xf>
    <xf numFmtId="0" fontId="2" fillId="11" borderId="16" xfId="3" applyFont="1" applyFill="1" applyBorder="1" applyAlignment="1">
      <alignment horizontal="center" vertical="center"/>
    </xf>
    <xf numFmtId="0" fontId="2" fillId="0" borderId="0" xfId="3" applyFont="1"/>
    <xf numFmtId="0" fontId="2" fillId="0" borderId="0" xfId="3" applyFont="1" applyAlignment="1">
      <alignment horizontal="left" wrapText="1" indent="1"/>
    </xf>
    <xf numFmtId="0" fontId="7" fillId="0" borderId="0" xfId="3" applyFont="1"/>
    <xf numFmtId="0" fontId="3" fillId="0" borderId="0" xfId="3" applyFont="1"/>
    <xf numFmtId="0" fontId="8" fillId="0" borderId="0" xfId="3" applyFont="1"/>
    <xf numFmtId="0" fontId="2" fillId="0" borderId="0" xfId="3" applyFont="1" applyAlignment="1">
      <alignment vertical="center"/>
    </xf>
    <xf numFmtId="0" fontId="26" fillId="0" borderId="0" xfId="9" applyFont="1" applyAlignment="1">
      <alignment horizontal="center" vertical="center" textRotation="90"/>
    </xf>
    <xf numFmtId="167" fontId="21" fillId="11" borderId="15" xfId="3" applyNumberFormat="1" applyFont="1" applyFill="1" applyBorder="1" applyAlignment="1">
      <alignment horizontal="center" vertical="center"/>
    </xf>
    <xf numFmtId="0" fontId="14" fillId="0" borderId="0" xfId="9" applyFont="1" applyAlignment="1">
      <alignment vertical="center"/>
    </xf>
    <xf numFmtId="167" fontId="21" fillId="0" borderId="15" xfId="3" applyNumberFormat="1" applyFont="1" applyBorder="1"/>
    <xf numFmtId="2" fontId="21" fillId="0" borderId="15" xfId="3" applyNumberFormat="1" applyFont="1" applyBorder="1"/>
    <xf numFmtId="169" fontId="21" fillId="0" borderId="15" xfId="3" applyNumberFormat="1" applyFont="1" applyBorder="1"/>
    <xf numFmtId="167" fontId="7" fillId="0" borderId="0" xfId="3" applyNumberFormat="1" applyFont="1"/>
    <xf numFmtId="0" fontId="0" fillId="0" borderId="0" xfId="9" applyFont="1" applyAlignment="1">
      <alignment vertical="center"/>
    </xf>
    <xf numFmtId="169" fontId="14" fillId="0" borderId="0" xfId="9" applyNumberFormat="1" applyAlignment="1">
      <alignment vertical="center"/>
    </xf>
    <xf numFmtId="0" fontId="14" fillId="0" borderId="0" xfId="9" applyNumberFormat="1" applyFont="1" applyAlignment="1">
      <alignment vertical="center"/>
    </xf>
    <xf numFmtId="17" fontId="14" fillId="0" borderId="0" xfId="9" applyNumberFormat="1" applyFont="1" applyAlignment="1">
      <alignment vertical="center"/>
    </xf>
    <xf numFmtId="0" fontId="8" fillId="0" borderId="0" xfId="10" applyFont="1" applyAlignment="1">
      <alignment vertical="center"/>
    </xf>
    <xf numFmtId="9" fontId="14" fillId="0" borderId="0" xfId="8" applyAlignment="1">
      <alignment vertical="center"/>
    </xf>
    <xf numFmtId="9" fontId="14" fillId="0" borderId="0" xfId="9" applyNumberFormat="1" applyAlignment="1">
      <alignment vertical="center"/>
    </xf>
    <xf numFmtId="0" fontId="0" fillId="0" borderId="0" xfId="9" applyFont="1" applyAlignment="1">
      <alignment horizontal="center" vertical="center"/>
    </xf>
    <xf numFmtId="0" fontId="14" fillId="0" borderId="0" xfId="9" applyAlignment="1">
      <alignment horizontal="center" vertical="center"/>
    </xf>
    <xf numFmtId="0" fontId="0" fillId="0" borderId="0" xfId="9" applyFont="1" applyAlignment="1">
      <alignment horizontal="left" vertical="center"/>
    </xf>
    <xf numFmtId="0" fontId="0" fillId="0" borderId="0" xfId="9" applyFont="1" applyAlignment="1">
      <alignment vertical="center" wrapText="1"/>
    </xf>
    <xf numFmtId="167" fontId="2" fillId="0" borderId="0" xfId="3" applyNumberFormat="1" applyFont="1" applyAlignment="1">
      <alignment horizontal="center" vertical="center"/>
    </xf>
    <xf numFmtId="14" fontId="2" fillId="0" borderId="0" xfId="3" applyNumberFormat="1" applyFont="1" applyAlignment="1">
      <alignment horizontal="center" vertical="center"/>
    </xf>
    <xf numFmtId="0" fontId="2" fillId="0" borderId="0" xfId="3" applyFont="1" applyAlignment="1">
      <alignment horizontal="left" indent="1"/>
    </xf>
    <xf numFmtId="0" fontId="27" fillId="0" borderId="15" xfId="9" applyFont="1" applyBorder="1" applyAlignment="1">
      <alignment horizontal="center" vertical="center" wrapText="1"/>
    </xf>
    <xf numFmtId="1" fontId="8" fillId="0" borderId="0" xfId="3" applyNumberFormat="1" applyFont="1"/>
    <xf numFmtId="0" fontId="3" fillId="0" borderId="0" xfId="3" applyFont="1" applyAlignment="1">
      <alignment horizontal="center"/>
    </xf>
    <xf numFmtId="0" fontId="6" fillId="6" borderId="12" xfId="3" applyFont="1" applyFill="1" applyBorder="1" applyAlignment="1">
      <alignment horizontal="left"/>
    </xf>
    <xf numFmtId="0" fontId="2" fillId="0" borderId="0" xfId="3" applyFont="1" applyAlignment="1">
      <alignment wrapText="1"/>
    </xf>
    <xf numFmtId="0" fontId="3" fillId="0" borderId="0" xfId="3" applyFont="1" applyAlignment="1">
      <alignment wrapText="1"/>
    </xf>
    <xf numFmtId="0" fontId="2" fillId="0" borderId="0" xfId="3" applyFont="1" applyAlignment="1">
      <alignment horizontal="left" wrapText="1"/>
    </xf>
    <xf numFmtId="0" fontId="2" fillId="0" borderId="0" xfId="3" applyFont="1" applyAlignment="1">
      <alignment horizontal="left" wrapText="1" indent="1"/>
    </xf>
    <xf numFmtId="15" fontId="2" fillId="0" borderId="4" xfId="3" applyNumberFormat="1" applyFont="1" applyBorder="1" applyAlignment="1">
      <alignment horizontal="center" vertical="center"/>
    </xf>
    <xf numFmtId="0" fontId="2" fillId="0" borderId="0" xfId="3" applyFont="1" applyAlignment="1">
      <alignment horizontal="left" vertical="center" wrapText="1" indent="1"/>
    </xf>
    <xf numFmtId="0" fontId="8" fillId="0" borderId="0" xfId="3" applyFont="1"/>
    <xf numFmtId="0" fontId="14" fillId="0" borderId="0" xfId="9" applyAlignment="1">
      <alignment vertical="center"/>
    </xf>
    <xf numFmtId="0" fontId="14" fillId="12" borderId="0" xfId="9" applyFill="1" applyAlignment="1">
      <alignment vertical="center"/>
    </xf>
    <xf numFmtId="0" fontId="0" fillId="12" borderId="0" xfId="9" applyFont="1" applyFill="1" applyAlignment="1">
      <alignment vertical="center" wrapText="1"/>
    </xf>
    <xf numFmtId="1" fontId="2" fillId="0" borderId="17" xfId="3" applyNumberFormat="1" applyFont="1" applyBorder="1" applyAlignment="1">
      <alignment horizontal="center" vertical="center"/>
    </xf>
    <xf numFmtId="0" fontId="2" fillId="0" borderId="0" xfId="3" applyFont="1" applyAlignment="1">
      <alignment horizontal="left" vertical="center"/>
    </xf>
    <xf numFmtId="0" fontId="2" fillId="0" borderId="0" xfId="3" applyFont="1" applyAlignment="1">
      <alignment horizontal="justify" vertical="center" wrapText="1"/>
    </xf>
    <xf numFmtId="0" fontId="20" fillId="0" borderId="0" xfId="3" applyFont="1" applyAlignment="1">
      <alignment wrapText="1"/>
    </xf>
    <xf numFmtId="0" fontId="30" fillId="13" borderId="0" xfId="3" applyFont="1" applyFill="1" applyAlignment="1">
      <alignment horizontal="center" wrapText="1"/>
    </xf>
    <xf numFmtId="0" fontId="2" fillId="0" borderId="18" xfId="3" applyFont="1" applyFill="1" applyBorder="1" applyAlignment="1">
      <alignment wrapText="1"/>
    </xf>
    <xf numFmtId="0" fontId="31" fillId="13" borderId="19" xfId="3" applyFont="1" applyFill="1" applyBorder="1" applyAlignment="1">
      <alignment horizontal="center" vertical="center"/>
    </xf>
    <xf numFmtId="0" fontId="6" fillId="14" borderId="19" xfId="3" applyFont="1" applyFill="1" applyBorder="1" applyAlignment="1">
      <alignment horizontal="center"/>
    </xf>
    <xf numFmtId="167" fontId="6" fillId="14" borderId="19" xfId="3" applyNumberFormat="1" applyFont="1" applyFill="1" applyBorder="1" applyAlignment="1">
      <alignment horizontal="center"/>
    </xf>
    <xf numFmtId="0" fontId="6" fillId="14" borderId="20" xfId="3" applyFont="1" applyFill="1" applyBorder="1" applyAlignment="1">
      <alignment horizontal="left"/>
    </xf>
    <xf numFmtId="9" fontId="6" fillId="14" borderId="21" xfId="8" applyFont="1" applyFill="1" applyBorder="1" applyAlignment="1"/>
    <xf numFmtId="9" fontId="6" fillId="14" borderId="20" xfId="8" applyFont="1" applyFill="1" applyBorder="1" applyAlignment="1"/>
    <xf numFmtId="0" fontId="6" fillId="14" borderId="21" xfId="3" applyFont="1" applyFill="1" applyBorder="1" applyAlignment="1">
      <alignment horizontal="center"/>
    </xf>
    <xf numFmtId="0" fontId="6" fillId="14" borderId="20" xfId="3" applyFont="1" applyFill="1" applyBorder="1" applyAlignment="1">
      <alignment horizontal="center"/>
    </xf>
    <xf numFmtId="0" fontId="3" fillId="0" borderId="22" xfId="3" applyNumberFormat="1" applyFont="1" applyFill="1" applyBorder="1" applyAlignment="1">
      <alignment horizontal="left" wrapText="1" indent="2"/>
    </xf>
    <xf numFmtId="167" fontId="2" fillId="0" borderId="24" xfId="3" applyNumberFormat="1" applyFont="1" applyFill="1" applyBorder="1" applyAlignment="1">
      <alignment horizontal="right" vertical="center" indent="1"/>
    </xf>
    <xf numFmtId="0" fontId="3" fillId="0" borderId="26" xfId="3" applyNumberFormat="1" applyFont="1" applyFill="1" applyBorder="1" applyAlignment="1">
      <alignment horizontal="left" wrapText="1" indent="2"/>
    </xf>
    <xf numFmtId="167" fontId="2" fillId="0" borderId="26" xfId="3" applyNumberFormat="1" applyFont="1" applyFill="1" applyBorder="1" applyAlignment="1">
      <alignment horizontal="right" vertical="center" indent="1"/>
    </xf>
    <xf numFmtId="0" fontId="2" fillId="0" borderId="18" xfId="3" applyNumberFormat="1" applyFont="1" applyFill="1" applyBorder="1" applyAlignment="1">
      <alignment horizontal="left" wrapText="1" indent="2"/>
    </xf>
    <xf numFmtId="167" fontId="2" fillId="0" borderId="18" xfId="3" applyNumberFormat="1" applyFont="1" applyFill="1" applyBorder="1" applyAlignment="1">
      <alignment horizontal="right" vertical="center" indent="1"/>
    </xf>
    <xf numFmtId="167" fontId="2" fillId="5" borderId="23" xfId="3" applyNumberFormat="1" applyFont="1" applyFill="1" applyBorder="1" applyAlignment="1">
      <alignment horizontal="right" vertical="center" indent="1"/>
    </xf>
    <xf numFmtId="167" fontId="2" fillId="5" borderId="18" xfId="3" applyNumberFormat="1" applyFont="1" applyFill="1" applyBorder="1" applyAlignment="1">
      <alignment horizontal="right" vertical="center" indent="1"/>
    </xf>
    <xf numFmtId="167" fontId="2" fillId="5" borderId="27" xfId="3" applyNumberFormat="1" applyFont="1" applyFill="1" applyBorder="1" applyAlignment="1">
      <alignment horizontal="right" vertical="center" indent="1"/>
    </xf>
    <xf numFmtId="0" fontId="3" fillId="0" borderId="24" xfId="3" applyNumberFormat="1" applyFont="1" applyFill="1" applyBorder="1" applyAlignment="1">
      <alignment horizontal="left" wrapText="1" indent="2"/>
    </xf>
    <xf numFmtId="1" fontId="2" fillId="15" borderId="28" xfId="3" applyNumberFormat="1" applyFont="1" applyFill="1" applyBorder="1" applyAlignment="1">
      <alignment horizontal="center" vertical="center"/>
    </xf>
    <xf numFmtId="0" fontId="27" fillId="15" borderId="28" xfId="9" applyFont="1" applyFill="1" applyBorder="1" applyAlignment="1">
      <alignment vertical="center" textRotation="90" wrapText="1"/>
    </xf>
    <xf numFmtId="0" fontId="33" fillId="0" borderId="18" xfId="9" applyFont="1" applyFill="1" applyBorder="1" applyAlignment="1">
      <alignment horizontal="center" vertical="center" wrapText="1"/>
    </xf>
    <xf numFmtId="165" fontId="31" fillId="16" borderId="29" xfId="3" applyNumberFormat="1" applyFont="1" applyFill="1" applyBorder="1" applyAlignment="1">
      <alignment horizontal="center" vertical="center"/>
    </xf>
    <xf numFmtId="165" fontId="31" fillId="16" borderId="30" xfId="3" applyNumberFormat="1" applyFont="1" applyFill="1" applyBorder="1" applyAlignment="1">
      <alignment horizontal="center" vertical="center"/>
    </xf>
    <xf numFmtId="165" fontId="31" fillId="16" borderId="31" xfId="3" applyNumberFormat="1" applyFont="1" applyFill="1" applyBorder="1" applyAlignment="1">
      <alignment horizontal="center" vertical="center"/>
    </xf>
    <xf numFmtId="15" fontId="34" fillId="0" borderId="32" xfId="3" applyNumberFormat="1" applyFont="1" applyBorder="1" applyAlignment="1">
      <alignment horizontal="center" vertical="center"/>
    </xf>
    <xf numFmtId="0" fontId="34" fillId="0" borderId="32" xfId="9" applyFont="1" applyFill="1" applyBorder="1" applyAlignment="1">
      <alignment horizontal="center" vertical="center" wrapText="1"/>
    </xf>
    <xf numFmtId="165" fontId="35" fillId="16" borderId="30" xfId="3" applyNumberFormat="1" applyFont="1" applyFill="1" applyBorder="1" applyAlignment="1">
      <alignment horizontal="center" vertical="center"/>
    </xf>
    <xf numFmtId="167" fontId="6" fillId="6" borderId="18" xfId="3" applyNumberFormat="1" applyFont="1" applyFill="1" applyBorder="1" applyAlignment="1">
      <alignment horizontal="center"/>
    </xf>
    <xf numFmtId="167" fontId="2" fillId="0" borderId="18" xfId="3" applyNumberFormat="1" applyFont="1" applyFill="1" applyBorder="1" applyAlignment="1">
      <alignment horizontal="center" vertical="center" wrapText="1"/>
    </xf>
    <xf numFmtId="167" fontId="2" fillId="17" borderId="18" xfId="3" applyNumberFormat="1" applyFont="1" applyFill="1" applyBorder="1" applyAlignment="1">
      <alignment horizontal="right" vertical="center" indent="1"/>
    </xf>
    <xf numFmtId="167" fontId="2" fillId="17" borderId="23" xfId="3" applyNumberFormat="1" applyFont="1" applyFill="1" applyBorder="1" applyAlignment="1">
      <alignment horizontal="right" vertical="center" indent="1"/>
    </xf>
    <xf numFmtId="0" fontId="8" fillId="5" borderId="0" xfId="3" applyFont="1" applyFill="1"/>
    <xf numFmtId="167" fontId="6" fillId="14" borderId="20" xfId="3" applyNumberFormat="1" applyFont="1" applyFill="1" applyBorder="1" applyAlignment="1">
      <alignment horizontal="center"/>
    </xf>
    <xf numFmtId="0" fontId="27" fillId="15" borderId="35" xfId="9" applyFont="1" applyFill="1" applyBorder="1" applyAlignment="1">
      <alignment horizontal="center" vertical="center" textRotation="90" wrapText="1"/>
    </xf>
    <xf numFmtId="0" fontId="27" fillId="0" borderId="18" xfId="9" applyFont="1" applyFill="1" applyBorder="1" applyAlignment="1">
      <alignment horizontal="center" vertical="center" wrapText="1"/>
    </xf>
    <xf numFmtId="0" fontId="2" fillId="0" borderId="0" xfId="3" applyFont="1" applyFill="1" applyBorder="1" applyAlignment="1">
      <alignment wrapText="1"/>
    </xf>
    <xf numFmtId="0" fontId="7" fillId="0" borderId="0" xfId="3" applyFont="1" applyAlignment="1">
      <alignment horizontal="center" wrapText="1"/>
    </xf>
    <xf numFmtId="1" fontId="2" fillId="0" borderId="0" xfId="3" applyNumberFormat="1" applyFont="1"/>
    <xf numFmtId="0" fontId="14" fillId="0" borderId="0" xfId="9" applyAlignment="1">
      <alignment vertical="center"/>
    </xf>
    <xf numFmtId="0" fontId="8" fillId="0" borderId="0" xfId="3" applyFont="1" applyAlignment="1">
      <alignment horizontal="center" vertical="center"/>
    </xf>
    <xf numFmtId="167" fontId="8" fillId="0" borderId="0" xfId="3" applyNumberFormat="1" applyFont="1"/>
    <xf numFmtId="167" fontId="3" fillId="0" borderId="0" xfId="3" applyNumberFormat="1" applyFont="1"/>
    <xf numFmtId="0" fontId="14" fillId="0" borderId="0" xfId="9" applyAlignment="1">
      <alignment vertical="center"/>
    </xf>
    <xf numFmtId="0" fontId="2" fillId="0" borderId="0" xfId="3" applyFont="1" applyAlignment="1">
      <alignment wrapText="1"/>
    </xf>
    <xf numFmtId="0" fontId="2" fillId="0" borderId="0" xfId="3" applyFont="1" applyAlignment="1">
      <alignment horizontal="center" vertical="center"/>
    </xf>
    <xf numFmtId="0" fontId="2" fillId="0" borderId="0" xfId="3" applyFont="1"/>
    <xf numFmtId="0" fontId="5" fillId="0" borderId="0" xfId="3" applyFont="1" applyAlignment="1">
      <alignment vertical="top" wrapText="1"/>
    </xf>
    <xf numFmtId="0" fontId="3" fillId="4" borderId="0" xfId="3" applyFont="1" applyFill="1" applyAlignment="1">
      <alignment horizontal="center"/>
    </xf>
    <xf numFmtId="15" fontId="4" fillId="0" borderId="0" xfId="3" applyNumberFormat="1" applyFont="1" applyAlignment="1">
      <alignment horizontal="left" vertical="center"/>
    </xf>
    <xf numFmtId="0" fontId="8" fillId="0" borderId="0" xfId="3" applyFont="1"/>
    <xf numFmtId="0" fontId="14" fillId="0" borderId="0" xfId="9" applyAlignment="1">
      <alignment vertical="center"/>
    </xf>
    <xf numFmtId="167" fontId="2" fillId="0" borderId="0" xfId="3" applyNumberFormat="1" applyFont="1"/>
    <xf numFmtId="0" fontId="2" fillId="0" borderId="0" xfId="3" applyFont="1" applyAlignment="1"/>
    <xf numFmtId="0" fontId="3" fillId="0" borderId="0" xfId="3" applyFont="1" applyAlignment="1">
      <alignment horizontal="center"/>
    </xf>
    <xf numFmtId="0" fontId="19" fillId="0" borderId="0" xfId="3" applyFont="1" applyAlignment="1">
      <alignment wrapText="1"/>
    </xf>
    <xf numFmtId="0" fontId="31" fillId="5" borderId="0" xfId="3" applyFont="1" applyFill="1" applyBorder="1" applyAlignment="1">
      <alignment horizontal="center" vertical="center"/>
    </xf>
    <xf numFmtId="0" fontId="3" fillId="5" borderId="0" xfId="3" applyFont="1" applyFill="1"/>
    <xf numFmtId="10" fontId="8" fillId="5" borderId="0" xfId="3" applyNumberFormat="1" applyFont="1" applyFill="1"/>
    <xf numFmtId="2" fontId="8" fillId="5" borderId="0" xfId="3" applyNumberFormat="1" applyFont="1" applyFill="1"/>
    <xf numFmtId="167" fontId="9" fillId="5" borderId="0" xfId="3" applyNumberFormat="1" applyFont="1" applyFill="1" applyBorder="1" applyAlignment="1">
      <alignment horizontal="center"/>
    </xf>
    <xf numFmtId="0" fontId="6" fillId="18" borderId="0" xfId="3" applyFont="1" applyFill="1" applyBorder="1" applyAlignment="1">
      <alignment horizontal="center" vertical="center" wrapText="1"/>
    </xf>
    <xf numFmtId="0" fontId="6" fillId="18" borderId="0" xfId="3" applyFont="1" applyFill="1" applyBorder="1" applyAlignment="1">
      <alignment horizontal="left" vertical="center" wrapText="1"/>
    </xf>
    <xf numFmtId="14" fontId="6" fillId="18" borderId="0" xfId="3" applyNumberFormat="1" applyFont="1" applyFill="1" applyBorder="1" applyAlignment="1">
      <alignment horizontal="center" vertical="center" wrapText="1"/>
    </xf>
    <xf numFmtId="167" fontId="6" fillId="18" borderId="0" xfId="3" applyNumberFormat="1" applyFont="1" applyFill="1" applyBorder="1" applyAlignment="1">
      <alignment horizontal="center" vertical="center" wrapText="1"/>
    </xf>
    <xf numFmtId="0" fontId="2" fillId="0" borderId="0" xfId="2" applyNumberFormat="1" applyFont="1" applyFill="1" applyBorder="1" applyAlignment="1">
      <alignment wrapText="1"/>
    </xf>
    <xf numFmtId="16" fontId="2" fillId="0" borderId="0" xfId="3" applyNumberFormat="1" applyFont="1"/>
    <xf numFmtId="0" fontId="2" fillId="17" borderId="0" xfId="3" applyFont="1" applyFill="1"/>
    <xf numFmtId="0" fontId="2" fillId="0" borderId="0" xfId="3" applyFont="1" applyAlignment="1">
      <alignment horizontal="center"/>
    </xf>
    <xf numFmtId="2" fontId="2" fillId="0" borderId="0" xfId="3" applyNumberFormat="1" applyFont="1"/>
    <xf numFmtId="1" fontId="34" fillId="0" borderId="32" xfId="9" applyNumberFormat="1" applyFont="1" applyFill="1" applyBorder="1" applyAlignment="1">
      <alignment horizontal="center" vertical="center" wrapText="1"/>
    </xf>
    <xf numFmtId="0" fontId="27" fillId="15" borderId="28" xfId="9" applyFont="1" applyFill="1" applyBorder="1" applyAlignment="1">
      <alignment horizontal="center" vertical="center" wrapText="1"/>
    </xf>
    <xf numFmtId="0" fontId="27" fillId="15" borderId="19" xfId="9" applyFont="1" applyFill="1" applyBorder="1" applyAlignment="1">
      <alignment horizontal="center" vertical="center" textRotation="90" wrapText="1"/>
    </xf>
    <xf numFmtId="0" fontId="19" fillId="0" borderId="0" xfId="3" applyFont="1" applyAlignment="1">
      <alignment horizontal="left" vertical="center"/>
    </xf>
    <xf numFmtId="10" fontId="2" fillId="0" borderId="0" xfId="3" applyNumberFormat="1" applyFont="1"/>
    <xf numFmtId="10" fontId="9" fillId="0" borderId="0" xfId="8" applyNumberFormat="1" applyFont="1"/>
    <xf numFmtId="10" fontId="3" fillId="0" borderId="0" xfId="8" applyNumberFormat="1" applyFont="1"/>
    <xf numFmtId="1" fontId="27" fillId="0" borderId="18" xfId="9" applyNumberFormat="1" applyFont="1" applyFill="1" applyBorder="1" applyAlignment="1">
      <alignment horizontal="center" vertical="center" wrapText="1"/>
    </xf>
    <xf numFmtId="169" fontId="14" fillId="0" borderId="0" xfId="9" applyNumberFormat="1" applyAlignment="1">
      <alignment vertical="center"/>
    </xf>
    <xf numFmtId="167" fontId="21" fillId="11" borderId="15" xfId="3" applyNumberFormat="1" applyFont="1" applyFill="1" applyBorder="1" applyAlignment="1">
      <alignment horizontal="center" vertical="center"/>
    </xf>
    <xf numFmtId="167" fontId="21" fillId="0" borderId="15" xfId="3" applyNumberFormat="1" applyFont="1" applyBorder="1"/>
    <xf numFmtId="2" fontId="21" fillId="0" borderId="15" xfId="3" applyNumberFormat="1" applyFont="1" applyBorder="1"/>
    <xf numFmtId="169" fontId="21" fillId="0" borderId="15" xfId="3" applyNumberFormat="1" applyFont="1" applyBorder="1"/>
    <xf numFmtId="0" fontId="27" fillId="0" borderId="15" xfId="9" applyFont="1" applyBorder="1" applyAlignment="1">
      <alignment horizontal="center" vertical="center" wrapText="1"/>
    </xf>
    <xf numFmtId="2" fontId="27" fillId="0" borderId="15" xfId="9" applyNumberFormat="1" applyFont="1" applyBorder="1" applyAlignment="1">
      <alignment horizontal="center" vertical="center" wrapText="1"/>
    </xf>
    <xf numFmtId="0" fontId="14" fillId="0" borderId="0" xfId="9" applyAlignment="1">
      <alignment vertical="center"/>
    </xf>
    <xf numFmtId="0" fontId="2" fillId="0" borderId="36" xfId="3" applyNumberFormat="1" applyFont="1" applyFill="1" applyBorder="1" applyAlignment="1">
      <alignment horizontal="left" wrapText="1" indent="2"/>
    </xf>
    <xf numFmtId="0" fontId="2" fillId="0" borderId="0" xfId="3" applyFont="1"/>
    <xf numFmtId="0" fontId="8" fillId="0" borderId="0" xfId="3" applyFont="1"/>
    <xf numFmtId="170" fontId="6" fillId="14" borderId="19" xfId="8" applyNumberFormat="1" applyFont="1" applyFill="1" applyBorder="1" applyAlignment="1"/>
    <xf numFmtId="170" fontId="6" fillId="14" borderId="21" xfId="8" applyNumberFormat="1" applyFont="1" applyFill="1" applyBorder="1" applyAlignment="1"/>
    <xf numFmtId="170" fontId="6" fillId="14" borderId="20" xfId="8" applyNumberFormat="1" applyFont="1" applyFill="1" applyBorder="1" applyAlignment="1"/>
    <xf numFmtId="170" fontId="6" fillId="5" borderId="0" xfId="8" applyNumberFormat="1" applyFont="1" applyFill="1" applyBorder="1" applyAlignment="1">
      <alignment horizontal="center"/>
    </xf>
    <xf numFmtId="165" fontId="2" fillId="0" borderId="0" xfId="3" applyNumberFormat="1" applyFont="1" applyAlignment="1">
      <alignment vertical="center"/>
    </xf>
    <xf numFmtId="171" fontId="36" fillId="0" borderId="0" xfId="12" applyNumberFormat="1" applyFont="1" applyAlignment="1">
      <alignment vertical="center"/>
    </xf>
    <xf numFmtId="171" fontId="9" fillId="6" borderId="12" xfId="3" applyNumberFormat="1" applyFont="1" applyFill="1" applyBorder="1" applyAlignment="1">
      <alignment vertical="center"/>
    </xf>
    <xf numFmtId="171" fontId="20" fillId="0" borderId="0" xfId="3" applyNumberFormat="1" applyFont="1" applyAlignment="1">
      <alignment vertical="center"/>
    </xf>
    <xf numFmtId="171" fontId="2" fillId="0" borderId="18" xfId="3" applyNumberFormat="1" applyFont="1" applyBorder="1" applyAlignment="1">
      <alignment horizontal="right" vertical="center"/>
    </xf>
    <xf numFmtId="171" fontId="6" fillId="6" borderId="12" xfId="3" applyNumberFormat="1" applyFont="1" applyFill="1" applyBorder="1" applyAlignment="1">
      <alignment horizontal="right"/>
    </xf>
    <xf numFmtId="171" fontId="3" fillId="0" borderId="0" xfId="3" applyNumberFormat="1" applyFont="1" applyFill="1" applyAlignment="1">
      <alignment horizontal="right" vertical="center"/>
    </xf>
    <xf numFmtId="171" fontId="3" fillId="0" borderId="0" xfId="3" applyNumberFormat="1" applyFont="1" applyFill="1" applyBorder="1" applyAlignment="1">
      <alignment vertical="center"/>
    </xf>
    <xf numFmtId="171" fontId="2" fillId="0" borderId="0" xfId="3" quotePrefix="1" applyNumberFormat="1" applyFont="1" applyFill="1" applyBorder="1" applyAlignment="1">
      <alignment horizontal="center"/>
    </xf>
    <xf numFmtId="171" fontId="2" fillId="0" borderId="0" xfId="3" applyNumberFormat="1" applyFont="1" applyFill="1" applyAlignment="1">
      <alignment vertical="center"/>
    </xf>
    <xf numFmtId="171" fontId="9" fillId="0" borderId="0" xfId="3" applyNumberFormat="1" applyFont="1" applyFill="1" applyAlignment="1">
      <alignment horizontal="right" vertical="center"/>
    </xf>
    <xf numFmtId="171" fontId="31" fillId="16" borderId="33" xfId="3" applyNumberFormat="1" applyFont="1" applyFill="1" applyBorder="1" applyAlignment="1">
      <alignment horizontal="center" vertical="center"/>
    </xf>
    <xf numFmtId="171" fontId="2" fillId="0" borderId="0" xfId="3" applyNumberFormat="1" applyFont="1" applyBorder="1" applyAlignment="1">
      <alignment horizontal="center" vertical="center"/>
    </xf>
    <xf numFmtId="171" fontId="2" fillId="0" borderId="0" xfId="3" applyNumberFormat="1" applyFont="1" applyAlignment="1">
      <alignment vertical="center"/>
    </xf>
    <xf numFmtId="171" fontId="35" fillId="16" borderId="30" xfId="3" applyNumberFormat="1" applyFont="1" applyFill="1" applyBorder="1" applyAlignment="1">
      <alignment horizontal="center" vertical="center"/>
    </xf>
    <xf numFmtId="171" fontId="6" fillId="6" borderId="18" xfId="12" applyNumberFormat="1" applyFont="1" applyFill="1" applyBorder="1" applyAlignment="1">
      <alignment horizontal="right"/>
    </xf>
    <xf numFmtId="171" fontId="6" fillId="6" borderId="18" xfId="3" applyNumberFormat="1" applyFont="1" applyFill="1" applyBorder="1" applyAlignment="1">
      <alignment horizontal="right"/>
    </xf>
    <xf numFmtId="171" fontId="2" fillId="0" borderId="0" xfId="3" applyNumberFormat="1" applyFont="1" applyAlignment="1">
      <alignment horizontal="center" vertical="center"/>
    </xf>
    <xf numFmtId="171" fontId="9" fillId="3" borderId="0" xfId="3" applyNumberFormat="1" applyFont="1" applyFill="1" applyAlignment="1">
      <alignment horizontal="right" vertical="center"/>
    </xf>
    <xf numFmtId="171" fontId="2" fillId="0" borderId="0" xfId="3" applyNumberFormat="1" applyFont="1" applyFill="1"/>
    <xf numFmtId="171" fontId="3" fillId="0" borderId="0" xfId="3" applyNumberFormat="1" applyFont="1" applyAlignment="1">
      <alignment horizontal="center"/>
    </xf>
    <xf numFmtId="171" fontId="2" fillId="0" borderId="0" xfId="3" applyNumberFormat="1" applyFont="1"/>
    <xf numFmtId="171" fontId="2" fillId="0" borderId="0" xfId="0" applyNumberFormat="1" applyFont="1" applyFill="1" applyAlignment="1">
      <alignment vertical="center"/>
    </xf>
    <xf numFmtId="171" fontId="2" fillId="0" borderId="0" xfId="0" applyNumberFormat="1" applyFont="1" applyAlignment="1">
      <alignment vertical="center"/>
    </xf>
    <xf numFmtId="171" fontId="2" fillId="0" borderId="0" xfId="0" applyNumberFormat="1" applyFont="1" applyFill="1" applyBorder="1" applyAlignment="1">
      <alignment vertical="center" wrapText="1"/>
    </xf>
    <xf numFmtId="171" fontId="3" fillId="3" borderId="0" xfId="0" applyNumberFormat="1" applyFont="1" applyFill="1" applyAlignment="1">
      <alignment horizontal="center" vertical="center"/>
    </xf>
    <xf numFmtId="171" fontId="3" fillId="3" borderId="0" xfId="0" applyNumberFormat="1" applyFont="1" applyFill="1" applyAlignment="1">
      <alignment horizontal="right" vertical="center"/>
    </xf>
    <xf numFmtId="171" fontId="2" fillId="0" borderId="0" xfId="0" applyNumberFormat="1" applyFont="1" applyFill="1"/>
    <xf numFmtId="171" fontId="2" fillId="0" borderId="0" xfId="0" applyNumberFormat="1" applyFont="1"/>
    <xf numFmtId="171" fontId="2" fillId="0" borderId="0" xfId="0" applyNumberFormat="1" applyFont="1" applyAlignment="1">
      <alignment horizontal="center" vertical="center"/>
    </xf>
    <xf numFmtId="171" fontId="3" fillId="0" borderId="0" xfId="0" applyNumberFormat="1" applyFont="1" applyBorder="1"/>
    <xf numFmtId="171" fontId="3" fillId="0" borderId="0" xfId="0" applyNumberFormat="1" applyFont="1" applyBorder="1" applyAlignment="1">
      <alignment horizontal="center" vertical="center"/>
    </xf>
    <xf numFmtId="171" fontId="2" fillId="0" borderId="0" xfId="0" applyNumberFormat="1" applyFont="1" applyBorder="1" applyAlignment="1">
      <alignment horizontal="center" vertical="center"/>
    </xf>
    <xf numFmtId="171" fontId="2" fillId="0" borderId="0" xfId="0" applyNumberFormat="1" applyFont="1" applyFill="1" applyAlignment="1">
      <alignment wrapText="1"/>
    </xf>
    <xf numFmtId="171" fontId="3" fillId="7" borderId="1" xfId="0" applyNumberFormat="1" applyFont="1" applyFill="1" applyBorder="1" applyAlignment="1">
      <alignment horizontal="center" vertical="center" wrapText="1"/>
    </xf>
    <xf numFmtId="171" fontId="2" fillId="0" borderId="1" xfId="0" applyNumberFormat="1" applyFont="1" applyFill="1" applyBorder="1" applyAlignment="1">
      <alignment horizontal="center" vertical="center" wrapText="1"/>
    </xf>
    <xf numFmtId="171" fontId="2" fillId="0" borderId="34" xfId="0" applyNumberFormat="1" applyFont="1" applyFill="1" applyBorder="1" applyAlignment="1">
      <alignment horizontal="center" vertical="center" wrapText="1"/>
    </xf>
    <xf numFmtId="171" fontId="2" fillId="0" borderId="34" xfId="0" applyNumberFormat="1" applyFont="1" applyFill="1" applyBorder="1" applyAlignment="1">
      <alignment horizontal="center" vertical="center"/>
    </xf>
    <xf numFmtId="171" fontId="2" fillId="0" borderId="34" xfId="0" applyNumberFormat="1" applyFont="1" applyFill="1" applyBorder="1" applyAlignment="1">
      <alignment horizontal="right" vertical="center"/>
    </xf>
    <xf numFmtId="171" fontId="2" fillId="0" borderId="1" xfId="0" applyNumberFormat="1" applyFont="1" applyFill="1" applyBorder="1" applyAlignment="1">
      <alignment horizontal="center" vertical="center"/>
    </xf>
    <xf numFmtId="171" fontId="2" fillId="0" borderId="1" xfId="0" applyNumberFormat="1" applyFont="1" applyFill="1" applyBorder="1" applyAlignment="1">
      <alignment horizontal="justify" vertical="center" wrapText="1"/>
    </xf>
    <xf numFmtId="171" fontId="2" fillId="8" borderId="1" xfId="0" applyNumberFormat="1" applyFont="1" applyFill="1" applyBorder="1" applyAlignment="1">
      <alignment horizontal="center" vertical="center" wrapText="1"/>
    </xf>
    <xf numFmtId="171" fontId="2" fillId="8" borderId="1" xfId="0" applyNumberFormat="1" applyFont="1" applyFill="1" applyBorder="1" applyAlignment="1">
      <alignment horizontal="center" vertical="center"/>
    </xf>
    <xf numFmtId="171" fontId="2" fillId="8" borderId="1" xfId="0" applyNumberFormat="1" applyFont="1" applyFill="1" applyBorder="1" applyAlignment="1">
      <alignment horizontal="justify" vertical="center" wrapText="1"/>
    </xf>
    <xf numFmtId="171" fontId="2" fillId="0" borderId="0" xfId="0" applyNumberFormat="1" applyFont="1" applyAlignment="1">
      <alignment wrapText="1"/>
    </xf>
    <xf numFmtId="171" fontId="2" fillId="0" borderId="0" xfId="0" applyNumberFormat="1" applyFont="1" applyAlignment="1">
      <alignment horizontal="center" vertical="center" wrapText="1"/>
    </xf>
    <xf numFmtId="171" fontId="2" fillId="0" borderId="0" xfId="0" applyNumberFormat="1" applyFont="1" applyFill="1" applyAlignment="1">
      <alignment horizontal="center"/>
    </xf>
    <xf numFmtId="171" fontId="2" fillId="3" borderId="0" xfId="0" applyNumberFormat="1" applyFont="1" applyFill="1" applyAlignment="1">
      <alignment horizontal="center" vertical="center"/>
    </xf>
    <xf numFmtId="171" fontId="2" fillId="3" borderId="0" xfId="0" applyNumberFormat="1" applyFont="1" applyFill="1" applyAlignment="1">
      <alignment horizontal="center"/>
    </xf>
    <xf numFmtId="171" fontId="30" fillId="16" borderId="33" xfId="3" applyNumberFormat="1" applyFont="1" applyFill="1" applyBorder="1" applyAlignment="1">
      <alignment horizontal="center" vertical="center"/>
    </xf>
    <xf numFmtId="171" fontId="2" fillId="0" borderId="0" xfId="1" applyNumberFormat="1" applyFont="1" applyFill="1"/>
    <xf numFmtId="171" fontId="8" fillId="0" borderId="0" xfId="3" applyNumberFormat="1" applyFont="1"/>
    <xf numFmtId="171" fontId="6" fillId="18" borderId="0" xfId="3" applyNumberFormat="1" applyFont="1" applyFill="1" applyBorder="1" applyAlignment="1">
      <alignment horizontal="center" vertical="center" wrapText="1"/>
    </xf>
    <xf numFmtId="171" fontId="29" fillId="0" borderId="5" xfId="3" applyNumberFormat="1" applyFont="1" applyBorder="1" applyAlignment="1">
      <alignment horizontal="right" vertical="center"/>
    </xf>
    <xf numFmtId="171" fontId="2" fillId="8" borderId="5" xfId="3" applyNumberFormat="1" applyFont="1" applyFill="1" applyBorder="1" applyAlignment="1">
      <alignment horizontal="right" vertical="center"/>
    </xf>
    <xf numFmtId="14" fontId="2" fillId="0" borderId="34" xfId="0" applyNumberFormat="1" applyFont="1" applyFill="1" applyBorder="1" applyAlignment="1">
      <alignment horizontal="center" vertical="center"/>
    </xf>
    <xf numFmtId="172" fontId="2" fillId="0" borderId="34" xfId="0" applyNumberFormat="1" applyFont="1" applyFill="1" applyBorder="1" applyAlignment="1">
      <alignment horizontal="center" vertical="center" wrapText="1"/>
    </xf>
    <xf numFmtId="10" fontId="2" fillId="0" borderId="0" xfId="8" applyNumberFormat="1" applyFont="1"/>
    <xf numFmtId="2" fontId="2" fillId="5" borderId="0" xfId="3" applyNumberFormat="1" applyFont="1" applyFill="1"/>
    <xf numFmtId="167" fontId="2" fillId="0" borderId="0" xfId="3" applyNumberFormat="1" applyFont="1" applyFill="1"/>
    <xf numFmtId="0" fontId="8" fillId="0" borderId="0" xfId="3" applyFont="1" applyFill="1" applyBorder="1"/>
    <xf numFmtId="0" fontId="2" fillId="0" borderId="0" xfId="3" applyFont="1" applyFill="1" applyBorder="1"/>
    <xf numFmtId="9" fontId="7" fillId="0" borderId="0" xfId="8" applyFont="1" applyFill="1" applyBorder="1"/>
    <xf numFmtId="1" fontId="8" fillId="0" borderId="0" xfId="3" applyNumberFormat="1" applyFont="1" applyFill="1" applyBorder="1"/>
    <xf numFmtId="9" fontId="2" fillId="0" borderId="0" xfId="3" applyNumberFormat="1" applyFont="1" applyFill="1" applyBorder="1"/>
    <xf numFmtId="16" fontId="2" fillId="0" borderId="0" xfId="3" applyNumberFormat="1" applyFont="1" applyFill="1" applyBorder="1"/>
    <xf numFmtId="0" fontId="27" fillId="0" borderId="0" xfId="9" applyFont="1" applyFill="1" applyBorder="1" applyAlignment="1">
      <alignment horizontal="center" vertical="center" wrapText="1"/>
    </xf>
    <xf numFmtId="1" fontId="27" fillId="0" borderId="0" xfId="9" applyNumberFormat="1" applyFont="1" applyFill="1" applyBorder="1" applyAlignment="1">
      <alignment horizontal="center" vertical="center" wrapText="1"/>
    </xf>
    <xf numFmtId="170" fontId="6" fillId="14" borderId="28" xfId="8" applyNumberFormat="1" applyFont="1" applyFill="1" applyBorder="1" applyAlignment="1"/>
    <xf numFmtId="171" fontId="3" fillId="0" borderId="0" xfId="3" applyNumberFormat="1" applyFont="1" applyAlignment="1">
      <alignment horizontal="center"/>
    </xf>
    <xf numFmtId="0" fontId="38" fillId="0" borderId="0" xfId="0" applyFont="1"/>
    <xf numFmtId="167" fontId="38" fillId="0" borderId="0" xfId="0" applyNumberFormat="1" applyFont="1" applyBorder="1" applyAlignment="1">
      <alignment horizontal="left" vertical="center"/>
    </xf>
    <xf numFmtId="0" fontId="39" fillId="0" borderId="0" xfId="0" applyFont="1"/>
    <xf numFmtId="167" fontId="39" fillId="12" borderId="19" xfId="0" applyNumberFormat="1" applyFont="1" applyFill="1" applyBorder="1" applyAlignment="1">
      <alignment horizontal="center"/>
    </xf>
    <xf numFmtId="167" fontId="38" fillId="0" borderId="40" xfId="0" applyNumberFormat="1" applyFont="1" applyBorder="1" applyAlignment="1">
      <alignment horizontal="center" vertical="center"/>
    </xf>
    <xf numFmtId="164" fontId="39" fillId="0" borderId="0" xfId="0" applyNumberFormat="1" applyFont="1"/>
    <xf numFmtId="9" fontId="38" fillId="0" borderId="0" xfId="0" applyNumberFormat="1" applyFont="1"/>
    <xf numFmtId="164" fontId="38" fillId="0" borderId="0" xfId="0" applyNumberFormat="1" applyFont="1"/>
    <xf numFmtId="0" fontId="38" fillId="0" borderId="40" xfId="0" applyFont="1" applyBorder="1"/>
    <xf numFmtId="171" fontId="2" fillId="19" borderId="34" xfId="0" applyNumberFormat="1" applyFont="1" applyFill="1" applyBorder="1" applyAlignment="1">
      <alignment horizontal="center" vertical="center" wrapText="1"/>
    </xf>
    <xf numFmtId="171" fontId="35" fillId="16" borderId="0" xfId="3" applyNumberFormat="1" applyFont="1" applyFill="1" applyBorder="1" applyAlignment="1">
      <alignment horizontal="center" vertical="center"/>
    </xf>
    <xf numFmtId="171" fontId="35" fillId="16" borderId="31" xfId="3" applyNumberFormat="1" applyFont="1" applyFill="1" applyBorder="1" applyAlignment="1">
      <alignment horizontal="center" vertical="center"/>
    </xf>
    <xf numFmtId="167" fontId="38" fillId="0" borderId="39" xfId="0" applyNumberFormat="1" applyFont="1" applyBorder="1" applyAlignment="1">
      <alignment horizontal="center" vertical="center"/>
    </xf>
    <xf numFmtId="171" fontId="38" fillId="0" borderId="40" xfId="12" applyNumberFormat="1" applyFont="1" applyBorder="1" applyAlignment="1">
      <alignment horizontal="center" vertical="center"/>
    </xf>
    <xf numFmtId="171" fontId="35" fillId="16" borderId="19" xfId="3" applyNumberFormat="1" applyFont="1" applyFill="1" applyBorder="1" applyAlignment="1">
      <alignment horizontal="center" vertical="center"/>
    </xf>
    <xf numFmtId="172" fontId="35" fillId="16" borderId="19" xfId="3" applyNumberFormat="1" applyFont="1" applyFill="1" applyBorder="1" applyAlignment="1">
      <alignment horizontal="center" vertical="center"/>
    </xf>
    <xf numFmtId="0" fontId="38" fillId="0" borderId="42" xfId="0" applyFont="1" applyBorder="1" applyAlignment="1">
      <alignment wrapText="1"/>
    </xf>
    <xf numFmtId="0" fontId="38" fillId="0" borderId="42" xfId="0" applyFont="1" applyBorder="1" applyAlignment="1">
      <alignment horizontal="center" vertical="center"/>
    </xf>
    <xf numFmtId="0" fontId="38" fillId="0" borderId="42" xfId="0" applyFont="1" applyBorder="1"/>
    <xf numFmtId="0" fontId="38" fillId="0" borderId="40" xfId="0" applyFont="1" applyBorder="1" applyAlignment="1">
      <alignment wrapText="1"/>
    </xf>
    <xf numFmtId="0" fontId="0" fillId="0" borderId="0" xfId="0" applyAlignment="1">
      <alignment horizontal="center" vertical="center"/>
    </xf>
    <xf numFmtId="0" fontId="38" fillId="0" borderId="40" xfId="0" applyFont="1" applyBorder="1" applyAlignment="1">
      <alignment horizontal="center" vertical="center"/>
    </xf>
    <xf numFmtId="0" fontId="38" fillId="0" borderId="40" xfId="0" applyFont="1" applyBorder="1" applyAlignment="1">
      <alignment horizontal="center"/>
    </xf>
    <xf numFmtId="0" fontId="37" fillId="0" borderId="0" xfId="0" applyFont="1" applyAlignment="1">
      <alignment horizontal="center" vertical="center"/>
    </xf>
    <xf numFmtId="0" fontId="31" fillId="16" borderId="33" xfId="3" applyNumberFormat="1" applyFont="1" applyFill="1" applyBorder="1" applyAlignment="1">
      <alignment horizontal="center" vertical="center"/>
    </xf>
    <xf numFmtId="0" fontId="2" fillId="0" borderId="3" xfId="3" applyFont="1" applyFill="1" applyBorder="1" applyAlignment="1">
      <alignment vertical="center"/>
    </xf>
    <xf numFmtId="0" fontId="3" fillId="5" borderId="0" xfId="3" applyFont="1" applyFill="1" applyAlignment="1">
      <alignment horizontal="center"/>
    </xf>
    <xf numFmtId="171" fontId="2" fillId="0" borderId="45" xfId="0" applyNumberFormat="1" applyFont="1" applyFill="1" applyBorder="1" applyAlignment="1">
      <alignment horizontal="center" vertical="center" wrapText="1"/>
    </xf>
    <xf numFmtId="164" fontId="38" fillId="0" borderId="46" xfId="0" applyNumberFormat="1" applyFont="1" applyBorder="1"/>
    <xf numFmtId="164" fontId="41" fillId="0" borderId="0" xfId="0" applyNumberFormat="1" applyFont="1"/>
    <xf numFmtId="9" fontId="38" fillId="9" borderId="0" xfId="0" applyNumberFormat="1" applyFont="1" applyFill="1"/>
    <xf numFmtId="164" fontId="38" fillId="9" borderId="47" xfId="0" applyNumberFormat="1" applyFont="1" applyFill="1" applyBorder="1"/>
    <xf numFmtId="9" fontId="38" fillId="20" borderId="0" xfId="0" applyNumberFormat="1" applyFont="1" applyFill="1"/>
    <xf numFmtId="164" fontId="38" fillId="20" borderId="48" xfId="0" applyNumberFormat="1" applyFont="1" applyFill="1" applyBorder="1"/>
    <xf numFmtId="15" fontId="4" fillId="0" borderId="0" xfId="3" applyNumberFormat="1" applyFont="1" applyAlignment="1">
      <alignment horizontal="right" vertical="center"/>
    </xf>
    <xf numFmtId="0" fontId="2" fillId="0" borderId="0" xfId="3" applyFont="1" applyBorder="1" applyAlignment="1">
      <alignment horizontal="right" vertical="center"/>
    </xf>
    <xf numFmtId="170" fontId="6" fillId="14" borderId="28" xfId="3" applyNumberFormat="1" applyFont="1" applyFill="1" applyBorder="1" applyAlignment="1">
      <alignment horizontal="right"/>
    </xf>
    <xf numFmtId="0" fontId="2" fillId="0" borderId="23" xfId="3" applyNumberFormat="1" applyFont="1" applyFill="1" applyBorder="1" applyAlignment="1">
      <alignment horizontal="right" wrapText="1"/>
    </xf>
    <xf numFmtId="2" fontId="32" fillId="0" borderId="18" xfId="9" applyNumberFormat="1" applyFont="1" applyFill="1" applyBorder="1" applyAlignment="1">
      <alignment horizontal="right" vertical="center" wrapText="1"/>
    </xf>
    <xf numFmtId="2" fontId="2" fillId="0" borderId="25" xfId="3" applyNumberFormat="1" applyFont="1" applyFill="1" applyBorder="1" applyAlignment="1">
      <alignment horizontal="right" wrapText="1"/>
    </xf>
    <xf numFmtId="170" fontId="6" fillId="14" borderId="19" xfId="3" applyNumberFormat="1" applyFont="1" applyFill="1" applyBorder="1" applyAlignment="1">
      <alignment horizontal="right"/>
    </xf>
    <xf numFmtId="170" fontId="2" fillId="0" borderId="25" xfId="3" applyNumberFormat="1" applyFont="1" applyFill="1" applyBorder="1" applyAlignment="1">
      <alignment horizontal="right" wrapText="1"/>
    </xf>
    <xf numFmtId="9" fontId="2" fillId="0" borderId="25" xfId="8" applyFont="1" applyFill="1" applyBorder="1" applyAlignment="1">
      <alignment horizontal="right" wrapText="1"/>
    </xf>
    <xf numFmtId="9" fontId="6" fillId="14" borderId="19" xfId="8" applyFont="1" applyFill="1" applyBorder="1" applyAlignment="1">
      <alignment horizontal="right"/>
    </xf>
    <xf numFmtId="0" fontId="2" fillId="0" borderId="25" xfId="3" applyNumberFormat="1" applyFont="1" applyFill="1" applyBorder="1" applyAlignment="1">
      <alignment horizontal="right" wrapText="1"/>
    </xf>
    <xf numFmtId="0" fontId="2" fillId="17" borderId="0" xfId="3" applyFont="1" applyFill="1" applyAlignment="1">
      <alignment horizontal="right"/>
    </xf>
    <xf numFmtId="165" fontId="2" fillId="0" borderId="0" xfId="12" applyFont="1" applyAlignment="1">
      <alignment horizontal="right" vertical="center"/>
    </xf>
    <xf numFmtId="2" fontId="6" fillId="14" borderId="19" xfId="3" applyNumberFormat="1" applyFont="1" applyFill="1" applyBorder="1" applyAlignment="1">
      <alignment horizontal="right"/>
    </xf>
    <xf numFmtId="2" fontId="8" fillId="0" borderId="0" xfId="3" applyNumberFormat="1" applyFont="1" applyAlignment="1">
      <alignment horizontal="right"/>
    </xf>
    <xf numFmtId="167" fontId="2" fillId="0" borderId="0" xfId="3" applyNumberFormat="1" applyFont="1" applyAlignment="1">
      <alignment horizontal="right"/>
    </xf>
    <xf numFmtId="0" fontId="8" fillId="0" borderId="0" xfId="3" applyFont="1" applyAlignment="1">
      <alignment horizontal="right"/>
    </xf>
    <xf numFmtId="10" fontId="8" fillId="0" borderId="0" xfId="3" applyNumberFormat="1" applyFont="1" applyAlignment="1">
      <alignment horizontal="right"/>
    </xf>
    <xf numFmtId="2" fontId="9" fillId="14" borderId="19" xfId="3" applyNumberFormat="1" applyFont="1" applyFill="1" applyBorder="1" applyAlignment="1">
      <alignment horizontal="right"/>
    </xf>
    <xf numFmtId="9" fontId="2" fillId="0" borderId="0" xfId="8" applyFont="1" applyAlignment="1">
      <alignment horizontal="right"/>
    </xf>
    <xf numFmtId="16" fontId="2" fillId="17" borderId="0" xfId="3" applyNumberFormat="1" applyFont="1" applyFill="1" applyAlignment="1">
      <alignment horizontal="right"/>
    </xf>
    <xf numFmtId="16" fontId="2" fillId="0" borderId="0" xfId="3" applyNumberFormat="1" applyFont="1" applyAlignment="1">
      <alignment horizontal="right"/>
    </xf>
    <xf numFmtId="0" fontId="2" fillId="0" borderId="0" xfId="0" applyFont="1" applyAlignment="1">
      <alignment horizontal="center" vertical="center"/>
    </xf>
    <xf numFmtId="171" fontId="35" fillId="16" borderId="30" xfId="3" applyNumberFormat="1" applyFont="1" applyFill="1" applyBorder="1" applyAlignment="1">
      <alignment horizontal="center" vertical="center" wrapText="1"/>
    </xf>
    <xf numFmtId="167" fontId="2" fillId="0" borderId="27" xfId="3" applyNumberFormat="1" applyFont="1" applyFill="1" applyBorder="1" applyAlignment="1">
      <alignment horizontal="right" vertical="center" indent="1"/>
    </xf>
    <xf numFmtId="171" fontId="3" fillId="0" borderId="0" xfId="3" applyNumberFormat="1" applyFont="1" applyAlignment="1">
      <alignment horizontal="center"/>
    </xf>
    <xf numFmtId="0" fontId="3" fillId="0" borderId="18" xfId="3" applyFont="1" applyFill="1" applyBorder="1" applyAlignment="1">
      <alignment wrapText="1"/>
    </xf>
    <xf numFmtId="0" fontId="2" fillId="0" borderId="51" xfId="0" applyFont="1" applyBorder="1"/>
    <xf numFmtId="0" fontId="2" fillId="0" borderId="52" xfId="0" applyFont="1" applyBorder="1" applyAlignment="1">
      <alignment vertical="center"/>
    </xf>
    <xf numFmtId="171" fontId="2" fillId="0" borderId="52" xfId="0" applyNumberFormat="1" applyFont="1" applyBorder="1" applyAlignment="1">
      <alignment vertical="center"/>
    </xf>
    <xf numFmtId="0" fontId="6" fillId="0" borderId="0" xfId="0" applyFont="1" applyAlignment="1">
      <alignment vertical="center"/>
    </xf>
    <xf numFmtId="167" fontId="2" fillId="17" borderId="51" xfId="3" applyNumberFormat="1" applyFont="1" applyFill="1" applyBorder="1" applyAlignment="1">
      <alignment horizontal="right" vertical="center" indent="1"/>
    </xf>
    <xf numFmtId="0" fontId="2" fillId="0" borderId="50" xfId="0" applyFont="1" applyBorder="1" applyAlignment="1">
      <alignment wrapText="1"/>
    </xf>
    <xf numFmtId="0" fontId="2" fillId="0" borderId="50" xfId="0" applyFont="1" applyBorder="1" applyAlignment="1">
      <alignment vertical="center"/>
    </xf>
    <xf numFmtId="171" fontId="2" fillId="0" borderId="50" xfId="0" applyNumberFormat="1" applyFont="1" applyBorder="1" applyAlignment="1">
      <alignment vertical="center"/>
    </xf>
    <xf numFmtId="0" fontId="3" fillId="0" borderId="18" xfId="3" applyFont="1" applyBorder="1" applyAlignment="1">
      <alignment horizontal="right"/>
    </xf>
    <xf numFmtId="0" fontId="31" fillId="13" borderId="19" xfId="3" applyFont="1" applyFill="1" applyBorder="1" applyAlignment="1">
      <alignment horizontal="right" vertical="center" wrapText="1"/>
    </xf>
    <xf numFmtId="15" fontId="2" fillId="0" borderId="51" xfId="0" applyNumberFormat="1" applyFont="1" applyBorder="1"/>
    <xf numFmtId="0" fontId="2" fillId="0" borderId="53" xfId="3" applyFont="1" applyFill="1" applyBorder="1" applyAlignment="1">
      <alignment wrapText="1"/>
    </xf>
    <xf numFmtId="0" fontId="2" fillId="0" borderId="54" xfId="3" applyFont="1" applyFill="1" applyBorder="1" applyAlignment="1">
      <alignment wrapText="1"/>
    </xf>
    <xf numFmtId="0" fontId="2" fillId="0" borderId="36" xfId="3" applyFont="1" applyFill="1" applyBorder="1" applyAlignment="1">
      <alignment wrapText="1"/>
    </xf>
    <xf numFmtId="0" fontId="30" fillId="13" borderId="0" xfId="3" applyFont="1" applyFill="1" applyBorder="1" applyAlignment="1">
      <alignment horizontal="center" wrapText="1"/>
    </xf>
    <xf numFmtId="0" fontId="3" fillId="0" borderId="54" xfId="3" applyFont="1" applyFill="1" applyBorder="1" applyAlignment="1">
      <alignment wrapText="1"/>
    </xf>
    <xf numFmtId="0" fontId="9" fillId="0" borderId="0" xfId="3" applyFont="1" applyAlignment="1">
      <alignment horizontal="right"/>
    </xf>
    <xf numFmtId="171" fontId="42" fillId="0" borderId="0" xfId="0" applyNumberFormat="1" applyFont="1" applyAlignment="1">
      <alignment horizontal="right" vertical="center"/>
    </xf>
    <xf numFmtId="9" fontId="2" fillId="0" borderId="34" xfId="8" applyNumberFormat="1" applyFont="1" applyFill="1" applyBorder="1" applyAlignment="1">
      <alignment horizontal="center" vertical="center"/>
    </xf>
    <xf numFmtId="171" fontId="43" fillId="16" borderId="33" xfId="3" applyNumberFormat="1" applyFont="1" applyFill="1" applyBorder="1" applyAlignment="1">
      <alignment horizontal="center" vertical="center"/>
    </xf>
    <xf numFmtId="169" fontId="42" fillId="6" borderId="18" xfId="3" applyNumberFormat="1" applyFont="1" applyFill="1" applyBorder="1"/>
    <xf numFmtId="165" fontId="42" fillId="6" borderId="18" xfId="3" applyNumberFormat="1" applyFont="1" applyFill="1" applyBorder="1" applyAlignment="1">
      <alignment horizontal="right"/>
    </xf>
    <xf numFmtId="0" fontId="44" fillId="0" borderId="18" xfId="3" applyNumberFormat="1" applyFont="1" applyFill="1" applyBorder="1" applyAlignment="1">
      <alignment horizontal="left" vertical="center" wrapText="1" indent="1"/>
    </xf>
    <xf numFmtId="167" fontId="44" fillId="0" borderId="18" xfId="3" applyNumberFormat="1" applyFont="1" applyFill="1" applyBorder="1" applyAlignment="1">
      <alignment horizontal="center" vertical="center" wrapText="1"/>
    </xf>
    <xf numFmtId="171" fontId="44" fillId="0" borderId="18" xfId="3" applyNumberFormat="1" applyFont="1" applyBorder="1" applyAlignment="1">
      <alignment horizontal="right" vertical="center"/>
    </xf>
    <xf numFmtId="167" fontId="9" fillId="6" borderId="18" xfId="3" applyNumberFormat="1" applyFont="1" applyFill="1" applyBorder="1" applyAlignment="1">
      <alignment horizontal="center"/>
    </xf>
    <xf numFmtId="165" fontId="9" fillId="6" borderId="18" xfId="12" applyFont="1" applyFill="1" applyBorder="1" applyAlignment="1">
      <alignment horizontal="right"/>
    </xf>
    <xf numFmtId="171" fontId="9" fillId="6" borderId="18" xfId="3" applyNumberFormat="1" applyFont="1" applyFill="1" applyBorder="1" applyAlignment="1">
      <alignment horizontal="right"/>
    </xf>
    <xf numFmtId="0" fontId="44" fillId="12" borderId="18" xfId="3" applyNumberFormat="1" applyFont="1" applyFill="1" applyBorder="1" applyAlignment="1">
      <alignment horizontal="left" vertical="center" wrapText="1" indent="1"/>
    </xf>
    <xf numFmtId="167" fontId="44" fillId="12" borderId="18" xfId="3" applyNumberFormat="1" applyFont="1" applyFill="1" applyBorder="1" applyAlignment="1">
      <alignment horizontal="center" vertical="center" wrapText="1"/>
    </xf>
    <xf numFmtId="9" fontId="44" fillId="12" borderId="18" xfId="8" applyFont="1" applyFill="1" applyBorder="1" applyAlignment="1">
      <alignment horizontal="center" vertical="center" wrapText="1"/>
    </xf>
    <xf numFmtId="171" fontId="44" fillId="12" borderId="18" xfId="3" applyNumberFormat="1" applyFont="1" applyFill="1" applyBorder="1" applyAlignment="1">
      <alignment horizontal="right" vertical="center"/>
    </xf>
    <xf numFmtId="0" fontId="2" fillId="11" borderId="16" xfId="3" applyFont="1" applyFill="1" applyBorder="1" applyAlignment="1">
      <alignment horizontal="center" vertical="center"/>
    </xf>
    <xf numFmtId="0" fontId="3" fillId="0" borderId="0" xfId="3" applyFont="1" applyAlignment="1">
      <alignment horizontal="center"/>
    </xf>
    <xf numFmtId="0" fontId="3" fillId="12" borderId="18" xfId="3" applyNumberFormat="1" applyFont="1" applyFill="1" applyBorder="1" applyAlignment="1">
      <alignment horizontal="center" wrapText="1"/>
    </xf>
    <xf numFmtId="0" fontId="3" fillId="0" borderId="18" xfId="3" applyNumberFormat="1" applyFont="1" applyFill="1" applyBorder="1" applyAlignment="1">
      <alignment horizontal="center" wrapText="1"/>
    </xf>
    <xf numFmtId="0" fontId="3" fillId="12" borderId="18" xfId="3" applyNumberFormat="1" applyFont="1" applyFill="1" applyBorder="1" applyAlignment="1">
      <alignment horizontal="center" vertical="center" wrapText="1"/>
    </xf>
    <xf numFmtId="0" fontId="27" fillId="15" borderId="19" xfId="9" applyFont="1" applyFill="1" applyBorder="1" applyAlignment="1">
      <alignment horizontal="center" vertical="center" wrapText="1"/>
    </xf>
    <xf numFmtId="0" fontId="3" fillId="0" borderId="0" xfId="3" applyNumberFormat="1" applyFont="1" applyFill="1" applyBorder="1" applyAlignment="1">
      <alignment horizontal="center" wrapText="1"/>
    </xf>
    <xf numFmtId="167" fontId="2" fillId="5" borderId="0" xfId="3" applyNumberFormat="1" applyFont="1" applyFill="1" applyBorder="1" applyAlignment="1">
      <alignment horizontal="right" vertical="center" indent="1"/>
    </xf>
    <xf numFmtId="167" fontId="2" fillId="0" borderId="0" xfId="3" applyNumberFormat="1" applyFont="1" applyFill="1" applyBorder="1" applyAlignment="1">
      <alignment horizontal="right" vertical="center" indent="1"/>
    </xf>
    <xf numFmtId="2" fontId="32" fillId="0" borderId="0" xfId="9" applyNumberFormat="1" applyFont="1" applyFill="1" applyBorder="1" applyAlignment="1">
      <alignment horizontal="right" vertical="center" wrapText="1"/>
    </xf>
    <xf numFmtId="0" fontId="3" fillId="21" borderId="0" xfId="3" applyNumberFormat="1" applyFont="1" applyFill="1" applyBorder="1" applyAlignment="1">
      <alignment horizontal="left" wrapText="1" indent="2"/>
    </xf>
    <xf numFmtId="167" fontId="8" fillId="5" borderId="0" xfId="3" applyNumberFormat="1" applyFont="1" applyFill="1"/>
    <xf numFmtId="0" fontId="31" fillId="13" borderId="19" xfId="3" applyFont="1" applyFill="1" applyBorder="1" applyAlignment="1">
      <alignment horizontal="center" vertical="center" wrapText="1"/>
    </xf>
    <xf numFmtId="0" fontId="3" fillId="0" borderId="0" xfId="3" applyFont="1" applyAlignment="1">
      <alignment horizontal="center"/>
    </xf>
    <xf numFmtId="0" fontId="37" fillId="0" borderId="0" xfId="0" applyFont="1"/>
    <xf numFmtId="0" fontId="0" fillId="0" borderId="0" xfId="0" quotePrefix="1"/>
    <xf numFmtId="0" fontId="8" fillId="22" borderId="0" xfId="3" applyFont="1" applyFill="1"/>
    <xf numFmtId="0" fontId="8" fillId="22" borderId="0" xfId="3" applyFont="1" applyFill="1" applyAlignment="1">
      <alignment vertical="center"/>
    </xf>
    <xf numFmtId="0" fontId="2" fillId="22" borderId="0" xfId="3" applyFont="1" applyFill="1"/>
    <xf numFmtId="0" fontId="2" fillId="23" borderId="0" xfId="3" applyFont="1" applyFill="1"/>
    <xf numFmtId="0" fontId="3" fillId="22" borderId="0" xfId="3" applyFont="1" applyFill="1"/>
    <xf numFmtId="2" fontId="8" fillId="0" borderId="0" xfId="3" applyNumberFormat="1" applyFont="1"/>
    <xf numFmtId="0" fontId="8" fillId="0" borderId="0" xfId="3" applyFont="1"/>
    <xf numFmtId="0" fontId="14" fillId="0" borderId="0" xfId="9" applyAlignment="1">
      <alignment vertical="center"/>
    </xf>
    <xf numFmtId="0" fontId="27" fillId="0" borderId="15" xfId="9" applyFont="1" applyBorder="1" applyAlignment="1">
      <alignment horizontal="center" vertical="center" wrapText="1"/>
    </xf>
    <xf numFmtId="2" fontId="27" fillId="0" borderId="15" xfId="9" applyNumberFormat="1" applyFont="1" applyBorder="1" applyAlignment="1">
      <alignment horizontal="center" vertical="center" wrapText="1"/>
    </xf>
    <xf numFmtId="167" fontId="21" fillId="11" borderId="15" xfId="3" applyNumberFormat="1" applyFont="1" applyFill="1" applyBorder="1" applyAlignment="1">
      <alignment horizontal="center" vertical="center"/>
    </xf>
    <xf numFmtId="167" fontId="21" fillId="0" borderId="15" xfId="3" applyNumberFormat="1" applyFont="1" applyBorder="1"/>
    <xf numFmtId="2" fontId="21" fillId="0" borderId="15" xfId="3" applyNumberFormat="1" applyFont="1" applyBorder="1"/>
    <xf numFmtId="169" fontId="21" fillId="0" borderId="15" xfId="3" applyNumberFormat="1" applyFont="1" applyBorder="1"/>
    <xf numFmtId="167" fontId="2" fillId="0" borderId="18" xfId="3" applyNumberFormat="1" applyFont="1" applyFill="1" applyBorder="1" applyAlignment="1">
      <alignment horizontal="right" vertical="center" indent="1"/>
    </xf>
    <xf numFmtId="0" fontId="33" fillId="0" borderId="18" xfId="9" applyFont="1" applyFill="1" applyBorder="1" applyAlignment="1">
      <alignment horizontal="center" vertical="center" wrapText="1"/>
    </xf>
    <xf numFmtId="0" fontId="27" fillId="0" borderId="18" xfId="9" applyFont="1" applyFill="1" applyBorder="1" applyAlignment="1">
      <alignment horizontal="center" vertical="center" wrapText="1"/>
    </xf>
    <xf numFmtId="1" fontId="27" fillId="0" borderId="18" xfId="9" applyNumberFormat="1" applyFont="1" applyFill="1" applyBorder="1" applyAlignment="1">
      <alignment horizontal="center" vertical="center" wrapText="1"/>
    </xf>
    <xf numFmtId="1" fontId="27" fillId="0" borderId="0" xfId="9" applyNumberFormat="1" applyFont="1" applyFill="1" applyBorder="1" applyAlignment="1">
      <alignment horizontal="center" vertical="center" wrapText="1"/>
    </xf>
    <xf numFmtId="2" fontId="32" fillId="0" borderId="18" xfId="9" applyNumberFormat="1" applyFont="1" applyFill="1" applyBorder="1" applyAlignment="1">
      <alignment horizontal="right" vertical="center" wrapText="1"/>
    </xf>
    <xf numFmtId="0" fontId="33" fillId="0" borderId="18" xfId="9" applyFont="1" applyFill="1" applyBorder="1" applyAlignment="1">
      <alignment horizontal="center" vertical="center" wrapText="1"/>
    </xf>
    <xf numFmtId="1" fontId="27" fillId="12" borderId="15" xfId="9" applyNumberFormat="1" applyFont="1" applyFill="1" applyBorder="1" applyAlignment="1">
      <alignment horizontal="center" vertical="center" wrapText="1"/>
    </xf>
    <xf numFmtId="2" fontId="32" fillId="0" borderId="18" xfId="9" applyNumberFormat="1" applyFont="1" applyFill="1" applyBorder="1" applyAlignment="1">
      <alignment horizontal="right" vertical="center" wrapText="1"/>
    </xf>
    <xf numFmtId="0" fontId="42" fillId="0" borderId="58" xfId="3" applyNumberFormat="1" applyFont="1" applyFill="1" applyBorder="1" applyAlignment="1">
      <alignment horizontal="left" vertical="center" wrapText="1"/>
    </xf>
    <xf numFmtId="0" fontId="42" fillId="0" borderId="22" xfId="3" applyNumberFormat="1" applyFont="1" applyFill="1" applyBorder="1" applyAlignment="1">
      <alignment horizontal="left" wrapText="1"/>
    </xf>
    <xf numFmtId="0" fontId="2" fillId="0" borderId="18" xfId="3" applyNumberFormat="1" applyFont="1" applyFill="1" applyBorder="1" applyAlignment="1">
      <alignment horizontal="left" wrapText="1" indent="3"/>
    </xf>
    <xf numFmtId="0" fontId="3" fillId="0" borderId="18" xfId="3" applyNumberFormat="1" applyFont="1" applyFill="1" applyBorder="1" applyAlignment="1">
      <alignment horizontal="left" wrapText="1" indent="2"/>
    </xf>
    <xf numFmtId="0" fontId="2" fillId="0" borderId="18" xfId="3" applyNumberFormat="1" applyFont="1" applyFill="1" applyBorder="1" applyAlignment="1">
      <alignment horizontal="left" wrapText="1" indent="4"/>
    </xf>
    <xf numFmtId="0" fontId="33" fillId="24" borderId="18" xfId="9" applyFont="1" applyFill="1" applyBorder="1" applyAlignment="1">
      <alignment horizontal="center" vertical="center" wrapText="1"/>
    </xf>
    <xf numFmtId="1" fontId="27" fillId="24" borderId="18" xfId="9" applyNumberFormat="1" applyFont="1" applyFill="1" applyBorder="1" applyAlignment="1">
      <alignment horizontal="center" vertical="center" wrapText="1"/>
    </xf>
    <xf numFmtId="0" fontId="27" fillId="24" borderId="18" xfId="9" applyFont="1" applyFill="1" applyBorder="1" applyAlignment="1">
      <alignment horizontal="center" vertical="center" wrapText="1"/>
    </xf>
    <xf numFmtId="167" fontId="2" fillId="24" borderId="18" xfId="3" applyNumberFormat="1" applyFont="1" applyFill="1" applyBorder="1" applyAlignment="1">
      <alignment horizontal="right" vertical="center" indent="1"/>
    </xf>
    <xf numFmtId="2" fontId="32" fillId="24" borderId="18" xfId="9" applyNumberFormat="1" applyFont="1" applyFill="1" applyBorder="1" applyAlignment="1">
      <alignment horizontal="right" vertical="center" wrapText="1"/>
    </xf>
    <xf numFmtId="0" fontId="46" fillId="24" borderId="22" xfId="3" applyNumberFormat="1" applyFont="1" applyFill="1" applyBorder="1" applyAlignment="1">
      <alignment horizontal="left" wrapText="1"/>
    </xf>
    <xf numFmtId="0" fontId="47" fillId="24" borderId="18" xfId="9" applyFont="1" applyFill="1" applyBorder="1" applyAlignment="1">
      <alignment horizontal="center" vertical="center" wrapText="1"/>
    </xf>
    <xf numFmtId="0" fontId="33" fillId="25" borderId="18" xfId="9" applyFont="1" applyFill="1" applyBorder="1" applyAlignment="1">
      <alignment horizontal="center" vertical="center" wrapText="1"/>
    </xf>
    <xf numFmtId="1" fontId="27" fillId="25" borderId="18" xfId="9" applyNumberFormat="1" applyFont="1" applyFill="1" applyBorder="1" applyAlignment="1">
      <alignment horizontal="center" vertical="center" wrapText="1"/>
    </xf>
    <xf numFmtId="0" fontId="27" fillId="25" borderId="18" xfId="9" applyFont="1" applyFill="1" applyBorder="1" applyAlignment="1">
      <alignment horizontal="center" vertical="center" wrapText="1"/>
    </xf>
    <xf numFmtId="167" fontId="2" fillId="25" borderId="18" xfId="3" applyNumberFormat="1" applyFont="1" applyFill="1" applyBorder="1" applyAlignment="1">
      <alignment horizontal="right" vertical="center" indent="1"/>
    </xf>
    <xf numFmtId="2" fontId="32" fillId="25" borderId="18" xfId="9" applyNumberFormat="1" applyFont="1" applyFill="1" applyBorder="1" applyAlignment="1">
      <alignment horizontal="right" vertical="center" wrapText="1"/>
    </xf>
    <xf numFmtId="0" fontId="46" fillId="25" borderId="58" xfId="3" applyNumberFormat="1" applyFont="1" applyFill="1" applyBorder="1" applyAlignment="1">
      <alignment horizontal="left" vertical="center" wrapText="1"/>
    </xf>
    <xf numFmtId="0" fontId="47" fillId="25" borderId="18" xfId="9" applyFont="1" applyFill="1" applyBorder="1" applyAlignment="1">
      <alignment horizontal="center" vertical="center" wrapText="1"/>
    </xf>
    <xf numFmtId="0" fontId="24" fillId="0" borderId="0" xfId="9" applyFont="1" applyAlignment="1">
      <alignment horizontal="center" vertical="center" textRotation="90"/>
    </xf>
    <xf numFmtId="0" fontId="25" fillId="0" borderId="0" xfId="9" applyFont="1" applyAlignment="1">
      <alignment horizontal="center" vertical="center" textRotation="90"/>
    </xf>
    <xf numFmtId="0" fontId="26" fillId="0" borderId="0" xfId="9" applyFont="1" applyAlignment="1">
      <alignment horizontal="center" vertical="center" textRotation="90"/>
    </xf>
    <xf numFmtId="0" fontId="26" fillId="12" borderId="0" xfId="9" applyFont="1" applyFill="1" applyAlignment="1">
      <alignment horizontal="center" vertical="center" textRotation="90"/>
    </xf>
    <xf numFmtId="0" fontId="25" fillId="0" borderId="0" xfId="9" applyFont="1" applyAlignment="1">
      <alignment horizontal="center" vertical="center" textRotation="90" wrapText="1"/>
    </xf>
    <xf numFmtId="0" fontId="3" fillId="0" borderId="0" xfId="3" applyFont="1" applyAlignment="1">
      <alignment horizontal="center"/>
    </xf>
    <xf numFmtId="1" fontId="8" fillId="11" borderId="55" xfId="3" applyNumberFormat="1" applyFont="1" applyFill="1" applyBorder="1" applyAlignment="1">
      <alignment horizontal="center" vertical="center"/>
    </xf>
    <xf numFmtId="1" fontId="8" fillId="11" borderId="56" xfId="3" applyNumberFormat="1" applyFont="1" applyFill="1" applyBorder="1" applyAlignment="1">
      <alignment horizontal="center" vertical="center"/>
    </xf>
    <xf numFmtId="1" fontId="8" fillId="11" borderId="57" xfId="3" applyNumberFormat="1" applyFont="1" applyFill="1" applyBorder="1" applyAlignment="1">
      <alignment horizontal="center" vertical="center"/>
    </xf>
    <xf numFmtId="0" fontId="2" fillId="11" borderId="55" xfId="3" applyFont="1" applyFill="1" applyBorder="1" applyAlignment="1">
      <alignment horizontal="center" vertical="center"/>
    </xf>
    <xf numFmtId="0" fontId="2" fillId="11" borderId="56" xfId="3" applyFont="1" applyFill="1" applyBorder="1" applyAlignment="1">
      <alignment horizontal="center" vertical="center"/>
    </xf>
    <xf numFmtId="0" fontId="2" fillId="11" borderId="57" xfId="3" applyFont="1" applyFill="1" applyBorder="1" applyAlignment="1">
      <alignment horizontal="center" vertical="center"/>
    </xf>
    <xf numFmtId="0" fontId="2" fillId="11" borderId="16" xfId="3" applyFont="1" applyFill="1" applyBorder="1" applyAlignment="1">
      <alignment horizontal="center" vertical="center"/>
    </xf>
    <xf numFmtId="1" fontId="8" fillId="11" borderId="16" xfId="3" applyNumberFormat="1" applyFont="1" applyFill="1" applyBorder="1" applyAlignment="1">
      <alignment horizontal="center" vertical="center"/>
    </xf>
    <xf numFmtId="0" fontId="2" fillId="0" borderId="3" xfId="3" applyFont="1" applyFill="1" applyBorder="1" applyAlignment="1">
      <alignment horizontal="center" vertical="center"/>
    </xf>
    <xf numFmtId="0" fontId="7" fillId="0" borderId="0" xfId="3" applyFont="1" applyAlignment="1">
      <alignment horizontal="center" wrapText="1"/>
    </xf>
    <xf numFmtId="0" fontId="44" fillId="0" borderId="18" xfId="3" applyNumberFormat="1" applyFont="1" applyFill="1" applyBorder="1" applyAlignment="1">
      <alignment horizontal="left" vertical="center" wrapText="1" indent="1"/>
    </xf>
    <xf numFmtId="0" fontId="44" fillId="12" borderId="18" xfId="3" applyNumberFormat="1" applyFont="1" applyFill="1" applyBorder="1" applyAlignment="1">
      <alignment horizontal="left" vertical="center" wrapText="1" indent="1"/>
    </xf>
    <xf numFmtId="0" fontId="6" fillId="6" borderId="12" xfId="3" applyFont="1" applyFill="1" applyBorder="1" applyAlignment="1">
      <alignment horizontal="left"/>
    </xf>
    <xf numFmtId="165" fontId="35" fillId="16" borderId="31" xfId="3" applyNumberFormat="1" applyFont="1" applyFill="1" applyBorder="1" applyAlignment="1">
      <alignment horizontal="center" vertical="center"/>
    </xf>
    <xf numFmtId="165" fontId="35" fillId="16" borderId="0" xfId="3" applyNumberFormat="1" applyFont="1" applyFill="1" applyBorder="1" applyAlignment="1">
      <alignment horizontal="center" vertical="center"/>
    </xf>
    <xf numFmtId="165" fontId="35" fillId="16" borderId="29" xfId="3" applyNumberFormat="1" applyFont="1" applyFill="1" applyBorder="1" applyAlignment="1">
      <alignment horizontal="center" vertical="center"/>
    </xf>
    <xf numFmtId="0" fontId="42" fillId="6" borderId="18" xfId="3" applyFont="1" applyFill="1" applyBorder="1" applyAlignment="1">
      <alignment horizontal="left"/>
    </xf>
    <xf numFmtId="0" fontId="2" fillId="0" borderId="11" xfId="3" applyFont="1" applyFill="1" applyBorder="1" applyAlignment="1">
      <alignment horizontal="center" vertical="center"/>
    </xf>
    <xf numFmtId="171" fontId="45" fillId="6" borderId="10" xfId="3" applyNumberFormat="1" applyFont="1" applyFill="1" applyBorder="1" applyAlignment="1">
      <alignment horizontal="center" vertical="center"/>
    </xf>
    <xf numFmtId="171" fontId="45" fillId="6" borderId="13" xfId="3" applyNumberFormat="1" applyFont="1" applyFill="1" applyBorder="1" applyAlignment="1">
      <alignment horizontal="center" vertical="center"/>
    </xf>
    <xf numFmtId="171" fontId="2" fillId="0" borderId="11" xfId="3" applyNumberFormat="1" applyFont="1" applyFill="1" applyBorder="1" applyAlignment="1">
      <alignment horizontal="center" vertical="center"/>
    </xf>
    <xf numFmtId="171" fontId="3" fillId="0" borderId="0" xfId="3" applyNumberFormat="1" applyFont="1" applyAlignment="1">
      <alignment horizontal="center"/>
    </xf>
    <xf numFmtId="171" fontId="3" fillId="0" borderId="0" xfId="3" applyNumberFormat="1" applyFont="1" applyBorder="1" applyAlignment="1">
      <alignment horizontal="center"/>
    </xf>
    <xf numFmtId="171" fontId="3" fillId="0" borderId="49" xfId="3" applyNumberFormat="1" applyFont="1" applyBorder="1" applyAlignment="1">
      <alignment horizontal="center"/>
    </xf>
    <xf numFmtId="171" fontId="9" fillId="6" borderId="10" xfId="3" applyNumberFormat="1" applyFont="1" applyFill="1" applyBorder="1" applyAlignment="1">
      <alignment horizontal="center" vertical="center"/>
    </xf>
    <xf numFmtId="171" fontId="9" fillId="6" borderId="13" xfId="3" applyNumberFormat="1" applyFont="1" applyFill="1" applyBorder="1" applyAlignment="1">
      <alignment horizontal="center" vertical="center"/>
    </xf>
    <xf numFmtId="167" fontId="38" fillId="0" borderId="37" xfId="0" applyNumberFormat="1" applyFont="1" applyBorder="1" applyAlignment="1">
      <alignment horizontal="justify" vertical="justify"/>
    </xf>
    <xf numFmtId="167" fontId="38" fillId="0" borderId="38" xfId="0" applyNumberFormat="1" applyFont="1" applyBorder="1" applyAlignment="1">
      <alignment horizontal="justify" vertical="justify"/>
    </xf>
    <xf numFmtId="167" fontId="38" fillId="0" borderId="39" xfId="0" applyNumberFormat="1" applyFont="1" applyBorder="1" applyAlignment="1">
      <alignment horizontal="justify" vertical="justify"/>
    </xf>
    <xf numFmtId="171" fontId="35" fillId="16" borderId="31" xfId="3" applyNumberFormat="1" applyFont="1" applyFill="1" applyBorder="1" applyAlignment="1">
      <alignment horizontal="center" vertical="center"/>
    </xf>
    <xf numFmtId="171" fontId="35" fillId="16" borderId="0" xfId="3" applyNumberFormat="1" applyFont="1" applyFill="1" applyBorder="1" applyAlignment="1">
      <alignment horizontal="center" vertical="center"/>
    </xf>
    <xf numFmtId="171" fontId="35" fillId="16" borderId="29" xfId="3" applyNumberFormat="1" applyFont="1" applyFill="1" applyBorder="1" applyAlignment="1">
      <alignment horizontal="center" vertical="center"/>
    </xf>
    <xf numFmtId="167" fontId="38" fillId="0" borderId="37" xfId="0" applyNumberFormat="1" applyFont="1" applyBorder="1" applyAlignment="1">
      <alignment horizontal="left" vertical="center"/>
    </xf>
    <xf numFmtId="167" fontId="38" fillId="0" borderId="38" xfId="0" applyNumberFormat="1" applyFont="1" applyBorder="1" applyAlignment="1">
      <alignment horizontal="left" vertical="center"/>
    </xf>
    <xf numFmtId="167" fontId="38" fillId="0" borderId="39" xfId="0" applyNumberFormat="1" applyFont="1" applyBorder="1" applyAlignment="1">
      <alignment horizontal="left" vertical="center"/>
    </xf>
    <xf numFmtId="167" fontId="39" fillId="0" borderId="37" xfId="0" applyNumberFormat="1" applyFont="1" applyBorder="1" applyAlignment="1">
      <alignment horizontal="left" vertical="center"/>
    </xf>
    <xf numFmtId="167" fontId="39" fillId="0" borderId="38" xfId="0" applyNumberFormat="1" applyFont="1" applyBorder="1" applyAlignment="1">
      <alignment horizontal="left" vertical="center"/>
    </xf>
    <xf numFmtId="167" fontId="39" fillId="0" borderId="39" xfId="0" applyNumberFormat="1" applyFont="1" applyBorder="1" applyAlignment="1">
      <alignment horizontal="left" vertical="center"/>
    </xf>
    <xf numFmtId="167" fontId="38" fillId="0" borderId="37" xfId="0" applyNumberFormat="1" applyFont="1" applyBorder="1" applyAlignment="1">
      <alignment horizontal="left" vertical="center" wrapText="1"/>
    </xf>
    <xf numFmtId="167" fontId="38" fillId="0" borderId="38" xfId="0" applyNumberFormat="1" applyFont="1" applyBorder="1" applyAlignment="1">
      <alignment horizontal="left" vertical="center" wrapText="1"/>
    </xf>
    <xf numFmtId="167" fontId="38" fillId="0" borderId="39" xfId="0" applyNumberFormat="1" applyFont="1" applyBorder="1" applyAlignment="1">
      <alignment horizontal="left" vertical="center" wrapText="1"/>
    </xf>
    <xf numFmtId="171" fontId="35" fillId="16" borderId="20" xfId="3" applyNumberFormat="1" applyFont="1" applyFill="1" applyBorder="1" applyAlignment="1">
      <alignment horizontal="left" vertical="center"/>
    </xf>
    <xf numFmtId="171" fontId="35" fillId="16" borderId="41" xfId="3" applyNumberFormat="1" applyFont="1" applyFill="1" applyBorder="1" applyAlignment="1">
      <alignment horizontal="left" vertical="center"/>
    </xf>
    <xf numFmtId="171" fontId="35" fillId="16" borderId="21" xfId="3" applyNumberFormat="1" applyFont="1" applyFill="1" applyBorder="1" applyAlignment="1">
      <alignment horizontal="left" vertical="center"/>
    </xf>
    <xf numFmtId="171" fontId="35" fillId="16" borderId="43" xfId="3" applyNumberFormat="1" applyFont="1" applyFill="1" applyBorder="1" applyAlignment="1">
      <alignment horizontal="left" vertical="center"/>
    </xf>
    <xf numFmtId="171" fontId="35" fillId="16" borderId="38" xfId="3" applyNumberFormat="1" applyFont="1" applyFill="1" applyBorder="1" applyAlignment="1">
      <alignment horizontal="left" vertical="center"/>
    </xf>
    <xf numFmtId="171" fontId="35" fillId="16" borderId="44" xfId="3" applyNumberFormat="1" applyFont="1" applyFill="1" applyBorder="1" applyAlignment="1">
      <alignment horizontal="left" vertical="center"/>
    </xf>
    <xf numFmtId="171" fontId="3" fillId="0" borderId="11" xfId="3" applyNumberFormat="1" applyFont="1" applyFill="1" applyBorder="1" applyAlignment="1">
      <alignment horizontal="center" vertical="center"/>
    </xf>
  </cellXfs>
  <cellStyles count="15">
    <cellStyle name="Millares 2" xfId="1" xr:uid="{00000000-0005-0000-0000-000000000000}"/>
    <cellStyle name="Moneda" xfId="12" builtinId="4"/>
    <cellStyle name="Moneda 2" xfId="2" xr:uid="{00000000-0005-0000-0000-000002000000}"/>
    <cellStyle name="Moneda 3" xfId="11" xr:uid="{00000000-0005-0000-0000-000003000000}"/>
    <cellStyle name="Normal" xfId="0" builtinId="0"/>
    <cellStyle name="Normal 2" xfId="3" xr:uid="{00000000-0005-0000-0000-000005000000}"/>
    <cellStyle name="Normal 3" xfId="4" xr:uid="{00000000-0005-0000-0000-000006000000}"/>
    <cellStyle name="Normal 4" xfId="5" xr:uid="{00000000-0005-0000-0000-000007000000}"/>
    <cellStyle name="Normal 5" xfId="7" xr:uid="{00000000-0005-0000-0000-000008000000}"/>
    <cellStyle name="Normal 6" xfId="9" xr:uid="{00000000-0005-0000-0000-000009000000}"/>
    <cellStyle name="Normal 6 2" xfId="10" xr:uid="{00000000-0005-0000-0000-00000A000000}"/>
    <cellStyle name="Normal 7" xfId="13" xr:uid="{00000000-0005-0000-0000-00000B000000}"/>
    <cellStyle name="Normal 7 2" xfId="14" xr:uid="{00000000-0005-0000-0000-00000C000000}"/>
    <cellStyle name="Porcentaje" xfId="8" builtinId="5"/>
    <cellStyle name="Porcentaje 2" xfId="6"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D718C90-24D9-4BC3-846F-428D1AA689B5}" type="doc">
      <dgm:prSet loTypeId="urn:microsoft.com/office/officeart/2005/8/layout/hierarchy4" loCatId="list" qsTypeId="urn:microsoft.com/office/officeart/2005/8/quickstyle/simple4" qsCatId="simple" csTypeId="urn:microsoft.com/office/officeart/2005/8/colors/accent1_2" csCatId="accent1" phldr="1"/>
      <dgm:spPr/>
      <dgm:t>
        <a:bodyPr/>
        <a:lstStyle/>
        <a:p>
          <a:endParaRPr lang="es-MX"/>
        </a:p>
      </dgm:t>
    </dgm:pt>
    <dgm:pt modelId="{156BD996-7C7F-4FFB-A04C-A6E088F956CB}">
      <dgm:prSet phldrT="[Texto]" custT="1"/>
      <dgm:spPr/>
      <dgm:t>
        <a:bodyPr/>
        <a:lstStyle/>
        <a:p>
          <a:r>
            <a:rPr lang="es-MX" sz="1800" dirty="0">
              <a:latin typeface="Arial" pitchFamily="34" charset="0"/>
              <a:cs typeface="Arial" pitchFamily="34" charset="0"/>
            </a:rPr>
            <a:t>Construcción</a:t>
          </a:r>
        </a:p>
      </dgm:t>
    </dgm:pt>
    <dgm:pt modelId="{3A49BC96-28B5-4C88-BA01-8ECB56FDEE7C}" type="parTrans" cxnId="{B9DDE2F5-51F5-4D40-A8C7-242DDB623280}">
      <dgm:prSet/>
      <dgm:spPr/>
      <dgm:t>
        <a:bodyPr/>
        <a:lstStyle/>
        <a:p>
          <a:endParaRPr lang="es-MX" sz="1600">
            <a:latin typeface="Arial" pitchFamily="34" charset="0"/>
            <a:cs typeface="Arial" pitchFamily="34" charset="0"/>
          </a:endParaRPr>
        </a:p>
      </dgm:t>
    </dgm:pt>
    <dgm:pt modelId="{63547526-6A86-4730-AA2D-46040BE092AB}" type="sibTrans" cxnId="{B9DDE2F5-51F5-4D40-A8C7-242DDB623280}">
      <dgm:prSet custT="1"/>
      <dgm:spPr/>
      <dgm:t>
        <a:bodyPr/>
        <a:lstStyle/>
        <a:p>
          <a:endParaRPr lang="es-MX" sz="1600">
            <a:latin typeface="Arial" pitchFamily="34" charset="0"/>
            <a:cs typeface="Arial" pitchFamily="34" charset="0"/>
          </a:endParaRPr>
        </a:p>
      </dgm:t>
    </dgm:pt>
    <dgm:pt modelId="{035FB5B3-84B0-43FB-9A39-9BA15CE325AD}">
      <dgm:prSet phldrT="[Texto]" custT="1"/>
      <dgm:spPr/>
      <dgm:t>
        <a:bodyPr/>
        <a:lstStyle/>
        <a:p>
          <a:r>
            <a:rPr lang="es-MX" sz="1800" dirty="0">
              <a:latin typeface="Arial" pitchFamily="34" charset="0"/>
              <a:cs typeface="Arial" pitchFamily="34" charset="0"/>
            </a:rPr>
            <a:t>Análisis y diseño</a:t>
          </a:r>
        </a:p>
      </dgm:t>
    </dgm:pt>
    <dgm:pt modelId="{DBD689F2-8C81-4677-92A9-49755926A076}" type="sibTrans" cxnId="{9E43727F-EE43-4674-8206-C4DB5DB17D83}">
      <dgm:prSet/>
      <dgm:spPr/>
      <dgm:t>
        <a:bodyPr/>
        <a:lstStyle/>
        <a:p>
          <a:endParaRPr lang="es-MX" sz="1600"/>
        </a:p>
      </dgm:t>
    </dgm:pt>
    <dgm:pt modelId="{597F9C13-3B58-44B3-8639-A9443D874C66}" type="parTrans" cxnId="{9E43727F-EE43-4674-8206-C4DB5DB17D83}">
      <dgm:prSet/>
      <dgm:spPr/>
      <dgm:t>
        <a:bodyPr/>
        <a:lstStyle/>
        <a:p>
          <a:endParaRPr lang="es-MX" sz="1600"/>
        </a:p>
      </dgm:t>
    </dgm:pt>
    <dgm:pt modelId="{7A77BBBC-C617-4CA2-A5CB-F65A97CAA37D}">
      <dgm:prSet phldrT="[Texto]" custT="1"/>
      <dgm:spPr/>
      <dgm:t>
        <a:bodyPr/>
        <a:lstStyle/>
        <a:p>
          <a:r>
            <a:rPr lang="es-MX" sz="1800" dirty="0">
              <a:latin typeface="Arial" pitchFamily="34" charset="0"/>
              <a:cs typeface="Arial" pitchFamily="34" charset="0"/>
            </a:rPr>
            <a:t>Integración</a:t>
          </a:r>
        </a:p>
      </dgm:t>
    </dgm:pt>
    <dgm:pt modelId="{CC58B2D8-9C0B-4932-A380-691F10C70A4C}" type="parTrans" cxnId="{7FD53A8A-D904-44E6-B206-6B48DD8312FD}">
      <dgm:prSet/>
      <dgm:spPr/>
      <dgm:t>
        <a:bodyPr/>
        <a:lstStyle/>
        <a:p>
          <a:endParaRPr lang="es-MX" sz="1600"/>
        </a:p>
      </dgm:t>
    </dgm:pt>
    <dgm:pt modelId="{8581A4A3-BEC7-4D7D-883C-55D193EB4AB8}" type="sibTrans" cxnId="{7FD53A8A-D904-44E6-B206-6B48DD8312FD}">
      <dgm:prSet/>
      <dgm:spPr/>
      <dgm:t>
        <a:bodyPr/>
        <a:lstStyle/>
        <a:p>
          <a:endParaRPr lang="es-MX" sz="1600"/>
        </a:p>
      </dgm:t>
    </dgm:pt>
    <dgm:pt modelId="{7108E42A-7B7B-4160-945B-E91E20D85DD3}">
      <dgm:prSet phldrT="[Texto]" custT="1"/>
      <dgm:spPr/>
      <dgm:t>
        <a:bodyPr/>
        <a:lstStyle/>
        <a:p>
          <a:r>
            <a:rPr lang="es-MX" sz="1800" dirty="0">
              <a:latin typeface="Arial" pitchFamily="34" charset="0"/>
              <a:cs typeface="Arial" pitchFamily="34" charset="0"/>
            </a:rPr>
            <a:t>Implementación</a:t>
          </a:r>
        </a:p>
      </dgm:t>
    </dgm:pt>
    <dgm:pt modelId="{A117880E-C924-4091-B7B7-275665D35803}" type="parTrans" cxnId="{949BEF24-924F-4A18-9935-1187577B8C9C}">
      <dgm:prSet/>
      <dgm:spPr/>
      <dgm:t>
        <a:bodyPr/>
        <a:lstStyle/>
        <a:p>
          <a:endParaRPr lang="es-MX" sz="1600"/>
        </a:p>
      </dgm:t>
    </dgm:pt>
    <dgm:pt modelId="{B3A6BF4C-7FD3-4B55-B81D-A07E129953FF}" type="sibTrans" cxnId="{949BEF24-924F-4A18-9935-1187577B8C9C}">
      <dgm:prSet/>
      <dgm:spPr/>
      <dgm:t>
        <a:bodyPr/>
        <a:lstStyle/>
        <a:p>
          <a:endParaRPr lang="es-MX" sz="1600"/>
        </a:p>
      </dgm:t>
    </dgm:pt>
    <dgm:pt modelId="{937CF713-0E04-4654-AADB-A6F0E0517CF9}">
      <dgm:prSet phldrT="[Texto]" custT="1"/>
      <dgm:spPr/>
      <dgm:t>
        <a:bodyPr/>
        <a:lstStyle/>
        <a:p>
          <a:r>
            <a:rPr lang="es-MX" sz="1800" b="1" dirty="0">
              <a:latin typeface="Arial" pitchFamily="34" charset="0"/>
              <a:cs typeface="Arial" pitchFamily="34" charset="0"/>
            </a:rPr>
            <a:t>DESARROLLO DE SOFTWARE</a:t>
          </a:r>
        </a:p>
      </dgm:t>
    </dgm:pt>
    <dgm:pt modelId="{A06FE6A2-DBFA-4171-9128-A2548600EA15}" type="sibTrans" cxnId="{9547B0A4-DFEE-49AF-A40A-F0C35F763047}">
      <dgm:prSet/>
      <dgm:spPr/>
      <dgm:t>
        <a:bodyPr/>
        <a:lstStyle/>
        <a:p>
          <a:endParaRPr lang="es-MX" sz="1600"/>
        </a:p>
      </dgm:t>
    </dgm:pt>
    <dgm:pt modelId="{940C3A7A-F0E2-410C-A23C-A6CA7184A09D}" type="parTrans" cxnId="{9547B0A4-DFEE-49AF-A40A-F0C35F763047}">
      <dgm:prSet/>
      <dgm:spPr/>
      <dgm:t>
        <a:bodyPr/>
        <a:lstStyle/>
        <a:p>
          <a:endParaRPr lang="es-MX" sz="1600"/>
        </a:p>
      </dgm:t>
    </dgm:pt>
    <dgm:pt modelId="{4CDEA560-4144-4E68-9A88-A504346640C7}" type="pres">
      <dgm:prSet presAssocID="{7D718C90-24D9-4BC3-846F-428D1AA689B5}" presName="Name0" presStyleCnt="0">
        <dgm:presLayoutVars>
          <dgm:chPref val="1"/>
          <dgm:dir/>
          <dgm:animOne val="branch"/>
          <dgm:animLvl val="lvl"/>
          <dgm:resizeHandles/>
        </dgm:presLayoutVars>
      </dgm:prSet>
      <dgm:spPr/>
    </dgm:pt>
    <dgm:pt modelId="{EC2C909B-930C-49FF-9EC1-C3998DA3C4F1}" type="pres">
      <dgm:prSet presAssocID="{937CF713-0E04-4654-AADB-A6F0E0517CF9}" presName="vertOne" presStyleCnt="0"/>
      <dgm:spPr/>
    </dgm:pt>
    <dgm:pt modelId="{89E083BC-D111-4803-A19F-4069DD733483}" type="pres">
      <dgm:prSet presAssocID="{937CF713-0E04-4654-AADB-A6F0E0517CF9}" presName="txOne" presStyleLbl="node0" presStyleIdx="0" presStyleCnt="1" custScaleY="75073" custLinFactNeighborX="182">
        <dgm:presLayoutVars>
          <dgm:chPref val="3"/>
        </dgm:presLayoutVars>
      </dgm:prSet>
      <dgm:spPr/>
    </dgm:pt>
    <dgm:pt modelId="{86845F74-1147-4681-8B72-4BCBD8D278E1}" type="pres">
      <dgm:prSet presAssocID="{937CF713-0E04-4654-AADB-A6F0E0517CF9}" presName="parTransOne" presStyleCnt="0"/>
      <dgm:spPr/>
    </dgm:pt>
    <dgm:pt modelId="{E1CED98A-58BD-4CD3-905A-C6E1D9D8A2C9}" type="pres">
      <dgm:prSet presAssocID="{937CF713-0E04-4654-AADB-A6F0E0517CF9}" presName="horzOne" presStyleCnt="0"/>
      <dgm:spPr/>
    </dgm:pt>
    <dgm:pt modelId="{C53C6B3F-CB9C-4059-A3FA-564FB393F2B0}" type="pres">
      <dgm:prSet presAssocID="{035FB5B3-84B0-43FB-9A39-9BA15CE325AD}" presName="vertTwo" presStyleCnt="0"/>
      <dgm:spPr/>
    </dgm:pt>
    <dgm:pt modelId="{F1ABAAEC-53AF-40F8-A36D-21F5552A7C39}" type="pres">
      <dgm:prSet presAssocID="{035FB5B3-84B0-43FB-9A39-9BA15CE325AD}" presName="txTwo" presStyleLbl="node2" presStyleIdx="0" presStyleCnt="4" custLinFactNeighborY="-28090">
        <dgm:presLayoutVars>
          <dgm:chPref val="3"/>
        </dgm:presLayoutVars>
      </dgm:prSet>
      <dgm:spPr/>
    </dgm:pt>
    <dgm:pt modelId="{83905A8F-7B77-4D48-9514-2870569E7B49}" type="pres">
      <dgm:prSet presAssocID="{035FB5B3-84B0-43FB-9A39-9BA15CE325AD}" presName="horzTwo" presStyleCnt="0"/>
      <dgm:spPr/>
    </dgm:pt>
    <dgm:pt modelId="{57570F83-90EB-4981-A84D-03720FB7C3ED}" type="pres">
      <dgm:prSet presAssocID="{DBD689F2-8C81-4677-92A9-49755926A076}" presName="sibSpaceTwo" presStyleCnt="0"/>
      <dgm:spPr/>
    </dgm:pt>
    <dgm:pt modelId="{47338B92-B1DD-43C2-BEDC-A50EB832DB77}" type="pres">
      <dgm:prSet presAssocID="{156BD996-7C7F-4FFB-A04C-A6E088F956CB}" presName="vertTwo" presStyleCnt="0"/>
      <dgm:spPr/>
    </dgm:pt>
    <dgm:pt modelId="{B05BE9B8-7467-4D63-B3BC-262F138E26B5}" type="pres">
      <dgm:prSet presAssocID="{156BD996-7C7F-4FFB-A04C-A6E088F956CB}" presName="txTwo" presStyleLbl="node2" presStyleIdx="1" presStyleCnt="4" custLinFactNeighborY="-28090">
        <dgm:presLayoutVars>
          <dgm:chPref val="3"/>
        </dgm:presLayoutVars>
      </dgm:prSet>
      <dgm:spPr/>
    </dgm:pt>
    <dgm:pt modelId="{8758DF78-E9B1-4D17-9A37-1B14485EDC2C}" type="pres">
      <dgm:prSet presAssocID="{156BD996-7C7F-4FFB-A04C-A6E088F956CB}" presName="horzTwo" presStyleCnt="0"/>
      <dgm:spPr/>
    </dgm:pt>
    <dgm:pt modelId="{894B9F34-167C-4D85-BDC5-6715B55B9949}" type="pres">
      <dgm:prSet presAssocID="{63547526-6A86-4730-AA2D-46040BE092AB}" presName="sibSpaceTwo" presStyleCnt="0"/>
      <dgm:spPr/>
    </dgm:pt>
    <dgm:pt modelId="{E11B61AA-E326-4360-B24F-E9C4D35774B5}" type="pres">
      <dgm:prSet presAssocID="{7A77BBBC-C617-4CA2-A5CB-F65A97CAA37D}" presName="vertTwo" presStyleCnt="0"/>
      <dgm:spPr/>
    </dgm:pt>
    <dgm:pt modelId="{93150627-9968-4710-B50E-FD24FA099885}" type="pres">
      <dgm:prSet presAssocID="{7A77BBBC-C617-4CA2-A5CB-F65A97CAA37D}" presName="txTwo" presStyleLbl="node2" presStyleIdx="2" presStyleCnt="4" custLinFactNeighborY="-28090">
        <dgm:presLayoutVars>
          <dgm:chPref val="3"/>
        </dgm:presLayoutVars>
      </dgm:prSet>
      <dgm:spPr/>
    </dgm:pt>
    <dgm:pt modelId="{D256B712-B334-46C7-BD9A-5EAC000DAF1D}" type="pres">
      <dgm:prSet presAssocID="{7A77BBBC-C617-4CA2-A5CB-F65A97CAA37D}" presName="horzTwo" presStyleCnt="0"/>
      <dgm:spPr/>
    </dgm:pt>
    <dgm:pt modelId="{B5FC0888-9638-46A1-9D13-A5AF2E04D0CC}" type="pres">
      <dgm:prSet presAssocID="{8581A4A3-BEC7-4D7D-883C-55D193EB4AB8}" presName="sibSpaceTwo" presStyleCnt="0"/>
      <dgm:spPr/>
    </dgm:pt>
    <dgm:pt modelId="{CC770414-74A3-41FB-A74B-DDEBFEA35399}" type="pres">
      <dgm:prSet presAssocID="{7108E42A-7B7B-4160-945B-E91E20D85DD3}" presName="vertTwo" presStyleCnt="0"/>
      <dgm:spPr/>
    </dgm:pt>
    <dgm:pt modelId="{468D6618-9CB0-404C-A2B0-61F2FB9BD69C}" type="pres">
      <dgm:prSet presAssocID="{7108E42A-7B7B-4160-945B-E91E20D85DD3}" presName="txTwo" presStyleLbl="node2" presStyleIdx="3" presStyleCnt="4" custLinFactNeighborY="-28090">
        <dgm:presLayoutVars>
          <dgm:chPref val="3"/>
        </dgm:presLayoutVars>
      </dgm:prSet>
      <dgm:spPr/>
    </dgm:pt>
    <dgm:pt modelId="{42B4019D-E979-4350-9EE0-1B49D38AEAA9}" type="pres">
      <dgm:prSet presAssocID="{7108E42A-7B7B-4160-945B-E91E20D85DD3}" presName="horzTwo" presStyleCnt="0"/>
      <dgm:spPr/>
    </dgm:pt>
  </dgm:ptLst>
  <dgm:cxnLst>
    <dgm:cxn modelId="{67B62D24-0F0B-4FA1-9D09-FEAFFA30B44B}" type="presOf" srcId="{035FB5B3-84B0-43FB-9A39-9BA15CE325AD}" destId="{F1ABAAEC-53AF-40F8-A36D-21F5552A7C39}" srcOrd="0" destOrd="0" presId="urn:microsoft.com/office/officeart/2005/8/layout/hierarchy4"/>
    <dgm:cxn modelId="{949BEF24-924F-4A18-9935-1187577B8C9C}" srcId="{937CF713-0E04-4654-AADB-A6F0E0517CF9}" destId="{7108E42A-7B7B-4160-945B-E91E20D85DD3}" srcOrd="3" destOrd="0" parTransId="{A117880E-C924-4091-B7B7-275665D35803}" sibTransId="{B3A6BF4C-7FD3-4B55-B81D-A07E129953FF}"/>
    <dgm:cxn modelId="{02F58A74-F13A-4902-A56D-30A039D3FE12}" type="presOf" srcId="{937CF713-0E04-4654-AADB-A6F0E0517CF9}" destId="{89E083BC-D111-4803-A19F-4069DD733483}" srcOrd="0" destOrd="0" presId="urn:microsoft.com/office/officeart/2005/8/layout/hierarchy4"/>
    <dgm:cxn modelId="{9E43727F-EE43-4674-8206-C4DB5DB17D83}" srcId="{937CF713-0E04-4654-AADB-A6F0E0517CF9}" destId="{035FB5B3-84B0-43FB-9A39-9BA15CE325AD}" srcOrd="0" destOrd="0" parTransId="{597F9C13-3B58-44B3-8639-A9443D874C66}" sibTransId="{DBD689F2-8C81-4677-92A9-49755926A076}"/>
    <dgm:cxn modelId="{7FD53A8A-D904-44E6-B206-6B48DD8312FD}" srcId="{937CF713-0E04-4654-AADB-A6F0E0517CF9}" destId="{7A77BBBC-C617-4CA2-A5CB-F65A97CAA37D}" srcOrd="2" destOrd="0" parTransId="{CC58B2D8-9C0B-4932-A380-691F10C70A4C}" sibTransId="{8581A4A3-BEC7-4D7D-883C-55D193EB4AB8}"/>
    <dgm:cxn modelId="{639D889B-4483-4D13-B95F-573B3A53A563}" type="presOf" srcId="{7A77BBBC-C617-4CA2-A5CB-F65A97CAA37D}" destId="{93150627-9968-4710-B50E-FD24FA099885}" srcOrd="0" destOrd="0" presId="urn:microsoft.com/office/officeart/2005/8/layout/hierarchy4"/>
    <dgm:cxn modelId="{9547B0A4-DFEE-49AF-A40A-F0C35F763047}" srcId="{7D718C90-24D9-4BC3-846F-428D1AA689B5}" destId="{937CF713-0E04-4654-AADB-A6F0E0517CF9}" srcOrd="0" destOrd="0" parTransId="{940C3A7A-F0E2-410C-A23C-A6CA7184A09D}" sibTransId="{A06FE6A2-DBFA-4171-9128-A2548600EA15}"/>
    <dgm:cxn modelId="{C93770A7-1430-402C-BB6A-CA21D85E2E2F}" type="presOf" srcId="{7108E42A-7B7B-4160-945B-E91E20D85DD3}" destId="{468D6618-9CB0-404C-A2B0-61F2FB9BD69C}" srcOrd="0" destOrd="0" presId="urn:microsoft.com/office/officeart/2005/8/layout/hierarchy4"/>
    <dgm:cxn modelId="{A92677CD-63DC-431D-A357-C4D59284DA74}" type="presOf" srcId="{7D718C90-24D9-4BC3-846F-428D1AA689B5}" destId="{4CDEA560-4144-4E68-9A88-A504346640C7}" srcOrd="0" destOrd="0" presId="urn:microsoft.com/office/officeart/2005/8/layout/hierarchy4"/>
    <dgm:cxn modelId="{0D468EE9-BAC6-48AA-AB85-7C274A2FC131}" type="presOf" srcId="{156BD996-7C7F-4FFB-A04C-A6E088F956CB}" destId="{B05BE9B8-7467-4D63-B3BC-262F138E26B5}" srcOrd="0" destOrd="0" presId="urn:microsoft.com/office/officeart/2005/8/layout/hierarchy4"/>
    <dgm:cxn modelId="{B9DDE2F5-51F5-4D40-A8C7-242DDB623280}" srcId="{937CF713-0E04-4654-AADB-A6F0E0517CF9}" destId="{156BD996-7C7F-4FFB-A04C-A6E088F956CB}" srcOrd="1" destOrd="0" parTransId="{3A49BC96-28B5-4C88-BA01-8ECB56FDEE7C}" sibTransId="{63547526-6A86-4730-AA2D-46040BE092AB}"/>
    <dgm:cxn modelId="{E33B4596-C425-4B11-81E5-9088E28CAB30}" type="presParOf" srcId="{4CDEA560-4144-4E68-9A88-A504346640C7}" destId="{EC2C909B-930C-49FF-9EC1-C3998DA3C4F1}" srcOrd="0" destOrd="0" presId="urn:microsoft.com/office/officeart/2005/8/layout/hierarchy4"/>
    <dgm:cxn modelId="{76BCF4C4-194F-439B-801B-86655488C08A}" type="presParOf" srcId="{EC2C909B-930C-49FF-9EC1-C3998DA3C4F1}" destId="{89E083BC-D111-4803-A19F-4069DD733483}" srcOrd="0" destOrd="0" presId="urn:microsoft.com/office/officeart/2005/8/layout/hierarchy4"/>
    <dgm:cxn modelId="{8E0A0D79-71FC-459E-AD78-61C6F44678CB}" type="presParOf" srcId="{EC2C909B-930C-49FF-9EC1-C3998DA3C4F1}" destId="{86845F74-1147-4681-8B72-4BCBD8D278E1}" srcOrd="1" destOrd="0" presId="urn:microsoft.com/office/officeart/2005/8/layout/hierarchy4"/>
    <dgm:cxn modelId="{6964C091-1099-4AC6-9E69-D13F214B9EAA}" type="presParOf" srcId="{EC2C909B-930C-49FF-9EC1-C3998DA3C4F1}" destId="{E1CED98A-58BD-4CD3-905A-C6E1D9D8A2C9}" srcOrd="2" destOrd="0" presId="urn:microsoft.com/office/officeart/2005/8/layout/hierarchy4"/>
    <dgm:cxn modelId="{CEEDA584-2ACC-4561-9F0F-DCB55D926DAA}" type="presParOf" srcId="{E1CED98A-58BD-4CD3-905A-C6E1D9D8A2C9}" destId="{C53C6B3F-CB9C-4059-A3FA-564FB393F2B0}" srcOrd="0" destOrd="0" presId="urn:microsoft.com/office/officeart/2005/8/layout/hierarchy4"/>
    <dgm:cxn modelId="{487A1ACD-E978-426C-91E3-4AC2AE5D3F5F}" type="presParOf" srcId="{C53C6B3F-CB9C-4059-A3FA-564FB393F2B0}" destId="{F1ABAAEC-53AF-40F8-A36D-21F5552A7C39}" srcOrd="0" destOrd="0" presId="urn:microsoft.com/office/officeart/2005/8/layout/hierarchy4"/>
    <dgm:cxn modelId="{F994F438-CCA8-44FC-BB25-CF6C719B69D2}" type="presParOf" srcId="{C53C6B3F-CB9C-4059-A3FA-564FB393F2B0}" destId="{83905A8F-7B77-4D48-9514-2870569E7B49}" srcOrd="1" destOrd="0" presId="urn:microsoft.com/office/officeart/2005/8/layout/hierarchy4"/>
    <dgm:cxn modelId="{4251B2B1-710C-4216-B988-12D24FDEBDEE}" type="presParOf" srcId="{E1CED98A-58BD-4CD3-905A-C6E1D9D8A2C9}" destId="{57570F83-90EB-4981-A84D-03720FB7C3ED}" srcOrd="1" destOrd="0" presId="urn:microsoft.com/office/officeart/2005/8/layout/hierarchy4"/>
    <dgm:cxn modelId="{06187A51-A85B-4F79-89CC-3DDEBB280407}" type="presParOf" srcId="{E1CED98A-58BD-4CD3-905A-C6E1D9D8A2C9}" destId="{47338B92-B1DD-43C2-BEDC-A50EB832DB77}" srcOrd="2" destOrd="0" presId="urn:microsoft.com/office/officeart/2005/8/layout/hierarchy4"/>
    <dgm:cxn modelId="{D046F8E5-B0AE-4B8E-BAE8-14CADE2074D5}" type="presParOf" srcId="{47338B92-B1DD-43C2-BEDC-A50EB832DB77}" destId="{B05BE9B8-7467-4D63-B3BC-262F138E26B5}" srcOrd="0" destOrd="0" presId="urn:microsoft.com/office/officeart/2005/8/layout/hierarchy4"/>
    <dgm:cxn modelId="{80E334BC-943C-4FE2-B627-2824DE54F91E}" type="presParOf" srcId="{47338B92-B1DD-43C2-BEDC-A50EB832DB77}" destId="{8758DF78-E9B1-4D17-9A37-1B14485EDC2C}" srcOrd="1" destOrd="0" presId="urn:microsoft.com/office/officeart/2005/8/layout/hierarchy4"/>
    <dgm:cxn modelId="{C3536DC3-E5CF-4035-8514-B056E3E45BA6}" type="presParOf" srcId="{E1CED98A-58BD-4CD3-905A-C6E1D9D8A2C9}" destId="{894B9F34-167C-4D85-BDC5-6715B55B9949}" srcOrd="3" destOrd="0" presId="urn:microsoft.com/office/officeart/2005/8/layout/hierarchy4"/>
    <dgm:cxn modelId="{A5D9CD1A-A5D1-4E35-837C-87318521981D}" type="presParOf" srcId="{E1CED98A-58BD-4CD3-905A-C6E1D9D8A2C9}" destId="{E11B61AA-E326-4360-B24F-E9C4D35774B5}" srcOrd="4" destOrd="0" presId="urn:microsoft.com/office/officeart/2005/8/layout/hierarchy4"/>
    <dgm:cxn modelId="{7E3C56D3-FC6F-493C-B973-DF992A338E57}" type="presParOf" srcId="{E11B61AA-E326-4360-B24F-E9C4D35774B5}" destId="{93150627-9968-4710-B50E-FD24FA099885}" srcOrd="0" destOrd="0" presId="urn:microsoft.com/office/officeart/2005/8/layout/hierarchy4"/>
    <dgm:cxn modelId="{7E4CE561-701B-4526-8EFB-EC1F3D328998}" type="presParOf" srcId="{E11B61AA-E326-4360-B24F-E9C4D35774B5}" destId="{D256B712-B334-46C7-BD9A-5EAC000DAF1D}" srcOrd="1" destOrd="0" presId="urn:microsoft.com/office/officeart/2005/8/layout/hierarchy4"/>
    <dgm:cxn modelId="{86CB627A-53E5-468A-B489-ABC61C3D9627}" type="presParOf" srcId="{E1CED98A-58BD-4CD3-905A-C6E1D9D8A2C9}" destId="{B5FC0888-9638-46A1-9D13-A5AF2E04D0CC}" srcOrd="5" destOrd="0" presId="urn:microsoft.com/office/officeart/2005/8/layout/hierarchy4"/>
    <dgm:cxn modelId="{FEAA8E42-9FE6-467D-A7AB-03A75C7C8B42}" type="presParOf" srcId="{E1CED98A-58BD-4CD3-905A-C6E1D9D8A2C9}" destId="{CC770414-74A3-41FB-A74B-DDEBFEA35399}" srcOrd="6" destOrd="0" presId="urn:microsoft.com/office/officeart/2005/8/layout/hierarchy4"/>
    <dgm:cxn modelId="{D0508B11-2060-430B-BD39-328FDF66BCBE}" type="presParOf" srcId="{CC770414-74A3-41FB-A74B-DDEBFEA35399}" destId="{468D6618-9CB0-404C-A2B0-61F2FB9BD69C}" srcOrd="0" destOrd="0" presId="urn:microsoft.com/office/officeart/2005/8/layout/hierarchy4"/>
    <dgm:cxn modelId="{9C558410-5477-4C28-92BB-EA75FD298285}" type="presParOf" srcId="{CC770414-74A3-41FB-A74B-DDEBFEA35399}" destId="{42B4019D-E979-4350-9EE0-1B49D38AEAA9}" srcOrd="1" destOrd="0" presId="urn:microsoft.com/office/officeart/2005/8/layout/hierarchy4"/>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9E083BC-D111-4803-A19F-4069DD733483}">
      <dsp:nvSpPr>
        <dsp:cNvPr id="0" name=""/>
        <dsp:cNvSpPr/>
      </dsp:nvSpPr>
      <dsp:spPr>
        <a:xfrm>
          <a:off x="2746" y="109"/>
          <a:ext cx="8494197" cy="447217"/>
        </a:xfrm>
        <a:prstGeom prst="roundRect">
          <a:avLst>
            <a:gd name="adj" fmla="val 10000"/>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b="1" kern="1200" dirty="0">
              <a:latin typeface="Arial" pitchFamily="34" charset="0"/>
              <a:cs typeface="Arial" pitchFamily="34" charset="0"/>
            </a:rPr>
            <a:t>DESARROLLO DE SOFTWARE</a:t>
          </a:r>
        </a:p>
      </dsp:txBody>
      <dsp:txXfrm>
        <a:off x="15845" y="13208"/>
        <a:ext cx="8467999" cy="421019"/>
      </dsp:txXfrm>
    </dsp:sp>
    <dsp:sp modelId="{F1ABAAEC-53AF-40F8-A36D-21F5552A7C39}">
      <dsp:nvSpPr>
        <dsp:cNvPr id="0" name=""/>
        <dsp:cNvSpPr/>
      </dsp:nvSpPr>
      <dsp:spPr>
        <a:xfrm>
          <a:off x="1373" y="503734"/>
          <a:ext cx="1997694" cy="595710"/>
        </a:xfrm>
        <a:prstGeom prst="roundRect">
          <a:avLst>
            <a:gd name="adj" fmla="val 10000"/>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pitchFamily="34" charset="0"/>
              <a:cs typeface="Arial" pitchFamily="34" charset="0"/>
            </a:rPr>
            <a:t>Análisis y diseño</a:t>
          </a:r>
        </a:p>
      </dsp:txBody>
      <dsp:txXfrm>
        <a:off x="18821" y="521182"/>
        <a:ext cx="1962798" cy="560814"/>
      </dsp:txXfrm>
    </dsp:sp>
    <dsp:sp modelId="{B05BE9B8-7467-4D63-B3BC-262F138E26B5}">
      <dsp:nvSpPr>
        <dsp:cNvPr id="0" name=""/>
        <dsp:cNvSpPr/>
      </dsp:nvSpPr>
      <dsp:spPr>
        <a:xfrm>
          <a:off x="2166874" y="503734"/>
          <a:ext cx="1997694" cy="595710"/>
        </a:xfrm>
        <a:prstGeom prst="roundRect">
          <a:avLst>
            <a:gd name="adj" fmla="val 10000"/>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pitchFamily="34" charset="0"/>
              <a:cs typeface="Arial" pitchFamily="34" charset="0"/>
            </a:rPr>
            <a:t>Construcción</a:t>
          </a:r>
        </a:p>
      </dsp:txBody>
      <dsp:txXfrm>
        <a:off x="2184322" y="521182"/>
        <a:ext cx="1962798" cy="560814"/>
      </dsp:txXfrm>
    </dsp:sp>
    <dsp:sp modelId="{93150627-9968-4710-B50E-FD24FA099885}">
      <dsp:nvSpPr>
        <dsp:cNvPr id="0" name=""/>
        <dsp:cNvSpPr/>
      </dsp:nvSpPr>
      <dsp:spPr>
        <a:xfrm>
          <a:off x="4332375" y="503734"/>
          <a:ext cx="1997694" cy="595710"/>
        </a:xfrm>
        <a:prstGeom prst="roundRect">
          <a:avLst>
            <a:gd name="adj" fmla="val 10000"/>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pitchFamily="34" charset="0"/>
              <a:cs typeface="Arial" pitchFamily="34" charset="0"/>
            </a:rPr>
            <a:t>Integración</a:t>
          </a:r>
        </a:p>
      </dsp:txBody>
      <dsp:txXfrm>
        <a:off x="4349823" y="521182"/>
        <a:ext cx="1962798" cy="560814"/>
      </dsp:txXfrm>
    </dsp:sp>
    <dsp:sp modelId="{468D6618-9CB0-404C-A2B0-61F2FB9BD69C}">
      <dsp:nvSpPr>
        <dsp:cNvPr id="0" name=""/>
        <dsp:cNvSpPr/>
      </dsp:nvSpPr>
      <dsp:spPr>
        <a:xfrm>
          <a:off x="6497876" y="503734"/>
          <a:ext cx="1997694" cy="595710"/>
        </a:xfrm>
        <a:prstGeom prst="roundRect">
          <a:avLst>
            <a:gd name="adj" fmla="val 10000"/>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pitchFamily="34" charset="0"/>
              <a:cs typeface="Arial" pitchFamily="34" charset="0"/>
            </a:rPr>
            <a:t>Implementación</a:t>
          </a:r>
        </a:p>
      </dsp:txBody>
      <dsp:txXfrm>
        <a:off x="6515324" y="521182"/>
        <a:ext cx="1962798" cy="560814"/>
      </dsp:txXfrm>
    </dsp:sp>
  </dsp:spTree>
</dsp:drawing>
</file>

<file path=xl/diagrams/layout1.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diagramLayout" Target="../diagrams/layout1.xml"/><Relationship Id="rId7" Type="http://schemas.openxmlformats.org/officeDocument/2006/relationships/image" Target="../media/image2.png"/><Relationship Id="rId2" Type="http://schemas.openxmlformats.org/officeDocument/2006/relationships/diagramData" Target="../diagrams/data1.xml"/><Relationship Id="rId1" Type="http://schemas.openxmlformats.org/officeDocument/2006/relationships/image" Target="../media/image1.png"/><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 Id="rId9"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10583</xdr:rowOff>
    </xdr:from>
    <xdr:to>
      <xdr:col>2</xdr:col>
      <xdr:colOff>1913467</xdr:colOff>
      <xdr:row>2</xdr:row>
      <xdr:rowOff>189407</xdr:rowOff>
    </xdr:to>
    <xdr:pic>
      <xdr:nvPicPr>
        <xdr:cNvPr id="4" name="3 Imagen">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417" y="10583"/>
          <a:ext cx="2029883" cy="559824"/>
        </a:xfrm>
        <a:prstGeom prst="rect">
          <a:avLst/>
        </a:prstGeom>
      </xdr:spPr>
    </xdr:pic>
    <xdr:clientData/>
  </xdr:twoCellAnchor>
  <xdr:twoCellAnchor>
    <xdr:from>
      <xdr:col>2</xdr:col>
      <xdr:colOff>0</xdr:colOff>
      <xdr:row>137</xdr:row>
      <xdr:rowOff>0</xdr:rowOff>
    </xdr:from>
    <xdr:to>
      <xdr:col>5</xdr:col>
      <xdr:colOff>807831</xdr:colOff>
      <xdr:row>172</xdr:row>
      <xdr:rowOff>31750</xdr:rowOff>
    </xdr:to>
    <xdr:grpSp>
      <xdr:nvGrpSpPr>
        <xdr:cNvPr id="2" name="Grupo 1">
          <a:extLst>
            <a:ext uri="{FF2B5EF4-FFF2-40B4-BE49-F238E27FC236}">
              <a16:creationId xmlns:a16="http://schemas.microsoft.com/office/drawing/2014/main" id="{00000000-0008-0000-0000-000002000000}"/>
            </a:ext>
          </a:extLst>
        </xdr:cNvPr>
        <xdr:cNvGrpSpPr/>
      </xdr:nvGrpSpPr>
      <xdr:grpSpPr>
        <a:xfrm>
          <a:off x="232833" y="25495250"/>
          <a:ext cx="8808831" cy="5588000"/>
          <a:chOff x="232833" y="19790833"/>
          <a:chExt cx="8808831" cy="5715000"/>
        </a:xfrm>
      </xdr:grpSpPr>
      <xdr:grpSp>
        <xdr:nvGrpSpPr>
          <xdr:cNvPr id="13" name="8 Grupo">
            <a:extLst>
              <a:ext uri="{FF2B5EF4-FFF2-40B4-BE49-F238E27FC236}">
                <a16:creationId xmlns:a16="http://schemas.microsoft.com/office/drawing/2014/main" id="{00000000-0008-0000-0000-00000D000000}"/>
              </a:ext>
            </a:extLst>
          </xdr:cNvPr>
          <xdr:cNvGrpSpPr/>
        </xdr:nvGrpSpPr>
        <xdr:grpSpPr>
          <a:xfrm>
            <a:off x="232833" y="19790833"/>
            <a:ext cx="8656460" cy="5704417"/>
            <a:chOff x="179512" y="1240722"/>
            <a:chExt cx="8656460" cy="5304632"/>
          </a:xfrm>
        </xdr:grpSpPr>
        <xdr:graphicFrame macro="">
          <xdr:nvGraphicFramePr>
            <xdr:cNvPr id="14" name="41 Diagrama">
              <a:extLst>
                <a:ext uri="{FF2B5EF4-FFF2-40B4-BE49-F238E27FC236}">
                  <a16:creationId xmlns:a16="http://schemas.microsoft.com/office/drawing/2014/main" id="{00000000-0008-0000-0000-00000E000000}"/>
                </a:ext>
              </a:extLst>
            </xdr:cNvPr>
            <xdr:cNvGraphicFramePr/>
          </xdr:nvGraphicFramePr>
          <xdr:xfrm>
            <a:off x="339028" y="1240722"/>
            <a:ext cx="8496944" cy="1204876"/>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sp macro="" textlink="">
          <xdr:nvSpPr>
            <xdr:cNvPr id="15" name="42 Rectángulo redondeado">
              <a:extLst>
                <a:ext uri="{FF2B5EF4-FFF2-40B4-BE49-F238E27FC236}">
                  <a16:creationId xmlns:a16="http://schemas.microsoft.com/office/drawing/2014/main" id="{00000000-0008-0000-0000-00000F000000}"/>
                </a:ext>
              </a:extLst>
            </xdr:cNvPr>
            <xdr:cNvSpPr/>
          </xdr:nvSpPr>
          <xdr:spPr>
            <a:xfrm>
              <a:off x="179512" y="2368888"/>
              <a:ext cx="2175740" cy="4176466"/>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latinLnBrk="0" hangingPunct="1"/>
              <a:r>
                <a:rPr lang="es-MX" sz="1000" kern="1200">
                  <a:solidFill>
                    <a:schemeClr val="tx1">
                      <a:lumMod val="75000"/>
                      <a:lumOff val="25000"/>
                    </a:schemeClr>
                  </a:solidFill>
                  <a:latin typeface="Arial" pitchFamily="34" charset="0"/>
                  <a:ea typeface="MS PGothic" pitchFamily="34" charset="-128"/>
                  <a:cs typeface="Arial" pitchFamily="34" charset="0"/>
                </a:rPr>
                <a:t>Documentación procesos.</a:t>
              </a:r>
            </a:p>
            <a:p>
              <a:pPr marL="171450" marR="0" lvl="0" indent="-171450" algn="l" defTabSz="1300163" eaLnBrk="1" fontAlgn="auto" latinLnBrk="0" hangingPunct="1">
                <a:lnSpc>
                  <a:spcPct val="100000"/>
                </a:lnSpc>
                <a:spcBef>
                  <a:spcPct val="20000"/>
                </a:spcBef>
                <a:spcAft>
                  <a:spcPts val="0"/>
                </a:spcAft>
                <a:buClrTx/>
                <a:buSzTx/>
                <a:buFontTx/>
                <a:buChar char="-"/>
                <a:tabLst/>
                <a:defRPr/>
              </a:pPr>
              <a:r>
                <a:rPr kumimoji="0" lang="es-MX" sz="1000" b="0" i="0" u="none" strike="noStrike" kern="1200" cap="none" spc="0" normalizeH="0" baseline="0" noProof="0">
                  <a:ln>
                    <a:noFill/>
                  </a:ln>
                  <a:solidFill>
                    <a:prstClr val="black">
                      <a:lumMod val="75000"/>
                      <a:lumOff val="25000"/>
                    </a:prstClr>
                  </a:solidFill>
                  <a:effectLst/>
                  <a:uLnTx/>
                  <a:uFillTx/>
                  <a:latin typeface="Arial" pitchFamily="34" charset="0"/>
                  <a:ea typeface="MS PGothic" pitchFamily="34" charset="-128"/>
                  <a:cs typeface="Arial" pitchFamily="34" charset="0"/>
                </a:rPr>
                <a:t>Diagrama de AS-IS</a:t>
              </a:r>
            </a:p>
            <a:p>
              <a:pPr marL="171450" marR="0" lvl="0" indent="-171450" algn="l" defTabSz="1300163" eaLnBrk="1" fontAlgn="auto" latinLnBrk="0" hangingPunct="1">
                <a:lnSpc>
                  <a:spcPct val="100000"/>
                </a:lnSpc>
                <a:spcBef>
                  <a:spcPct val="20000"/>
                </a:spcBef>
                <a:spcAft>
                  <a:spcPts val="0"/>
                </a:spcAft>
                <a:buClrTx/>
                <a:buSzTx/>
                <a:buFontTx/>
                <a:buChar char="-"/>
                <a:tabLst/>
                <a:defRPr/>
              </a:pPr>
              <a:r>
                <a:rPr kumimoji="0" lang="es-MX" sz="1000" b="0" i="0" u="none" strike="noStrike" kern="1200" cap="none" spc="0" normalizeH="0" baseline="0" noProof="0">
                  <a:ln>
                    <a:noFill/>
                  </a:ln>
                  <a:solidFill>
                    <a:prstClr val="black">
                      <a:lumMod val="75000"/>
                      <a:lumOff val="25000"/>
                    </a:prstClr>
                  </a:solidFill>
                  <a:effectLst/>
                  <a:uLnTx/>
                  <a:uFillTx/>
                  <a:latin typeface="Arial" pitchFamily="34" charset="0"/>
                  <a:ea typeface="MS PGothic" pitchFamily="34" charset="-128"/>
                  <a:cs typeface="Arial" pitchFamily="34" charset="0"/>
                </a:rPr>
                <a:t>Diagrama TO-BE.</a:t>
              </a:r>
            </a:p>
            <a:p>
              <a:pPr marL="171450" marR="0" lvl="0" indent="-171450" algn="l" defTabSz="1300163" eaLnBrk="1" fontAlgn="auto" latinLnBrk="0" hangingPunct="1">
                <a:lnSpc>
                  <a:spcPct val="100000"/>
                </a:lnSpc>
                <a:spcBef>
                  <a:spcPct val="20000"/>
                </a:spcBef>
                <a:spcAft>
                  <a:spcPts val="0"/>
                </a:spcAft>
                <a:buClrTx/>
                <a:buSzTx/>
                <a:buFontTx/>
                <a:buChar char="-"/>
                <a:tabLst/>
                <a:defRPr/>
              </a:pPr>
              <a:r>
                <a:rPr kumimoji="0" lang="es-MX" sz="1000" b="0" i="0" u="none" strike="noStrike" kern="1200" cap="none" spc="0" normalizeH="0" baseline="0" noProof="0">
                  <a:ln>
                    <a:noFill/>
                  </a:ln>
                  <a:solidFill>
                    <a:prstClr val="black">
                      <a:lumMod val="75000"/>
                      <a:lumOff val="25000"/>
                    </a:prstClr>
                  </a:solidFill>
                  <a:effectLst/>
                  <a:uLnTx/>
                  <a:uFillTx/>
                  <a:latin typeface="Arial" pitchFamily="34" charset="0"/>
                  <a:ea typeface="MS PGothic" pitchFamily="34" charset="-128"/>
                  <a:cs typeface="Arial" pitchFamily="34" charset="0"/>
                </a:rPr>
                <a:t>Propuesta de mejora de procesos</a:t>
              </a:r>
            </a:p>
            <a:p>
              <a:pPr marL="171450" marR="0" lvl="0" indent="-171450" algn="l" defTabSz="1300163" eaLnBrk="1" fontAlgn="auto" latinLnBrk="0" hangingPunct="1">
                <a:lnSpc>
                  <a:spcPct val="100000"/>
                </a:lnSpc>
                <a:spcBef>
                  <a:spcPct val="20000"/>
                </a:spcBef>
                <a:spcAft>
                  <a:spcPts val="0"/>
                </a:spcAft>
                <a:buClrTx/>
                <a:buSzTx/>
                <a:buFontTx/>
                <a:buChar char="-"/>
                <a:tabLst/>
                <a:defRPr/>
              </a:pPr>
              <a:endParaRPr kumimoji="0" lang="es-MX" sz="1000" b="0" i="0" u="none" strike="noStrike" kern="1200" cap="none" spc="0" normalizeH="0" baseline="0" noProof="0">
                <a:ln>
                  <a:noFill/>
                </a:ln>
                <a:solidFill>
                  <a:prstClr val="black">
                    <a:lumMod val="75000"/>
                    <a:lumOff val="25000"/>
                  </a:prstClr>
                </a:solidFill>
                <a:effectLst/>
                <a:uLnTx/>
                <a:uFillTx/>
                <a:latin typeface="Arial"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pitchFamily="34" charset="0"/>
                  <a:ea typeface="MS PGothic" pitchFamily="34" charset="-128"/>
                  <a:cs typeface="Arial" pitchFamily="34" charset="0"/>
                </a:rPr>
                <a:t>Especificación de req.</a:t>
              </a:r>
            </a:p>
            <a:p>
              <a:pPr marL="171450" indent="-171450" algn="l"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Descripción de req.</a:t>
              </a:r>
            </a:p>
            <a:p>
              <a:pPr marL="171450" indent="-171450" algn="l"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Req. de infraestructura</a:t>
              </a:r>
            </a:p>
            <a:p>
              <a:pPr marL="171450" indent="-171450" algn="l" defTabSz="1300163">
                <a:spcBef>
                  <a:spcPct val="20000"/>
                </a:spcBef>
                <a:buFontTx/>
                <a:buChar char="-"/>
              </a:pPr>
              <a:endParaRPr lang="es-MX" sz="800">
                <a:solidFill>
                  <a:schemeClr val="tx1">
                    <a:lumMod val="75000"/>
                    <a:lumOff val="25000"/>
                  </a:schemeClr>
                </a:solidFill>
                <a:effectLst/>
                <a:latin typeface="Arial"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pitchFamily="34" charset="0"/>
                  <a:ea typeface="MS PGothic" pitchFamily="34" charset="-128"/>
                  <a:cs typeface="Arial" pitchFamily="34" charset="0"/>
                </a:rPr>
                <a:t>Arquitectura del sistema</a:t>
              </a:r>
            </a:p>
            <a:p>
              <a:pPr marL="171450" indent="-171450" algn="l"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Diagrama de arquitectura</a:t>
              </a:r>
            </a:p>
            <a:p>
              <a:pPr marL="171450" indent="-171450" algn="l" defTabSz="1300163">
                <a:spcBef>
                  <a:spcPct val="20000"/>
                </a:spcBef>
                <a:buFontTx/>
                <a:buChar char="-"/>
              </a:pPr>
              <a:r>
                <a:rPr lang="es-MX" sz="1000">
                  <a:solidFill>
                    <a:schemeClr val="tx1">
                      <a:lumMod val="75000"/>
                      <a:lumOff val="25000"/>
                    </a:schemeClr>
                  </a:solidFill>
                  <a:effectLst/>
                  <a:latin typeface="Arial" pitchFamily="34" charset="0"/>
                  <a:ea typeface="MS PGothic" pitchFamily="34" charset="-128"/>
                  <a:cs typeface="Arial" pitchFamily="34" charset="0"/>
                </a:rPr>
                <a:t>Especificación técnica</a:t>
              </a:r>
            </a:p>
            <a:p>
              <a:pPr algn="l" defTabSz="1300163">
                <a:spcBef>
                  <a:spcPct val="20000"/>
                </a:spcBef>
              </a:pPr>
              <a:endParaRPr lang="es-MX" sz="800">
                <a:solidFill>
                  <a:schemeClr val="tx1">
                    <a:lumMod val="75000"/>
                    <a:lumOff val="25000"/>
                  </a:schemeClr>
                </a:solidFill>
                <a:effectLst/>
                <a:latin typeface="Arial"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latin typeface="Arial" pitchFamily="34" charset="0"/>
                  <a:ea typeface="MS PGothic" pitchFamily="34" charset="-128"/>
                  <a:cs typeface="Arial" pitchFamily="34" charset="0"/>
                </a:rPr>
                <a:t>Análisis de componentes</a:t>
              </a:r>
              <a:endParaRPr lang="es-MX" sz="1100">
                <a:solidFill>
                  <a:schemeClr val="tx1">
                    <a:lumMod val="75000"/>
                    <a:lumOff val="25000"/>
                  </a:schemeClr>
                </a:solidFill>
                <a:effectLst/>
                <a:latin typeface="Arial" pitchFamily="34" charset="0"/>
                <a:ea typeface="MS PGothic" pitchFamily="34" charset="-128"/>
                <a:cs typeface="Arial" pitchFamily="34" charset="0"/>
              </a:endParaRPr>
            </a:p>
            <a:p>
              <a:pPr marL="171450" indent="-171450" algn="l" defTabSz="1300163">
                <a:spcBef>
                  <a:spcPct val="20000"/>
                </a:spcBef>
                <a:buFontTx/>
                <a:buChar char="-"/>
              </a:pPr>
              <a:r>
                <a:rPr lang="es-MX" sz="1000" kern="1200">
                  <a:solidFill>
                    <a:schemeClr val="tx1">
                      <a:lumMod val="75000"/>
                      <a:lumOff val="25000"/>
                    </a:schemeClr>
                  </a:solidFill>
                  <a:latin typeface="Arial" pitchFamily="34" charset="0"/>
                  <a:ea typeface="MS PGothic" pitchFamily="34" charset="-128"/>
                  <a:cs typeface="Arial" pitchFamily="34" charset="0"/>
                </a:rPr>
                <a:t>Generalidades</a:t>
              </a:r>
            </a:p>
            <a:p>
              <a:pPr marL="171450" indent="-171450" algn="l"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Diseño de interfaz</a:t>
              </a:r>
            </a:p>
            <a:p>
              <a:pPr marL="171450" indent="-171450" algn="l" defTabSz="1300163">
                <a:spcBef>
                  <a:spcPct val="20000"/>
                </a:spcBef>
                <a:buFontTx/>
                <a:buChar char="-"/>
              </a:pPr>
              <a:r>
                <a:rPr lang="es-MX" sz="1000">
                  <a:solidFill>
                    <a:schemeClr val="tx1">
                      <a:lumMod val="75000"/>
                      <a:lumOff val="25000"/>
                    </a:schemeClr>
                  </a:solidFill>
                  <a:effectLst/>
                  <a:latin typeface="Arial" pitchFamily="34" charset="0"/>
                  <a:ea typeface="MS PGothic" pitchFamily="34" charset="-128"/>
                  <a:cs typeface="Arial" pitchFamily="34" charset="0"/>
                </a:rPr>
                <a:t>Casos de uso</a:t>
              </a:r>
            </a:p>
            <a:p>
              <a:pPr marL="171450" indent="-171450" algn="l" defTabSz="1300163">
                <a:spcBef>
                  <a:spcPct val="20000"/>
                </a:spcBef>
                <a:buFontTx/>
                <a:buChar char="-"/>
              </a:pPr>
              <a:r>
                <a:rPr lang="es-MX" sz="1000">
                  <a:solidFill>
                    <a:schemeClr val="tx1">
                      <a:lumMod val="75000"/>
                      <a:lumOff val="25000"/>
                    </a:schemeClr>
                  </a:solidFill>
                  <a:effectLst/>
                  <a:latin typeface="Arial" pitchFamily="34" charset="0"/>
                  <a:ea typeface="MS PGothic" pitchFamily="34" charset="-128"/>
                  <a:cs typeface="Arial" pitchFamily="34" charset="0"/>
                </a:rPr>
                <a:t>Documentación</a:t>
              </a:r>
              <a:r>
                <a:rPr lang="es-MX" sz="1000" baseline="0">
                  <a:solidFill>
                    <a:schemeClr val="tx1">
                      <a:lumMod val="75000"/>
                      <a:lumOff val="25000"/>
                    </a:schemeClr>
                  </a:solidFill>
                  <a:effectLst/>
                  <a:latin typeface="Arial" pitchFamily="34" charset="0"/>
                  <a:ea typeface="MS PGothic" pitchFamily="34" charset="-128"/>
                  <a:cs typeface="Arial" pitchFamily="34" charset="0"/>
                </a:rPr>
                <a:t> técnica</a:t>
              </a:r>
              <a:endParaRPr lang="es-MX" sz="1000">
                <a:solidFill>
                  <a:schemeClr val="tx1">
                    <a:lumMod val="75000"/>
                    <a:lumOff val="25000"/>
                  </a:schemeClr>
                </a:solidFill>
                <a:effectLst/>
                <a:latin typeface="Arial" pitchFamily="34" charset="0"/>
                <a:ea typeface="MS PGothic" pitchFamily="34" charset="-128"/>
                <a:cs typeface="Arial" pitchFamily="34" charset="0"/>
              </a:endParaRPr>
            </a:p>
            <a:p>
              <a:pPr algn="l" defTabSz="1300163">
                <a:spcBef>
                  <a:spcPct val="20000"/>
                </a:spcBef>
              </a:pPr>
              <a:endParaRPr lang="es-MX" sz="1100" kern="1200">
                <a:solidFill>
                  <a:schemeClr val="tx1">
                    <a:lumMod val="75000"/>
                    <a:lumOff val="25000"/>
                  </a:schemeClr>
                </a:solidFill>
                <a:effectLst/>
                <a:latin typeface="Arial"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pitchFamily="34" charset="0"/>
                  <a:ea typeface="MS PGothic" pitchFamily="34" charset="-128"/>
                  <a:cs typeface="Arial" pitchFamily="34" charset="0"/>
                </a:rPr>
                <a:t>Arquitectura de BD</a:t>
              </a:r>
            </a:p>
            <a:p>
              <a:pPr marL="171450" indent="-171450" algn="l"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Diagrama de arquitectura</a:t>
              </a:r>
            </a:p>
            <a:p>
              <a:pPr marL="171450" indent="-171450" algn="l"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Diagrama relacional</a:t>
              </a:r>
            </a:p>
            <a:p>
              <a:pPr marL="171450" indent="-171450" algn="l"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Diccionario de datos</a:t>
              </a:r>
            </a:p>
            <a:p>
              <a:pPr marL="171450" indent="-171450" algn="l" defTabSz="1300163">
                <a:spcBef>
                  <a:spcPct val="20000"/>
                </a:spcBef>
                <a:buFontTx/>
                <a:buChar char="-"/>
              </a:pPr>
              <a:endParaRPr lang="es-MX" sz="1000">
                <a:solidFill>
                  <a:schemeClr val="tx1">
                    <a:lumMod val="75000"/>
                    <a:lumOff val="25000"/>
                  </a:schemeClr>
                </a:solidFill>
                <a:latin typeface="Arial" pitchFamily="34" charset="0"/>
                <a:ea typeface="MS PGothic" pitchFamily="34" charset="-128"/>
                <a:cs typeface="Arial" pitchFamily="34" charset="0"/>
              </a:endParaRPr>
            </a:p>
            <a:p>
              <a:pPr marL="171450" indent="-171450" algn="l" defTabSz="1300163">
                <a:spcBef>
                  <a:spcPct val="20000"/>
                </a:spcBef>
                <a:buFontTx/>
                <a:buChar char="-"/>
              </a:pPr>
              <a:endParaRPr lang="es-MX" sz="1000">
                <a:solidFill>
                  <a:schemeClr val="tx1">
                    <a:lumMod val="75000"/>
                    <a:lumOff val="25000"/>
                  </a:schemeClr>
                </a:solidFill>
                <a:effectLst/>
                <a:latin typeface="Arial" pitchFamily="34" charset="0"/>
                <a:ea typeface="MS PGothic" pitchFamily="34" charset="-128"/>
                <a:cs typeface="Arial" pitchFamily="34" charset="0"/>
              </a:endParaRPr>
            </a:p>
            <a:p>
              <a:pPr marL="171450" indent="-171450" algn="l" defTabSz="1300163">
                <a:spcBef>
                  <a:spcPct val="20000"/>
                </a:spcBef>
                <a:buFontTx/>
                <a:buChar char="-"/>
              </a:pPr>
              <a:endParaRPr lang="es-MX" sz="1000">
                <a:solidFill>
                  <a:schemeClr val="tx1">
                    <a:lumMod val="75000"/>
                    <a:lumOff val="25000"/>
                  </a:schemeClr>
                </a:solidFill>
                <a:latin typeface="Arial" pitchFamily="34" charset="0"/>
                <a:ea typeface="MS PGothic" pitchFamily="34" charset="-128"/>
                <a:cs typeface="Arial" pitchFamily="34" charset="0"/>
              </a:endParaRPr>
            </a:p>
            <a:p>
              <a:pPr algn="l" defTabSz="1300163">
                <a:spcBef>
                  <a:spcPct val="20000"/>
                </a:spcBef>
              </a:pPr>
              <a:endParaRPr lang="es-MX" sz="1000">
                <a:solidFill>
                  <a:schemeClr val="tx1">
                    <a:lumMod val="75000"/>
                    <a:lumOff val="25000"/>
                  </a:schemeClr>
                </a:solidFill>
                <a:effectLst/>
                <a:latin typeface="Arial" pitchFamily="34" charset="0"/>
                <a:ea typeface="MS PGothic" pitchFamily="34" charset="-128"/>
                <a:cs typeface="Arial" pitchFamily="34" charset="0"/>
              </a:endParaRPr>
            </a:p>
          </xdr:txBody>
        </xdr:sp>
        <xdr:sp macro="" textlink="">
          <xdr:nvSpPr>
            <xdr:cNvPr id="16" name="43 Rectángulo redondeado">
              <a:extLst>
                <a:ext uri="{FF2B5EF4-FFF2-40B4-BE49-F238E27FC236}">
                  <a16:creationId xmlns:a16="http://schemas.microsoft.com/office/drawing/2014/main" id="{00000000-0008-0000-0000-000010000000}"/>
                </a:ext>
              </a:extLst>
            </xdr:cNvPr>
            <xdr:cNvSpPr/>
          </xdr:nvSpPr>
          <xdr:spPr>
            <a:xfrm>
              <a:off x="2451767" y="2368890"/>
              <a:ext cx="2084607" cy="4176464"/>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defTabSz="1300163">
                <a:spcBef>
                  <a:spcPct val="20000"/>
                </a:spcBef>
              </a:pPr>
              <a:r>
                <a:rPr lang="es-MX" sz="1100">
                  <a:solidFill>
                    <a:schemeClr val="tx1">
                      <a:lumMod val="75000"/>
                      <a:lumOff val="25000"/>
                    </a:schemeClr>
                  </a:solidFill>
                  <a:latin typeface="Arial" pitchFamily="34" charset="0"/>
                  <a:ea typeface="MS PGothic" pitchFamily="34" charset="-128"/>
                  <a:cs typeface="Arial" pitchFamily="34" charset="0"/>
                </a:rPr>
                <a:t>Componentes</a:t>
              </a:r>
            </a:p>
            <a:p>
              <a:pPr marL="171450" indent="-171450"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Construcción</a:t>
              </a:r>
            </a:p>
            <a:p>
              <a:pPr defTabSz="1300163">
                <a:spcBef>
                  <a:spcPct val="20000"/>
                </a:spcBef>
              </a:pPr>
              <a:endParaRPr lang="es-MX" sz="1100">
                <a:solidFill>
                  <a:schemeClr val="tx1">
                    <a:lumMod val="75000"/>
                    <a:lumOff val="25000"/>
                  </a:schemeClr>
                </a:solidFill>
                <a:latin typeface="Arial" pitchFamily="34" charset="0"/>
                <a:ea typeface="MS PGothic" pitchFamily="34" charset="-128"/>
                <a:cs typeface="Arial" pitchFamily="34" charset="0"/>
              </a:endParaRPr>
            </a:p>
            <a:p>
              <a:pPr defTabSz="1300163">
                <a:spcBef>
                  <a:spcPct val="20000"/>
                </a:spcBef>
              </a:pPr>
              <a:r>
                <a:rPr lang="es-MX" sz="1100" kern="1200">
                  <a:solidFill>
                    <a:schemeClr val="tx1">
                      <a:lumMod val="75000"/>
                      <a:lumOff val="25000"/>
                    </a:schemeClr>
                  </a:solidFill>
                  <a:latin typeface="Arial" pitchFamily="34" charset="0"/>
                  <a:ea typeface="MS PGothic" pitchFamily="34" charset="-128"/>
                  <a:cs typeface="Arial" pitchFamily="34" charset="0"/>
                </a:rPr>
                <a:t>Casos de prueba de aceptación</a:t>
              </a:r>
            </a:p>
          </xdr:txBody>
        </xdr:sp>
        <xdr:sp macro="" textlink="">
          <xdr:nvSpPr>
            <xdr:cNvPr id="17" name="44 Rectángulo redondeado">
              <a:extLst>
                <a:ext uri="{FF2B5EF4-FFF2-40B4-BE49-F238E27FC236}">
                  <a16:creationId xmlns:a16="http://schemas.microsoft.com/office/drawing/2014/main" id="{00000000-0008-0000-0000-000011000000}"/>
                </a:ext>
              </a:extLst>
            </xdr:cNvPr>
            <xdr:cNvSpPr/>
          </xdr:nvSpPr>
          <xdr:spPr>
            <a:xfrm>
              <a:off x="4631373" y="2373082"/>
              <a:ext cx="2099542" cy="4172272"/>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defTabSz="1300163">
                <a:spcBef>
                  <a:spcPct val="20000"/>
                </a:spcBef>
              </a:pPr>
              <a:r>
                <a:rPr lang="es-MX" sz="1100">
                  <a:solidFill>
                    <a:schemeClr val="tx1">
                      <a:lumMod val="75000"/>
                      <a:lumOff val="25000"/>
                    </a:schemeClr>
                  </a:solidFill>
                  <a:latin typeface="Arial" pitchFamily="34" charset="0"/>
                  <a:ea typeface="MS PGothic" pitchFamily="34" charset="-128"/>
                  <a:cs typeface="Arial" pitchFamily="34" charset="0"/>
                </a:rPr>
                <a:t>Documentación</a:t>
              </a:r>
            </a:p>
            <a:p>
              <a:pPr marL="171450" indent="-171450"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Manual de usuario</a:t>
              </a:r>
            </a:p>
            <a:p>
              <a:pPr marL="171450" indent="-171450"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Manual de operación</a:t>
              </a:r>
            </a:p>
            <a:p>
              <a:pPr marL="171450" indent="-171450" defTabSz="1300163">
                <a:spcBef>
                  <a:spcPct val="20000"/>
                </a:spcBef>
                <a:buFontTx/>
                <a:buChar char="-"/>
              </a:pPr>
              <a:r>
                <a:rPr lang="es-MX" sz="1000" kern="1200">
                  <a:solidFill>
                    <a:schemeClr val="tx1">
                      <a:lumMod val="75000"/>
                      <a:lumOff val="25000"/>
                    </a:schemeClr>
                  </a:solidFill>
                  <a:latin typeface="Arial" pitchFamily="34" charset="0"/>
                  <a:ea typeface="MS PGothic" pitchFamily="34" charset="-128"/>
                  <a:cs typeface="Arial" pitchFamily="34" charset="0"/>
                </a:rPr>
                <a:t>Manual de mtto.</a:t>
              </a:r>
            </a:p>
            <a:p>
              <a:pPr marL="171450" indent="-171450" defTabSz="1300163">
                <a:spcBef>
                  <a:spcPct val="20000"/>
                </a:spcBef>
                <a:buFontTx/>
                <a:buChar char="-"/>
              </a:pPr>
              <a:r>
                <a:rPr lang="es-MX" sz="1000">
                  <a:solidFill>
                    <a:schemeClr val="tx1">
                      <a:lumMod val="75000"/>
                      <a:lumOff val="25000"/>
                    </a:schemeClr>
                  </a:solidFill>
                  <a:latin typeface="Arial" pitchFamily="34" charset="0"/>
                  <a:ea typeface="MS PGothic" pitchFamily="34" charset="-128"/>
                  <a:cs typeface="Arial" pitchFamily="34" charset="0"/>
                </a:rPr>
                <a:t>Registro de rastreo</a:t>
              </a:r>
            </a:p>
            <a:p>
              <a:pPr defTabSz="1300163">
                <a:spcBef>
                  <a:spcPct val="20000"/>
                </a:spcBef>
              </a:pPr>
              <a:endParaRPr lang="es-MX" sz="1100">
                <a:solidFill>
                  <a:schemeClr val="tx1">
                    <a:lumMod val="75000"/>
                    <a:lumOff val="25000"/>
                  </a:schemeClr>
                </a:solidFill>
                <a:latin typeface="Arial" pitchFamily="34" charset="0"/>
                <a:ea typeface="MS PGothic" pitchFamily="34" charset="-128"/>
                <a:cs typeface="Arial" pitchFamily="34" charset="0"/>
              </a:endParaRPr>
            </a:p>
            <a:p>
              <a:pPr defTabSz="1300163">
                <a:spcBef>
                  <a:spcPct val="20000"/>
                </a:spcBef>
              </a:pPr>
              <a:r>
                <a:rPr lang="es-MX" sz="1100">
                  <a:solidFill>
                    <a:schemeClr val="tx1">
                      <a:lumMod val="75000"/>
                      <a:lumOff val="25000"/>
                    </a:schemeClr>
                  </a:solidFill>
                  <a:latin typeface="Arial" pitchFamily="34" charset="0"/>
                  <a:ea typeface="MS PGothic" pitchFamily="34" charset="-128"/>
                  <a:cs typeface="Arial" pitchFamily="34" charset="0"/>
                </a:rPr>
                <a:t>Reporte de pruebas de integración</a:t>
              </a:r>
            </a:p>
            <a:p>
              <a:pPr marL="342900" indent="-342900" algn="l" defTabSz="1300163">
                <a:spcBef>
                  <a:spcPct val="20000"/>
                </a:spcBef>
                <a:buFont typeface="Arial" pitchFamily="34" charset="0"/>
                <a:buChar char="•"/>
              </a:pPr>
              <a:endParaRPr lang="es-MX" sz="900">
                <a:solidFill>
                  <a:schemeClr val="tx1">
                    <a:lumMod val="75000"/>
                    <a:lumOff val="25000"/>
                  </a:schemeClr>
                </a:solidFill>
                <a:effectLst/>
                <a:latin typeface="Arial" pitchFamily="34" charset="0"/>
                <a:ea typeface="MS PGothic" pitchFamily="34" charset="-128"/>
                <a:cs typeface="Arial" pitchFamily="34" charset="0"/>
              </a:endParaRPr>
            </a:p>
            <a:p>
              <a:pPr marL="342900" indent="-342900" algn="l" defTabSz="1300163">
                <a:spcBef>
                  <a:spcPct val="20000"/>
                </a:spcBef>
                <a:buFont typeface="Arial" pitchFamily="34" charset="0"/>
                <a:buChar char="•"/>
              </a:pPr>
              <a:endParaRPr lang="es-MX" sz="900">
                <a:solidFill>
                  <a:schemeClr val="tx1">
                    <a:lumMod val="75000"/>
                    <a:lumOff val="25000"/>
                  </a:schemeClr>
                </a:solidFill>
                <a:effectLst/>
                <a:latin typeface="Arial" pitchFamily="34" charset="0"/>
                <a:ea typeface="MS PGothic" pitchFamily="34" charset="-128"/>
                <a:cs typeface="Arial" pitchFamily="34" charset="0"/>
              </a:endParaRPr>
            </a:p>
          </xdr:txBody>
        </xdr:sp>
      </xdr:grpSp>
      <xdr:sp macro="" textlink="">
        <xdr:nvSpPr>
          <xdr:cNvPr id="9" name="45 Rectángulo redondeado">
            <a:extLst>
              <a:ext uri="{FF2B5EF4-FFF2-40B4-BE49-F238E27FC236}">
                <a16:creationId xmlns:a16="http://schemas.microsoft.com/office/drawing/2014/main" id="{00000000-0008-0000-0000-000009000000}"/>
              </a:ext>
            </a:extLst>
          </xdr:cNvPr>
          <xdr:cNvSpPr/>
        </xdr:nvSpPr>
        <xdr:spPr>
          <a:xfrm>
            <a:off x="6889749" y="21007913"/>
            <a:ext cx="2151915" cy="4497920"/>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defTabSz="1300163">
              <a:spcBef>
                <a:spcPct val="20000"/>
              </a:spcBef>
            </a:pPr>
            <a:r>
              <a:rPr lang="es-MX" sz="1100">
                <a:solidFill>
                  <a:schemeClr val="tx1">
                    <a:lumMod val="75000"/>
                    <a:lumOff val="25000"/>
                  </a:schemeClr>
                </a:solidFill>
                <a:latin typeface="Arial" pitchFamily="34" charset="0"/>
                <a:ea typeface="MS PGothic" pitchFamily="34" charset="-128"/>
                <a:cs typeface="Arial" pitchFamily="34" charset="0"/>
              </a:rPr>
              <a:t>Reporte de pruebas de aceptación</a:t>
            </a:r>
          </a:p>
          <a:p>
            <a:pPr algn="l" defTabSz="1300163">
              <a:spcBef>
                <a:spcPct val="20000"/>
              </a:spcBef>
            </a:pPr>
            <a:endParaRPr lang="es-MX" sz="800">
              <a:solidFill>
                <a:schemeClr val="tx1">
                  <a:lumMod val="75000"/>
                  <a:lumOff val="25000"/>
                </a:schemeClr>
              </a:solidFill>
              <a:effectLst/>
              <a:latin typeface="Arial"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pitchFamily="34" charset="0"/>
                <a:ea typeface="MS PGothic" pitchFamily="34" charset="-128"/>
                <a:cs typeface="Arial" pitchFamily="34" charset="0"/>
              </a:rPr>
              <a:t>Lista  de asistencia</a:t>
            </a:r>
            <a:r>
              <a:rPr lang="es-MX" sz="1100" baseline="0">
                <a:solidFill>
                  <a:schemeClr val="tx1">
                    <a:lumMod val="75000"/>
                    <a:lumOff val="25000"/>
                  </a:schemeClr>
                </a:solidFill>
                <a:effectLst/>
                <a:latin typeface="Arial" pitchFamily="34" charset="0"/>
                <a:ea typeface="MS PGothic" pitchFamily="34" charset="-128"/>
                <a:cs typeface="Arial" pitchFamily="34" charset="0"/>
              </a:rPr>
              <a:t> de c</a:t>
            </a:r>
            <a:r>
              <a:rPr lang="es-MX" sz="1100">
                <a:solidFill>
                  <a:schemeClr val="tx1">
                    <a:lumMod val="75000"/>
                    <a:lumOff val="25000"/>
                  </a:schemeClr>
                </a:solidFill>
                <a:effectLst/>
                <a:latin typeface="Arial" pitchFamily="34" charset="0"/>
                <a:ea typeface="MS PGothic" pitchFamily="34" charset="-128"/>
                <a:cs typeface="Arial" pitchFamily="34" charset="0"/>
              </a:rPr>
              <a:t>apacitación a usuarios</a:t>
            </a:r>
          </a:p>
          <a:p>
            <a:pPr algn="l" defTabSz="1300163">
              <a:spcBef>
                <a:spcPct val="20000"/>
              </a:spcBef>
            </a:pPr>
            <a:endParaRPr lang="es-MX" sz="1100">
              <a:solidFill>
                <a:schemeClr val="tx1">
                  <a:lumMod val="75000"/>
                  <a:lumOff val="25000"/>
                </a:schemeClr>
              </a:solidFill>
              <a:effectLst/>
              <a:latin typeface="Arial"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pitchFamily="34" charset="0"/>
                <a:ea typeface="MS PGothic" pitchFamily="34" charset="-128"/>
                <a:cs typeface="Arial" pitchFamily="34" charset="0"/>
              </a:rPr>
              <a:t>Base de datos</a:t>
            </a:r>
          </a:p>
          <a:p>
            <a:pPr algn="l" defTabSz="1300163">
              <a:spcBef>
                <a:spcPct val="20000"/>
              </a:spcBef>
            </a:pPr>
            <a:endParaRPr lang="es-MX" sz="1100">
              <a:solidFill>
                <a:schemeClr val="tx1">
                  <a:lumMod val="75000"/>
                  <a:lumOff val="25000"/>
                </a:schemeClr>
              </a:solidFill>
              <a:effectLst/>
              <a:latin typeface="Arial"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pitchFamily="34" charset="0"/>
                <a:ea typeface="MS PGothic" pitchFamily="34" charset="-128"/>
                <a:cs typeface="Arial" pitchFamily="34" charset="0"/>
              </a:rPr>
              <a:t>Sistema compilado</a:t>
            </a:r>
          </a:p>
          <a:p>
            <a:pPr algn="l" defTabSz="1300163">
              <a:spcBef>
                <a:spcPct val="20000"/>
              </a:spcBef>
            </a:pPr>
            <a:endParaRPr lang="es-MX" sz="800">
              <a:solidFill>
                <a:schemeClr val="tx1">
                  <a:lumMod val="75000"/>
                  <a:lumOff val="25000"/>
                </a:schemeClr>
              </a:solidFill>
              <a:latin typeface="Arial"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latin typeface="Arial" pitchFamily="34" charset="0"/>
                <a:ea typeface="MS PGothic" pitchFamily="34" charset="-128"/>
                <a:cs typeface="Arial" pitchFamily="34" charset="0"/>
              </a:rPr>
              <a:t>Código</a:t>
            </a:r>
            <a:r>
              <a:rPr lang="es-MX" sz="1100" baseline="0">
                <a:solidFill>
                  <a:schemeClr val="tx1">
                    <a:lumMod val="75000"/>
                    <a:lumOff val="25000"/>
                  </a:schemeClr>
                </a:solidFill>
                <a:latin typeface="Arial" pitchFamily="34" charset="0"/>
                <a:ea typeface="MS PGothic" pitchFamily="34" charset="-128"/>
                <a:cs typeface="Arial" pitchFamily="34" charset="0"/>
              </a:rPr>
              <a:t> fuente </a:t>
            </a:r>
          </a:p>
          <a:p>
            <a:pPr algn="l" defTabSz="1300163">
              <a:spcBef>
                <a:spcPct val="20000"/>
              </a:spcBef>
            </a:pPr>
            <a:r>
              <a:rPr lang="es-MX" sz="1100" baseline="0">
                <a:solidFill>
                  <a:schemeClr val="tx1">
                    <a:lumMod val="75000"/>
                    <a:lumOff val="25000"/>
                  </a:schemeClr>
                </a:solidFill>
                <a:latin typeface="Arial" pitchFamily="34" charset="0"/>
                <a:ea typeface="MS PGothic" pitchFamily="34" charset="-128"/>
                <a:cs typeface="Arial" pitchFamily="34" charset="0"/>
              </a:rPr>
              <a:t>(después de pago final)</a:t>
            </a:r>
            <a:endParaRPr lang="es-MX" sz="1100">
              <a:solidFill>
                <a:schemeClr val="tx1">
                  <a:lumMod val="75000"/>
                  <a:lumOff val="25000"/>
                </a:schemeClr>
              </a:solidFill>
              <a:latin typeface="Arial" pitchFamily="34" charset="0"/>
              <a:ea typeface="MS PGothic" pitchFamily="34" charset="-128"/>
              <a:cs typeface="Arial" pitchFamily="34" charset="0"/>
            </a:endParaRPr>
          </a:p>
        </xdr:txBody>
      </xdr:sp>
    </xdr:grpSp>
    <xdr:clientData/>
  </xdr:twoCellAnchor>
  <xdr:twoCellAnchor editAs="oneCell">
    <xdr:from>
      <xdr:col>2</xdr:col>
      <xdr:colOff>4275666</xdr:colOff>
      <xdr:row>46</xdr:row>
      <xdr:rowOff>48488</xdr:rowOff>
    </xdr:from>
    <xdr:to>
      <xdr:col>3</xdr:col>
      <xdr:colOff>5292</xdr:colOff>
      <xdr:row>58</xdr:row>
      <xdr:rowOff>119640</xdr:rowOff>
    </xdr:to>
    <xdr:pic>
      <xdr:nvPicPr>
        <xdr:cNvPr id="11" name="Imagen 10" descr="Resultado de imagen para IOS">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04266" y="9049613"/>
          <a:ext cx="2006601" cy="2014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4113330</xdr:colOff>
      <xdr:row>30</xdr:row>
      <xdr:rowOff>21168</xdr:rowOff>
    </xdr:from>
    <xdr:to>
      <xdr:col>3</xdr:col>
      <xdr:colOff>1514</xdr:colOff>
      <xdr:row>41</xdr:row>
      <xdr:rowOff>152400</xdr:rowOff>
    </xdr:to>
    <xdr:pic>
      <xdr:nvPicPr>
        <xdr:cNvPr id="12" name="Imagen 11" descr="Resultado de imagen para android">
          <a:extLst>
            <a:ext uri="{FF2B5EF4-FFF2-40B4-BE49-F238E27FC236}">
              <a16:creationId xmlns:a16="http://schemas.microsoft.com/office/drawing/2014/main" id="{00000000-0008-0000-0000-00000C000000}"/>
            </a:ext>
          </a:extLst>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r="47459"/>
        <a:stretch/>
      </xdr:blipFill>
      <xdr:spPr bwMode="auto">
        <a:xfrm>
          <a:off x="4341930" y="6374343"/>
          <a:ext cx="2165159" cy="1912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253686</xdr:colOff>
      <xdr:row>13</xdr:row>
      <xdr:rowOff>105833</xdr:rowOff>
    </xdr:from>
    <xdr:to>
      <xdr:col>7</xdr:col>
      <xdr:colOff>477997</xdr:colOff>
      <xdr:row>26</xdr:row>
      <xdr:rowOff>0</xdr:rowOff>
    </xdr:to>
    <xdr:pic>
      <xdr:nvPicPr>
        <xdr:cNvPr id="18" name="Imagen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6762436" y="3206750"/>
          <a:ext cx="3494561" cy="195791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1876425</xdr:colOff>
      <xdr:row>3</xdr:row>
      <xdr:rowOff>26424</xdr:rowOff>
    </xdr:to>
    <xdr:pic>
      <xdr:nvPicPr>
        <xdr:cNvPr id="2" name="3 Imagen">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0"/>
          <a:ext cx="2028825" cy="597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624417</xdr:colOff>
      <xdr:row>0</xdr:row>
      <xdr:rowOff>0</xdr:rowOff>
    </xdr:from>
    <xdr:to>
      <xdr:col>11</xdr:col>
      <xdr:colOff>1184275</xdr:colOff>
      <xdr:row>2</xdr:row>
      <xdr:rowOff>162832</xdr:rowOff>
    </xdr:to>
    <xdr:pic>
      <xdr:nvPicPr>
        <xdr:cNvPr id="3" name="3 Imagen">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3185584" y="0"/>
          <a:ext cx="1185333" cy="5226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156633</xdr:colOff>
      <xdr:row>2</xdr:row>
      <xdr:rowOff>178824</xdr:rowOff>
    </xdr:to>
    <xdr:pic>
      <xdr:nvPicPr>
        <xdr:cNvPr id="4" name="3 Imagen">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417" y="0"/>
          <a:ext cx="2029883" cy="5598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463550</xdr:colOff>
      <xdr:row>2</xdr:row>
      <xdr:rowOff>178824</xdr:rowOff>
    </xdr:to>
    <xdr:pic>
      <xdr:nvPicPr>
        <xdr:cNvPr id="4" name="3 Imagen">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417" y="0"/>
          <a:ext cx="2029883" cy="5598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21</xdr:row>
          <xdr:rowOff>9525</xdr:rowOff>
        </xdr:from>
        <xdr:to>
          <xdr:col>10</xdr:col>
          <xdr:colOff>0</xdr:colOff>
          <xdr:row>53</xdr:row>
          <xdr:rowOff>66675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0</xdr:colOff>
      <xdr:row>0</xdr:row>
      <xdr:rowOff>0</xdr:rowOff>
    </xdr:from>
    <xdr:to>
      <xdr:col>2</xdr:col>
      <xdr:colOff>1913467</xdr:colOff>
      <xdr:row>2</xdr:row>
      <xdr:rowOff>178824</xdr:rowOff>
    </xdr:to>
    <xdr:pic>
      <xdr:nvPicPr>
        <xdr:cNvPr id="3" name="2 Imagen">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0"/>
          <a:ext cx="2027767" cy="5598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400050</xdr:colOff>
      <xdr:row>2</xdr:row>
      <xdr:rowOff>178824</xdr:rowOff>
    </xdr:to>
    <xdr:pic>
      <xdr:nvPicPr>
        <xdr:cNvPr id="4"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417" y="0"/>
          <a:ext cx="2029883" cy="5598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6</xdr:col>
      <xdr:colOff>971550</xdr:colOff>
      <xdr:row>2</xdr:row>
      <xdr:rowOff>178824</xdr:rowOff>
    </xdr:to>
    <xdr:pic>
      <xdr:nvPicPr>
        <xdr:cNvPr id="2" name="3 Imagen">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0"/>
          <a:ext cx="2028825" cy="5598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1730374</xdr:colOff>
      <xdr:row>3</xdr:row>
      <xdr:rowOff>16899</xdr:rowOff>
    </xdr:to>
    <xdr:pic>
      <xdr:nvPicPr>
        <xdr:cNvPr id="2" name="3 Imagen">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0"/>
          <a:ext cx="2035174" cy="6074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1099608</xdr:colOff>
      <xdr:row>3</xdr:row>
      <xdr:rowOff>26424</xdr:rowOff>
    </xdr:to>
    <xdr:pic>
      <xdr:nvPicPr>
        <xdr:cNvPr id="2" name="3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0"/>
          <a:ext cx="2033058" cy="61697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6.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J175"/>
  <sheetViews>
    <sheetView showGridLines="0" topLeftCell="A52" zoomScale="90" zoomScaleNormal="90" workbookViewId="0">
      <selection activeCell="C61" sqref="C61"/>
    </sheetView>
  </sheetViews>
  <sheetFormatPr baseColWidth="10" defaultColWidth="10" defaultRowHeight="12.75" outlineLevelRow="1" x14ac:dyDescent="0.2"/>
  <cols>
    <col min="1" max="2" width="1.7109375" style="3" customWidth="1"/>
    <col min="3" max="3" width="94.140625" style="1" customWidth="1"/>
    <col min="4" max="4" width="13.28515625" style="2" customWidth="1"/>
    <col min="5" max="5" width="12.5703125" style="2" customWidth="1"/>
    <col min="6" max="6" width="15.140625" style="2" customWidth="1"/>
    <col min="7" max="7" width="8.140625" style="3" bestFit="1" customWidth="1"/>
    <col min="8" max="10" width="10" style="3" customWidth="1"/>
    <col min="11" max="16384" width="10" style="3"/>
  </cols>
  <sheetData>
    <row r="1" spans="3:9" ht="15" customHeight="1" x14ac:dyDescent="0.2"/>
    <row r="2" spans="3:9" ht="15" customHeight="1" x14ac:dyDescent="0.2">
      <c r="C2" s="81" t="s">
        <v>0</v>
      </c>
    </row>
    <row r="3" spans="3:9" ht="15" customHeight="1" x14ac:dyDescent="0.2">
      <c r="C3" s="79" t="s">
        <v>289</v>
      </c>
      <c r="I3" s="6"/>
    </row>
    <row r="4" spans="3:9" ht="1.5" customHeight="1" x14ac:dyDescent="0.2">
      <c r="C4" s="78"/>
    </row>
    <row r="5" spans="3:9" ht="15" customHeight="1" x14ac:dyDescent="0.2">
      <c r="C5" s="80" t="s">
        <v>519</v>
      </c>
      <c r="I5" s="6"/>
    </row>
    <row r="6" spans="3:9" x14ac:dyDescent="0.2">
      <c r="C6" s="9"/>
      <c r="E6" s="9"/>
      <c r="F6" s="9"/>
      <c r="G6" s="10"/>
    </row>
    <row r="7" spans="3:9" x14ac:dyDescent="0.2">
      <c r="C7" s="9" t="s">
        <v>3</v>
      </c>
      <c r="D7" s="11"/>
      <c r="E7" s="11"/>
      <c r="F7" s="11"/>
    </row>
    <row r="8" spans="3:9" ht="18" customHeight="1" x14ac:dyDescent="0.2"/>
    <row r="9" spans="3:9" x14ac:dyDescent="0.2">
      <c r="C9" s="147" t="s">
        <v>4</v>
      </c>
    </row>
    <row r="10" spans="3:9" ht="89.25" outlineLevel="1" x14ac:dyDescent="0.2">
      <c r="C10" s="148" t="s">
        <v>477</v>
      </c>
    </row>
    <row r="12" spans="3:9" x14ac:dyDescent="0.2">
      <c r="C12" s="147" t="s">
        <v>508</v>
      </c>
    </row>
    <row r="13" spans="3:9" outlineLevel="1" x14ac:dyDescent="0.2">
      <c r="C13" s="383" t="s">
        <v>433</v>
      </c>
      <c r="D13" s="1"/>
      <c r="E13" s="1"/>
      <c r="F13" s="1"/>
    </row>
    <row r="14" spans="3:9" outlineLevel="1" x14ac:dyDescent="0.2">
      <c r="C14" s="384" t="s">
        <v>509</v>
      </c>
      <c r="D14" s="1"/>
      <c r="E14" s="1"/>
      <c r="F14" s="1"/>
    </row>
    <row r="15" spans="3:9" outlineLevel="1" x14ac:dyDescent="0.2">
      <c r="C15" s="384" t="s">
        <v>510</v>
      </c>
      <c r="D15" s="13"/>
      <c r="E15" s="13"/>
      <c r="F15" s="13"/>
    </row>
    <row r="16" spans="3:9" s="235" customFormat="1" outlineLevel="1" x14ac:dyDescent="0.2">
      <c r="C16" s="384" t="s">
        <v>435</v>
      </c>
      <c r="D16" s="136"/>
      <c r="E16" s="136"/>
      <c r="F16" s="136"/>
    </row>
    <row r="17" spans="3:6" outlineLevel="1" x14ac:dyDescent="0.2">
      <c r="C17" s="384" t="s">
        <v>516</v>
      </c>
    </row>
    <row r="18" spans="3:6" outlineLevel="1" x14ac:dyDescent="0.2">
      <c r="C18" s="384" t="s">
        <v>455</v>
      </c>
    </row>
    <row r="19" spans="3:6" outlineLevel="1" x14ac:dyDescent="0.2">
      <c r="C19" s="384" t="s">
        <v>511</v>
      </c>
    </row>
    <row r="20" spans="3:6" outlineLevel="1" x14ac:dyDescent="0.2">
      <c r="C20" s="384" t="s">
        <v>436</v>
      </c>
    </row>
    <row r="21" spans="3:6" outlineLevel="1" x14ac:dyDescent="0.2">
      <c r="C21" s="384" t="s">
        <v>76</v>
      </c>
    </row>
    <row r="22" spans="3:6" s="235" customFormat="1" outlineLevel="1" x14ac:dyDescent="0.2">
      <c r="C22" s="384" t="s">
        <v>517</v>
      </c>
      <c r="D22" s="193"/>
      <c r="E22" s="193"/>
      <c r="F22" s="193"/>
    </row>
    <row r="23" spans="3:6" s="235" customFormat="1" outlineLevel="1" x14ac:dyDescent="0.2">
      <c r="C23" s="384" t="s">
        <v>512</v>
      </c>
      <c r="D23" s="193"/>
      <c r="E23" s="193"/>
      <c r="F23" s="193"/>
    </row>
    <row r="24" spans="3:6" s="235" customFormat="1" outlineLevel="1" x14ac:dyDescent="0.2">
      <c r="C24" s="384" t="s">
        <v>454</v>
      </c>
      <c r="D24" s="193"/>
      <c r="E24" s="193"/>
      <c r="F24" s="193"/>
    </row>
    <row r="25" spans="3:6" s="235" customFormat="1" outlineLevel="1" x14ac:dyDescent="0.2">
      <c r="C25" s="384" t="s">
        <v>478</v>
      </c>
      <c r="D25" s="193"/>
      <c r="E25" s="193"/>
      <c r="F25" s="193"/>
    </row>
    <row r="26" spans="3:6" outlineLevel="1" x14ac:dyDescent="0.2">
      <c r="C26" s="385" t="s">
        <v>437</v>
      </c>
    </row>
    <row r="27" spans="3:6" s="194" customFormat="1" outlineLevel="1" x14ac:dyDescent="0.2">
      <c r="C27" s="184"/>
      <c r="D27" s="193"/>
      <c r="E27" s="193"/>
      <c r="F27" s="193"/>
    </row>
    <row r="28" spans="3:6" x14ac:dyDescent="0.2">
      <c r="C28" s="136"/>
      <c r="D28" s="1"/>
      <c r="E28" s="1"/>
      <c r="F28" s="1"/>
    </row>
    <row r="29" spans="3:6" s="235" customFormat="1" x14ac:dyDescent="0.2">
      <c r="C29" s="386" t="s">
        <v>495</v>
      </c>
      <c r="D29" s="193"/>
      <c r="E29" s="193"/>
      <c r="F29" s="193"/>
    </row>
    <row r="30" spans="3:6" s="235" customFormat="1" outlineLevel="1" x14ac:dyDescent="0.2">
      <c r="C30" s="384" t="s">
        <v>433</v>
      </c>
      <c r="D30" s="192"/>
      <c r="E30" s="192"/>
      <c r="F30" s="192"/>
    </row>
    <row r="31" spans="3:6" s="235" customFormat="1" outlineLevel="1" x14ac:dyDescent="0.2">
      <c r="C31" s="384" t="s">
        <v>509</v>
      </c>
      <c r="D31" s="192"/>
      <c r="E31" s="192"/>
      <c r="F31" s="192"/>
    </row>
    <row r="32" spans="3:6" s="235" customFormat="1" outlineLevel="1" x14ac:dyDescent="0.2">
      <c r="C32" s="387" t="s">
        <v>514</v>
      </c>
      <c r="D32" s="136"/>
      <c r="E32" s="136"/>
      <c r="F32" s="136"/>
    </row>
    <row r="33" spans="3:6" s="235" customFormat="1" outlineLevel="1" x14ac:dyDescent="0.2">
      <c r="C33" s="384" t="s">
        <v>496</v>
      </c>
      <c r="D33" s="136"/>
      <c r="E33" s="136"/>
      <c r="F33" s="136"/>
    </row>
    <row r="34" spans="3:6" s="235" customFormat="1" outlineLevel="1" x14ac:dyDescent="0.2">
      <c r="C34" s="384" t="s">
        <v>497</v>
      </c>
      <c r="D34" s="193"/>
      <c r="E34" s="193"/>
      <c r="F34" s="193"/>
    </row>
    <row r="35" spans="3:6" s="235" customFormat="1" outlineLevel="1" x14ac:dyDescent="0.2">
      <c r="C35" s="384" t="s">
        <v>455</v>
      </c>
      <c r="D35" s="193"/>
      <c r="E35" s="193"/>
      <c r="F35" s="193"/>
    </row>
    <row r="36" spans="3:6" s="235" customFormat="1" outlineLevel="1" x14ac:dyDescent="0.2">
      <c r="C36" s="384" t="s">
        <v>498</v>
      </c>
      <c r="D36" s="193"/>
      <c r="E36" s="193"/>
      <c r="F36" s="193"/>
    </row>
    <row r="37" spans="3:6" s="235" customFormat="1" ht="15" outlineLevel="1" x14ac:dyDescent="0.25">
      <c r="C37" s="384" t="s">
        <v>436</v>
      </c>
      <c r="D37"/>
      <c r="E37" s="193"/>
      <c r="F37" s="193"/>
    </row>
    <row r="38" spans="3:6" s="235" customFormat="1" ht="15" outlineLevel="1" x14ac:dyDescent="0.25">
      <c r="C38" s="384" t="s">
        <v>76</v>
      </c>
      <c r="D38" s="193"/>
      <c r="E38"/>
      <c r="F38" s="193"/>
    </row>
    <row r="39" spans="3:6" s="235" customFormat="1" outlineLevel="1" x14ac:dyDescent="0.2">
      <c r="C39" s="384" t="s">
        <v>499</v>
      </c>
      <c r="D39" s="193"/>
      <c r="E39" s="193"/>
      <c r="F39" s="193"/>
    </row>
    <row r="40" spans="3:6" s="235" customFormat="1" outlineLevel="1" x14ac:dyDescent="0.2">
      <c r="C40" s="384" t="s">
        <v>500</v>
      </c>
      <c r="D40" s="193"/>
      <c r="E40" s="193"/>
      <c r="F40" s="193"/>
    </row>
    <row r="41" spans="3:6" s="235" customFormat="1" outlineLevel="1" x14ac:dyDescent="0.2">
      <c r="C41" s="384" t="s">
        <v>515</v>
      </c>
      <c r="D41" s="193"/>
      <c r="E41" s="193"/>
      <c r="F41" s="193"/>
    </row>
    <row r="42" spans="3:6" s="235" customFormat="1" outlineLevel="1" x14ac:dyDescent="0.2">
      <c r="C42" s="384" t="s">
        <v>478</v>
      </c>
      <c r="D42" s="193"/>
      <c r="E42" s="193"/>
      <c r="F42" s="193"/>
    </row>
    <row r="43" spans="3:6" s="235" customFormat="1" outlineLevel="1" x14ac:dyDescent="0.2">
      <c r="C43" s="385" t="s">
        <v>437</v>
      </c>
      <c r="D43" s="193"/>
      <c r="E43" s="193"/>
      <c r="F43" s="193"/>
    </row>
    <row r="44" spans="3:6" s="235" customFormat="1" outlineLevel="1" x14ac:dyDescent="0.2">
      <c r="C44" s="184"/>
      <c r="D44" s="193"/>
      <c r="E44" s="193"/>
      <c r="F44" s="193"/>
    </row>
    <row r="45" spans="3:6" s="235" customFormat="1" x14ac:dyDescent="0.2">
      <c r="C45" s="386" t="s">
        <v>501</v>
      </c>
      <c r="D45" s="193"/>
      <c r="E45" s="193"/>
      <c r="F45" s="193"/>
    </row>
    <row r="46" spans="3:6" s="235" customFormat="1" outlineLevel="1" x14ac:dyDescent="0.2">
      <c r="C46" s="384" t="s">
        <v>433</v>
      </c>
      <c r="D46" s="192"/>
      <c r="E46" s="192"/>
      <c r="F46" s="192"/>
    </row>
    <row r="47" spans="3:6" s="235" customFormat="1" outlineLevel="1" x14ac:dyDescent="0.2">
      <c r="C47" s="384" t="s">
        <v>434</v>
      </c>
      <c r="D47" s="192"/>
      <c r="E47" s="192"/>
      <c r="F47" s="192"/>
    </row>
    <row r="48" spans="3:6" s="235" customFormat="1" outlineLevel="1" x14ac:dyDescent="0.2">
      <c r="C48" s="384" t="s">
        <v>502</v>
      </c>
      <c r="D48" s="136"/>
      <c r="E48" s="136"/>
      <c r="F48" s="136"/>
    </row>
    <row r="49" spans="3:6" s="235" customFormat="1" outlineLevel="1" x14ac:dyDescent="0.2">
      <c r="C49" s="384" t="s">
        <v>496</v>
      </c>
      <c r="D49" s="136"/>
      <c r="E49" s="136"/>
      <c r="F49" s="136"/>
    </row>
    <row r="50" spans="3:6" s="235" customFormat="1" outlineLevel="1" x14ac:dyDescent="0.2">
      <c r="C50" s="384" t="s">
        <v>497</v>
      </c>
      <c r="D50" s="193"/>
      <c r="E50" s="193"/>
      <c r="F50" s="193"/>
    </row>
    <row r="51" spans="3:6" s="235" customFormat="1" outlineLevel="1" x14ac:dyDescent="0.2">
      <c r="C51" s="384" t="s">
        <v>455</v>
      </c>
      <c r="D51" s="193"/>
      <c r="E51" s="193"/>
      <c r="F51" s="193"/>
    </row>
    <row r="52" spans="3:6" s="235" customFormat="1" outlineLevel="1" x14ac:dyDescent="0.2">
      <c r="C52" s="384" t="s">
        <v>498</v>
      </c>
      <c r="D52" s="193"/>
      <c r="E52" s="193"/>
      <c r="F52" s="193"/>
    </row>
    <row r="53" spans="3:6" s="235" customFormat="1" ht="15" outlineLevel="1" x14ac:dyDescent="0.25">
      <c r="C53" s="384" t="s">
        <v>436</v>
      </c>
      <c r="D53"/>
      <c r="E53"/>
      <c r="F53" s="193"/>
    </row>
    <row r="54" spans="3:6" s="235" customFormat="1" outlineLevel="1" x14ac:dyDescent="0.2">
      <c r="C54" s="384" t="s">
        <v>76</v>
      </c>
      <c r="D54" s="193"/>
      <c r="E54" s="193"/>
      <c r="F54" s="193"/>
    </row>
    <row r="55" spans="3:6" s="235" customFormat="1" outlineLevel="1" x14ac:dyDescent="0.2">
      <c r="C55" s="384" t="s">
        <v>499</v>
      </c>
      <c r="D55" s="193"/>
      <c r="E55" s="193"/>
      <c r="F55" s="193"/>
    </row>
    <row r="56" spans="3:6" s="235" customFormat="1" outlineLevel="1" x14ac:dyDescent="0.2">
      <c r="C56" s="384" t="s">
        <v>503</v>
      </c>
      <c r="D56" s="193"/>
      <c r="E56" s="193"/>
      <c r="F56" s="193"/>
    </row>
    <row r="57" spans="3:6" s="235" customFormat="1" outlineLevel="1" x14ac:dyDescent="0.2">
      <c r="C57" s="387" t="s">
        <v>504</v>
      </c>
      <c r="D57" s="193"/>
      <c r="E57" s="193"/>
      <c r="F57" s="193"/>
    </row>
    <row r="58" spans="3:6" s="235" customFormat="1" outlineLevel="1" x14ac:dyDescent="0.2">
      <c r="C58" s="384" t="s">
        <v>478</v>
      </c>
      <c r="D58" s="193"/>
      <c r="E58" s="193"/>
      <c r="F58" s="193"/>
    </row>
    <row r="59" spans="3:6" s="235" customFormat="1" outlineLevel="1" x14ac:dyDescent="0.2">
      <c r="C59" s="385" t="s">
        <v>437</v>
      </c>
      <c r="D59" s="193"/>
      <c r="E59" s="193"/>
      <c r="F59" s="193"/>
    </row>
    <row r="60" spans="3:6" s="235" customFormat="1" outlineLevel="1" x14ac:dyDescent="0.2">
      <c r="C60" s="184"/>
      <c r="D60" s="193"/>
      <c r="E60" s="193"/>
      <c r="F60" s="193"/>
    </row>
    <row r="61" spans="3:6" s="235" customFormat="1" x14ac:dyDescent="0.2">
      <c r="C61" s="136"/>
      <c r="D61" s="192"/>
      <c r="E61" s="192"/>
      <c r="F61" s="192"/>
    </row>
    <row r="62" spans="3:6" s="235" customFormat="1" x14ac:dyDescent="0.2">
      <c r="C62" s="136"/>
      <c r="D62" s="192"/>
      <c r="E62" s="192"/>
      <c r="F62" s="192"/>
    </row>
    <row r="63" spans="3:6" x14ac:dyDescent="0.2">
      <c r="C63" s="147" t="s">
        <v>438</v>
      </c>
    </row>
    <row r="64" spans="3:6" outlineLevel="1" x14ac:dyDescent="0.2">
      <c r="C64" s="148" t="s">
        <v>439</v>
      </c>
    </row>
    <row r="65" spans="3:6" outlineLevel="1" x14ac:dyDescent="0.2">
      <c r="C65" s="148" t="s">
        <v>440</v>
      </c>
    </row>
    <row r="66" spans="3:6" s="102" customFormat="1" outlineLevel="1" x14ac:dyDescent="0.2">
      <c r="C66" s="148" t="s">
        <v>441</v>
      </c>
      <c r="D66" s="2"/>
      <c r="E66" s="2"/>
      <c r="F66" s="2"/>
    </row>
    <row r="67" spans="3:6" s="235" customFormat="1" outlineLevel="1" x14ac:dyDescent="0.2">
      <c r="C67" s="148" t="s">
        <v>442</v>
      </c>
      <c r="D67" s="14"/>
      <c r="E67" s="193"/>
      <c r="F67" s="193"/>
    </row>
    <row r="68" spans="3:6" outlineLevel="1" x14ac:dyDescent="0.2">
      <c r="C68" s="148" t="s">
        <v>466</v>
      </c>
      <c r="D68" s="14"/>
    </row>
    <row r="69" spans="3:6" x14ac:dyDescent="0.2">
      <c r="C69" s="135"/>
      <c r="D69" s="14"/>
    </row>
    <row r="70" spans="3:6" s="235" customFormat="1" x14ac:dyDescent="0.2">
      <c r="C70" s="147" t="s">
        <v>443</v>
      </c>
      <c r="D70" s="193"/>
      <c r="E70" s="193"/>
      <c r="F70" s="193"/>
    </row>
    <row r="71" spans="3:6" s="235" customFormat="1" outlineLevel="1" x14ac:dyDescent="0.2">
      <c r="C71" s="148" t="s">
        <v>439</v>
      </c>
      <c r="D71" s="193"/>
      <c r="E71" s="193"/>
      <c r="F71" s="193"/>
    </row>
    <row r="72" spans="3:6" s="235" customFormat="1" outlineLevel="1" x14ac:dyDescent="0.2">
      <c r="C72" s="148" t="s">
        <v>440</v>
      </c>
      <c r="D72" s="193"/>
      <c r="E72" s="193"/>
      <c r="F72" s="193"/>
    </row>
    <row r="73" spans="3:6" s="235" customFormat="1" outlineLevel="1" x14ac:dyDescent="0.2">
      <c r="C73" s="148" t="s">
        <v>441</v>
      </c>
      <c r="D73" s="193"/>
      <c r="E73" s="193"/>
      <c r="F73" s="193"/>
    </row>
    <row r="74" spans="3:6" s="235" customFormat="1" outlineLevel="1" x14ac:dyDescent="0.2">
      <c r="C74" s="148" t="s">
        <v>442</v>
      </c>
      <c r="D74" s="14"/>
      <c r="E74" s="193"/>
      <c r="F74" s="193"/>
    </row>
    <row r="75" spans="3:6" s="235" customFormat="1" outlineLevel="1" x14ac:dyDescent="0.2">
      <c r="C75" s="148" t="s">
        <v>456</v>
      </c>
      <c r="D75" s="14"/>
      <c r="E75" s="193"/>
      <c r="F75" s="193"/>
    </row>
    <row r="76" spans="3:6" s="235" customFormat="1" x14ac:dyDescent="0.2">
      <c r="C76" s="135"/>
      <c r="D76" s="14"/>
      <c r="E76" s="193"/>
      <c r="F76" s="193"/>
    </row>
    <row r="77" spans="3:6" x14ac:dyDescent="0.2">
      <c r="C77" s="147" t="s">
        <v>444</v>
      </c>
    </row>
    <row r="78" spans="3:6" outlineLevel="1" x14ac:dyDescent="0.2">
      <c r="C78" s="371" t="s">
        <v>596</v>
      </c>
      <c r="D78" s="1"/>
      <c r="E78" s="1"/>
      <c r="F78" s="1"/>
    </row>
    <row r="79" spans="3:6" outlineLevel="1" x14ac:dyDescent="0.2">
      <c r="C79" s="148" t="s">
        <v>445</v>
      </c>
      <c r="D79" s="221"/>
    </row>
    <row r="80" spans="3:6" outlineLevel="1" x14ac:dyDescent="0.2">
      <c r="C80" s="148" t="s">
        <v>440</v>
      </c>
      <c r="D80" s="221"/>
    </row>
    <row r="81" spans="3:6" outlineLevel="1" x14ac:dyDescent="0.2">
      <c r="C81" s="148" t="s">
        <v>506</v>
      </c>
    </row>
    <row r="82" spans="3:6" outlineLevel="1" x14ac:dyDescent="0.2">
      <c r="C82" s="148" t="s">
        <v>457</v>
      </c>
    </row>
    <row r="83" spans="3:6" s="235" customFormat="1" outlineLevel="1" x14ac:dyDescent="0.2">
      <c r="C83" s="148" t="s">
        <v>446</v>
      </c>
      <c r="D83" s="221"/>
      <c r="E83" s="193"/>
      <c r="F83" s="193"/>
    </row>
    <row r="84" spans="3:6" s="235" customFormat="1" outlineLevel="1" x14ac:dyDescent="0.2">
      <c r="C84" s="148" t="s">
        <v>447</v>
      </c>
      <c r="D84" s="193"/>
      <c r="E84" s="193"/>
      <c r="F84" s="193"/>
    </row>
    <row r="85" spans="3:6" s="235" customFormat="1" outlineLevel="1" x14ac:dyDescent="0.2">
      <c r="C85" s="148" t="s">
        <v>458</v>
      </c>
      <c r="D85" s="193"/>
      <c r="E85" s="193"/>
      <c r="F85" s="193"/>
    </row>
    <row r="86" spans="3:6" x14ac:dyDescent="0.2">
      <c r="C86" s="136"/>
    </row>
    <row r="87" spans="3:6" s="102" customFormat="1" x14ac:dyDescent="0.2">
      <c r="C87" s="134" t="s">
        <v>5</v>
      </c>
      <c r="D87" s="2"/>
      <c r="E87" s="2"/>
      <c r="F87" s="2"/>
    </row>
    <row r="88" spans="3:6" s="102" customFormat="1" outlineLevel="1" x14ac:dyDescent="0.2">
      <c r="C88" s="147" t="s">
        <v>6</v>
      </c>
      <c r="D88" s="15"/>
      <c r="E88" s="15"/>
      <c r="F88" s="15"/>
    </row>
    <row r="89" spans="3:6" s="144" customFormat="1" ht="37.5" customHeight="1" outlineLevel="1" x14ac:dyDescent="0.2">
      <c r="C89" s="148" t="s">
        <v>263</v>
      </c>
      <c r="D89" s="15"/>
      <c r="E89" s="15"/>
      <c r="F89" s="15"/>
    </row>
    <row r="90" spans="3:6" s="102" customFormat="1" ht="25.5" outlineLevel="1" x14ac:dyDescent="0.2">
      <c r="C90" s="148" t="s">
        <v>254</v>
      </c>
      <c r="D90" s="2"/>
      <c r="E90" s="2"/>
      <c r="F90" s="2"/>
    </row>
    <row r="91" spans="3:6" s="235" customFormat="1" outlineLevel="1" x14ac:dyDescent="0.2">
      <c r="C91" s="148" t="s">
        <v>264</v>
      </c>
      <c r="D91" s="193"/>
      <c r="E91" s="193"/>
      <c r="F91" s="193"/>
    </row>
    <row r="92" spans="3:6" s="235" customFormat="1" ht="38.25" outlineLevel="1" x14ac:dyDescent="0.2">
      <c r="C92" s="148" t="s">
        <v>461</v>
      </c>
      <c r="D92" s="193"/>
      <c r="E92" s="193"/>
      <c r="F92" s="193"/>
    </row>
    <row r="93" spans="3:6" s="235" customFormat="1" ht="28.5" customHeight="1" outlineLevel="1" x14ac:dyDescent="0.2">
      <c r="C93" s="148" t="s">
        <v>462</v>
      </c>
      <c r="D93" s="193"/>
      <c r="E93" s="193"/>
      <c r="F93" s="193"/>
    </row>
    <row r="94" spans="3:6" s="102" customFormat="1" ht="28.5" customHeight="1" outlineLevel="1" x14ac:dyDescent="0.2">
      <c r="C94" s="148" t="s">
        <v>465</v>
      </c>
      <c r="D94" s="2"/>
      <c r="E94" s="2"/>
      <c r="F94" s="2"/>
    </row>
    <row r="95" spans="3:6" s="102" customFormat="1" ht="62.25" customHeight="1" outlineLevel="1" x14ac:dyDescent="0.2">
      <c r="C95" s="148" t="s">
        <v>479</v>
      </c>
      <c r="D95" s="2"/>
      <c r="E95" s="2"/>
      <c r="F95" s="2"/>
    </row>
    <row r="96" spans="3:6" s="102" customFormat="1" outlineLevel="1" x14ac:dyDescent="0.2">
      <c r="C96" s="145"/>
      <c r="D96" s="2"/>
      <c r="E96" s="2"/>
      <c r="F96" s="2"/>
    </row>
    <row r="97" spans="3:6" s="102" customFormat="1" outlineLevel="1" x14ac:dyDescent="0.2">
      <c r="C97" s="147" t="s">
        <v>7</v>
      </c>
      <c r="D97" s="138"/>
      <c r="E97" s="138"/>
      <c r="F97" s="138"/>
    </row>
    <row r="98" spans="3:6" s="102" customFormat="1" ht="38.25" outlineLevel="1" x14ac:dyDescent="0.2">
      <c r="C98" s="148" t="s">
        <v>330</v>
      </c>
      <c r="D98" s="15"/>
      <c r="E98" s="15"/>
      <c r="F98" s="15"/>
    </row>
    <row r="99" spans="3:6" s="102" customFormat="1" ht="25.5" outlineLevel="1" x14ac:dyDescent="0.2">
      <c r="C99" s="148" t="s">
        <v>325</v>
      </c>
      <c r="D99" s="15"/>
      <c r="E99" s="15"/>
      <c r="F99" s="15"/>
    </row>
    <row r="100" spans="3:6" s="102" customFormat="1" ht="25.5" outlineLevel="1" x14ac:dyDescent="0.2">
      <c r="C100" s="148" t="s">
        <v>326</v>
      </c>
      <c r="D100" s="138"/>
      <c r="E100" s="138"/>
      <c r="F100" s="138"/>
    </row>
    <row r="101" spans="3:6" s="102" customFormat="1" ht="38.25" outlineLevel="1" x14ac:dyDescent="0.2">
      <c r="C101" s="148" t="s">
        <v>493</v>
      </c>
      <c r="D101" s="2"/>
      <c r="E101" s="2"/>
      <c r="F101" s="2"/>
    </row>
    <row r="102" spans="3:6" s="102" customFormat="1" ht="51" outlineLevel="1" x14ac:dyDescent="0.2">
      <c r="C102" s="148" t="s">
        <v>331</v>
      </c>
      <c r="D102" s="2"/>
      <c r="E102" s="2"/>
      <c r="F102" s="2"/>
    </row>
    <row r="103" spans="3:6" s="102" customFormat="1" ht="25.5" outlineLevel="1" x14ac:dyDescent="0.2">
      <c r="C103" s="148" t="s">
        <v>327</v>
      </c>
      <c r="D103" s="2"/>
      <c r="E103" s="2"/>
      <c r="F103" s="2"/>
    </row>
    <row r="104" spans="3:6" s="102" customFormat="1" ht="51" outlineLevel="1" x14ac:dyDescent="0.2">
      <c r="C104" s="148" t="s">
        <v>328</v>
      </c>
      <c r="D104" s="2"/>
      <c r="E104" s="2"/>
      <c r="F104" s="2"/>
    </row>
    <row r="105" spans="3:6" s="235" customFormat="1" outlineLevel="1" x14ac:dyDescent="0.2">
      <c r="C105" s="148" t="s">
        <v>332</v>
      </c>
      <c r="D105" s="193"/>
      <c r="E105" s="193"/>
      <c r="F105" s="193"/>
    </row>
    <row r="106" spans="3:6" s="235" customFormat="1" ht="25.5" outlineLevel="1" x14ac:dyDescent="0.2">
      <c r="C106" s="148" t="s">
        <v>333</v>
      </c>
      <c r="D106" s="193"/>
      <c r="E106" s="193"/>
      <c r="F106" s="193"/>
    </row>
    <row r="107" spans="3:6" s="235" customFormat="1" ht="25.5" outlineLevel="1" x14ac:dyDescent="0.2">
      <c r="C107" s="148" t="s">
        <v>329</v>
      </c>
      <c r="D107" s="193"/>
      <c r="E107" s="193"/>
      <c r="F107" s="193"/>
    </row>
    <row r="108" spans="3:6" s="235" customFormat="1" outlineLevel="1" x14ac:dyDescent="0.2">
      <c r="C108" s="148" t="s">
        <v>507</v>
      </c>
      <c r="D108" s="193"/>
      <c r="E108" s="193"/>
      <c r="F108" s="193"/>
    </row>
    <row r="109" spans="3:6" s="235" customFormat="1" ht="25.5" outlineLevel="1" x14ac:dyDescent="0.2">
      <c r="C109" s="148" t="s">
        <v>468</v>
      </c>
      <c r="D109" s="193"/>
      <c r="E109" s="193"/>
      <c r="F109" s="193"/>
    </row>
    <row r="110" spans="3:6" s="235" customFormat="1" ht="25.5" outlineLevel="1" x14ac:dyDescent="0.2">
      <c r="C110" s="148" t="s">
        <v>448</v>
      </c>
      <c r="D110" s="193"/>
      <c r="E110" s="193"/>
      <c r="F110" s="193"/>
    </row>
    <row r="111" spans="3:6" s="102" customFormat="1" ht="25.5" outlineLevel="1" x14ac:dyDescent="0.2">
      <c r="C111" s="148" t="s">
        <v>449</v>
      </c>
      <c r="D111" s="2"/>
      <c r="E111" s="2"/>
      <c r="F111" s="2"/>
    </row>
    <row r="112" spans="3:6" s="235" customFormat="1" outlineLevel="1" x14ac:dyDescent="0.2">
      <c r="C112" s="184"/>
      <c r="D112" s="193"/>
      <c r="E112" s="193"/>
      <c r="F112" s="193"/>
    </row>
    <row r="113" spans="2:6" s="102" customFormat="1" outlineLevel="1" x14ac:dyDescent="0.2">
      <c r="C113" s="184"/>
      <c r="D113" s="2"/>
      <c r="E113" s="2"/>
      <c r="F113" s="2"/>
    </row>
    <row r="114" spans="2:6" s="235" customFormat="1" outlineLevel="1" x14ac:dyDescent="0.2">
      <c r="C114" s="147" t="s">
        <v>345</v>
      </c>
      <c r="D114" s="138"/>
      <c r="E114" s="138"/>
      <c r="F114" s="138"/>
    </row>
    <row r="115" spans="2:6" s="235" customFormat="1" outlineLevel="1" x14ac:dyDescent="0.2">
      <c r="C115" s="148" t="s">
        <v>346</v>
      </c>
      <c r="D115" s="15"/>
      <c r="E115" s="15"/>
      <c r="F115" s="15"/>
    </row>
    <row r="116" spans="2:6" s="235" customFormat="1" outlineLevel="1" x14ac:dyDescent="0.2">
      <c r="C116" s="148" t="s">
        <v>347</v>
      </c>
      <c r="D116" s="15"/>
      <c r="E116" s="15"/>
      <c r="F116" s="15"/>
    </row>
    <row r="117" spans="2:6" s="235" customFormat="1" outlineLevel="1" x14ac:dyDescent="0.2">
      <c r="C117" s="148" t="s">
        <v>348</v>
      </c>
      <c r="D117" s="138"/>
      <c r="E117" s="138"/>
      <c r="F117" s="138"/>
    </row>
    <row r="118" spans="2:6" s="235" customFormat="1" outlineLevel="1" x14ac:dyDescent="0.2">
      <c r="C118" s="148" t="s">
        <v>349</v>
      </c>
      <c r="D118" s="193"/>
      <c r="E118" s="193"/>
      <c r="F118" s="193"/>
    </row>
    <row r="119" spans="2:6" s="235" customFormat="1" outlineLevel="1" x14ac:dyDescent="0.2">
      <c r="C119" s="148" t="s">
        <v>350</v>
      </c>
      <c r="D119" s="193"/>
      <c r="E119" s="193"/>
      <c r="F119" s="193"/>
    </row>
    <row r="120" spans="2:6" s="102" customFormat="1" x14ac:dyDescent="0.2">
      <c r="C120" s="133"/>
      <c r="D120" s="2"/>
      <c r="E120" s="2"/>
      <c r="F120" s="2"/>
    </row>
    <row r="121" spans="2:6" s="102" customFormat="1" ht="12.75" customHeight="1" collapsed="1" x14ac:dyDescent="0.25">
      <c r="C121" s="134" t="s">
        <v>255</v>
      </c>
      <c r="D121" s="16"/>
      <c r="E121" s="17"/>
    </row>
    <row r="122" spans="2:6" s="102" customFormat="1" ht="12.75" hidden="1" customHeight="1" outlineLevel="1" x14ac:dyDescent="0.3">
      <c r="B122" s="6"/>
      <c r="C122" s="145" t="s">
        <v>256</v>
      </c>
      <c r="D122" s="16"/>
      <c r="E122" s="18"/>
    </row>
    <row r="123" spans="2:6" s="102" customFormat="1" ht="12.75" hidden="1" customHeight="1" outlineLevel="1" x14ac:dyDescent="0.25">
      <c r="B123" s="6"/>
      <c r="C123" s="145" t="s">
        <v>8</v>
      </c>
      <c r="D123" s="16"/>
      <c r="E123" s="17"/>
    </row>
    <row r="124" spans="2:6" s="102" customFormat="1" ht="12.75" hidden="1" customHeight="1" outlineLevel="1" x14ac:dyDescent="0.25">
      <c r="B124" s="82"/>
      <c r="C124" s="145" t="s">
        <v>313</v>
      </c>
      <c r="D124" s="16"/>
      <c r="E124" s="17"/>
    </row>
    <row r="125" spans="2:6" s="102" customFormat="1" ht="12.75" hidden="1" customHeight="1" outlineLevel="1" x14ac:dyDescent="0.3">
      <c r="B125" s="82"/>
      <c r="C125" s="145" t="s">
        <v>312</v>
      </c>
      <c r="D125" s="16"/>
      <c r="E125" s="18"/>
    </row>
    <row r="126" spans="2:6" s="102" customFormat="1" ht="12.75" hidden="1" customHeight="1" outlineLevel="1" x14ac:dyDescent="0.3">
      <c r="B126" s="82"/>
      <c r="C126" s="145" t="s">
        <v>314</v>
      </c>
      <c r="D126" s="16"/>
      <c r="E126" s="18"/>
    </row>
    <row r="127" spans="2:6" s="102" customFormat="1" ht="12.75" hidden="1" customHeight="1" outlineLevel="1" x14ac:dyDescent="0.3">
      <c r="B127" s="82"/>
      <c r="C127" s="145" t="s">
        <v>315</v>
      </c>
      <c r="D127" s="16"/>
      <c r="E127" s="18"/>
    </row>
    <row r="128" spans="2:6" s="102" customFormat="1" ht="12.75" hidden="1" customHeight="1" outlineLevel="1" x14ac:dyDescent="0.3">
      <c r="B128" s="82"/>
      <c r="C128" s="145" t="s">
        <v>243</v>
      </c>
      <c r="D128" s="16"/>
      <c r="E128" s="18"/>
    </row>
    <row r="129" spans="1:10" s="102" customFormat="1" ht="12.75" hidden="1" customHeight="1" outlineLevel="1" x14ac:dyDescent="0.3">
      <c r="B129" s="82"/>
      <c r="C129" s="145" t="s">
        <v>244</v>
      </c>
      <c r="D129" s="16"/>
      <c r="E129" s="18"/>
    </row>
    <row r="130" spans="1:10" s="2" customFormat="1" ht="12.75" hidden="1" customHeight="1" outlineLevel="1" x14ac:dyDescent="0.2">
      <c r="A130" s="102"/>
      <c r="B130" s="82"/>
      <c r="C130" s="145" t="s">
        <v>245</v>
      </c>
      <c r="G130" s="102"/>
      <c r="H130" s="102"/>
      <c r="I130" s="102"/>
      <c r="J130" s="102"/>
    </row>
    <row r="131" spans="1:10" s="2" customFormat="1" ht="12.75" hidden="1" customHeight="1" outlineLevel="1" x14ac:dyDescent="0.2">
      <c r="A131" s="102"/>
      <c r="B131" s="6"/>
      <c r="C131" s="145" t="s">
        <v>246</v>
      </c>
      <c r="G131" s="102"/>
      <c r="H131" s="102"/>
      <c r="I131" s="102"/>
      <c r="J131" s="102"/>
    </row>
    <row r="132" spans="1:10" s="102" customFormat="1" ht="12.75" hidden="1" customHeight="1" outlineLevel="1" x14ac:dyDescent="0.3">
      <c r="B132" s="6"/>
      <c r="C132" s="145" t="s">
        <v>247</v>
      </c>
      <c r="D132" s="16"/>
      <c r="E132" s="18"/>
    </row>
    <row r="133" spans="1:10" s="102" customFormat="1" ht="12.75" hidden="1" customHeight="1" outlineLevel="1" x14ac:dyDescent="0.3">
      <c r="B133" s="6"/>
      <c r="C133" s="145" t="s">
        <v>248</v>
      </c>
      <c r="D133" s="16"/>
      <c r="E133" s="18"/>
    </row>
    <row r="134" spans="1:10" s="102" customFormat="1" ht="12.75" hidden="1" customHeight="1" outlineLevel="1" x14ac:dyDescent="0.3">
      <c r="B134" s="6"/>
      <c r="C134" s="145"/>
      <c r="D134" s="16"/>
      <c r="E134" s="18"/>
    </row>
    <row r="135" spans="1:10" s="2" customFormat="1" ht="12.75" hidden="1" customHeight="1" outlineLevel="1" x14ac:dyDescent="0.2">
      <c r="A135" s="102"/>
      <c r="B135" s="6"/>
      <c r="C135" s="146" t="s">
        <v>77</v>
      </c>
      <c r="G135" s="102"/>
      <c r="H135" s="102"/>
      <c r="I135" s="102"/>
      <c r="J135" s="102"/>
    </row>
    <row r="175" spans="3:3" x14ac:dyDescent="0.2">
      <c r="C175" s="203"/>
    </row>
  </sheetData>
  <dataConsolidate/>
  <pageMargins left="0.87" right="0.64" top="0.35433070866141736" bottom="0.74803149606299213" header="0.12" footer="0.59055118110236227"/>
  <pageSetup scale="57" orientation="portrait" horizontalDpi="300" verticalDpi="300" r:id="rId1"/>
  <headerFooter alignWithMargins="0">
    <oddHeader>&amp;R</oddHead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1"/>
  <sheetViews>
    <sheetView showGridLines="0" workbookViewId="0">
      <selection activeCell="F47" sqref="F47"/>
    </sheetView>
  </sheetViews>
  <sheetFormatPr baseColWidth="10" defaultColWidth="10.85546875" defaultRowHeight="12.75" x14ac:dyDescent="0.2"/>
  <cols>
    <col min="1" max="1" width="3" style="311" customWidth="1"/>
    <col min="2" max="2" width="3.42578125" style="311" customWidth="1"/>
    <col min="3" max="3" width="37" style="311" bestFit="1" customWidth="1"/>
    <col min="4" max="4" width="19.7109375" style="311" customWidth="1"/>
    <col min="5" max="5" width="20" style="311" bestFit="1" customWidth="1"/>
    <col min="6" max="6" width="13.42578125" style="311" customWidth="1"/>
    <col min="7" max="7" width="23" style="311" customWidth="1"/>
    <col min="8" max="8" width="22" style="311" customWidth="1"/>
    <col min="9" max="9" width="7.28515625" style="311" bestFit="1" customWidth="1"/>
    <col min="10" max="10" width="13" style="311" bestFit="1" customWidth="1"/>
    <col min="11" max="16384" width="10.85546875" style="311"/>
  </cols>
  <sheetData>
    <row r="1" spans="1:10" x14ac:dyDescent="0.2">
      <c r="A1" s="235"/>
      <c r="B1" s="235"/>
      <c r="C1" s="235"/>
      <c r="D1" s="192"/>
      <c r="E1" s="192"/>
      <c r="F1" s="192"/>
      <c r="G1" s="192"/>
      <c r="H1" s="192"/>
      <c r="I1" s="193"/>
      <c r="J1" s="193"/>
    </row>
    <row r="2" spans="1:10" ht="15.75" x14ac:dyDescent="0.2">
      <c r="A2" s="235"/>
      <c r="B2" s="235"/>
      <c r="C2" s="235"/>
      <c r="D2" s="192"/>
      <c r="E2" s="192"/>
      <c r="F2" s="192"/>
      <c r="G2" s="192"/>
      <c r="H2" s="81" t="s">
        <v>0</v>
      </c>
      <c r="J2" s="193"/>
    </row>
    <row r="3" spans="1:10" ht="13.5" x14ac:dyDescent="0.2">
      <c r="A3" s="235"/>
      <c r="B3" s="235"/>
      <c r="C3" s="195"/>
      <c r="D3" s="195"/>
      <c r="E3" s="195"/>
      <c r="F3" s="195"/>
      <c r="G3" s="195"/>
      <c r="H3" s="79" t="str">
        <f>'Información proyecto'!C3</f>
        <v>Versión: 0.1</v>
      </c>
      <c r="J3" s="193"/>
    </row>
    <row r="4" spans="1:10" ht="1.5" customHeight="1" x14ac:dyDescent="0.2">
      <c r="A4" s="235"/>
      <c r="B4" s="235"/>
      <c r="C4" s="196"/>
      <c r="D4" s="196"/>
      <c r="E4" s="196"/>
      <c r="F4" s="196"/>
      <c r="G4" s="196"/>
      <c r="H4" s="196">
        <f>'Información proyecto'!C4</f>
        <v>0</v>
      </c>
      <c r="I4" s="337"/>
      <c r="J4" s="337"/>
    </row>
    <row r="5" spans="1:10" ht="13.5" x14ac:dyDescent="0.2">
      <c r="A5" s="235"/>
      <c r="B5" s="235"/>
      <c r="C5" s="195"/>
      <c r="D5" s="195"/>
      <c r="E5" s="195"/>
      <c r="F5" s="195"/>
      <c r="G5" s="195"/>
      <c r="H5" s="79" t="str">
        <f>'Información proyecto'!C5</f>
        <v>Proyecto: Generador de formatos</v>
      </c>
      <c r="J5" s="193"/>
    </row>
    <row r="6" spans="1:10" ht="13.5" x14ac:dyDescent="0.2">
      <c r="A6" s="235"/>
      <c r="B6" s="235"/>
      <c r="C6" s="235"/>
      <c r="D6" s="195"/>
      <c r="E6" s="195"/>
      <c r="F6" s="195"/>
      <c r="G6" s="195"/>
      <c r="H6" s="195"/>
      <c r="I6" s="193"/>
      <c r="J6" s="193"/>
    </row>
    <row r="7" spans="1:10" x14ac:dyDescent="0.2">
      <c r="A7" s="235"/>
      <c r="B7" s="235"/>
      <c r="C7" s="467" t="s">
        <v>353</v>
      </c>
      <c r="D7" s="467"/>
      <c r="E7" s="467"/>
      <c r="F7" s="467"/>
      <c r="G7" s="467"/>
      <c r="H7" s="467"/>
      <c r="I7" s="467"/>
      <c r="J7" s="467"/>
    </row>
    <row r="8" spans="1:10" ht="13.5" x14ac:dyDescent="0.25">
      <c r="A8" s="235"/>
      <c r="B8" s="235"/>
      <c r="C8" s="21"/>
      <c r="D8" s="197"/>
      <c r="E8" s="197"/>
      <c r="F8" s="197"/>
      <c r="G8" s="197"/>
      <c r="H8" s="197"/>
      <c r="I8" s="197"/>
      <c r="J8" s="235"/>
    </row>
    <row r="9" spans="1:10" x14ac:dyDescent="0.2">
      <c r="A9" s="235"/>
      <c r="B9" s="235"/>
      <c r="C9" s="476" t="s">
        <v>354</v>
      </c>
      <c r="D9" s="476"/>
      <c r="E9" s="476"/>
      <c r="F9" s="476"/>
      <c r="G9" s="476"/>
      <c r="H9" s="476"/>
      <c r="I9" s="235"/>
      <c r="J9" s="235"/>
    </row>
    <row r="11" spans="1:10" ht="15" x14ac:dyDescent="0.2">
      <c r="C11" s="497" t="s">
        <v>355</v>
      </c>
      <c r="D11" s="498"/>
      <c r="E11" s="498"/>
      <c r="F11" s="498"/>
      <c r="G11" s="498"/>
      <c r="H11" s="499"/>
    </row>
    <row r="12" spans="1:10" x14ac:dyDescent="0.2">
      <c r="C12" s="500" t="s">
        <v>356</v>
      </c>
      <c r="D12" s="501"/>
      <c r="E12" s="501"/>
      <c r="F12" s="501"/>
      <c r="G12" s="501"/>
      <c r="H12" s="502"/>
    </row>
    <row r="13" spans="1:10" x14ac:dyDescent="0.2">
      <c r="C13" s="500" t="s">
        <v>357</v>
      </c>
      <c r="D13" s="501"/>
      <c r="E13" s="501"/>
      <c r="F13" s="501"/>
      <c r="G13" s="501"/>
      <c r="H13" s="502"/>
    </row>
    <row r="14" spans="1:10" x14ac:dyDescent="0.2">
      <c r="C14" s="500" t="s">
        <v>358</v>
      </c>
      <c r="D14" s="501"/>
      <c r="E14" s="501"/>
      <c r="F14" s="501"/>
      <c r="G14" s="501"/>
      <c r="H14" s="502"/>
    </row>
    <row r="15" spans="1:10" x14ac:dyDescent="0.2">
      <c r="C15" s="500" t="s">
        <v>359</v>
      </c>
      <c r="D15" s="501"/>
      <c r="E15" s="501"/>
      <c r="F15" s="501"/>
      <c r="G15" s="501"/>
      <c r="H15" s="502"/>
    </row>
    <row r="16" spans="1:10" x14ac:dyDescent="0.2">
      <c r="C16" s="500" t="s">
        <v>360</v>
      </c>
      <c r="D16" s="501"/>
      <c r="E16" s="501"/>
      <c r="F16" s="501"/>
      <c r="G16" s="501"/>
      <c r="H16" s="502"/>
    </row>
    <row r="17" spans="3:8" x14ac:dyDescent="0.2">
      <c r="C17" s="500" t="s">
        <v>361</v>
      </c>
      <c r="D17" s="501"/>
      <c r="E17" s="501"/>
      <c r="F17" s="501"/>
      <c r="G17" s="501"/>
      <c r="H17" s="502"/>
    </row>
    <row r="18" spans="3:8" x14ac:dyDescent="0.2">
      <c r="C18" s="500" t="s">
        <v>362</v>
      </c>
      <c r="D18" s="501"/>
      <c r="E18" s="501"/>
      <c r="F18" s="501"/>
      <c r="G18" s="501"/>
      <c r="H18" s="502"/>
    </row>
    <row r="19" spans="3:8" x14ac:dyDescent="0.2">
      <c r="C19" s="500" t="s">
        <v>363</v>
      </c>
      <c r="D19" s="501"/>
      <c r="E19" s="501"/>
      <c r="F19" s="501"/>
      <c r="G19" s="501"/>
      <c r="H19" s="502"/>
    </row>
    <row r="20" spans="3:8" x14ac:dyDescent="0.2">
      <c r="C20" s="500" t="s">
        <v>364</v>
      </c>
      <c r="D20" s="501"/>
      <c r="E20" s="501"/>
      <c r="F20" s="501"/>
      <c r="G20" s="501"/>
      <c r="H20" s="502"/>
    </row>
    <row r="21" spans="3:8" x14ac:dyDescent="0.2">
      <c r="C21" s="312"/>
      <c r="D21" s="312"/>
      <c r="E21" s="312"/>
      <c r="F21" s="312"/>
      <c r="G21" s="312"/>
      <c r="H21" s="312"/>
    </row>
    <row r="23" spans="3:8" ht="15" x14ac:dyDescent="0.2">
      <c r="C23" s="313" t="s">
        <v>365</v>
      </c>
      <c r="D23" s="314">
        <v>20</v>
      </c>
      <c r="F23" s="255" t="s">
        <v>366</v>
      </c>
      <c r="G23" s="255" t="s">
        <v>367</v>
      </c>
      <c r="H23" s="255" t="s">
        <v>368</v>
      </c>
    </row>
    <row r="24" spans="3:8" x14ac:dyDescent="0.2">
      <c r="C24" s="313"/>
      <c r="F24" s="315">
        <v>50</v>
      </c>
      <c r="G24" s="277">
        <f>G27/1.075</f>
        <v>311.04651162790697</v>
      </c>
      <c r="H24" s="277">
        <f>G24*F24</f>
        <v>15552.325581395347</v>
      </c>
    </row>
    <row r="25" spans="3:8" ht="15.75" x14ac:dyDescent="0.2">
      <c r="C25" s="311" t="s">
        <v>369</v>
      </c>
      <c r="D25" s="252">
        <f>SUM(H46+H48)</f>
        <v>6687.5</v>
      </c>
      <c r="F25" s="315">
        <v>40</v>
      </c>
      <c r="G25" s="277">
        <f>G27/1.05</f>
        <v>318.45238095238096</v>
      </c>
      <c r="H25" s="277">
        <f>G25*F25</f>
        <v>12738.095238095239</v>
      </c>
    </row>
    <row r="26" spans="3:8" ht="15.75" x14ac:dyDescent="0.2">
      <c r="C26" s="311" t="s">
        <v>370</v>
      </c>
      <c r="D26" s="252">
        <f>D25*6</f>
        <v>40125</v>
      </c>
      <c r="F26" s="315">
        <v>30</v>
      </c>
      <c r="G26" s="277">
        <f>G27/1.025</f>
        <v>326.21951219512198</v>
      </c>
      <c r="H26" s="277">
        <f>G26*F26</f>
        <v>9786.5853658536598</v>
      </c>
    </row>
    <row r="27" spans="3:8" ht="15.75" x14ac:dyDescent="0.2">
      <c r="C27" s="311" t="s">
        <v>371</v>
      </c>
      <c r="D27" s="252">
        <f>D25*12</f>
        <v>80250</v>
      </c>
      <c r="F27" s="315">
        <f>D23</f>
        <v>20</v>
      </c>
      <c r="G27" s="277">
        <f>D47</f>
        <v>334.375</v>
      </c>
      <c r="H27" s="277">
        <f>G27*F27</f>
        <v>6687.5</v>
      </c>
    </row>
    <row r="28" spans="3:8" x14ac:dyDescent="0.2">
      <c r="D28" s="316"/>
    </row>
    <row r="29" spans="3:8" x14ac:dyDescent="0.2">
      <c r="E29" s="317"/>
      <c r="F29" s="318"/>
    </row>
    <row r="30" spans="3:8" ht="15" x14ac:dyDescent="0.2">
      <c r="C30" s="497" t="s">
        <v>380</v>
      </c>
      <c r="D30" s="498"/>
      <c r="E30" s="498"/>
      <c r="F30" s="498"/>
      <c r="G30" s="498"/>
      <c r="H30" s="499"/>
    </row>
    <row r="31" spans="3:8" ht="27" customHeight="1" x14ac:dyDescent="0.2">
      <c r="C31" s="494" t="s">
        <v>381</v>
      </c>
      <c r="D31" s="495"/>
      <c r="E31" s="495"/>
      <c r="F31" s="495"/>
      <c r="G31" s="495"/>
      <c r="H31" s="496"/>
    </row>
    <row r="32" spans="3:8" ht="27" customHeight="1" x14ac:dyDescent="0.2">
      <c r="C32" s="494" t="s">
        <v>382</v>
      </c>
      <c r="D32" s="495"/>
      <c r="E32" s="495"/>
      <c r="F32" s="495"/>
      <c r="G32" s="495"/>
      <c r="H32" s="496"/>
    </row>
    <row r="33" spans="3:10" x14ac:dyDescent="0.2">
      <c r="C33" s="494" t="s">
        <v>383</v>
      </c>
      <c r="D33" s="495"/>
      <c r="E33" s="495"/>
      <c r="F33" s="495"/>
      <c r="G33" s="495"/>
      <c r="H33" s="496"/>
    </row>
    <row r="34" spans="3:10" x14ac:dyDescent="0.2">
      <c r="C34" s="494" t="s">
        <v>384</v>
      </c>
      <c r="D34" s="495"/>
      <c r="E34" s="495"/>
      <c r="F34" s="495"/>
      <c r="G34" s="495"/>
      <c r="H34" s="496"/>
    </row>
    <row r="35" spans="3:10" x14ac:dyDescent="0.2">
      <c r="C35" s="494" t="s">
        <v>385</v>
      </c>
      <c r="D35" s="495"/>
      <c r="E35" s="495"/>
      <c r="F35" s="495"/>
      <c r="G35" s="495"/>
      <c r="H35" s="496"/>
    </row>
    <row r="36" spans="3:10" x14ac:dyDescent="0.2">
      <c r="C36" s="494" t="s">
        <v>386</v>
      </c>
      <c r="D36" s="495"/>
      <c r="E36" s="495"/>
      <c r="F36" s="495"/>
      <c r="G36" s="495"/>
      <c r="H36" s="496"/>
    </row>
    <row r="37" spans="3:10" x14ac:dyDescent="0.2">
      <c r="C37" s="494" t="s">
        <v>387</v>
      </c>
      <c r="D37" s="495"/>
      <c r="E37" s="495"/>
      <c r="F37" s="495"/>
      <c r="G37" s="495"/>
      <c r="H37" s="496"/>
    </row>
    <row r="38" spans="3:10" x14ac:dyDescent="0.2">
      <c r="E38" s="317"/>
    </row>
    <row r="39" spans="3:10" x14ac:dyDescent="0.2">
      <c r="E39" s="317"/>
    </row>
    <row r="40" spans="3:10" x14ac:dyDescent="0.2">
      <c r="D40" s="318"/>
      <c r="E40" s="317"/>
    </row>
    <row r="41" spans="3:10" ht="15" x14ac:dyDescent="0.2">
      <c r="C41" s="255" t="s">
        <v>428</v>
      </c>
    </row>
    <row r="42" spans="3:10" ht="18" customHeight="1" x14ac:dyDescent="0.2">
      <c r="C42" s="255" t="s">
        <v>43</v>
      </c>
      <c r="D42" s="255" t="s">
        <v>372</v>
      </c>
      <c r="E42" s="255" t="s">
        <v>373</v>
      </c>
      <c r="F42" s="255" t="s">
        <v>427</v>
      </c>
      <c r="G42" s="255" t="s">
        <v>426</v>
      </c>
      <c r="H42" s="255" t="s">
        <v>425</v>
      </c>
    </row>
    <row r="43" spans="3:10" ht="12.75" customHeight="1" x14ac:dyDescent="0.2">
      <c r="C43" s="319" t="s">
        <v>374</v>
      </c>
      <c r="D43" s="320">
        <v>12000</v>
      </c>
      <c r="E43" s="320">
        <v>160</v>
      </c>
      <c r="F43" s="277">
        <f>D43/E43</f>
        <v>75</v>
      </c>
      <c r="G43" s="277">
        <f>D23*0.2</f>
        <v>4</v>
      </c>
      <c r="H43" s="277">
        <f>F43*G43</f>
        <v>300</v>
      </c>
    </row>
    <row r="44" spans="3:10" ht="12.75" customHeight="1" x14ac:dyDescent="0.2">
      <c r="C44" s="319" t="s">
        <v>91</v>
      </c>
      <c r="D44" s="320">
        <v>16000</v>
      </c>
      <c r="E44" s="320">
        <v>160</v>
      </c>
      <c r="F44" s="277">
        <f t="shared" ref="F44:F45" si="0">D44/E44</f>
        <v>100</v>
      </c>
      <c r="G44" s="277">
        <f>D23</f>
        <v>20</v>
      </c>
      <c r="H44" s="277">
        <f t="shared" ref="H44:H45" si="1">F44*G44</f>
        <v>2000</v>
      </c>
    </row>
    <row r="45" spans="3:10" ht="12.75" customHeight="1" thickBot="1" x14ac:dyDescent="0.25">
      <c r="C45" s="319" t="s">
        <v>375</v>
      </c>
      <c r="D45" s="320">
        <v>12000</v>
      </c>
      <c r="E45" s="320">
        <v>160</v>
      </c>
      <c r="F45" s="277">
        <f t="shared" si="0"/>
        <v>75</v>
      </c>
      <c r="G45" s="277">
        <f>D23*0.25</f>
        <v>5</v>
      </c>
      <c r="H45" s="338">
        <f t="shared" si="1"/>
        <v>375</v>
      </c>
    </row>
    <row r="46" spans="3:10" ht="12.75" customHeight="1" x14ac:dyDescent="0.2">
      <c r="H46" s="339">
        <f>SUM(H43:H45)</f>
        <v>2675</v>
      </c>
    </row>
    <row r="47" spans="3:10" ht="12.75" customHeight="1" x14ac:dyDescent="0.25">
      <c r="C47" s="311" t="s">
        <v>378</v>
      </c>
      <c r="D47" s="340">
        <f>D25/D23</f>
        <v>334.375</v>
      </c>
      <c r="H47" s="342">
        <f>H46/I47</f>
        <v>6687.5</v>
      </c>
      <c r="I47" s="341">
        <v>0.4</v>
      </c>
      <c r="J47" s="311" t="s">
        <v>376</v>
      </c>
    </row>
    <row r="48" spans="3:10" ht="12.75" customHeight="1" thickBot="1" x14ac:dyDescent="0.25">
      <c r="C48" s="311" t="s">
        <v>379</v>
      </c>
      <c r="D48" s="318">
        <f>H46/D23</f>
        <v>133.75</v>
      </c>
      <c r="G48" s="267"/>
      <c r="H48" s="344">
        <f>I48*H47</f>
        <v>4012.5</v>
      </c>
      <c r="I48" s="343">
        <v>0.6</v>
      </c>
      <c r="J48" s="311" t="s">
        <v>377</v>
      </c>
    </row>
    <row r="49" spans="8:8" ht="12.75" customHeight="1" x14ac:dyDescent="0.2">
      <c r="H49" s="318"/>
    </row>
    <row r="50" spans="8:8" ht="12.75" customHeight="1" x14ac:dyDescent="0.2">
      <c r="H50" s="318"/>
    </row>
    <row r="51" spans="8:8" ht="12.75" customHeight="1" x14ac:dyDescent="0.2"/>
  </sheetData>
  <mergeCells count="20">
    <mergeCell ref="C7:J7"/>
    <mergeCell ref="C11:H11"/>
    <mergeCell ref="C12:H12"/>
    <mergeCell ref="C13:H13"/>
    <mergeCell ref="C14:H14"/>
    <mergeCell ref="C36:H36"/>
    <mergeCell ref="C37:H37"/>
    <mergeCell ref="C9:H9"/>
    <mergeCell ref="C30:H30"/>
    <mergeCell ref="C31:H31"/>
    <mergeCell ref="C32:H32"/>
    <mergeCell ref="C33:H33"/>
    <mergeCell ref="C34:H34"/>
    <mergeCell ref="C35:H35"/>
    <mergeCell ref="C15:H15"/>
    <mergeCell ref="C16:H16"/>
    <mergeCell ref="C17:H17"/>
    <mergeCell ref="C18:H18"/>
    <mergeCell ref="C19:H19"/>
    <mergeCell ref="C20:H20"/>
  </mergeCells>
  <pageMargins left="0.7" right="0.7" top="0.75" bottom="0.75" header="0.3" footer="0.3"/>
  <pageSetup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0"/>
  <sheetViews>
    <sheetView showGridLines="0" workbookViewId="0">
      <selection activeCell="K16" sqref="K16"/>
    </sheetView>
  </sheetViews>
  <sheetFormatPr baseColWidth="10" defaultRowHeight="15" x14ac:dyDescent="0.25"/>
  <cols>
    <col min="1" max="1" width="3" customWidth="1"/>
    <col min="2" max="2" width="2.5703125" customWidth="1"/>
    <col min="4" max="4" width="17.5703125" customWidth="1"/>
    <col min="5" max="5" width="20" customWidth="1"/>
    <col min="6" max="6" width="19.7109375" customWidth="1"/>
    <col min="7" max="7" width="15.85546875" customWidth="1"/>
    <col min="9" max="9" width="14" customWidth="1"/>
    <col min="10" max="10" width="18.5703125" hidden="1" customWidth="1"/>
  </cols>
  <sheetData>
    <row r="1" spans="1:11" x14ac:dyDescent="0.25">
      <c r="A1" s="235"/>
      <c r="B1" s="235"/>
      <c r="C1" s="235"/>
      <c r="D1" s="192"/>
      <c r="E1" s="192"/>
      <c r="F1" s="192"/>
      <c r="G1" s="192"/>
      <c r="H1" s="192"/>
      <c r="I1" s="192"/>
      <c r="J1" s="193"/>
      <c r="K1" s="193"/>
    </row>
    <row r="2" spans="1:11" ht="15.75" x14ac:dyDescent="0.25">
      <c r="A2" s="235"/>
      <c r="B2" s="235"/>
      <c r="C2" s="235"/>
      <c r="D2" s="192"/>
      <c r="E2" s="192"/>
      <c r="F2" s="192"/>
      <c r="G2" s="192"/>
      <c r="H2" s="192"/>
      <c r="I2" s="81" t="s">
        <v>0</v>
      </c>
      <c r="K2" s="193"/>
    </row>
    <row r="3" spans="1:11" x14ac:dyDescent="0.25">
      <c r="A3" s="235"/>
      <c r="B3" s="235"/>
      <c r="C3" s="195"/>
      <c r="D3" s="195"/>
      <c r="E3" s="195"/>
      <c r="F3" s="195"/>
      <c r="G3" s="195"/>
      <c r="H3" s="195"/>
      <c r="I3" s="79" t="str">
        <f>'Información proyecto'!C3</f>
        <v>Versión: 0.1</v>
      </c>
      <c r="K3" s="193"/>
    </row>
    <row r="4" spans="1:11" ht="3.75" customHeight="1" x14ac:dyDescent="0.25">
      <c r="A4" s="235"/>
      <c r="B4" s="235"/>
      <c r="C4" s="196"/>
      <c r="D4" s="196"/>
      <c r="E4" s="196"/>
      <c r="F4" s="196"/>
      <c r="G4" s="196"/>
      <c r="H4" s="196"/>
      <c r="I4" s="196">
        <f>'Información proyecto'!C4</f>
        <v>0</v>
      </c>
      <c r="J4" s="196"/>
    </row>
    <row r="5" spans="1:11" x14ac:dyDescent="0.25">
      <c r="A5" s="235"/>
      <c r="B5" s="235"/>
      <c r="C5" s="195"/>
      <c r="D5" s="195"/>
      <c r="E5" s="195"/>
      <c r="F5" s="195"/>
      <c r="G5" s="195"/>
      <c r="H5" s="195"/>
      <c r="I5" s="79" t="str">
        <f>'Información proyecto'!C5</f>
        <v>Proyecto: Generador de formatos</v>
      </c>
      <c r="K5" s="193"/>
    </row>
    <row r="6" spans="1:11" x14ac:dyDescent="0.25">
      <c r="A6" s="235"/>
      <c r="B6" s="235"/>
      <c r="C6" s="235"/>
      <c r="D6" s="195"/>
      <c r="E6" s="195"/>
      <c r="F6" s="195"/>
      <c r="G6" s="195"/>
      <c r="H6" s="195"/>
      <c r="I6" s="195"/>
      <c r="J6" s="193"/>
      <c r="K6" s="193"/>
    </row>
    <row r="7" spans="1:11" x14ac:dyDescent="0.25">
      <c r="A7" s="235"/>
      <c r="B7" s="235"/>
      <c r="C7" s="467" t="s">
        <v>388</v>
      </c>
      <c r="D7" s="467"/>
      <c r="E7" s="467"/>
      <c r="F7" s="467"/>
      <c r="G7" s="467"/>
      <c r="H7" s="467"/>
      <c r="I7" s="467"/>
      <c r="J7" s="467"/>
      <c r="K7" s="467"/>
    </row>
    <row r="8" spans="1:11" x14ac:dyDescent="0.25">
      <c r="A8" s="235"/>
      <c r="B8" s="235"/>
      <c r="C8" s="21"/>
      <c r="D8" s="197"/>
      <c r="E8" s="197"/>
      <c r="F8" s="197"/>
      <c r="G8" s="197"/>
      <c r="H8" s="197"/>
      <c r="I8" s="197"/>
      <c r="J8" s="197"/>
      <c r="K8" s="235"/>
    </row>
    <row r="9" spans="1:11" x14ac:dyDescent="0.25">
      <c r="A9" s="235"/>
      <c r="B9" s="235"/>
      <c r="C9" s="476" t="s">
        <v>389</v>
      </c>
      <c r="D9" s="476"/>
      <c r="E9" s="476"/>
      <c r="F9" s="476"/>
      <c r="G9" s="476"/>
      <c r="H9" s="476"/>
      <c r="I9" s="476"/>
      <c r="J9" s="336"/>
      <c r="K9" s="235"/>
    </row>
    <row r="10" spans="1:11" x14ac:dyDescent="0.25">
      <c r="A10" s="311"/>
      <c r="B10" s="311"/>
      <c r="C10" s="311"/>
      <c r="D10" s="311"/>
      <c r="E10" s="311"/>
      <c r="F10" s="311"/>
      <c r="G10" s="311"/>
      <c r="H10" s="311"/>
      <c r="I10" s="311"/>
      <c r="J10" s="311"/>
      <c r="K10" s="311"/>
    </row>
    <row r="11" spans="1:11" x14ac:dyDescent="0.25">
      <c r="C11" s="497" t="s">
        <v>390</v>
      </c>
      <c r="D11" s="498"/>
      <c r="E11" s="498"/>
      <c r="F11" s="498"/>
      <c r="G11" s="498"/>
      <c r="H11" s="499"/>
      <c r="I11" s="321" t="s">
        <v>391</v>
      </c>
      <c r="J11" s="322" t="s">
        <v>392</v>
      </c>
    </row>
    <row r="12" spans="1:11" x14ac:dyDescent="0.25">
      <c r="C12" s="500" t="s">
        <v>393</v>
      </c>
      <c r="D12" s="501"/>
      <c r="E12" s="501"/>
      <c r="F12" s="501"/>
      <c r="G12" s="501"/>
      <c r="H12" s="502"/>
      <c r="I12" s="323" t="s">
        <v>394</v>
      </c>
      <c r="J12" s="324">
        <v>2500</v>
      </c>
    </row>
    <row r="13" spans="1:11" x14ac:dyDescent="0.25">
      <c r="C13" s="500" t="s">
        <v>395</v>
      </c>
      <c r="D13" s="501"/>
      <c r="E13" s="501"/>
      <c r="F13" s="501"/>
      <c r="G13" s="501"/>
      <c r="H13" s="502"/>
      <c r="I13" s="323" t="s">
        <v>394</v>
      </c>
      <c r="J13" s="324">
        <f>(0.5*120*20)*2</f>
        <v>2400</v>
      </c>
    </row>
    <row r="14" spans="1:11" x14ac:dyDescent="0.25">
      <c r="C14" s="500" t="s">
        <v>396</v>
      </c>
      <c r="D14" s="501"/>
      <c r="E14" s="501"/>
      <c r="F14" s="501"/>
      <c r="G14" s="501"/>
      <c r="H14" s="502"/>
      <c r="I14" s="323" t="s">
        <v>394</v>
      </c>
      <c r="J14" s="324">
        <v>0</v>
      </c>
    </row>
    <row r="15" spans="1:11" x14ac:dyDescent="0.25">
      <c r="C15" s="494" t="s">
        <v>397</v>
      </c>
      <c r="D15" s="495"/>
      <c r="E15" s="495"/>
      <c r="F15" s="495"/>
      <c r="G15" s="495"/>
      <c r="H15" s="496"/>
      <c r="I15" s="323" t="s">
        <v>394</v>
      </c>
      <c r="J15" s="324">
        <v>0</v>
      </c>
    </row>
    <row r="16" spans="1:11" x14ac:dyDescent="0.25">
      <c r="C16" s="500" t="s">
        <v>398</v>
      </c>
      <c r="D16" s="501"/>
      <c r="E16" s="501"/>
      <c r="F16" s="501"/>
      <c r="G16" s="501"/>
      <c r="H16" s="502"/>
      <c r="I16" s="323" t="s">
        <v>394</v>
      </c>
      <c r="J16" s="324">
        <v>0</v>
      </c>
    </row>
    <row r="17" spans="3:10" x14ac:dyDescent="0.25">
      <c r="C17" s="500" t="s">
        <v>399</v>
      </c>
      <c r="D17" s="501"/>
      <c r="E17" s="501"/>
      <c r="F17" s="501"/>
      <c r="G17" s="501"/>
      <c r="H17" s="502"/>
      <c r="I17" s="323" t="s">
        <v>394</v>
      </c>
      <c r="J17" s="324">
        <v>500</v>
      </c>
    </row>
    <row r="18" spans="3:10" x14ac:dyDescent="0.25">
      <c r="C18" s="500" t="s">
        <v>400</v>
      </c>
      <c r="D18" s="501"/>
      <c r="E18" s="501"/>
      <c r="F18" s="501"/>
      <c r="G18" s="501"/>
      <c r="H18" s="502"/>
      <c r="I18" s="323" t="s">
        <v>401</v>
      </c>
      <c r="J18" s="324">
        <v>0</v>
      </c>
    </row>
    <row r="19" spans="3:10" x14ac:dyDescent="0.25">
      <c r="C19" s="500"/>
      <c r="D19" s="501"/>
      <c r="E19" s="501"/>
      <c r="F19" s="501"/>
      <c r="G19" s="501"/>
      <c r="H19" s="502"/>
      <c r="I19" s="323"/>
      <c r="J19" s="324"/>
    </row>
    <row r="20" spans="3:10" ht="15.75" x14ac:dyDescent="0.25">
      <c r="C20" s="503" t="s">
        <v>402</v>
      </c>
      <c r="D20" s="504"/>
      <c r="E20" s="504"/>
      <c r="F20" s="504"/>
      <c r="G20" s="504"/>
      <c r="H20" s="505"/>
      <c r="I20" s="252">
        <f>SUM(J12:J19)</f>
        <v>5400</v>
      </c>
    </row>
    <row r="21" spans="3:10" ht="15.75" x14ac:dyDescent="0.25">
      <c r="C21" s="503" t="s">
        <v>403</v>
      </c>
      <c r="D21" s="504"/>
      <c r="E21" s="504"/>
      <c r="F21" s="504"/>
      <c r="G21" s="504"/>
      <c r="H21" s="505"/>
      <c r="I21" s="252">
        <f>I20*6</f>
        <v>32400</v>
      </c>
    </row>
    <row r="22" spans="3:10" ht="15.75" x14ac:dyDescent="0.25">
      <c r="C22" s="503" t="s">
        <v>404</v>
      </c>
      <c r="D22" s="504"/>
      <c r="E22" s="504"/>
      <c r="F22" s="504"/>
      <c r="G22" s="504"/>
      <c r="H22" s="505"/>
      <c r="I22" s="252">
        <f>I20*12</f>
        <v>64800</v>
      </c>
    </row>
    <row r="24" spans="3:10" hidden="1" x14ac:dyDescent="0.25"/>
    <row r="25" spans="3:10" hidden="1" x14ac:dyDescent="0.25"/>
    <row r="26" spans="3:10" x14ac:dyDescent="0.25">
      <c r="C26" s="497" t="s">
        <v>405</v>
      </c>
      <c r="D26" s="498"/>
      <c r="E26" s="498"/>
      <c r="F26" s="498"/>
      <c r="G26" s="498"/>
      <c r="H26" s="499"/>
    </row>
    <row r="27" spans="3:10" x14ac:dyDescent="0.25">
      <c r="C27" s="500" t="s">
        <v>406</v>
      </c>
      <c r="D27" s="501"/>
      <c r="E27" s="501"/>
      <c r="F27" s="501"/>
      <c r="G27" s="501"/>
      <c r="H27" s="502"/>
    </row>
    <row r="28" spans="3:10" ht="35.25" customHeight="1" x14ac:dyDescent="0.25">
      <c r="C28" s="506" t="s">
        <v>407</v>
      </c>
      <c r="D28" s="507"/>
      <c r="E28" s="507"/>
      <c r="F28" s="507"/>
      <c r="G28" s="507"/>
      <c r="H28" s="508"/>
    </row>
    <row r="29" spans="3:10" x14ac:dyDescent="0.25">
      <c r="C29" s="500" t="s">
        <v>408</v>
      </c>
      <c r="D29" s="501"/>
      <c r="E29" s="501"/>
      <c r="F29" s="501"/>
      <c r="G29" s="501"/>
      <c r="H29" s="502"/>
    </row>
    <row r="30" spans="3:10" x14ac:dyDescent="0.25">
      <c r="C30" s="500" t="s">
        <v>424</v>
      </c>
      <c r="D30" s="501"/>
      <c r="E30" s="501"/>
      <c r="F30" s="501"/>
      <c r="G30" s="501"/>
      <c r="H30" s="502"/>
    </row>
  </sheetData>
  <mergeCells count="19">
    <mergeCell ref="C7:K7"/>
    <mergeCell ref="C11:H11"/>
    <mergeCell ref="C12:H12"/>
    <mergeCell ref="C13:H13"/>
    <mergeCell ref="C14:H14"/>
    <mergeCell ref="C30:H30"/>
    <mergeCell ref="C9:I9"/>
    <mergeCell ref="C21:H21"/>
    <mergeCell ref="C22:H22"/>
    <mergeCell ref="C26:H26"/>
    <mergeCell ref="C27:H27"/>
    <mergeCell ref="C28:H28"/>
    <mergeCell ref="C29:H29"/>
    <mergeCell ref="C15:H15"/>
    <mergeCell ref="C16:H16"/>
    <mergeCell ref="C17:H17"/>
    <mergeCell ref="C18:H18"/>
    <mergeCell ref="C19:H19"/>
    <mergeCell ref="C20:H2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1"/>
  <sheetViews>
    <sheetView showGridLines="0" workbookViewId="0">
      <selection activeCell="K12" sqref="K12"/>
    </sheetView>
  </sheetViews>
  <sheetFormatPr baseColWidth="10" defaultRowHeight="15" x14ac:dyDescent="0.25"/>
  <cols>
    <col min="1" max="1" width="3" customWidth="1"/>
    <col min="2" max="2" width="2.28515625" customWidth="1"/>
    <col min="3" max="3" width="49.28515625" customWidth="1"/>
    <col min="4" max="4" width="16.28515625" bestFit="1" customWidth="1"/>
    <col min="5" max="6" width="21.7109375" customWidth="1"/>
    <col min="9" max="9" width="25" bestFit="1" customWidth="1"/>
  </cols>
  <sheetData>
    <row r="1" spans="1:9" x14ac:dyDescent="0.25">
      <c r="A1" s="235"/>
      <c r="B1" s="34"/>
      <c r="C1" s="235"/>
      <c r="D1" s="235"/>
      <c r="E1" s="235"/>
      <c r="F1" s="235"/>
      <c r="G1" s="192"/>
      <c r="H1" s="193"/>
      <c r="I1" s="107"/>
    </row>
    <row r="2" spans="1:9" ht="18" x14ac:dyDescent="0.25">
      <c r="A2" s="235"/>
      <c r="B2" s="71"/>
      <c r="C2" s="58"/>
      <c r="D2" s="58"/>
      <c r="E2" s="58"/>
      <c r="F2" s="58"/>
      <c r="G2" s="192"/>
      <c r="H2" s="81" t="s">
        <v>0</v>
      </c>
    </row>
    <row r="3" spans="1:9" x14ac:dyDescent="0.25">
      <c r="A3" s="235"/>
      <c r="B3" s="72"/>
      <c r="C3" s="79"/>
      <c r="D3" s="79"/>
      <c r="E3" s="79"/>
      <c r="F3" s="79"/>
      <c r="G3" s="59"/>
      <c r="H3" s="79" t="str">
        <f>'Información proyecto'!C3</f>
        <v>Versión: 0.1</v>
      </c>
    </row>
    <row r="4" spans="1:9" ht="3" customHeight="1" x14ac:dyDescent="0.25">
      <c r="A4" s="235"/>
      <c r="B4" s="34"/>
      <c r="C4" s="78"/>
      <c r="D4" s="78"/>
      <c r="E4" s="78"/>
      <c r="F4" s="78"/>
      <c r="G4" s="196"/>
      <c r="H4" s="78">
        <f>'Información proyecto'!C4</f>
        <v>0</v>
      </c>
      <c r="I4" s="78"/>
    </row>
    <row r="5" spans="1:9" x14ac:dyDescent="0.25">
      <c r="A5" s="235"/>
      <c r="B5" s="34"/>
      <c r="C5" s="235"/>
      <c r="D5" s="235"/>
      <c r="E5" s="235"/>
      <c r="F5" s="235"/>
      <c r="G5" s="11"/>
      <c r="H5" s="80" t="str">
        <f>'Información proyecto'!C5</f>
        <v>Proyecto: Generador de formatos</v>
      </c>
    </row>
    <row r="6" spans="1:9" x14ac:dyDescent="0.25">
      <c r="A6" s="235"/>
      <c r="B6" s="260"/>
      <c r="C6" s="310"/>
      <c r="D6" s="310"/>
      <c r="E6" s="310"/>
      <c r="F6" s="310"/>
      <c r="G6" s="310"/>
      <c r="H6" s="310"/>
      <c r="I6" s="310"/>
    </row>
    <row r="7" spans="1:9" x14ac:dyDescent="0.25">
      <c r="A7" s="235"/>
      <c r="B7" s="260"/>
      <c r="C7" s="489" t="s">
        <v>26</v>
      </c>
      <c r="D7" s="489"/>
      <c r="E7" s="489"/>
      <c r="F7" s="489"/>
      <c r="G7" s="489"/>
      <c r="H7" s="489"/>
      <c r="I7" s="489"/>
    </row>
    <row r="8" spans="1:9" x14ac:dyDescent="0.25">
      <c r="A8" s="235"/>
      <c r="B8" s="260"/>
      <c r="C8" s="310"/>
      <c r="D8" s="310"/>
      <c r="E8" s="310"/>
      <c r="F8" s="310"/>
      <c r="G8" s="310"/>
      <c r="H8" s="310"/>
      <c r="I8" s="310"/>
    </row>
    <row r="9" spans="1:9" x14ac:dyDescent="0.25">
      <c r="A9" s="235"/>
      <c r="B9" s="260"/>
      <c r="C9" s="515" t="s">
        <v>429</v>
      </c>
      <c r="D9" s="515"/>
      <c r="E9" s="515"/>
      <c r="F9" s="515"/>
      <c r="G9" s="515"/>
      <c r="H9" s="515"/>
      <c r="I9" s="515"/>
    </row>
    <row r="11" spans="1:9" x14ac:dyDescent="0.25">
      <c r="C11" s="325" t="s">
        <v>409</v>
      </c>
      <c r="D11" s="325" t="s">
        <v>410</v>
      </c>
      <c r="E11" s="325" t="s">
        <v>411</v>
      </c>
      <c r="F11" s="325" t="s">
        <v>412</v>
      </c>
      <c r="G11" s="325" t="s">
        <v>413</v>
      </c>
      <c r="H11" s="325" t="s">
        <v>414</v>
      </c>
      <c r="I11" s="325" t="s">
        <v>415</v>
      </c>
    </row>
    <row r="12" spans="1:9" x14ac:dyDescent="0.25">
      <c r="C12" s="509" t="s">
        <v>30</v>
      </c>
      <c r="D12" s="510"/>
      <c r="E12" s="510"/>
      <c r="F12" s="510"/>
      <c r="G12" s="510"/>
      <c r="H12" s="511"/>
      <c r="I12" s="326">
        <v>20</v>
      </c>
    </row>
    <row r="13" spans="1:9" ht="39" x14ac:dyDescent="0.25">
      <c r="C13" s="327" t="s">
        <v>416</v>
      </c>
      <c r="D13" s="328">
        <v>1</v>
      </c>
      <c r="E13" s="328">
        <v>1</v>
      </c>
      <c r="F13" s="329" t="s">
        <v>417</v>
      </c>
      <c r="G13" s="328">
        <v>2</v>
      </c>
      <c r="H13" s="328">
        <v>1</v>
      </c>
      <c r="I13" s="328">
        <f t="shared" ref="I13" si="0">G13*H13</f>
        <v>2</v>
      </c>
    </row>
    <row r="14" spans="1:9" x14ac:dyDescent="0.25">
      <c r="C14" s="330" t="s">
        <v>430</v>
      </c>
      <c r="D14" s="331">
        <v>40</v>
      </c>
      <c r="E14" s="332">
        <v>5</v>
      </c>
      <c r="F14" s="319" t="s">
        <v>418</v>
      </c>
      <c r="G14" s="332">
        <v>2</v>
      </c>
      <c r="H14" s="332">
        <v>8</v>
      </c>
      <c r="I14" s="332">
        <f>G14*H14</f>
        <v>16</v>
      </c>
    </row>
    <row r="15" spans="1:9" x14ac:dyDescent="0.25">
      <c r="C15" s="330" t="s">
        <v>431</v>
      </c>
      <c r="D15" s="332">
        <v>2</v>
      </c>
      <c r="E15" s="332">
        <v>1</v>
      </c>
      <c r="F15" s="319" t="s">
        <v>419</v>
      </c>
      <c r="G15" s="332">
        <v>1</v>
      </c>
      <c r="H15" s="332">
        <v>1</v>
      </c>
      <c r="I15" s="332">
        <f>G15*H15</f>
        <v>1</v>
      </c>
    </row>
    <row r="16" spans="1:9" x14ac:dyDescent="0.25">
      <c r="C16" s="330" t="s">
        <v>432</v>
      </c>
      <c r="D16" s="332">
        <v>1</v>
      </c>
      <c r="E16" s="332">
        <v>1</v>
      </c>
      <c r="F16" s="319" t="s">
        <v>420</v>
      </c>
      <c r="G16" s="332">
        <v>1</v>
      </c>
      <c r="H16" s="332">
        <v>1</v>
      </c>
      <c r="I16" s="332">
        <f>G16*H16</f>
        <v>1</v>
      </c>
    </row>
    <row r="17" spans="3:9" ht="15" customHeight="1" x14ac:dyDescent="0.25">
      <c r="C17" s="512" t="s">
        <v>180</v>
      </c>
      <c r="D17" s="513"/>
      <c r="E17" s="513"/>
      <c r="F17" s="513"/>
      <c r="G17" s="513"/>
      <c r="H17" s="514"/>
      <c r="I17" s="326">
        <v>8</v>
      </c>
    </row>
    <row r="18" spans="3:9" x14ac:dyDescent="0.25">
      <c r="C18" s="330" t="s">
        <v>421</v>
      </c>
      <c r="D18" s="332">
        <v>40</v>
      </c>
      <c r="E18" s="332">
        <v>10</v>
      </c>
      <c r="F18" s="319" t="s">
        <v>418</v>
      </c>
      <c r="G18" s="332">
        <v>1</v>
      </c>
      <c r="H18" s="332">
        <v>4</v>
      </c>
      <c r="I18" s="332">
        <f t="shared" ref="I18:I19" si="1">G18*H18</f>
        <v>4</v>
      </c>
    </row>
    <row r="19" spans="3:9" x14ac:dyDescent="0.25">
      <c r="C19" s="319" t="s">
        <v>422</v>
      </c>
      <c r="D19" s="333"/>
      <c r="E19" s="333"/>
      <c r="F19" s="319"/>
      <c r="G19" s="332">
        <v>4</v>
      </c>
      <c r="H19" s="332">
        <v>1</v>
      </c>
      <c r="I19" s="332">
        <f t="shared" si="1"/>
        <v>4</v>
      </c>
    </row>
    <row r="20" spans="3:9" x14ac:dyDescent="0.25">
      <c r="G20" s="331"/>
      <c r="H20" s="331"/>
      <c r="I20" s="331"/>
    </row>
    <row r="21" spans="3:9" ht="15.75" x14ac:dyDescent="0.25">
      <c r="G21" s="331"/>
      <c r="H21" s="334" t="s">
        <v>423</v>
      </c>
      <c r="I21" s="335">
        <f>SUM(I18:I20,I14:I16,I13)</f>
        <v>28</v>
      </c>
    </row>
  </sheetData>
  <mergeCells count="4">
    <mergeCell ref="C7:I7"/>
    <mergeCell ref="C12:H12"/>
    <mergeCell ref="C17:H17"/>
    <mergeCell ref="C9:I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5"/>
  <sheetViews>
    <sheetView topLeftCell="D43" zoomScale="80" zoomScaleNormal="80" workbookViewId="0">
      <selection activeCell="H47" sqref="H47"/>
    </sheetView>
  </sheetViews>
  <sheetFormatPr baseColWidth="10" defaultColWidth="11.42578125" defaultRowHeight="15" x14ac:dyDescent="0.25"/>
  <cols>
    <col min="1" max="1" width="1.7109375" style="90" customWidth="1"/>
    <col min="2" max="2" width="6.28515625" style="90" customWidth="1"/>
    <col min="3" max="3" width="8" style="90" customWidth="1"/>
    <col min="4" max="4" width="10.5703125" style="90" bestFit="1" customWidth="1"/>
    <col min="5" max="5" width="4.42578125" style="90" bestFit="1" customWidth="1"/>
    <col min="6" max="6" width="14.5703125" style="90" bestFit="1" customWidth="1"/>
    <col min="7" max="7" width="100.140625" style="90" bestFit="1" customWidth="1"/>
    <col min="8" max="12" width="11.42578125" style="90"/>
    <col min="13" max="13" width="11.85546875" style="90" bestFit="1" customWidth="1"/>
    <col min="14" max="16384" width="11.42578125" style="90"/>
  </cols>
  <sheetData>
    <row r="1" spans="2:12" x14ac:dyDescent="0.25">
      <c r="B1" s="115" t="s">
        <v>235</v>
      </c>
      <c r="C1" s="115" t="s">
        <v>236</v>
      </c>
      <c r="D1" s="115" t="s">
        <v>237</v>
      </c>
      <c r="E1" s="115" t="s">
        <v>10</v>
      </c>
      <c r="F1" s="115" t="s">
        <v>238</v>
      </c>
      <c r="G1" s="115" t="s">
        <v>239</v>
      </c>
      <c r="H1" s="115" t="s">
        <v>234</v>
      </c>
    </row>
    <row r="2" spans="2:12" ht="43.5" customHeight="1" x14ac:dyDescent="0.25">
      <c r="B2" s="463" t="s">
        <v>222</v>
      </c>
      <c r="C2" s="462" t="s">
        <v>183</v>
      </c>
      <c r="D2" s="99" t="s">
        <v>82</v>
      </c>
      <c r="E2" s="108" t="s">
        <v>151</v>
      </c>
      <c r="G2" s="125" t="s">
        <v>240</v>
      </c>
      <c r="H2" s="90">
        <f>I2*$K$2</f>
        <v>0.05</v>
      </c>
      <c r="I2" s="233">
        <v>0.05</v>
      </c>
      <c r="J2" s="115" t="s">
        <v>274</v>
      </c>
      <c r="K2" s="90">
        <v>1</v>
      </c>
    </row>
    <row r="3" spans="2:12" ht="27.75" x14ac:dyDescent="0.25">
      <c r="B3" s="463"/>
      <c r="C3" s="462"/>
      <c r="D3" s="99" t="s">
        <v>83</v>
      </c>
      <c r="E3" s="108" t="s">
        <v>225</v>
      </c>
      <c r="G3" s="125" t="s">
        <v>181</v>
      </c>
      <c r="H3" s="90">
        <v>0.25</v>
      </c>
    </row>
    <row r="4" spans="2:12" ht="27.75" x14ac:dyDescent="0.25">
      <c r="B4" s="463"/>
      <c r="C4" s="462"/>
      <c r="D4" s="99" t="s">
        <v>81</v>
      </c>
      <c r="E4" s="108" t="s">
        <v>225</v>
      </c>
      <c r="G4" s="125" t="s">
        <v>182</v>
      </c>
      <c r="H4" s="90">
        <f>1/5</f>
        <v>0.2</v>
      </c>
    </row>
    <row r="5" spans="2:12" ht="34.5" x14ac:dyDescent="0.25">
      <c r="B5" s="463"/>
      <c r="C5" s="462"/>
      <c r="D5" s="99" t="s">
        <v>84</v>
      </c>
      <c r="E5" s="108" t="s">
        <v>151</v>
      </c>
      <c r="G5" s="125" t="s">
        <v>201</v>
      </c>
      <c r="H5" s="191">
        <v>0.04</v>
      </c>
    </row>
    <row r="6" spans="2:12" ht="34.5" x14ac:dyDescent="0.25">
      <c r="B6" s="463"/>
      <c r="C6" s="463" t="s">
        <v>223</v>
      </c>
      <c r="D6" s="99" t="s">
        <v>82</v>
      </c>
      <c r="E6" s="108" t="s">
        <v>151</v>
      </c>
      <c r="G6" s="125" t="s">
        <v>184</v>
      </c>
      <c r="H6" s="140">
        <f>I6*$K$2</f>
        <v>0.33333333333333331</v>
      </c>
      <c r="I6" s="233">
        <f>1/3</f>
        <v>0.33333333333333331</v>
      </c>
    </row>
    <row r="7" spans="2:12" ht="15" customHeight="1" x14ac:dyDescent="0.25">
      <c r="B7" s="463"/>
      <c r="C7" s="463"/>
      <c r="D7" s="463" t="s">
        <v>202</v>
      </c>
      <c r="E7" s="464" t="s">
        <v>110</v>
      </c>
      <c r="F7" s="110" t="s">
        <v>111</v>
      </c>
      <c r="G7" s="125" t="s">
        <v>112</v>
      </c>
      <c r="H7" s="116">
        <f>3/60*6</f>
        <v>0.30000000000000004</v>
      </c>
      <c r="I7" s="226">
        <f>1/60*6</f>
        <v>0.1</v>
      </c>
      <c r="J7" s="117"/>
    </row>
    <row r="8" spans="2:12" x14ac:dyDescent="0.25">
      <c r="B8" s="463"/>
      <c r="C8" s="463"/>
      <c r="D8" s="463"/>
      <c r="E8" s="464"/>
      <c r="F8" s="110" t="s">
        <v>113</v>
      </c>
      <c r="G8" s="125" t="s">
        <v>114</v>
      </c>
      <c r="H8" s="116">
        <f>3/60*12</f>
        <v>0.60000000000000009</v>
      </c>
      <c r="I8" s="226">
        <f>1/60*12</f>
        <v>0.2</v>
      </c>
      <c r="J8" s="118"/>
    </row>
    <row r="9" spans="2:12" x14ac:dyDescent="0.25">
      <c r="B9" s="463"/>
      <c r="C9" s="463"/>
      <c r="D9" s="463"/>
      <c r="E9" s="464"/>
      <c r="F9" s="110" t="s">
        <v>115</v>
      </c>
      <c r="G9" s="125" t="s">
        <v>116</v>
      </c>
      <c r="H9" s="116">
        <f>3/60*18</f>
        <v>0.9</v>
      </c>
      <c r="I9" s="226">
        <f>1/60*18</f>
        <v>0.3</v>
      </c>
      <c r="J9" s="110"/>
    </row>
    <row r="10" spans="2:12" x14ac:dyDescent="0.25">
      <c r="B10" s="463"/>
      <c r="C10" s="463"/>
      <c r="D10" s="463"/>
      <c r="E10" s="464"/>
      <c r="F10" s="110" t="s">
        <v>117</v>
      </c>
      <c r="G10" s="125" t="s">
        <v>118</v>
      </c>
      <c r="H10" s="116">
        <f>3/60*24</f>
        <v>1.2000000000000002</v>
      </c>
      <c r="I10" s="226">
        <f>1/60*24</f>
        <v>0.4</v>
      </c>
      <c r="J10" s="110"/>
    </row>
    <row r="11" spans="2:12" x14ac:dyDescent="0.25">
      <c r="B11" s="463"/>
      <c r="C11" s="463"/>
      <c r="D11" s="463"/>
      <c r="E11" s="464"/>
      <c r="F11" s="110" t="s">
        <v>119</v>
      </c>
      <c r="G11" s="125" t="s">
        <v>120</v>
      </c>
      <c r="H11" s="116">
        <f>3/60*30</f>
        <v>1.5</v>
      </c>
      <c r="I11" s="226">
        <f>1/60*30</f>
        <v>0.5</v>
      </c>
      <c r="J11" s="110"/>
    </row>
    <row r="12" spans="2:12" x14ac:dyDescent="0.25">
      <c r="B12" s="463"/>
      <c r="C12" s="463"/>
      <c r="D12" s="463"/>
      <c r="E12" s="464"/>
      <c r="F12" s="110" t="s">
        <v>121</v>
      </c>
      <c r="G12" s="125" t="s">
        <v>122</v>
      </c>
      <c r="H12" s="116">
        <f>3/60*36</f>
        <v>1.8</v>
      </c>
      <c r="I12" s="226">
        <f>1/60*36</f>
        <v>0.6</v>
      </c>
      <c r="J12" s="110"/>
    </row>
    <row r="13" spans="2:12" x14ac:dyDescent="0.25">
      <c r="B13" s="463"/>
      <c r="C13" s="463"/>
      <c r="D13" s="463"/>
      <c r="E13" s="464"/>
      <c r="F13" s="110" t="s">
        <v>123</v>
      </c>
      <c r="G13" s="125" t="s">
        <v>124</v>
      </c>
      <c r="H13" s="116">
        <f>3/60*42</f>
        <v>2.1</v>
      </c>
      <c r="I13" s="226">
        <f>1/60*42</f>
        <v>0.7</v>
      </c>
      <c r="J13" s="110"/>
    </row>
    <row r="14" spans="2:12" x14ac:dyDescent="0.25">
      <c r="B14" s="463"/>
      <c r="C14" s="463"/>
      <c r="D14" s="463"/>
      <c r="E14" s="464"/>
      <c r="F14" s="110" t="s">
        <v>125</v>
      </c>
      <c r="G14" s="125" t="s">
        <v>126</v>
      </c>
      <c r="H14" s="116">
        <f>3/60*48</f>
        <v>2.4000000000000004</v>
      </c>
      <c r="I14" s="226">
        <f>1/60*48</f>
        <v>0.8</v>
      </c>
      <c r="J14" s="110"/>
    </row>
    <row r="15" spans="2:12" x14ac:dyDescent="0.25">
      <c r="B15" s="463"/>
      <c r="C15" s="463"/>
      <c r="D15" s="463"/>
      <c r="E15" s="464"/>
      <c r="F15" s="110" t="s">
        <v>127</v>
      </c>
      <c r="G15" s="125" t="s">
        <v>128</v>
      </c>
      <c r="H15" s="116">
        <f>3/60*54</f>
        <v>2.7</v>
      </c>
      <c r="I15" s="226">
        <f>1/60*54</f>
        <v>0.9</v>
      </c>
      <c r="J15" s="110"/>
      <c r="L15" s="123"/>
    </row>
    <row r="16" spans="2:12" x14ac:dyDescent="0.25">
      <c r="B16" s="463"/>
      <c r="C16" s="463"/>
      <c r="D16" s="463"/>
      <c r="E16" s="464"/>
      <c r="F16" s="110" t="s">
        <v>129</v>
      </c>
      <c r="G16" s="125" t="s">
        <v>130</v>
      </c>
      <c r="H16" s="116">
        <f>3/60*60</f>
        <v>3</v>
      </c>
      <c r="I16" s="226">
        <f>1/60*60</f>
        <v>1</v>
      </c>
      <c r="J16" s="110"/>
      <c r="L16" s="123"/>
    </row>
    <row r="17" spans="2:16" x14ac:dyDescent="0.25">
      <c r="B17" s="463"/>
      <c r="C17" s="463"/>
      <c r="D17" s="463"/>
      <c r="E17" s="464"/>
      <c r="F17" s="110" t="s">
        <v>131</v>
      </c>
      <c r="G17" s="125" t="s">
        <v>132</v>
      </c>
      <c r="H17" s="116">
        <f>3/60*66</f>
        <v>3.3000000000000003</v>
      </c>
      <c r="I17" s="226">
        <f>1/60*66</f>
        <v>1.1000000000000001</v>
      </c>
      <c r="J17" s="110"/>
      <c r="L17" s="123"/>
    </row>
    <row r="18" spans="2:16" x14ac:dyDescent="0.25">
      <c r="B18" s="463"/>
      <c r="C18" s="463"/>
      <c r="D18" s="463"/>
      <c r="E18" s="464"/>
      <c r="F18" s="110" t="s">
        <v>133</v>
      </c>
      <c r="G18" s="125" t="s">
        <v>134</v>
      </c>
      <c r="H18" s="116">
        <f>3/60*72</f>
        <v>3.6</v>
      </c>
      <c r="I18" s="226">
        <f>1/60*72</f>
        <v>1.2</v>
      </c>
      <c r="J18" s="110"/>
      <c r="L18" s="123"/>
    </row>
    <row r="19" spans="2:16" x14ac:dyDescent="0.25">
      <c r="B19" s="463"/>
      <c r="C19" s="463"/>
      <c r="D19" s="463"/>
      <c r="E19" s="464"/>
      <c r="F19" s="110" t="s">
        <v>135</v>
      </c>
      <c r="G19" s="125" t="s">
        <v>136</v>
      </c>
      <c r="H19" s="116">
        <f>3/60*78</f>
        <v>3.9000000000000004</v>
      </c>
      <c r="I19" s="226">
        <f>1/60*78</f>
        <v>1.3</v>
      </c>
      <c r="J19" s="110"/>
      <c r="L19" s="123"/>
    </row>
    <row r="20" spans="2:16" x14ac:dyDescent="0.25">
      <c r="B20" s="463"/>
      <c r="C20" s="463"/>
      <c r="D20" s="463"/>
      <c r="E20" s="464"/>
      <c r="F20" s="110" t="s">
        <v>137</v>
      </c>
      <c r="G20" s="125" t="s">
        <v>138</v>
      </c>
      <c r="H20" s="116">
        <f>3/60*84</f>
        <v>4.2</v>
      </c>
      <c r="I20" s="226">
        <f>1/60*84</f>
        <v>1.4</v>
      </c>
      <c r="J20" s="110"/>
      <c r="L20" s="123"/>
    </row>
    <row r="21" spans="2:16" x14ac:dyDescent="0.25">
      <c r="B21" s="463"/>
      <c r="C21" s="463"/>
      <c r="D21" s="463"/>
      <c r="E21" s="464"/>
      <c r="F21" s="110" t="s">
        <v>139</v>
      </c>
      <c r="G21" s="125" t="s">
        <v>140</v>
      </c>
      <c r="H21" s="116">
        <f>3/60*90</f>
        <v>4.5</v>
      </c>
      <c r="I21" s="226">
        <f>1/60*90</f>
        <v>1.5</v>
      </c>
      <c r="J21" s="110"/>
      <c r="L21" s="123"/>
    </row>
    <row r="22" spans="2:16" x14ac:dyDescent="0.25">
      <c r="B22" s="463"/>
      <c r="C22" s="463"/>
      <c r="D22" s="463"/>
      <c r="E22" s="464"/>
      <c r="F22" s="110" t="s">
        <v>141</v>
      </c>
      <c r="G22" s="125" t="s">
        <v>142</v>
      </c>
      <c r="H22" s="116">
        <f>3/60*96</f>
        <v>4.8000000000000007</v>
      </c>
      <c r="I22" s="226">
        <f>1/60*96</f>
        <v>1.6</v>
      </c>
      <c r="J22" s="110"/>
      <c r="L22" s="123"/>
    </row>
    <row r="23" spans="2:16" x14ac:dyDescent="0.25">
      <c r="B23" s="463"/>
      <c r="C23" s="463"/>
      <c r="D23" s="463"/>
      <c r="E23" s="464" t="s">
        <v>143</v>
      </c>
      <c r="F23" s="90" t="s">
        <v>144</v>
      </c>
      <c r="G23" s="125" t="s">
        <v>145</v>
      </c>
      <c r="H23" s="90">
        <v>1</v>
      </c>
      <c r="I23" s="187"/>
      <c r="K23" s="125"/>
      <c r="L23" s="123"/>
    </row>
    <row r="24" spans="2:16" x14ac:dyDescent="0.25">
      <c r="B24" s="463"/>
      <c r="C24" s="463"/>
      <c r="D24" s="463"/>
      <c r="E24" s="464"/>
      <c r="F24" s="90" t="s">
        <v>146</v>
      </c>
      <c r="G24" s="125" t="s">
        <v>147</v>
      </c>
      <c r="H24" s="90">
        <v>1.2</v>
      </c>
      <c r="I24" s="187"/>
      <c r="K24" s="125"/>
      <c r="L24" s="123"/>
    </row>
    <row r="25" spans="2:16" x14ac:dyDescent="0.25">
      <c r="B25" s="463"/>
      <c r="C25" s="463"/>
      <c r="D25" s="463"/>
      <c r="E25" s="464"/>
      <c r="F25" s="90" t="s">
        <v>148</v>
      </c>
      <c r="G25" s="125" t="s">
        <v>149</v>
      </c>
      <c r="H25" s="90">
        <v>1.4</v>
      </c>
      <c r="I25" s="187"/>
      <c r="J25" s="115"/>
      <c r="K25" s="125"/>
      <c r="L25" s="123"/>
    </row>
    <row r="26" spans="2:16" ht="15" customHeight="1" x14ac:dyDescent="0.25">
      <c r="B26" s="463"/>
      <c r="C26" s="463"/>
      <c r="D26" s="466" t="s">
        <v>203</v>
      </c>
      <c r="E26" s="464" t="s">
        <v>143</v>
      </c>
      <c r="F26" s="90" t="s">
        <v>144</v>
      </c>
      <c r="G26" s="125" t="s">
        <v>157</v>
      </c>
      <c r="H26" s="90">
        <v>0.1</v>
      </c>
      <c r="I26" s="187"/>
      <c r="L26" s="123"/>
    </row>
    <row r="27" spans="2:16" x14ac:dyDescent="0.25">
      <c r="B27" s="463"/>
      <c r="C27" s="463"/>
      <c r="D27" s="463"/>
      <c r="E27" s="464"/>
      <c r="F27" s="90" t="s">
        <v>146</v>
      </c>
      <c r="G27" s="125" t="s">
        <v>157</v>
      </c>
      <c r="H27" s="90">
        <v>0.2</v>
      </c>
      <c r="I27" s="187"/>
      <c r="L27" s="123"/>
    </row>
    <row r="28" spans="2:16" x14ac:dyDescent="0.25">
      <c r="B28" s="463"/>
      <c r="C28" s="463"/>
      <c r="D28" s="463"/>
      <c r="E28" s="464"/>
      <c r="F28" s="90" t="s">
        <v>148</v>
      </c>
      <c r="G28" s="125" t="s">
        <v>157</v>
      </c>
      <c r="H28" s="90">
        <v>0.3</v>
      </c>
      <c r="I28" s="187"/>
      <c r="L28" s="115"/>
      <c r="M28" s="115"/>
      <c r="N28" s="115"/>
      <c r="O28" s="124"/>
      <c r="P28" s="115"/>
    </row>
    <row r="29" spans="2:16" ht="15" customHeight="1" x14ac:dyDescent="0.25">
      <c r="B29" s="463"/>
      <c r="C29" s="463" t="s">
        <v>224</v>
      </c>
      <c r="D29" s="463" t="s">
        <v>150</v>
      </c>
      <c r="E29" s="108" t="s">
        <v>151</v>
      </c>
      <c r="G29" s="125" t="s">
        <v>152</v>
      </c>
      <c r="H29" s="199">
        <v>1</v>
      </c>
      <c r="I29" s="187"/>
      <c r="L29" s="115"/>
      <c r="M29" s="115"/>
      <c r="N29" s="115"/>
      <c r="O29" s="124"/>
      <c r="P29" s="115"/>
    </row>
    <row r="30" spans="2:16" ht="15" customHeight="1" x14ac:dyDescent="0.25">
      <c r="B30" s="463"/>
      <c r="C30" s="463"/>
      <c r="D30" s="463"/>
      <c r="E30" s="464" t="s">
        <v>143</v>
      </c>
      <c r="F30" s="90" t="s">
        <v>144</v>
      </c>
      <c r="G30" s="125" t="s">
        <v>153</v>
      </c>
      <c r="H30" s="199">
        <v>0.8</v>
      </c>
      <c r="I30" s="187"/>
      <c r="L30" s="115"/>
      <c r="M30" s="115"/>
      <c r="N30" s="115"/>
      <c r="O30" s="124"/>
      <c r="P30" s="115"/>
    </row>
    <row r="31" spans="2:16" x14ac:dyDescent="0.25">
      <c r="B31" s="463"/>
      <c r="C31" s="463"/>
      <c r="D31" s="463"/>
      <c r="E31" s="464"/>
      <c r="F31" s="90" t="s">
        <v>146</v>
      </c>
      <c r="G31" s="125" t="s">
        <v>154</v>
      </c>
      <c r="H31" s="199">
        <v>1</v>
      </c>
      <c r="I31" s="187"/>
      <c r="L31" s="115"/>
      <c r="M31" s="115"/>
      <c r="N31" s="115"/>
      <c r="O31" s="124"/>
      <c r="P31" s="115"/>
    </row>
    <row r="32" spans="2:16" x14ac:dyDescent="0.25">
      <c r="B32" s="463"/>
      <c r="C32" s="463"/>
      <c r="D32" s="463"/>
      <c r="E32" s="464"/>
      <c r="F32" s="90" t="s">
        <v>148</v>
      </c>
      <c r="G32" s="125" t="s">
        <v>155</v>
      </c>
      <c r="H32" s="199">
        <v>1.2</v>
      </c>
      <c r="I32" s="187"/>
      <c r="L32" s="115"/>
      <c r="M32" s="115"/>
      <c r="N32" s="115"/>
      <c r="O32" s="124"/>
      <c r="P32" s="115"/>
    </row>
    <row r="33" spans="2:16" ht="15" customHeight="1" x14ac:dyDescent="0.25">
      <c r="B33" s="463"/>
      <c r="C33" s="463"/>
      <c r="D33" s="466" t="s">
        <v>205</v>
      </c>
      <c r="E33" s="464" t="s">
        <v>143</v>
      </c>
      <c r="F33" s="90" t="s">
        <v>144</v>
      </c>
      <c r="G33" s="125" t="s">
        <v>157</v>
      </c>
      <c r="H33" s="199">
        <v>0.3</v>
      </c>
      <c r="I33" s="187"/>
      <c r="L33" s="115"/>
      <c r="M33" s="115"/>
      <c r="N33" s="115"/>
      <c r="O33" s="124"/>
      <c r="P33" s="115"/>
    </row>
    <row r="34" spans="2:16" x14ac:dyDescent="0.25">
      <c r="B34" s="463"/>
      <c r="C34" s="463"/>
      <c r="D34" s="463"/>
      <c r="E34" s="464"/>
      <c r="F34" s="90" t="s">
        <v>146</v>
      </c>
      <c r="G34" s="125" t="s">
        <v>157</v>
      </c>
      <c r="H34" s="199">
        <v>0.4</v>
      </c>
      <c r="I34" s="187"/>
      <c r="L34" s="115"/>
      <c r="M34" s="115"/>
      <c r="N34" s="115"/>
      <c r="O34" s="124"/>
      <c r="P34" s="115"/>
    </row>
    <row r="35" spans="2:16" x14ac:dyDescent="0.25">
      <c r="B35" s="463"/>
      <c r="C35" s="463"/>
      <c r="D35" s="463"/>
      <c r="E35" s="464"/>
      <c r="F35" s="90" t="s">
        <v>148</v>
      </c>
      <c r="G35" s="125" t="s">
        <v>157</v>
      </c>
      <c r="H35" s="199">
        <v>0.5</v>
      </c>
      <c r="I35" s="187"/>
      <c r="L35" s="115"/>
      <c r="M35" s="115"/>
      <c r="N35" s="115"/>
      <c r="O35" s="122"/>
      <c r="P35" s="115"/>
    </row>
    <row r="36" spans="2:16" ht="15" customHeight="1" x14ac:dyDescent="0.25">
      <c r="B36" s="463"/>
      <c r="C36" s="463"/>
      <c r="D36" s="463" t="s">
        <v>156</v>
      </c>
      <c r="E36" s="108" t="s">
        <v>151</v>
      </c>
      <c r="G36" s="125" t="s">
        <v>152</v>
      </c>
      <c r="H36" s="199">
        <v>2</v>
      </c>
      <c r="I36" s="187"/>
      <c r="L36" s="115"/>
      <c r="M36" s="115"/>
      <c r="N36" s="115"/>
      <c r="O36" s="122"/>
      <c r="P36" s="115"/>
    </row>
    <row r="37" spans="2:16" ht="15" customHeight="1" x14ac:dyDescent="0.25">
      <c r="B37" s="463"/>
      <c r="C37" s="463"/>
      <c r="D37" s="463"/>
      <c r="E37" s="464" t="s">
        <v>143</v>
      </c>
      <c r="F37" s="90" t="s">
        <v>144</v>
      </c>
      <c r="G37" s="125" t="s">
        <v>153</v>
      </c>
      <c r="H37" s="199">
        <v>0.8</v>
      </c>
      <c r="I37" s="187"/>
      <c r="L37" s="115"/>
      <c r="M37" s="115"/>
      <c r="N37" s="115"/>
      <c r="O37" s="122"/>
      <c r="P37" s="115"/>
    </row>
    <row r="38" spans="2:16" x14ac:dyDescent="0.25">
      <c r="B38" s="463"/>
      <c r="C38" s="463"/>
      <c r="D38" s="463"/>
      <c r="E38" s="464"/>
      <c r="F38" s="90" t="s">
        <v>146</v>
      </c>
      <c r="G38" s="125" t="s">
        <v>154</v>
      </c>
      <c r="H38" s="199">
        <v>1</v>
      </c>
      <c r="I38" s="187"/>
      <c r="L38" s="115"/>
      <c r="M38" s="115"/>
      <c r="N38" s="115"/>
      <c r="O38" s="122"/>
      <c r="P38" s="115"/>
    </row>
    <row r="39" spans="2:16" x14ac:dyDescent="0.25">
      <c r="B39" s="463"/>
      <c r="C39" s="463"/>
      <c r="D39" s="463"/>
      <c r="E39" s="464"/>
      <c r="F39" s="90" t="s">
        <v>148</v>
      </c>
      <c r="G39" s="125" t="s">
        <v>155</v>
      </c>
      <c r="H39" s="199">
        <v>1.2</v>
      </c>
      <c r="I39" s="187"/>
      <c r="L39" s="115"/>
      <c r="M39" s="115"/>
      <c r="N39" s="115"/>
      <c r="O39" s="124"/>
      <c r="P39" s="115"/>
    </row>
    <row r="40" spans="2:16" ht="15" customHeight="1" x14ac:dyDescent="0.25">
      <c r="B40" s="463"/>
      <c r="C40" s="463"/>
      <c r="D40" s="466" t="s">
        <v>207</v>
      </c>
      <c r="E40" s="464" t="s">
        <v>143</v>
      </c>
      <c r="F40" s="90" t="s">
        <v>144</v>
      </c>
      <c r="G40" s="125" t="s">
        <v>157</v>
      </c>
      <c r="H40" s="199">
        <v>0.4</v>
      </c>
      <c r="I40" s="187"/>
      <c r="L40" s="115"/>
      <c r="M40" s="115"/>
      <c r="N40" s="115"/>
      <c r="O40" s="124"/>
      <c r="P40" s="115"/>
    </row>
    <row r="41" spans="2:16" x14ac:dyDescent="0.25">
      <c r="B41" s="463"/>
      <c r="C41" s="463"/>
      <c r="D41" s="463"/>
      <c r="E41" s="464"/>
      <c r="F41" s="90" t="s">
        <v>146</v>
      </c>
      <c r="G41" s="125" t="s">
        <v>157</v>
      </c>
      <c r="H41" s="199">
        <v>0.45</v>
      </c>
      <c r="I41" s="187"/>
      <c r="L41" s="115"/>
      <c r="M41" s="115"/>
      <c r="N41" s="115"/>
      <c r="O41" s="124"/>
      <c r="P41" s="115"/>
    </row>
    <row r="42" spans="2:16" x14ac:dyDescent="0.25">
      <c r="B42" s="463"/>
      <c r="C42" s="463"/>
      <c r="D42" s="463"/>
      <c r="E42" s="464"/>
      <c r="F42" s="90" t="s">
        <v>148</v>
      </c>
      <c r="G42" s="125" t="s">
        <v>157</v>
      </c>
      <c r="H42" s="199">
        <v>0.5</v>
      </c>
      <c r="I42" s="187"/>
      <c r="L42" s="115"/>
      <c r="M42" s="115"/>
      <c r="N42" s="115"/>
      <c r="O42" s="124"/>
      <c r="P42" s="115"/>
    </row>
    <row r="43" spans="2:16" ht="34.5" x14ac:dyDescent="0.25">
      <c r="B43" s="463"/>
      <c r="C43" s="463"/>
      <c r="D43" s="99" t="s">
        <v>84</v>
      </c>
      <c r="E43" s="108" t="s">
        <v>151</v>
      </c>
      <c r="G43" s="125" t="s">
        <v>201</v>
      </c>
      <c r="H43" s="191">
        <v>0.04</v>
      </c>
      <c r="I43" s="187"/>
      <c r="L43" s="115"/>
      <c r="M43" s="115"/>
      <c r="N43" s="115"/>
      <c r="O43" s="124"/>
      <c r="P43" s="115"/>
    </row>
    <row r="44" spans="2:16" ht="15" customHeight="1" x14ac:dyDescent="0.25">
      <c r="B44" s="463" t="s">
        <v>53</v>
      </c>
      <c r="C44" s="463" t="s">
        <v>230</v>
      </c>
      <c r="D44" s="463" t="s">
        <v>80</v>
      </c>
      <c r="E44" s="464" t="s">
        <v>93</v>
      </c>
      <c r="F44" s="90" t="s">
        <v>94</v>
      </c>
      <c r="G44" s="125" t="s">
        <v>95</v>
      </c>
      <c r="H44" s="233">
        <v>1.7</v>
      </c>
      <c r="L44" s="115"/>
      <c r="M44" s="115"/>
      <c r="N44" s="115"/>
      <c r="O44" s="124"/>
      <c r="P44" s="115"/>
    </row>
    <row r="45" spans="2:16" x14ac:dyDescent="0.25">
      <c r="B45" s="463"/>
      <c r="C45" s="463"/>
      <c r="D45" s="463"/>
      <c r="E45" s="464"/>
      <c r="F45" s="90" t="s">
        <v>96</v>
      </c>
      <c r="G45" s="125" t="s">
        <v>97</v>
      </c>
      <c r="H45" s="233">
        <v>1.4</v>
      </c>
      <c r="L45" s="115"/>
      <c r="M45" s="115"/>
      <c r="N45" s="115"/>
      <c r="O45" s="124"/>
      <c r="P45" s="115"/>
    </row>
    <row r="46" spans="2:16" x14ac:dyDescent="0.25">
      <c r="B46" s="463"/>
      <c r="C46" s="463"/>
      <c r="D46" s="463"/>
      <c r="E46" s="464"/>
      <c r="F46" s="90" t="s">
        <v>98</v>
      </c>
      <c r="G46" s="125" t="s">
        <v>99</v>
      </c>
      <c r="H46" s="233">
        <v>2.2000000000000002</v>
      </c>
      <c r="L46" s="115"/>
      <c r="M46" s="115"/>
      <c r="N46" s="115"/>
      <c r="O46" s="124"/>
      <c r="P46" s="115"/>
    </row>
    <row r="47" spans="2:16" x14ac:dyDescent="0.25">
      <c r="B47" s="463"/>
      <c r="C47" s="463"/>
      <c r="D47" s="463"/>
      <c r="E47" s="464"/>
      <c r="F47" s="90" t="s">
        <v>100</v>
      </c>
      <c r="G47" s="125" t="s">
        <v>101</v>
      </c>
      <c r="H47" s="233">
        <v>1.4</v>
      </c>
      <c r="L47" s="115"/>
      <c r="M47" s="115"/>
      <c r="N47" s="115"/>
      <c r="O47" s="124"/>
      <c r="P47" s="115"/>
    </row>
    <row r="48" spans="2:16" x14ac:dyDescent="0.25">
      <c r="B48" s="463"/>
      <c r="C48" s="463"/>
      <c r="D48" s="463"/>
      <c r="E48" s="464"/>
      <c r="F48" s="90" t="s">
        <v>102</v>
      </c>
      <c r="G48" s="125" t="s">
        <v>103</v>
      </c>
      <c r="H48" s="233">
        <v>1</v>
      </c>
      <c r="L48" s="115"/>
      <c r="M48" s="115"/>
      <c r="N48" s="115"/>
      <c r="O48" s="124"/>
      <c r="P48" s="115"/>
    </row>
    <row r="49" spans="1:16" x14ac:dyDescent="0.25">
      <c r="B49" s="463"/>
      <c r="C49" s="463"/>
      <c r="D49" s="463"/>
      <c r="E49" s="464"/>
      <c r="F49" s="115" t="s">
        <v>160</v>
      </c>
      <c r="G49" s="125" t="s">
        <v>161</v>
      </c>
      <c r="H49" s="115">
        <v>1.1000000000000001</v>
      </c>
      <c r="L49" s="115"/>
      <c r="M49" s="115"/>
      <c r="N49" s="115"/>
      <c r="O49" s="124"/>
      <c r="P49" s="115"/>
    </row>
    <row r="50" spans="1:16" x14ac:dyDescent="0.25">
      <c r="B50" s="463"/>
      <c r="C50" s="463"/>
      <c r="D50" s="463"/>
      <c r="E50" s="464"/>
      <c r="F50" s="90" t="s">
        <v>104</v>
      </c>
      <c r="G50" s="125" t="s">
        <v>105</v>
      </c>
      <c r="H50" s="233">
        <v>4</v>
      </c>
      <c r="L50" s="122"/>
      <c r="M50" s="122"/>
      <c r="N50" s="122"/>
      <c r="O50" s="124"/>
      <c r="P50" s="115"/>
    </row>
    <row r="51" spans="1:16" x14ac:dyDescent="0.25">
      <c r="B51" s="463"/>
      <c r="C51" s="463"/>
      <c r="D51" s="463"/>
      <c r="E51" s="464"/>
      <c r="F51" s="90" t="s">
        <v>106</v>
      </c>
      <c r="G51" s="125" t="s">
        <v>107</v>
      </c>
      <c r="H51" s="233">
        <v>2.5</v>
      </c>
      <c r="L51" s="122"/>
      <c r="M51" s="122"/>
      <c r="N51" s="122"/>
      <c r="O51" s="124"/>
      <c r="P51" s="115"/>
    </row>
    <row r="52" spans="1:16" x14ac:dyDescent="0.25">
      <c r="B52" s="463"/>
      <c r="C52" s="463"/>
      <c r="D52" s="463"/>
      <c r="E52" s="464"/>
      <c r="F52" s="115" t="s">
        <v>304</v>
      </c>
      <c r="G52" s="125" t="s">
        <v>262</v>
      </c>
      <c r="H52" s="233">
        <v>1</v>
      </c>
      <c r="L52" s="122"/>
      <c r="M52" s="122"/>
      <c r="N52" s="122"/>
      <c r="O52" s="124"/>
      <c r="P52" s="115"/>
    </row>
    <row r="53" spans="1:16" x14ac:dyDescent="0.25">
      <c r="B53" s="463"/>
      <c r="C53" s="463"/>
      <c r="D53" s="463"/>
      <c r="E53" s="464"/>
      <c r="F53" s="90" t="s">
        <v>108</v>
      </c>
      <c r="G53" s="125" t="s">
        <v>109</v>
      </c>
      <c r="H53" s="233">
        <v>2</v>
      </c>
      <c r="L53" s="122"/>
      <c r="M53" s="122"/>
      <c r="N53" s="122"/>
      <c r="O53" s="122"/>
      <c r="P53" s="115"/>
    </row>
    <row r="54" spans="1:16" x14ac:dyDescent="0.25">
      <c r="B54" s="463"/>
      <c r="C54" s="463"/>
      <c r="D54" s="463"/>
      <c r="E54" s="465" t="s">
        <v>143</v>
      </c>
      <c r="F54" s="141" t="s">
        <v>144</v>
      </c>
      <c r="G54" s="142" t="s">
        <v>290</v>
      </c>
      <c r="H54" s="141">
        <v>1</v>
      </c>
      <c r="L54" s="122"/>
      <c r="M54" s="122"/>
      <c r="N54" s="122"/>
      <c r="O54" s="122"/>
      <c r="P54" s="115"/>
    </row>
    <row r="55" spans="1:16" x14ac:dyDescent="0.25">
      <c r="B55" s="463"/>
      <c r="C55" s="463"/>
      <c r="D55" s="463"/>
      <c r="E55" s="465"/>
      <c r="F55" s="141" t="s">
        <v>146</v>
      </c>
      <c r="G55" s="142" t="s">
        <v>291</v>
      </c>
      <c r="H55" s="141">
        <v>1.2</v>
      </c>
      <c r="L55" s="122"/>
      <c r="M55" s="122"/>
      <c r="N55" s="122"/>
      <c r="O55" s="124"/>
      <c r="P55" s="115"/>
    </row>
    <row r="56" spans="1:16" x14ac:dyDescent="0.25">
      <c r="B56" s="463"/>
      <c r="C56" s="463"/>
      <c r="D56" s="463"/>
      <c r="E56" s="465"/>
      <c r="F56" s="141" t="s">
        <v>148</v>
      </c>
      <c r="G56" s="142" t="s">
        <v>292</v>
      </c>
      <c r="H56" s="141">
        <v>1.4</v>
      </c>
      <c r="J56" s="115"/>
      <c r="L56" s="122"/>
      <c r="M56" s="122"/>
      <c r="N56" s="122"/>
      <c r="O56" s="122"/>
      <c r="P56" s="115"/>
    </row>
    <row r="57" spans="1:16" ht="27.75" x14ac:dyDescent="0.25">
      <c r="B57" s="463"/>
      <c r="C57" s="463"/>
      <c r="D57" s="463" t="s">
        <v>85</v>
      </c>
      <c r="E57" s="108" t="s">
        <v>225</v>
      </c>
      <c r="G57" s="125" t="s">
        <v>185</v>
      </c>
      <c r="H57" s="233">
        <f>9/20</f>
        <v>0.45</v>
      </c>
      <c r="L57" s="122"/>
      <c r="M57" s="122"/>
      <c r="N57" s="122"/>
      <c r="O57" s="122"/>
      <c r="P57" s="115"/>
    </row>
    <row r="58" spans="1:16" x14ac:dyDescent="0.25">
      <c r="B58" s="463"/>
      <c r="C58" s="463"/>
      <c r="D58" s="463"/>
      <c r="E58" s="465" t="s">
        <v>143</v>
      </c>
      <c r="F58" s="141" t="s">
        <v>144</v>
      </c>
      <c r="G58" s="142" t="s">
        <v>252</v>
      </c>
      <c r="H58" s="141">
        <v>0.9</v>
      </c>
      <c r="L58" s="122"/>
      <c r="M58" s="122"/>
      <c r="N58" s="115"/>
      <c r="O58" s="124"/>
      <c r="P58" s="115"/>
    </row>
    <row r="59" spans="1:16" x14ac:dyDescent="0.25">
      <c r="B59" s="463"/>
      <c r="C59" s="463"/>
      <c r="D59" s="463"/>
      <c r="E59" s="465"/>
      <c r="F59" s="141" t="s">
        <v>146</v>
      </c>
      <c r="G59" s="142" t="s">
        <v>253</v>
      </c>
      <c r="H59" s="141">
        <v>1</v>
      </c>
      <c r="L59" s="122"/>
      <c r="M59" s="122"/>
      <c r="N59" s="115"/>
      <c r="O59" s="124"/>
      <c r="P59" s="115"/>
    </row>
    <row r="60" spans="1:16" x14ac:dyDescent="0.25">
      <c r="B60" s="463"/>
      <c r="C60" s="463"/>
      <c r="D60" s="463"/>
      <c r="E60" s="465"/>
      <c r="F60" s="141" t="s">
        <v>148</v>
      </c>
      <c r="G60" s="142" t="s">
        <v>251</v>
      </c>
      <c r="H60" s="141">
        <v>1.1000000000000001</v>
      </c>
      <c r="L60" s="122"/>
      <c r="M60" s="122"/>
      <c r="N60" s="115"/>
      <c r="O60" s="124"/>
      <c r="P60" s="115"/>
    </row>
    <row r="61" spans="1:16" ht="34.5" x14ac:dyDescent="0.25">
      <c r="B61" s="463"/>
      <c r="C61" s="463"/>
      <c r="D61" s="99" t="s">
        <v>84</v>
      </c>
      <c r="E61" s="108" t="s">
        <v>151</v>
      </c>
      <c r="G61" s="125" t="s">
        <v>201</v>
      </c>
      <c r="H61" s="233">
        <v>0.04</v>
      </c>
      <c r="L61" s="122"/>
      <c r="M61" s="122"/>
      <c r="N61" s="115"/>
      <c r="O61" s="124"/>
      <c r="P61" s="115"/>
    </row>
    <row r="62" spans="1:16" ht="32.25" customHeight="1" x14ac:dyDescent="0.25">
      <c r="A62" s="119">
        <v>2</v>
      </c>
      <c r="B62" s="463"/>
      <c r="C62" s="462" t="s">
        <v>208</v>
      </c>
      <c r="D62" s="99" t="s">
        <v>192</v>
      </c>
      <c r="E62" s="108" t="s">
        <v>225</v>
      </c>
      <c r="G62" s="125" t="s">
        <v>193</v>
      </c>
      <c r="H62" s="90">
        <f>(2/5)*(2/5)*(2/5)</f>
        <v>6.4000000000000015E-2</v>
      </c>
      <c r="L62" s="122"/>
      <c r="M62" s="122"/>
      <c r="N62" s="115"/>
      <c r="O62" s="124"/>
      <c r="P62" s="115"/>
    </row>
    <row r="63" spans="1:16" ht="31.5" x14ac:dyDescent="0.25">
      <c r="B63" s="463"/>
      <c r="C63" s="462"/>
      <c r="D63" s="99" t="s">
        <v>220</v>
      </c>
      <c r="E63" s="108" t="s">
        <v>225</v>
      </c>
      <c r="G63" s="125" t="s">
        <v>221</v>
      </c>
      <c r="H63" s="90">
        <f>1/3</f>
        <v>0.33333333333333331</v>
      </c>
      <c r="L63" s="122"/>
      <c r="M63" s="122"/>
      <c r="N63" s="115"/>
      <c r="O63" s="115"/>
      <c r="P63" s="115"/>
    </row>
    <row r="64" spans="1:16" ht="28.5" x14ac:dyDescent="0.25">
      <c r="B64" s="463" t="s">
        <v>54</v>
      </c>
      <c r="C64" s="462" t="s">
        <v>187</v>
      </c>
      <c r="D64" s="99" t="s">
        <v>188</v>
      </c>
      <c r="E64" s="108" t="s">
        <v>225</v>
      </c>
      <c r="G64" s="125" t="s">
        <v>190</v>
      </c>
      <c r="H64" s="199">
        <f>1/5</f>
        <v>0.2</v>
      </c>
      <c r="L64" s="122"/>
      <c r="M64" s="115"/>
      <c r="N64" s="115"/>
      <c r="O64" s="124"/>
      <c r="P64" s="115"/>
    </row>
    <row r="65" spans="2:16" ht="29.25" x14ac:dyDescent="0.25">
      <c r="B65" s="463"/>
      <c r="C65" s="462"/>
      <c r="D65" s="99" t="s">
        <v>189</v>
      </c>
      <c r="E65" s="108" t="s">
        <v>225</v>
      </c>
      <c r="G65" s="125" t="s">
        <v>191</v>
      </c>
      <c r="H65" s="199">
        <f>1/2</f>
        <v>0.5</v>
      </c>
      <c r="L65" s="122"/>
      <c r="M65" s="115"/>
      <c r="N65" s="115"/>
      <c r="O65" s="124"/>
      <c r="P65" s="115"/>
    </row>
    <row r="66" spans="2:16" ht="34.5" x14ac:dyDescent="0.25">
      <c r="B66" s="463"/>
      <c r="C66" s="462"/>
      <c r="D66" s="99" t="s">
        <v>84</v>
      </c>
      <c r="E66" s="108" t="s">
        <v>151</v>
      </c>
      <c r="G66" s="125" t="s">
        <v>201</v>
      </c>
      <c r="H66" s="233">
        <v>0.04</v>
      </c>
      <c r="L66" s="122"/>
      <c r="M66" s="122"/>
      <c r="N66" s="115"/>
      <c r="O66" s="124"/>
      <c r="P66" s="115"/>
    </row>
    <row r="67" spans="2:16" ht="30" x14ac:dyDescent="0.25">
      <c r="B67" s="463"/>
      <c r="C67" s="99" t="s">
        <v>214</v>
      </c>
      <c r="D67" s="99" t="s">
        <v>226</v>
      </c>
      <c r="E67" s="108" t="s">
        <v>225</v>
      </c>
      <c r="G67" s="125" t="s">
        <v>217</v>
      </c>
      <c r="H67" s="199">
        <f>1/2</f>
        <v>0.5</v>
      </c>
      <c r="L67" s="122"/>
      <c r="M67" s="122"/>
      <c r="N67" s="115"/>
      <c r="O67" s="124"/>
      <c r="P67" s="115"/>
    </row>
    <row r="68" spans="2:16" ht="31.5" x14ac:dyDescent="0.25">
      <c r="B68" s="463"/>
      <c r="C68" s="99" t="s">
        <v>215</v>
      </c>
      <c r="D68" s="99" t="s">
        <v>227</v>
      </c>
      <c r="E68" s="108" t="s">
        <v>225</v>
      </c>
      <c r="G68" s="125" t="s">
        <v>216</v>
      </c>
      <c r="H68" s="199">
        <f>1/2</f>
        <v>0.5</v>
      </c>
      <c r="L68" s="122"/>
      <c r="M68" s="122"/>
      <c r="N68" s="115"/>
      <c r="O68" s="124"/>
      <c r="P68" s="115"/>
    </row>
    <row r="69" spans="2:16" ht="27.75" x14ac:dyDescent="0.25">
      <c r="B69" s="463"/>
      <c r="C69" s="462" t="s">
        <v>86</v>
      </c>
      <c r="D69" s="99" t="s">
        <v>228</v>
      </c>
      <c r="E69" s="108" t="s">
        <v>225</v>
      </c>
      <c r="G69" s="125" t="s">
        <v>186</v>
      </c>
      <c r="H69" s="199">
        <f>(3/5)*(1/5)*(18/10)</f>
        <v>0.216</v>
      </c>
      <c r="I69" s="233"/>
      <c r="L69" s="122"/>
      <c r="M69" s="122"/>
      <c r="N69" s="115"/>
      <c r="O69" s="124"/>
      <c r="P69" s="115"/>
    </row>
    <row r="70" spans="2:16" ht="27.75" x14ac:dyDescent="0.25">
      <c r="B70" s="463"/>
      <c r="C70" s="462"/>
      <c r="D70" s="99" t="s">
        <v>209</v>
      </c>
      <c r="E70" s="108" t="s">
        <v>225</v>
      </c>
      <c r="G70" s="125" t="s">
        <v>210</v>
      </c>
      <c r="H70" s="199">
        <f>1/5</f>
        <v>0.2</v>
      </c>
      <c r="L70" s="122"/>
      <c r="M70" s="115"/>
      <c r="N70" s="115"/>
      <c r="O70" s="115"/>
      <c r="P70" s="115"/>
    </row>
    <row r="71" spans="2:16" ht="27.75" x14ac:dyDescent="0.25">
      <c r="B71" s="463" t="s">
        <v>55</v>
      </c>
      <c r="C71" s="462" t="s">
        <v>87</v>
      </c>
      <c r="D71" s="99" t="s">
        <v>229</v>
      </c>
      <c r="E71" s="108" t="s">
        <v>225</v>
      </c>
      <c r="G71" s="125" t="s">
        <v>233</v>
      </c>
      <c r="H71" s="233">
        <f>10/5</f>
        <v>2</v>
      </c>
      <c r="I71" s="233"/>
    </row>
    <row r="72" spans="2:16" ht="28.5" x14ac:dyDescent="0.25">
      <c r="B72" s="463"/>
      <c r="C72" s="462"/>
      <c r="D72" s="99" t="s">
        <v>211</v>
      </c>
      <c r="E72" s="108" t="s">
        <v>225</v>
      </c>
      <c r="G72" s="125" t="s">
        <v>212</v>
      </c>
      <c r="H72" s="199">
        <f>1/5</f>
        <v>0.2</v>
      </c>
    </row>
    <row r="73" spans="2:16" ht="30.75" x14ac:dyDescent="0.25">
      <c r="B73" s="463"/>
      <c r="C73" s="99" t="s">
        <v>231</v>
      </c>
      <c r="D73" s="99" t="s">
        <v>232</v>
      </c>
      <c r="E73" s="108" t="s">
        <v>225</v>
      </c>
      <c r="G73" s="125" t="s">
        <v>213</v>
      </c>
      <c r="H73" s="199">
        <v>2.5000000000000001E-2</v>
      </c>
    </row>
    <row r="74" spans="2:16" x14ac:dyDescent="0.25">
      <c r="G74" s="125"/>
    </row>
    <row r="75" spans="2:16" x14ac:dyDescent="0.25">
      <c r="G75" s="125" t="s">
        <v>218</v>
      </c>
      <c r="H75" s="120">
        <v>0</v>
      </c>
      <c r="I75" s="121">
        <f>1-H75</f>
        <v>1</v>
      </c>
    </row>
  </sheetData>
  <mergeCells count="30">
    <mergeCell ref="D33:D35"/>
    <mergeCell ref="E33:E35"/>
    <mergeCell ref="D40:D42"/>
    <mergeCell ref="E40:E42"/>
    <mergeCell ref="D36:D39"/>
    <mergeCell ref="D44:D56"/>
    <mergeCell ref="C44:C61"/>
    <mergeCell ref="C62:C63"/>
    <mergeCell ref="E37:E39"/>
    <mergeCell ref="C2:C5"/>
    <mergeCell ref="D57:D60"/>
    <mergeCell ref="E58:E60"/>
    <mergeCell ref="E54:E56"/>
    <mergeCell ref="E44:E53"/>
    <mergeCell ref="E7:E22"/>
    <mergeCell ref="E23:E25"/>
    <mergeCell ref="D29:D32"/>
    <mergeCell ref="E30:E32"/>
    <mergeCell ref="D26:D28"/>
    <mergeCell ref="E26:E28"/>
    <mergeCell ref="D7:D25"/>
    <mergeCell ref="C69:C70"/>
    <mergeCell ref="C71:C72"/>
    <mergeCell ref="B2:B43"/>
    <mergeCell ref="B44:B63"/>
    <mergeCell ref="B64:B70"/>
    <mergeCell ref="B71:B73"/>
    <mergeCell ref="C6:C28"/>
    <mergeCell ref="C29:C43"/>
    <mergeCell ref="C64:C66"/>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7"/>
  <sheetViews>
    <sheetView workbookViewId="0"/>
  </sheetViews>
  <sheetFormatPr baseColWidth="10" defaultRowHeight="15" x14ac:dyDescent="0.25"/>
  <cols>
    <col min="1" max="2" width="36.7109375" customWidth="1"/>
  </cols>
  <sheetData>
    <row r="1" spans="1:16" x14ac:dyDescent="0.25">
      <c r="A1" s="418" t="s">
        <v>551</v>
      </c>
    </row>
    <row r="2" spans="1:16" x14ac:dyDescent="0.25">
      <c r="P2" t="e">
        <f ca="1">_xll.CB.RecalcCounterFN()</f>
        <v>#NAME?</v>
      </c>
    </row>
    <row r="3" spans="1:16" x14ac:dyDescent="0.25">
      <c r="A3" t="s">
        <v>552</v>
      </c>
      <c r="B3" t="s">
        <v>553</v>
      </c>
      <c r="C3">
        <v>0</v>
      </c>
    </row>
    <row r="4" spans="1:16" x14ac:dyDescent="0.25">
      <c r="A4" t="s">
        <v>554</v>
      </c>
    </row>
    <row r="5" spans="1:16" x14ac:dyDescent="0.25">
      <c r="A5" t="s">
        <v>555</v>
      </c>
    </row>
    <row r="7" spans="1:16" x14ac:dyDescent="0.25">
      <c r="A7" s="418" t="s">
        <v>556</v>
      </c>
      <c r="B7" t="s">
        <v>557</v>
      </c>
    </row>
    <row r="8" spans="1:16" x14ac:dyDescent="0.25">
      <c r="B8">
        <v>2</v>
      </c>
    </row>
    <row r="10" spans="1:16" x14ac:dyDescent="0.25">
      <c r="A10" t="s">
        <v>558</v>
      </c>
    </row>
    <row r="11" spans="1:16" x14ac:dyDescent="0.25">
      <c r="A11" t="e">
        <f>CB_DATA_!#REF!</f>
        <v>#REF!</v>
      </c>
      <c r="B11" t="e">
        <f>'Alcance y tiempo'!#REF!</f>
        <v>#REF!</v>
      </c>
    </row>
    <row r="13" spans="1:16" x14ac:dyDescent="0.25">
      <c r="A13" t="s">
        <v>559</v>
      </c>
    </row>
    <row r="14" spans="1:16" x14ac:dyDescent="0.25">
      <c r="A14" t="s">
        <v>563</v>
      </c>
      <c r="B14" t="s">
        <v>567</v>
      </c>
    </row>
    <row r="16" spans="1:16" x14ac:dyDescent="0.25">
      <c r="A16" t="s">
        <v>560</v>
      </c>
    </row>
    <row r="19" spans="1:2" x14ac:dyDescent="0.25">
      <c r="A19" t="s">
        <v>561</v>
      </c>
    </row>
    <row r="20" spans="1:2" x14ac:dyDescent="0.25">
      <c r="A20">
        <v>28</v>
      </c>
      <c r="B20">
        <v>37</v>
      </c>
    </row>
    <row r="25" spans="1:2" x14ac:dyDescent="0.25">
      <c r="A25" s="418" t="s">
        <v>562</v>
      </c>
    </row>
    <row r="26" spans="1:2" x14ac:dyDescent="0.25">
      <c r="A26" s="419" t="s">
        <v>564</v>
      </c>
      <c r="B26" s="419" t="s">
        <v>571</v>
      </c>
    </row>
    <row r="27" spans="1:2" x14ac:dyDescent="0.25">
      <c r="A27" t="s">
        <v>565</v>
      </c>
      <c r="B27" t="s">
        <v>572</v>
      </c>
    </row>
    <row r="28" spans="1:2" x14ac:dyDescent="0.25">
      <c r="A28" s="419" t="s">
        <v>566</v>
      </c>
      <c r="B28" s="419" t="s">
        <v>566</v>
      </c>
    </row>
    <row r="29" spans="1:2" x14ac:dyDescent="0.25">
      <c r="B29" s="419" t="s">
        <v>564</v>
      </c>
    </row>
    <row r="30" spans="1:2" x14ac:dyDescent="0.25">
      <c r="B30" t="s">
        <v>569</v>
      </c>
    </row>
    <row r="31" spans="1:2" x14ac:dyDescent="0.25">
      <c r="B31" s="419" t="s">
        <v>566</v>
      </c>
    </row>
    <row r="32" spans="1:2" x14ac:dyDescent="0.25">
      <c r="B32" s="419" t="s">
        <v>570</v>
      </c>
    </row>
    <row r="33" spans="2:2" x14ac:dyDescent="0.25">
      <c r="B33" t="s">
        <v>573</v>
      </c>
    </row>
    <row r="34" spans="2:2" x14ac:dyDescent="0.25">
      <c r="B34" s="419" t="s">
        <v>566</v>
      </c>
    </row>
    <row r="35" spans="2:2" x14ac:dyDescent="0.25">
      <c r="B35" s="419" t="s">
        <v>568</v>
      </c>
    </row>
    <row r="36" spans="2:2" x14ac:dyDescent="0.25">
      <c r="B36" t="s">
        <v>574</v>
      </c>
    </row>
    <row r="37" spans="2:2" x14ac:dyDescent="0.25">
      <c r="B37" s="419" t="s">
        <v>566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B1:CF211"/>
  <sheetViews>
    <sheetView showGridLines="0" tabSelected="1" zoomScaleNormal="100" workbookViewId="0">
      <selection activeCell="L45" sqref="L45"/>
    </sheetView>
  </sheetViews>
  <sheetFormatPr baseColWidth="10" defaultColWidth="11.42578125" defaultRowHeight="12.75" outlineLevelRow="2" x14ac:dyDescent="0.2"/>
  <cols>
    <col min="1" max="2" width="1.7109375" style="3" customWidth="1"/>
    <col min="3" max="3" width="14" style="3" bestFit="1" customWidth="1"/>
    <col min="4" max="4" width="5.28515625" style="3" hidden="1" customWidth="1"/>
    <col min="5" max="5" width="3.7109375" style="3" customWidth="1"/>
    <col min="6" max="7" width="2.5703125" style="3" hidden="1" customWidth="1"/>
    <col min="8" max="8" width="3.7109375" style="102" customWidth="1"/>
    <col min="9" max="9" width="3.140625" style="102" bestFit="1" customWidth="1"/>
    <col min="10" max="10" width="3.140625" style="102" hidden="1" customWidth="1"/>
    <col min="11" max="11" width="10.140625" style="102" hidden="1" customWidth="1"/>
    <col min="12" max="12" width="77" style="1" customWidth="1"/>
    <col min="13" max="14" width="14.140625" style="2" hidden="1" customWidth="1"/>
    <col min="15" max="15" width="9.7109375" style="83" customWidth="1"/>
    <col min="16" max="16" width="13.140625" style="6" customWidth="1"/>
    <col min="17" max="17" width="9.85546875" style="194" customWidth="1"/>
    <col min="18" max="19" width="9.85546875" style="235" customWidth="1"/>
    <col min="20" max="20" width="5.42578125" style="3" customWidth="1"/>
    <col min="21" max="23" width="11.5703125" style="3" customWidth="1"/>
    <col min="24" max="24" width="11.42578125" style="302" customWidth="1"/>
    <col min="25" max="31" width="11.5703125" style="3" hidden="1" customWidth="1"/>
    <col min="32" max="33" width="11.5703125" style="102" hidden="1" customWidth="1"/>
    <col min="34" max="34" width="11.5703125" style="3" customWidth="1"/>
    <col min="35" max="43" width="11.5703125" style="3" hidden="1" customWidth="1"/>
    <col min="44" max="45" width="11.5703125" style="102" hidden="1" customWidth="1"/>
    <col min="46" max="46" width="1.7109375" style="3" customWidth="1"/>
    <col min="47" max="52" width="4.7109375" style="3" customWidth="1"/>
    <col min="53" max="58" width="4.7109375" style="102" customWidth="1"/>
    <col min="59" max="61" width="4.7109375" style="3" customWidth="1"/>
    <col min="62" max="65" width="4.7109375" style="235" customWidth="1"/>
    <col min="66" max="66" width="4.7109375" style="3" customWidth="1"/>
    <col min="67" max="67" width="4.7109375" style="235" customWidth="1"/>
    <col min="68" max="76" width="4.7109375" style="3" customWidth="1"/>
    <col min="77" max="81" width="11.42578125" style="3" customWidth="1"/>
    <col min="82" max="16384" width="11.42578125" style="3"/>
  </cols>
  <sheetData>
    <row r="1" spans="3:84" x14ac:dyDescent="0.2">
      <c r="L1" s="103"/>
      <c r="AD1" s="217"/>
    </row>
    <row r="2" spans="3:84" ht="15.75" x14ac:dyDescent="0.2">
      <c r="P2" s="81" t="s">
        <v>0</v>
      </c>
      <c r="Q2" s="81"/>
      <c r="R2" s="81"/>
      <c r="S2" s="81"/>
    </row>
    <row r="3" spans="3:84" ht="13.5" x14ac:dyDescent="0.2">
      <c r="L3" s="19"/>
      <c r="P3" s="79" t="str">
        <f>'Información proyecto'!C3</f>
        <v>Versión: 0.1</v>
      </c>
      <c r="Q3" s="79"/>
      <c r="R3" s="79"/>
      <c r="S3" s="79"/>
    </row>
    <row r="4" spans="3:84" ht="0.95" customHeight="1" x14ac:dyDescent="0.2">
      <c r="L4" s="20"/>
      <c r="M4" s="20"/>
      <c r="N4" s="20"/>
      <c r="O4" s="84"/>
      <c r="P4" s="85"/>
      <c r="Q4" s="78"/>
      <c r="R4" s="78"/>
      <c r="S4" s="78"/>
    </row>
    <row r="5" spans="3:84" ht="13.5" x14ac:dyDescent="0.2">
      <c r="L5" s="19"/>
      <c r="P5" s="80" t="str">
        <f>'Información proyecto'!C5</f>
        <v>Proyecto: Generador de formatos</v>
      </c>
      <c r="Q5" s="80"/>
      <c r="R5" s="80"/>
      <c r="S5" s="80"/>
    </row>
    <row r="6" spans="3:84" x14ac:dyDescent="0.2">
      <c r="L6" s="467"/>
      <c r="M6" s="467"/>
      <c r="N6" s="467"/>
      <c r="O6" s="467"/>
    </row>
    <row r="7" spans="3:84" x14ac:dyDescent="0.2">
      <c r="L7" s="467" t="s">
        <v>9</v>
      </c>
      <c r="M7" s="467"/>
      <c r="N7" s="467"/>
      <c r="O7" s="467"/>
      <c r="P7" s="467"/>
      <c r="Q7" s="202"/>
      <c r="R7" s="417"/>
      <c r="S7" s="405"/>
      <c r="U7" s="235"/>
      <c r="V7" s="235"/>
      <c r="W7" s="235"/>
      <c r="Y7" s="235"/>
      <c r="Z7" s="235"/>
      <c r="AA7" s="235"/>
      <c r="AB7" s="235"/>
      <c r="AC7" s="235"/>
      <c r="AD7" s="235"/>
      <c r="AE7" s="235"/>
      <c r="AF7" s="235"/>
      <c r="AG7" s="235"/>
      <c r="AH7" s="235"/>
      <c r="AI7" s="235"/>
      <c r="AJ7" s="235"/>
      <c r="AK7" s="235"/>
      <c r="AL7" s="235"/>
      <c r="AM7" s="235"/>
      <c r="AN7" s="235"/>
      <c r="AO7" s="235"/>
      <c r="AP7" s="235"/>
      <c r="AQ7" s="235"/>
      <c r="AR7" s="235"/>
      <c r="AS7" s="235"/>
      <c r="AT7" s="235"/>
      <c r="AU7" s="235"/>
      <c r="AV7" s="235"/>
      <c r="AW7" s="235"/>
      <c r="AX7" s="235"/>
      <c r="AY7" s="235"/>
      <c r="AZ7" s="235"/>
      <c r="BA7" s="235"/>
      <c r="BB7" s="235"/>
      <c r="BC7" s="235"/>
      <c r="BD7" s="235"/>
      <c r="BE7" s="235"/>
      <c r="BF7" s="235"/>
      <c r="BG7" s="235"/>
      <c r="BH7" s="235"/>
      <c r="BI7" s="235"/>
      <c r="BN7" s="235"/>
      <c r="BP7" s="235"/>
      <c r="BQ7" s="235"/>
      <c r="BR7" s="235"/>
      <c r="BS7" s="235"/>
      <c r="BT7" s="235"/>
      <c r="BU7" s="235"/>
      <c r="BV7" s="235"/>
      <c r="BW7" s="235"/>
      <c r="BX7" s="235"/>
      <c r="BY7" s="235"/>
    </row>
    <row r="8" spans="3:84" ht="13.5" x14ac:dyDescent="0.25">
      <c r="L8" s="21"/>
      <c r="M8" s="22"/>
      <c r="N8" s="22"/>
      <c r="O8" s="345"/>
      <c r="Q8" s="10"/>
      <c r="R8" s="10"/>
      <c r="S8" s="10"/>
      <c r="U8" s="235"/>
      <c r="V8" s="235"/>
      <c r="W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c r="BD8" s="235"/>
      <c r="BE8" s="235"/>
      <c r="BF8" s="235"/>
      <c r="BG8" s="235"/>
      <c r="BH8" s="235"/>
      <c r="BI8" s="235"/>
      <c r="BN8" s="235"/>
      <c r="BP8" s="235"/>
      <c r="BQ8" s="235"/>
      <c r="BR8" s="235"/>
      <c r="BS8" s="235"/>
      <c r="BT8" s="235"/>
      <c r="BU8" s="235"/>
      <c r="BV8" s="235"/>
      <c r="BW8" s="235"/>
      <c r="BX8" s="235"/>
      <c r="BY8" s="235"/>
    </row>
    <row r="9" spans="3:84" ht="31.5" x14ac:dyDescent="0.2">
      <c r="L9" s="149" t="s">
        <v>10</v>
      </c>
      <c r="M9" s="149" t="s">
        <v>338</v>
      </c>
      <c r="N9" s="149" t="s">
        <v>339</v>
      </c>
      <c r="O9" s="381" t="s">
        <v>340</v>
      </c>
      <c r="P9" s="381" t="s">
        <v>341</v>
      </c>
      <c r="Q9" s="204"/>
      <c r="R9" s="204"/>
      <c r="S9" s="204"/>
      <c r="U9" s="235"/>
      <c r="V9" s="235"/>
      <c r="W9" s="235"/>
      <c r="Y9" s="235"/>
      <c r="Z9" s="235"/>
      <c r="AA9" s="235"/>
      <c r="AB9" s="235"/>
      <c r="AC9" s="235"/>
      <c r="AD9" s="235"/>
      <c r="AE9" s="235"/>
      <c r="AF9" s="235"/>
      <c r="AG9" s="235"/>
      <c r="AH9" s="235"/>
      <c r="AI9" s="235"/>
      <c r="AJ9" s="235"/>
      <c r="AK9" s="235"/>
      <c r="AL9" s="235"/>
      <c r="AM9" s="235"/>
      <c r="AN9" s="235"/>
      <c r="AO9" s="235"/>
      <c r="AP9" s="235"/>
      <c r="AQ9" s="235"/>
      <c r="AR9" s="235"/>
      <c r="AS9" s="235"/>
      <c r="AT9" s="235"/>
      <c r="AU9" s="235"/>
      <c r="AV9" s="235"/>
      <c r="AW9" s="235"/>
      <c r="AX9" s="235"/>
      <c r="AY9" s="235"/>
      <c r="AZ9" s="235"/>
      <c r="BA9" s="235"/>
      <c r="BB9" s="235"/>
      <c r="BC9" s="235"/>
      <c r="BD9" s="235"/>
      <c r="BE9" s="235"/>
      <c r="BF9" s="235"/>
      <c r="BG9" s="235"/>
      <c r="BH9" s="235"/>
      <c r="BI9" s="235"/>
      <c r="BN9" s="235"/>
      <c r="BP9" s="235"/>
      <c r="BQ9" s="235"/>
      <c r="BR9" s="235"/>
      <c r="BS9" s="235"/>
      <c r="BT9" s="235"/>
      <c r="BU9" s="235"/>
      <c r="BV9" s="235"/>
      <c r="BW9" s="235"/>
      <c r="BX9" s="235"/>
      <c r="BY9" s="235"/>
      <c r="BZ9" s="149" t="s">
        <v>524</v>
      </c>
      <c r="CA9" s="416" t="s">
        <v>550</v>
      </c>
      <c r="CB9" s="416" t="s">
        <v>525</v>
      </c>
      <c r="CC9" s="416" t="s">
        <v>310</v>
      </c>
    </row>
    <row r="10" spans="3:84" ht="1.5" customHeight="1" x14ac:dyDescent="0.2">
      <c r="L10" s="25"/>
      <c r="M10" s="26"/>
      <c r="N10" s="26"/>
      <c r="O10" s="346"/>
      <c r="Q10" s="10"/>
      <c r="R10" s="10"/>
      <c r="S10" s="10"/>
      <c r="T10" s="87"/>
      <c r="U10" s="235"/>
      <c r="V10" s="235"/>
      <c r="W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c r="BD10" s="235"/>
      <c r="BE10" s="235"/>
      <c r="BF10" s="235"/>
      <c r="BG10" s="235"/>
      <c r="BH10" s="235"/>
      <c r="BI10" s="235"/>
      <c r="BN10" s="235"/>
      <c r="BP10" s="235"/>
      <c r="BQ10" s="235"/>
      <c r="BR10" s="235"/>
      <c r="BS10" s="235"/>
      <c r="BT10" s="235"/>
      <c r="BU10" s="235"/>
      <c r="BV10" s="235"/>
      <c r="BW10" s="235"/>
      <c r="BX10" s="235"/>
      <c r="BY10" s="235"/>
    </row>
    <row r="11" spans="3:84" s="30" customFormat="1" ht="15" x14ac:dyDescent="0.25">
      <c r="C11" s="87"/>
      <c r="H11" s="104"/>
      <c r="I11" s="104"/>
      <c r="J11" s="104"/>
      <c r="K11" s="409" t="s">
        <v>528</v>
      </c>
      <c r="L11" s="150" t="s">
        <v>11</v>
      </c>
      <c r="M11" s="309">
        <f>SUM(M15:M39)/$P$127</f>
        <v>0.53063241106719394</v>
      </c>
      <c r="N11" s="309">
        <f>SUM(N15:N39)/$P$127</f>
        <v>9.3675889328063214E-2</v>
      </c>
      <c r="O11" s="347"/>
      <c r="P11" s="358">
        <f>SUM(O12:O39)</f>
        <v>173.3</v>
      </c>
      <c r="Q11" s="240">
        <f>SUM(O15:O39)/$P$127</f>
        <v>0.34249011857707512</v>
      </c>
      <c r="R11" s="240"/>
      <c r="S11" s="240"/>
      <c r="T11" s="87"/>
      <c r="U11" s="235"/>
      <c r="V11" s="235"/>
      <c r="W11" s="235"/>
      <c r="X11" s="302"/>
      <c r="Y11" s="235"/>
      <c r="Z11" s="235"/>
      <c r="AA11" s="235"/>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c r="AZ11" s="235"/>
      <c r="BA11" s="235"/>
      <c r="BB11" s="235"/>
      <c r="BC11" s="235"/>
      <c r="BD11" s="235"/>
      <c r="BE11" s="235"/>
      <c r="BF11" s="235"/>
      <c r="BG11" s="235"/>
      <c r="BH11" s="235"/>
      <c r="BI11" s="235"/>
      <c r="BJ11" s="235"/>
      <c r="BK11" s="235"/>
      <c r="BL11" s="235"/>
      <c r="BM11" s="235"/>
      <c r="BN11" s="235"/>
      <c r="BO11" s="235"/>
      <c r="BP11" s="235"/>
      <c r="BQ11" s="235"/>
      <c r="BR11" s="235"/>
      <c r="BS11" s="235"/>
      <c r="BT11" s="235"/>
      <c r="BU11" s="235"/>
      <c r="BV11" s="235"/>
      <c r="BW11" s="235"/>
      <c r="BX11" s="235"/>
      <c r="BY11" s="235"/>
    </row>
    <row r="12" spans="3:84" s="105" customFormat="1" ht="16.5" customHeight="1" outlineLevel="1" x14ac:dyDescent="0.2">
      <c r="L12" s="157" t="s">
        <v>492</v>
      </c>
      <c r="M12" s="163"/>
      <c r="N12" s="158"/>
      <c r="O12" s="348"/>
      <c r="P12" s="82"/>
      <c r="Q12" s="205"/>
      <c r="R12" s="205"/>
      <c r="S12" s="205"/>
      <c r="T12" s="87"/>
      <c r="U12" s="235"/>
      <c r="V12" s="235"/>
      <c r="W12" s="235"/>
      <c r="X12" s="302"/>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c r="BF12" s="235"/>
      <c r="BG12" s="235"/>
      <c r="BH12" s="235"/>
      <c r="BI12" s="235"/>
      <c r="BJ12" s="235"/>
      <c r="BK12" s="235"/>
      <c r="BL12" s="235"/>
      <c r="BM12" s="235"/>
      <c r="BN12" s="235"/>
      <c r="BO12" s="235"/>
      <c r="BP12" s="235"/>
      <c r="BQ12" s="235"/>
      <c r="BR12" s="235"/>
      <c r="BS12" s="235"/>
      <c r="BT12" s="235"/>
      <c r="BU12" s="235"/>
      <c r="BV12" s="235"/>
      <c r="BW12" s="235"/>
      <c r="BX12" s="235"/>
      <c r="BY12" s="235"/>
    </row>
    <row r="13" spans="3:84" s="236" customFormat="1" ht="15" hidden="1" outlineLevel="2" x14ac:dyDescent="0.2">
      <c r="K13" s="406"/>
      <c r="L13" s="161" t="s">
        <v>451</v>
      </c>
      <c r="M13" s="178">
        <v>0</v>
      </c>
      <c r="N13" s="162" t="s">
        <v>12</v>
      </c>
      <c r="O13" s="349">
        <f t="shared" ref="O13:O18" si="0">IF(K13="x",SUM(M13,N13),0)</f>
        <v>0</v>
      </c>
      <c r="P13" s="6"/>
      <c r="Q13" s="206"/>
      <c r="R13" s="206"/>
      <c r="S13" s="206"/>
      <c r="U13" s="235"/>
      <c r="V13" s="235"/>
      <c r="W13" s="235"/>
      <c r="X13" s="302"/>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235"/>
      <c r="AZ13" s="235"/>
      <c r="BA13" s="235"/>
      <c r="BB13" s="235"/>
      <c r="BC13" s="235"/>
      <c r="BD13" s="235"/>
      <c r="BE13" s="235"/>
      <c r="BF13" s="235"/>
      <c r="BG13" s="235"/>
      <c r="BH13" s="235"/>
      <c r="BI13" s="235"/>
      <c r="BJ13" s="235"/>
      <c r="BK13" s="235"/>
      <c r="BL13" s="235"/>
      <c r="BM13" s="235"/>
      <c r="BN13" s="235"/>
      <c r="BO13" s="235"/>
      <c r="BP13" s="235"/>
      <c r="BQ13" s="235"/>
      <c r="BR13" s="235"/>
      <c r="BS13" s="235"/>
      <c r="BT13" s="235"/>
      <c r="BU13" s="235"/>
      <c r="BV13" s="235"/>
      <c r="BW13" s="235"/>
      <c r="BX13" s="235"/>
      <c r="BY13" s="235"/>
      <c r="BZ13" s="236">
        <f>CA13*0.85</f>
        <v>0</v>
      </c>
      <c r="CA13" s="31">
        <f>O13</f>
        <v>0</v>
      </c>
      <c r="CB13" s="236">
        <f>IF(CA13=0,1,CA13*1.4)</f>
        <v>1</v>
      </c>
      <c r="CD13" s="420">
        <v>0</v>
      </c>
      <c r="CF13" s="236">
        <f>IF(CC13&lt;&gt;"",CC13,CD13)</f>
        <v>0</v>
      </c>
    </row>
    <row r="14" spans="3:84" s="236" customFormat="1" ht="15" hidden="1" outlineLevel="2" x14ac:dyDescent="0.2">
      <c r="K14" s="406"/>
      <c r="L14" s="161" t="s">
        <v>452</v>
      </c>
      <c r="M14" s="178">
        <v>0</v>
      </c>
      <c r="N14" s="162">
        <f>ROUNDUP(M14/3,1)</f>
        <v>0</v>
      </c>
      <c r="O14" s="349">
        <f t="shared" si="0"/>
        <v>0</v>
      </c>
      <c r="P14" s="6"/>
      <c r="Q14" s="10"/>
      <c r="R14" s="10"/>
      <c r="S14" s="10"/>
      <c r="U14" s="235"/>
      <c r="V14" s="235"/>
      <c r="W14" s="235"/>
      <c r="X14" s="302"/>
      <c r="Y14" s="235"/>
      <c r="Z14" s="235"/>
      <c r="AA14" s="235"/>
      <c r="AB14" s="235"/>
      <c r="AC14" s="235"/>
      <c r="AD14" s="235"/>
      <c r="AE14" s="235"/>
      <c r="AF14" s="235"/>
      <c r="AG14" s="235"/>
      <c r="AH14" s="235"/>
      <c r="AI14" s="235"/>
      <c r="AJ14" s="235"/>
      <c r="AK14" s="235"/>
      <c r="AL14" s="235"/>
      <c r="AM14" s="235"/>
      <c r="AN14" s="235"/>
      <c r="AO14" s="235"/>
      <c r="AP14" s="235"/>
      <c r="AQ14" s="235"/>
      <c r="AR14" s="235"/>
      <c r="AS14" s="235"/>
      <c r="AT14" s="235"/>
      <c r="AU14" s="235"/>
      <c r="AV14" s="235"/>
      <c r="AW14" s="235"/>
      <c r="AX14" s="235"/>
      <c r="AY14" s="235"/>
      <c r="AZ14" s="235"/>
      <c r="BA14" s="235"/>
      <c r="BB14" s="235"/>
      <c r="BC14" s="235"/>
      <c r="BD14" s="235"/>
      <c r="BE14" s="235"/>
      <c r="BF14" s="235"/>
      <c r="BG14" s="235"/>
      <c r="BH14" s="235"/>
      <c r="BI14" s="235"/>
      <c r="BJ14" s="235"/>
      <c r="BK14" s="235"/>
      <c r="BL14" s="235"/>
      <c r="BM14" s="235"/>
      <c r="BN14" s="235"/>
      <c r="BO14" s="235"/>
      <c r="BP14" s="235"/>
      <c r="BQ14" s="235"/>
      <c r="BR14" s="235"/>
      <c r="BS14" s="235"/>
      <c r="BT14" s="235"/>
      <c r="BU14" s="235"/>
      <c r="BV14" s="235"/>
      <c r="BW14" s="235"/>
      <c r="BX14" s="235"/>
      <c r="BY14" s="235"/>
      <c r="BZ14" s="236">
        <f>CA14*0.85</f>
        <v>0</v>
      </c>
      <c r="CA14" s="31">
        <f t="shared" ref="CA14:CA39" si="1">O14</f>
        <v>0</v>
      </c>
      <c r="CB14" s="236">
        <f t="shared" ref="CB14:CB118" si="2">IF(CA14=0,1,CA14*1.4)</f>
        <v>1</v>
      </c>
      <c r="CD14" s="420">
        <v>0</v>
      </c>
      <c r="CF14" s="236">
        <f t="shared" ref="CF14:CF118" si="3">IF(CC14&lt;&gt;"",CC14,CD14)</f>
        <v>0</v>
      </c>
    </row>
    <row r="15" spans="3:84" s="33" customFormat="1" ht="15" outlineLevel="2" x14ac:dyDescent="0.2">
      <c r="H15" s="106"/>
      <c r="I15" s="139"/>
      <c r="J15" s="139"/>
      <c r="K15" s="407" t="s">
        <v>529</v>
      </c>
      <c r="L15" s="161" t="s">
        <v>171</v>
      </c>
      <c r="M15" s="164">
        <f>ROUNDUP(SUM(AU43:AU88),1)</f>
        <v>2.1</v>
      </c>
      <c r="N15" s="162" t="s">
        <v>12</v>
      </c>
      <c r="O15" s="442">
        <f t="shared" si="0"/>
        <v>2.1</v>
      </c>
      <c r="P15" s="359"/>
      <c r="Q15" s="206"/>
      <c r="R15" s="206"/>
      <c r="S15" s="206"/>
      <c r="U15" s="235"/>
      <c r="V15" s="235"/>
      <c r="W15" s="235"/>
      <c r="X15" s="302"/>
      <c r="Y15" s="235"/>
      <c r="Z15" s="235"/>
      <c r="AA15" s="235"/>
      <c r="AB15" s="235"/>
      <c r="AC15" s="235"/>
      <c r="AD15" s="235"/>
      <c r="AE15" s="235"/>
      <c r="AF15" s="235"/>
      <c r="AG15" s="235"/>
      <c r="AH15" s="235"/>
      <c r="AI15" s="235"/>
      <c r="AJ15" s="235"/>
      <c r="AK15" s="235"/>
      <c r="AL15" s="235"/>
      <c r="AM15" s="235"/>
      <c r="AN15" s="235"/>
      <c r="AO15" s="235"/>
      <c r="AP15" s="235"/>
      <c r="AQ15" s="235"/>
      <c r="AR15" s="235"/>
      <c r="AS15" s="235"/>
      <c r="AT15" s="235"/>
      <c r="AU15" s="235"/>
      <c r="AV15" s="235"/>
      <c r="AW15" s="235"/>
      <c r="AX15" s="235"/>
      <c r="AY15" s="235"/>
      <c r="AZ15" s="235"/>
      <c r="BA15" s="235"/>
      <c r="BB15" s="235"/>
      <c r="BC15" s="235"/>
      <c r="BD15" s="235"/>
      <c r="BE15" s="235"/>
      <c r="BF15" s="235"/>
      <c r="BG15" s="235"/>
      <c r="BH15" s="235"/>
      <c r="BI15" s="235"/>
      <c r="BJ15" s="235"/>
      <c r="BK15" s="235"/>
      <c r="BL15" s="235"/>
      <c r="BM15" s="235"/>
      <c r="BN15" s="235"/>
      <c r="BO15" s="235"/>
      <c r="BP15" s="235"/>
      <c r="BQ15" s="235"/>
      <c r="BR15" s="235"/>
      <c r="BS15" s="235"/>
      <c r="BT15" s="235"/>
      <c r="BU15" s="235"/>
      <c r="BV15" s="235"/>
      <c r="BW15" s="235"/>
      <c r="BX15" s="235"/>
      <c r="BY15" s="235"/>
      <c r="BZ15" s="236">
        <f t="shared" ref="BZ15:BZ39" si="4">CA15*0.85</f>
        <v>1.7849999999999999</v>
      </c>
      <c r="CA15" s="31">
        <f t="shared" si="1"/>
        <v>2.1</v>
      </c>
      <c r="CB15" s="236">
        <f t="shared" si="2"/>
        <v>2.94</v>
      </c>
      <c r="CD15" s="420">
        <v>0</v>
      </c>
      <c r="CF15" s="236">
        <f t="shared" si="3"/>
        <v>0</v>
      </c>
    </row>
    <row r="16" spans="3:84" s="33" customFormat="1" ht="15" outlineLevel="2" x14ac:dyDescent="0.2">
      <c r="H16" s="106"/>
      <c r="I16" s="139"/>
      <c r="J16" s="139"/>
      <c r="K16" s="407" t="s">
        <v>529</v>
      </c>
      <c r="L16" s="161" t="s">
        <v>164</v>
      </c>
      <c r="M16" s="164">
        <f>ROUNDUP(SUM(AV43:AV88),1)</f>
        <v>0.9</v>
      </c>
      <c r="N16" s="162">
        <f>ROUNDUP(SUM(AW43:AW88),1)</f>
        <v>0.2</v>
      </c>
      <c r="O16" s="442">
        <f t="shared" si="0"/>
        <v>1.1000000000000001</v>
      </c>
      <c r="P16" s="359"/>
      <c r="Q16" s="359"/>
      <c r="R16" s="359"/>
      <c r="S16" s="359"/>
      <c r="U16" s="235"/>
      <c r="V16" s="235"/>
      <c r="W16" s="235"/>
      <c r="X16" s="302"/>
      <c r="Y16" s="235"/>
      <c r="Z16" s="235"/>
      <c r="AA16" s="235"/>
      <c r="AB16" s="235"/>
      <c r="AC16" s="235"/>
      <c r="AD16" s="235"/>
      <c r="AE16" s="235"/>
      <c r="AF16" s="235"/>
      <c r="AG16" s="235"/>
      <c r="AH16" s="235"/>
      <c r="AI16" s="235"/>
      <c r="AJ16" s="235"/>
      <c r="AK16" s="235"/>
      <c r="AL16" s="235"/>
      <c r="AM16" s="235"/>
      <c r="AN16" s="235"/>
      <c r="AO16" s="235"/>
      <c r="AP16" s="235"/>
      <c r="AQ16" s="235"/>
      <c r="AR16" s="235"/>
      <c r="AS16" s="235"/>
      <c r="AT16" s="235"/>
      <c r="AU16" s="235"/>
      <c r="AV16" s="235"/>
      <c r="AW16" s="235"/>
      <c r="AX16" s="235"/>
      <c r="AY16" s="235"/>
      <c r="AZ16" s="235"/>
      <c r="BA16" s="235"/>
      <c r="BB16" s="235"/>
      <c r="BC16" s="235"/>
      <c r="BD16" s="235"/>
      <c r="BE16" s="235"/>
      <c r="BF16" s="235"/>
      <c r="BG16" s="235"/>
      <c r="BH16" s="235"/>
      <c r="BI16" s="235"/>
      <c r="BJ16" s="235"/>
      <c r="BK16" s="235"/>
      <c r="BL16" s="235"/>
      <c r="BM16" s="235"/>
      <c r="BN16" s="235"/>
      <c r="BO16" s="235"/>
      <c r="BP16" s="235"/>
      <c r="BQ16" s="235"/>
      <c r="BR16" s="235"/>
      <c r="BS16" s="235"/>
      <c r="BT16" s="235"/>
      <c r="BU16" s="235"/>
      <c r="BV16" s="235"/>
      <c r="BW16" s="235"/>
      <c r="BX16" s="235"/>
      <c r="BY16" s="235"/>
      <c r="BZ16" s="236">
        <f t="shared" si="4"/>
        <v>0.93500000000000005</v>
      </c>
      <c r="CA16" s="31">
        <f t="shared" si="1"/>
        <v>1.1000000000000001</v>
      </c>
      <c r="CB16" s="236">
        <f t="shared" si="2"/>
        <v>1.54</v>
      </c>
      <c r="CD16" s="420">
        <v>0</v>
      </c>
      <c r="CF16" s="236">
        <f t="shared" si="3"/>
        <v>0</v>
      </c>
    </row>
    <row r="17" spans="8:84" s="236" customFormat="1" ht="15" hidden="1" outlineLevel="2" x14ac:dyDescent="0.2">
      <c r="K17" s="406"/>
      <c r="L17" s="161" t="s">
        <v>453</v>
      </c>
      <c r="M17" s="178">
        <v>0</v>
      </c>
      <c r="N17" s="162">
        <f>ROUNDUP(M17/3,1)</f>
        <v>0</v>
      </c>
      <c r="O17" s="442">
        <f t="shared" si="0"/>
        <v>0</v>
      </c>
      <c r="P17" s="359"/>
      <c r="Q17" s="207"/>
      <c r="R17" s="207"/>
      <c r="S17" s="207"/>
      <c r="U17" s="235"/>
      <c r="V17" s="235"/>
      <c r="W17" s="235"/>
      <c r="X17" s="302"/>
      <c r="Y17" s="235"/>
      <c r="Z17" s="235"/>
      <c r="AA17" s="235"/>
      <c r="AB17" s="235"/>
      <c r="AC17" s="235"/>
      <c r="AD17" s="235"/>
      <c r="AE17" s="235"/>
      <c r="AF17" s="235"/>
      <c r="AG17" s="235"/>
      <c r="AH17" s="235"/>
      <c r="AI17" s="235"/>
      <c r="AJ17" s="235"/>
      <c r="AK17" s="235"/>
      <c r="AL17" s="235"/>
      <c r="AM17" s="235"/>
      <c r="AN17" s="235"/>
      <c r="AO17" s="235"/>
      <c r="AP17" s="235"/>
      <c r="AQ17" s="235"/>
      <c r="AR17" s="235"/>
      <c r="AS17" s="235"/>
      <c r="AT17" s="235"/>
      <c r="AU17" s="235"/>
      <c r="AV17" s="235"/>
      <c r="AW17" s="235"/>
      <c r="AX17" s="235"/>
      <c r="AY17" s="235"/>
      <c r="AZ17" s="235"/>
      <c r="BA17" s="235"/>
      <c r="BB17" s="235"/>
      <c r="BC17" s="235"/>
      <c r="BD17" s="235"/>
      <c r="BE17" s="235"/>
      <c r="BF17" s="235"/>
      <c r="BG17" s="235"/>
      <c r="BH17" s="235"/>
      <c r="BI17" s="235"/>
      <c r="BJ17" s="235"/>
      <c r="BK17" s="235"/>
      <c r="BL17" s="235"/>
      <c r="BM17" s="235"/>
      <c r="BN17" s="235"/>
      <c r="BO17" s="235"/>
      <c r="BP17" s="235"/>
      <c r="BQ17" s="235"/>
      <c r="BR17" s="235"/>
      <c r="BS17" s="235"/>
      <c r="BT17" s="235"/>
      <c r="BU17" s="235"/>
      <c r="BV17" s="235"/>
      <c r="BW17" s="235"/>
      <c r="BX17" s="235"/>
      <c r="BY17" s="235"/>
      <c r="BZ17" s="236">
        <f t="shared" si="4"/>
        <v>0</v>
      </c>
      <c r="CA17" s="31">
        <f t="shared" si="1"/>
        <v>0</v>
      </c>
      <c r="CB17" s="236">
        <f t="shared" si="2"/>
        <v>1</v>
      </c>
      <c r="CD17" s="420">
        <v>0</v>
      </c>
      <c r="CF17" s="236">
        <f t="shared" si="3"/>
        <v>0</v>
      </c>
    </row>
    <row r="18" spans="8:84" s="236" customFormat="1" ht="15" hidden="1" outlineLevel="2" x14ac:dyDescent="0.2">
      <c r="K18" s="407"/>
      <c r="L18" s="161" t="s">
        <v>460</v>
      </c>
      <c r="M18" s="178">
        <v>0</v>
      </c>
      <c r="N18" s="162" t="s">
        <v>12</v>
      </c>
      <c r="O18" s="442">
        <f t="shared" si="0"/>
        <v>0</v>
      </c>
      <c r="P18" s="359"/>
      <c r="Q18" s="207"/>
      <c r="R18" s="207"/>
      <c r="S18" s="207"/>
      <c r="U18" s="235"/>
      <c r="V18" s="235"/>
      <c r="W18" s="235"/>
      <c r="X18" s="302"/>
      <c r="Y18" s="235"/>
      <c r="Z18" s="235"/>
      <c r="AA18" s="235"/>
      <c r="AB18" s="235"/>
      <c r="AC18" s="235"/>
      <c r="AD18" s="235"/>
      <c r="AE18" s="235"/>
      <c r="AF18" s="235"/>
      <c r="AG18" s="235"/>
      <c r="AH18" s="235"/>
      <c r="AI18" s="235"/>
      <c r="AJ18" s="235"/>
      <c r="AK18" s="235"/>
      <c r="AL18" s="235"/>
      <c r="AM18" s="235"/>
      <c r="AN18" s="235"/>
      <c r="AO18" s="235"/>
      <c r="AP18" s="235"/>
      <c r="AQ18" s="235"/>
      <c r="AR18" s="235"/>
      <c r="AS18" s="235"/>
      <c r="AT18" s="235"/>
      <c r="AU18" s="235"/>
      <c r="AV18" s="235"/>
      <c r="AW18" s="235"/>
      <c r="AX18" s="235"/>
      <c r="AY18" s="235"/>
      <c r="AZ18" s="235"/>
      <c r="BA18" s="235"/>
      <c r="BB18" s="235"/>
      <c r="BC18" s="235"/>
      <c r="BD18" s="235"/>
      <c r="BE18" s="235"/>
      <c r="BF18" s="235"/>
      <c r="BG18" s="235"/>
      <c r="BH18" s="235"/>
      <c r="BI18" s="235"/>
      <c r="BJ18" s="235"/>
      <c r="BK18" s="235"/>
      <c r="BL18" s="235"/>
      <c r="BM18" s="235"/>
      <c r="BN18" s="235"/>
      <c r="BO18" s="235"/>
      <c r="BP18" s="235"/>
      <c r="BQ18" s="235"/>
      <c r="BR18" s="235"/>
      <c r="BS18" s="235"/>
      <c r="BT18" s="235"/>
      <c r="BU18" s="235"/>
      <c r="BV18" s="235"/>
      <c r="BW18" s="235"/>
      <c r="BX18" s="235"/>
      <c r="BY18" s="235"/>
      <c r="BZ18" s="236">
        <f t="shared" si="4"/>
        <v>0</v>
      </c>
      <c r="CA18" s="31">
        <f t="shared" si="1"/>
        <v>0</v>
      </c>
      <c r="CB18" s="236">
        <f t="shared" si="2"/>
        <v>1</v>
      </c>
      <c r="CD18" s="420">
        <v>0</v>
      </c>
      <c r="CF18" s="236">
        <f t="shared" si="3"/>
        <v>0</v>
      </c>
    </row>
    <row r="19" spans="8:84" s="32" customFormat="1" outlineLevel="1" x14ac:dyDescent="0.2">
      <c r="H19" s="105"/>
      <c r="I19" s="105"/>
      <c r="J19" s="105"/>
      <c r="K19" s="105"/>
      <c r="L19" s="157" t="s">
        <v>166</v>
      </c>
      <c r="M19" s="163"/>
      <c r="N19" s="158"/>
      <c r="O19" s="350"/>
      <c r="P19" s="82"/>
      <c r="Q19" s="205"/>
      <c r="R19" s="205"/>
      <c r="S19" s="205"/>
      <c r="T19" s="235"/>
      <c r="U19" s="235"/>
      <c r="V19" s="235"/>
      <c r="W19" s="235"/>
      <c r="X19" s="302"/>
      <c r="Y19" s="235"/>
      <c r="Z19" s="235"/>
      <c r="AA19" s="235"/>
      <c r="AB19" s="235"/>
      <c r="AC19" s="235"/>
      <c r="AD19" s="235"/>
      <c r="AE19" s="235"/>
      <c r="AF19" s="235"/>
      <c r="AG19" s="235"/>
      <c r="AH19" s="235"/>
      <c r="AI19" s="235"/>
      <c r="AJ19" s="235"/>
      <c r="AK19" s="235"/>
      <c r="AL19" s="235"/>
      <c r="AM19" s="235"/>
      <c r="AN19" s="235"/>
      <c r="AO19" s="235"/>
      <c r="AP19" s="235"/>
      <c r="AQ19" s="235"/>
      <c r="AR19" s="235"/>
      <c r="AS19" s="235"/>
      <c r="AT19" s="235"/>
      <c r="AU19" s="235"/>
      <c r="AV19" s="235"/>
      <c r="AW19" s="235"/>
      <c r="AX19" s="235"/>
      <c r="AY19" s="235"/>
      <c r="AZ19" s="235"/>
      <c r="BA19" s="235"/>
      <c r="BB19" s="235"/>
      <c r="BC19" s="235"/>
      <c r="BD19" s="235"/>
      <c r="BE19" s="235"/>
      <c r="BF19" s="235"/>
      <c r="BG19" s="235"/>
      <c r="BH19" s="235"/>
      <c r="BI19" s="235"/>
      <c r="BJ19" s="235"/>
      <c r="BK19" s="235"/>
      <c r="BL19" s="235"/>
      <c r="BM19" s="235"/>
      <c r="BN19" s="235"/>
      <c r="BO19" s="235"/>
      <c r="BP19" s="235"/>
      <c r="BQ19" s="235"/>
      <c r="BR19" s="235"/>
      <c r="BS19" s="235"/>
      <c r="BT19" s="235"/>
      <c r="BU19" s="235"/>
      <c r="BV19" s="235"/>
      <c r="BW19" s="235"/>
      <c r="BX19" s="235"/>
      <c r="BY19" s="235"/>
      <c r="BZ19" s="236">
        <f t="shared" si="4"/>
        <v>0</v>
      </c>
      <c r="CA19" s="31">
        <f t="shared" si="1"/>
        <v>0</v>
      </c>
      <c r="CB19" s="236">
        <f t="shared" si="2"/>
        <v>1</v>
      </c>
      <c r="CD19" s="424">
        <v>0</v>
      </c>
      <c r="CF19" s="236">
        <f t="shared" si="3"/>
        <v>0</v>
      </c>
    </row>
    <row r="20" spans="8:84" s="33" customFormat="1" ht="15" outlineLevel="2" x14ac:dyDescent="0.2">
      <c r="H20" s="106"/>
      <c r="I20" s="139"/>
      <c r="J20" s="139"/>
      <c r="K20" s="407" t="s">
        <v>529</v>
      </c>
      <c r="L20" s="161" t="s">
        <v>171</v>
      </c>
      <c r="M20" s="178">
        <v>0.5</v>
      </c>
      <c r="N20" s="162" t="s">
        <v>12</v>
      </c>
      <c r="O20" s="442">
        <f>IF(K20="x",SUM(M20,N20),0)</f>
        <v>0.5</v>
      </c>
      <c r="P20" s="6"/>
      <c r="Q20" s="10"/>
      <c r="R20" s="10"/>
      <c r="S20" s="10"/>
      <c r="U20" s="235"/>
      <c r="V20" s="235"/>
      <c r="W20" s="235"/>
      <c r="X20" s="302"/>
      <c r="Y20" s="235"/>
      <c r="Z20" s="235"/>
      <c r="AA20" s="235"/>
      <c r="AB20" s="235"/>
      <c r="AC20" s="235"/>
      <c r="AD20" s="235"/>
      <c r="AE20" s="235"/>
      <c r="AF20" s="235"/>
      <c r="AG20" s="235"/>
      <c r="AH20" s="235"/>
      <c r="AI20" s="235"/>
      <c r="AJ20" s="235"/>
      <c r="AK20" s="235"/>
      <c r="AL20" s="235"/>
      <c r="AM20" s="235"/>
      <c r="AN20" s="235"/>
      <c r="AO20" s="235"/>
      <c r="AP20" s="235"/>
      <c r="AQ20" s="235"/>
      <c r="AR20" s="235"/>
      <c r="AS20" s="235"/>
      <c r="AT20" s="235"/>
      <c r="AU20" s="235"/>
      <c r="AV20" s="235"/>
      <c r="AW20" s="235"/>
      <c r="AX20" s="235"/>
      <c r="AY20" s="235"/>
      <c r="AZ20" s="235"/>
      <c r="BA20" s="235"/>
      <c r="BB20" s="235"/>
      <c r="BC20" s="235"/>
      <c r="BD20" s="235"/>
      <c r="BE20" s="235"/>
      <c r="BF20" s="235"/>
      <c r="BG20" s="235"/>
      <c r="BH20" s="235"/>
      <c r="BI20" s="235"/>
      <c r="BJ20" s="235"/>
      <c r="BK20" s="235"/>
      <c r="BL20" s="235"/>
      <c r="BM20" s="235"/>
      <c r="BN20" s="235"/>
      <c r="BO20" s="235"/>
      <c r="BP20" s="235"/>
      <c r="BQ20" s="235"/>
      <c r="BR20" s="235"/>
      <c r="BS20" s="235"/>
      <c r="BT20" s="235"/>
      <c r="BU20" s="235"/>
      <c r="BV20" s="235"/>
      <c r="BW20" s="235"/>
      <c r="BX20" s="235"/>
      <c r="BY20" s="235"/>
      <c r="BZ20" s="236">
        <f t="shared" si="4"/>
        <v>0.42499999999999999</v>
      </c>
      <c r="CA20" s="31">
        <f t="shared" si="1"/>
        <v>0.5</v>
      </c>
      <c r="CB20" s="236">
        <f t="shared" si="2"/>
        <v>0.7</v>
      </c>
      <c r="CD20" s="420">
        <v>0</v>
      </c>
      <c r="CF20" s="236">
        <f t="shared" si="3"/>
        <v>0</v>
      </c>
    </row>
    <row r="21" spans="8:84" s="33" customFormat="1" ht="15" outlineLevel="2" x14ac:dyDescent="0.2">
      <c r="H21" s="106"/>
      <c r="I21" s="139"/>
      <c r="J21" s="139"/>
      <c r="K21" s="407" t="s">
        <v>529</v>
      </c>
      <c r="L21" s="161" t="s">
        <v>13</v>
      </c>
      <c r="M21" s="178">
        <v>0.5</v>
      </c>
      <c r="N21" s="162">
        <f>ROUNDUP(M21/3,1)</f>
        <v>0.2</v>
      </c>
      <c r="O21" s="442">
        <f>IF(K21="x",SUM(M21,N21),0)</f>
        <v>0.7</v>
      </c>
      <c r="P21" s="6"/>
      <c r="Q21" s="10"/>
      <c r="R21" s="10"/>
      <c r="S21" s="10"/>
      <c r="X21" s="301"/>
      <c r="AA21" s="235"/>
      <c r="AB21" s="235"/>
      <c r="AC21" s="235"/>
      <c r="AD21" s="235"/>
      <c r="AE21" s="235"/>
      <c r="AF21" s="235"/>
      <c r="AG21" s="235"/>
      <c r="AH21" s="235"/>
      <c r="AI21" s="235"/>
      <c r="AJ21" s="235"/>
      <c r="AK21" s="235"/>
      <c r="AL21" s="235"/>
      <c r="AM21" s="235"/>
      <c r="AN21" s="235"/>
      <c r="AO21" s="235"/>
      <c r="AP21" s="235"/>
      <c r="AR21" s="106"/>
      <c r="AS21" s="106"/>
      <c r="BA21" s="106"/>
      <c r="BB21" s="106"/>
      <c r="BC21" s="106"/>
      <c r="BD21" s="139"/>
      <c r="BE21" s="139"/>
      <c r="BF21" s="106"/>
      <c r="BJ21" s="236"/>
      <c r="BK21" s="236"/>
      <c r="BL21" s="236"/>
      <c r="BM21" s="236"/>
      <c r="BO21" s="236"/>
      <c r="BZ21" s="236">
        <f t="shared" si="4"/>
        <v>0.59499999999999997</v>
      </c>
      <c r="CA21" s="31">
        <f>O21</f>
        <v>0.7</v>
      </c>
      <c r="CB21" s="236">
        <f t="shared" si="2"/>
        <v>0.97999999999999987</v>
      </c>
      <c r="CD21" s="420">
        <v>0</v>
      </c>
      <c r="CF21" s="236">
        <f t="shared" si="3"/>
        <v>0</v>
      </c>
    </row>
    <row r="22" spans="8:84" s="33" customFormat="1" ht="15" outlineLevel="2" x14ac:dyDescent="0.2">
      <c r="H22" s="106"/>
      <c r="I22" s="139"/>
      <c r="J22" s="139"/>
      <c r="K22" s="406" t="s">
        <v>529</v>
      </c>
      <c r="L22" s="161" t="s">
        <v>165</v>
      </c>
      <c r="M22" s="178">
        <v>0.5</v>
      </c>
      <c r="N22" s="162">
        <f>ROUNDUP(M22/3,1)</f>
        <v>0.2</v>
      </c>
      <c r="O22" s="442">
        <f>IF(K22="x",SUM(M22,N22),0)</f>
        <v>0.7</v>
      </c>
      <c r="P22" s="359"/>
      <c r="Q22" s="207"/>
      <c r="R22" s="207"/>
      <c r="S22" s="207"/>
      <c r="U22" s="200"/>
      <c r="V22" s="194"/>
      <c r="X22" s="301"/>
      <c r="AA22" s="235"/>
      <c r="AB22" s="235"/>
      <c r="AC22" s="235"/>
      <c r="AD22" s="235"/>
      <c r="AE22" s="235"/>
      <c r="AF22" s="235"/>
      <c r="AG22" s="235"/>
      <c r="AH22" s="235"/>
      <c r="AI22" s="235"/>
      <c r="AJ22" s="235"/>
      <c r="AK22" s="235"/>
      <c r="AL22" s="235"/>
      <c r="AM22" s="235"/>
      <c r="AN22" s="235"/>
      <c r="AO22" s="235"/>
      <c r="AP22" s="235"/>
      <c r="AR22" s="106"/>
      <c r="AS22" s="106"/>
      <c r="AV22" s="31"/>
      <c r="BA22" s="106"/>
      <c r="BB22" s="106"/>
      <c r="BC22" s="106"/>
      <c r="BD22" s="139"/>
      <c r="BE22" s="139"/>
      <c r="BF22" s="106"/>
      <c r="BJ22" s="236"/>
      <c r="BK22" s="236"/>
      <c r="BL22" s="236"/>
      <c r="BM22" s="236"/>
      <c r="BO22" s="236"/>
      <c r="BZ22" s="236">
        <f t="shared" si="4"/>
        <v>0.59499999999999997</v>
      </c>
      <c r="CA22" s="31">
        <f t="shared" si="1"/>
        <v>0.7</v>
      </c>
      <c r="CB22" s="236">
        <f t="shared" si="2"/>
        <v>0.97999999999999987</v>
      </c>
      <c r="CD22" s="420">
        <v>0</v>
      </c>
      <c r="CF22" s="236">
        <f t="shared" si="3"/>
        <v>0</v>
      </c>
    </row>
    <row r="23" spans="8:84" s="33" customFormat="1" ht="15" outlineLevel="2" x14ac:dyDescent="0.2">
      <c r="H23" s="106"/>
      <c r="I23" s="139"/>
      <c r="J23" s="139"/>
      <c r="K23" s="406" t="s">
        <v>529</v>
      </c>
      <c r="L23" s="161" t="s">
        <v>88</v>
      </c>
      <c r="M23" s="178">
        <v>0.5</v>
      </c>
      <c r="N23" s="162">
        <f>ROUNDUP(M23/3,1)</f>
        <v>0.2</v>
      </c>
      <c r="O23" s="442">
        <f>IF(K23="x",SUM(M23,N23),0)</f>
        <v>0.7</v>
      </c>
      <c r="P23" s="6"/>
      <c r="Q23" s="10"/>
      <c r="R23" s="10"/>
      <c r="S23" s="10"/>
      <c r="T23" s="139"/>
      <c r="U23" s="200"/>
      <c r="V23" s="194"/>
      <c r="X23" s="301"/>
      <c r="AA23" s="235"/>
      <c r="AB23" s="235"/>
      <c r="AC23" s="235"/>
      <c r="AD23" s="235"/>
      <c r="AE23" s="235"/>
      <c r="AF23" s="235"/>
      <c r="AG23" s="235"/>
      <c r="AH23" s="235"/>
      <c r="AI23" s="235"/>
      <c r="AJ23" s="235"/>
      <c r="AK23" s="235"/>
      <c r="AL23" s="235"/>
      <c r="AM23" s="235"/>
      <c r="AN23" s="235"/>
      <c r="AO23" s="235"/>
      <c r="AP23" s="235"/>
      <c r="AR23" s="106"/>
      <c r="AS23" s="106"/>
      <c r="BA23" s="106"/>
      <c r="BB23" s="106"/>
      <c r="BC23" s="106"/>
      <c r="BD23" s="139"/>
      <c r="BE23" s="139"/>
      <c r="BF23" s="106"/>
      <c r="BJ23" s="236"/>
      <c r="BK23" s="236"/>
      <c r="BL23" s="236"/>
      <c r="BM23" s="236"/>
      <c r="BO23" s="236"/>
      <c r="BZ23" s="236">
        <f t="shared" si="4"/>
        <v>0.59499999999999997</v>
      </c>
      <c r="CA23" s="31">
        <f t="shared" si="1"/>
        <v>0.7</v>
      </c>
      <c r="CB23" s="236">
        <f t="shared" si="2"/>
        <v>0.97999999999999987</v>
      </c>
      <c r="CD23" s="420">
        <v>0</v>
      </c>
      <c r="CF23" s="236">
        <f t="shared" si="3"/>
        <v>0</v>
      </c>
    </row>
    <row r="24" spans="8:84" s="32" customFormat="1" outlineLevel="1" x14ac:dyDescent="0.2">
      <c r="H24" s="105"/>
      <c r="I24" s="105"/>
      <c r="J24" s="105"/>
      <c r="K24" s="105"/>
      <c r="L24" s="157" t="s">
        <v>167</v>
      </c>
      <c r="M24" s="163"/>
      <c r="N24" s="158"/>
      <c r="O24" s="350"/>
      <c r="P24" s="82"/>
      <c r="Q24" s="205"/>
      <c r="R24" s="205"/>
      <c r="S24" s="205"/>
      <c r="U24" s="235"/>
      <c r="V24" s="235"/>
      <c r="W24" s="235"/>
      <c r="X24" s="302"/>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235"/>
      <c r="BJ24" s="235"/>
      <c r="BK24" s="235"/>
      <c r="BL24" s="235"/>
      <c r="BM24" s="235"/>
      <c r="BN24" s="235"/>
      <c r="BO24" s="235"/>
      <c r="BP24" s="235"/>
      <c r="BQ24" s="235"/>
      <c r="BR24" s="235"/>
      <c r="BS24" s="235"/>
      <c r="BT24" s="235"/>
      <c r="BU24" s="235"/>
      <c r="BV24" s="235"/>
      <c r="BW24" s="235"/>
      <c r="BX24" s="235"/>
      <c r="BY24" s="235"/>
      <c r="BZ24" s="236">
        <f t="shared" si="4"/>
        <v>0</v>
      </c>
      <c r="CA24" s="31">
        <f t="shared" si="1"/>
        <v>0</v>
      </c>
      <c r="CB24" s="236">
        <f t="shared" si="2"/>
        <v>1</v>
      </c>
      <c r="CD24" s="424">
        <v>0</v>
      </c>
      <c r="CF24" s="236">
        <f t="shared" si="3"/>
        <v>0</v>
      </c>
    </row>
    <row r="25" spans="8:84" s="33" customFormat="1" ht="15" outlineLevel="2" x14ac:dyDescent="0.2">
      <c r="H25" s="106"/>
      <c r="I25" s="139"/>
      <c r="J25" s="139"/>
      <c r="K25" s="407" t="s">
        <v>529</v>
      </c>
      <c r="L25" s="161" t="s">
        <v>171</v>
      </c>
      <c r="M25" s="164">
        <f>SUM(AY43:AY88)</f>
        <v>35.5</v>
      </c>
      <c r="N25" s="162" t="s">
        <v>12</v>
      </c>
      <c r="O25" s="442">
        <v>29</v>
      </c>
      <c r="P25" s="359"/>
      <c r="Q25" s="10"/>
      <c r="R25" s="10"/>
      <c r="S25" s="10"/>
      <c r="U25" s="235"/>
      <c r="V25" s="235"/>
      <c r="W25" s="235"/>
      <c r="X25" s="302"/>
      <c r="Y25" s="235"/>
      <c r="Z25" s="235"/>
      <c r="AA25" s="235"/>
      <c r="AB25" s="235"/>
      <c r="AC25" s="235"/>
      <c r="AD25" s="235"/>
      <c r="AE25" s="235"/>
      <c r="AF25" s="235"/>
      <c r="AG25" s="235"/>
      <c r="AH25" s="235"/>
      <c r="AI25" s="235"/>
      <c r="AJ25" s="235"/>
      <c r="AK25" s="235"/>
      <c r="AL25" s="235"/>
      <c r="AM25" s="235"/>
      <c r="AN25" s="235"/>
      <c r="AO25" s="235"/>
      <c r="AP25" s="235"/>
      <c r="AQ25" s="235"/>
      <c r="AR25" s="235"/>
      <c r="AS25" s="235"/>
      <c r="AT25" s="235"/>
      <c r="AU25" s="235"/>
      <c r="AV25" s="235"/>
      <c r="AW25" s="235"/>
      <c r="AX25" s="235"/>
      <c r="AY25" s="235"/>
      <c r="AZ25" s="235"/>
      <c r="BA25" s="235"/>
      <c r="BB25" s="235"/>
      <c r="BC25" s="235"/>
      <c r="BD25" s="235"/>
      <c r="BE25" s="235"/>
      <c r="BF25" s="235"/>
      <c r="BG25" s="235"/>
      <c r="BH25" s="235"/>
      <c r="BI25" s="235"/>
      <c r="BJ25" s="235"/>
      <c r="BK25" s="235"/>
      <c r="BL25" s="235"/>
      <c r="BM25" s="235"/>
      <c r="BN25" s="235"/>
      <c r="BO25" s="235"/>
      <c r="BP25" s="235"/>
      <c r="BQ25" s="235"/>
      <c r="BR25" s="235"/>
      <c r="BS25" s="235"/>
      <c r="BT25" s="235"/>
      <c r="BU25" s="235"/>
      <c r="BV25" s="235"/>
      <c r="BW25" s="235"/>
      <c r="BX25" s="235"/>
      <c r="BY25" s="235"/>
      <c r="BZ25" s="236">
        <f t="shared" si="4"/>
        <v>24.65</v>
      </c>
      <c r="CA25" s="31">
        <f t="shared" si="1"/>
        <v>29</v>
      </c>
      <c r="CB25" s="236">
        <f t="shared" si="2"/>
        <v>40.599999999999994</v>
      </c>
      <c r="CD25" s="420">
        <v>0</v>
      </c>
      <c r="CF25" s="236">
        <f t="shared" si="3"/>
        <v>0</v>
      </c>
    </row>
    <row r="26" spans="8:84" s="139" customFormat="1" ht="15" outlineLevel="2" x14ac:dyDescent="0.2">
      <c r="K26" s="406" t="s">
        <v>529</v>
      </c>
      <c r="L26" s="161" t="s">
        <v>265</v>
      </c>
      <c r="M26" s="178">
        <v>1.5</v>
      </c>
      <c r="N26" s="162" t="s">
        <v>12</v>
      </c>
      <c r="O26" s="442">
        <v>2</v>
      </c>
      <c r="P26" s="360"/>
      <c r="Q26" s="10"/>
      <c r="R26" s="10"/>
      <c r="S26" s="10"/>
      <c r="U26" s="235"/>
      <c r="V26" s="235"/>
      <c r="W26" s="235"/>
      <c r="X26" s="302"/>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235"/>
      <c r="BJ26" s="235"/>
      <c r="BK26" s="235"/>
      <c r="BL26" s="235"/>
      <c r="BM26" s="235"/>
      <c r="BN26" s="235"/>
      <c r="BO26" s="235"/>
      <c r="BP26" s="235"/>
      <c r="BQ26" s="235"/>
      <c r="BR26" s="235"/>
      <c r="BS26" s="235"/>
      <c r="BT26" s="235"/>
      <c r="BU26" s="235"/>
      <c r="BV26" s="235"/>
      <c r="BW26" s="235"/>
      <c r="BX26" s="235"/>
      <c r="BY26" s="235"/>
      <c r="BZ26" s="236">
        <f>CA26*0.85</f>
        <v>1.7</v>
      </c>
      <c r="CA26" s="31">
        <f t="shared" si="1"/>
        <v>2</v>
      </c>
      <c r="CB26" s="236">
        <f t="shared" si="2"/>
        <v>2.8</v>
      </c>
      <c r="CD26" s="420">
        <v>0</v>
      </c>
      <c r="CF26" s="236">
        <f t="shared" si="3"/>
        <v>0</v>
      </c>
    </row>
    <row r="27" spans="8:84" s="236" customFormat="1" ht="15" hidden="1" outlineLevel="2" x14ac:dyDescent="0.2">
      <c r="K27" s="406"/>
      <c r="L27" s="161" t="s">
        <v>526</v>
      </c>
      <c r="M27" s="164">
        <f>SUM(AZ43:AZ88)</f>
        <v>37.899999999999991</v>
      </c>
      <c r="N27" s="162">
        <f>SUM(BA41:BA48)</f>
        <v>0.7</v>
      </c>
      <c r="O27" s="442">
        <f t="shared" ref="O27:O32" si="5">IF(K27="x",SUM(M27,N27),0)</f>
        <v>0</v>
      </c>
      <c r="P27" s="359"/>
      <c r="Q27" s="359"/>
      <c r="R27" s="359"/>
      <c r="S27" s="359"/>
      <c r="U27" s="235"/>
      <c r="V27" s="235"/>
      <c r="W27" s="235"/>
      <c r="X27" s="302"/>
      <c r="Y27" s="235"/>
      <c r="Z27" s="235"/>
      <c r="AA27" s="235"/>
      <c r="AB27" s="235"/>
      <c r="AC27" s="235"/>
      <c r="AD27" s="235"/>
      <c r="AE27" s="235"/>
      <c r="AF27" s="235"/>
      <c r="AG27" s="235"/>
      <c r="AH27" s="235"/>
      <c r="AI27" s="235"/>
      <c r="AJ27" s="235"/>
      <c r="AK27" s="235"/>
      <c r="AL27" s="235"/>
      <c r="AM27" s="235"/>
      <c r="AN27" s="235"/>
      <c r="AO27" s="235"/>
      <c r="AP27" s="235"/>
      <c r="AQ27" s="235"/>
      <c r="AR27" s="235"/>
      <c r="AS27" s="235"/>
      <c r="AT27" s="235"/>
      <c r="AU27" s="235"/>
      <c r="AV27" s="235"/>
      <c r="AW27" s="235"/>
      <c r="AX27" s="235"/>
      <c r="AY27" s="235"/>
      <c r="AZ27" s="235"/>
      <c r="BA27" s="235"/>
      <c r="BB27" s="235"/>
      <c r="BC27" s="235"/>
      <c r="BD27" s="235"/>
      <c r="BE27" s="235"/>
      <c r="BF27" s="235"/>
      <c r="BG27" s="235"/>
      <c r="BH27" s="235"/>
      <c r="BI27" s="235"/>
      <c r="BJ27" s="235"/>
      <c r="BK27" s="235"/>
      <c r="BL27" s="235"/>
      <c r="BM27" s="235"/>
      <c r="BN27" s="235"/>
      <c r="BO27" s="235"/>
      <c r="BP27" s="235"/>
      <c r="BQ27" s="235"/>
      <c r="BR27" s="235"/>
      <c r="BS27" s="235"/>
      <c r="BT27" s="235"/>
      <c r="BU27" s="235"/>
      <c r="BV27" s="235"/>
      <c r="BW27" s="235"/>
      <c r="BX27" s="235"/>
      <c r="BY27" s="235"/>
      <c r="BZ27" s="236">
        <v>0</v>
      </c>
      <c r="CA27" s="31">
        <f t="shared" ref="CA27" si="6">O27</f>
        <v>0</v>
      </c>
      <c r="CB27" s="236">
        <f t="shared" si="2"/>
        <v>1</v>
      </c>
      <c r="CD27" s="420">
        <v>0</v>
      </c>
      <c r="CF27" s="236">
        <f t="shared" si="3"/>
        <v>0</v>
      </c>
    </row>
    <row r="28" spans="8:84" s="33" customFormat="1" ht="15" outlineLevel="2" x14ac:dyDescent="0.2">
      <c r="H28" s="106"/>
      <c r="I28" s="139"/>
      <c r="J28" s="139"/>
      <c r="K28" s="407" t="s">
        <v>529</v>
      </c>
      <c r="L28" s="161" t="s">
        <v>168</v>
      </c>
      <c r="M28" s="164">
        <f>SUM(AZ43:AZ88)</f>
        <v>37.899999999999991</v>
      </c>
      <c r="N28" s="162">
        <f>SUM(BA43:BA88)</f>
        <v>5.2999999999999972</v>
      </c>
      <c r="O28" s="442">
        <v>32.799999999999997</v>
      </c>
      <c r="P28" s="359"/>
      <c r="Q28" s="359"/>
      <c r="R28" s="359"/>
      <c r="S28" s="359"/>
      <c r="U28" s="235"/>
      <c r="V28" s="235"/>
      <c r="W28" s="235"/>
      <c r="X28" s="302"/>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235"/>
      <c r="BI28" s="235"/>
      <c r="BJ28" s="235"/>
      <c r="BK28" s="235"/>
      <c r="BL28" s="235"/>
      <c r="BM28" s="235"/>
      <c r="BN28" s="235"/>
      <c r="BO28" s="235"/>
      <c r="BP28" s="235"/>
      <c r="BQ28" s="235"/>
      <c r="BR28" s="235"/>
      <c r="BS28" s="235"/>
      <c r="BT28" s="235"/>
      <c r="BU28" s="235"/>
      <c r="BV28" s="235"/>
      <c r="BW28" s="235"/>
      <c r="BX28" s="235"/>
      <c r="BY28" s="235"/>
      <c r="BZ28" s="236">
        <f t="shared" si="4"/>
        <v>27.879999999999995</v>
      </c>
      <c r="CA28" s="31">
        <f t="shared" si="1"/>
        <v>32.799999999999997</v>
      </c>
      <c r="CB28" s="236">
        <f t="shared" si="2"/>
        <v>45.919999999999995</v>
      </c>
      <c r="CD28" s="420">
        <v>0</v>
      </c>
      <c r="CF28" s="236">
        <f t="shared" si="3"/>
        <v>0</v>
      </c>
    </row>
    <row r="29" spans="8:84" s="139" customFormat="1" ht="15" hidden="1" outlineLevel="2" x14ac:dyDescent="0.2">
      <c r="K29" s="407"/>
      <c r="L29" s="161" t="s">
        <v>518</v>
      </c>
      <c r="M29" s="164">
        <f>SUM(BB43:BB88,BF43:BF88)</f>
        <v>42.200000000000038</v>
      </c>
      <c r="N29" s="162">
        <f>SUM(BC43:BC88,BG43:BG88)</f>
        <v>14.499999999999993</v>
      </c>
      <c r="O29" s="442">
        <f t="shared" si="5"/>
        <v>0</v>
      </c>
      <c r="P29" s="359"/>
      <c r="Q29" s="359"/>
      <c r="R29" s="359"/>
      <c r="S29" s="359"/>
      <c r="U29" s="235"/>
      <c r="V29" s="235"/>
      <c r="W29" s="235"/>
      <c r="X29" s="302"/>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235"/>
      <c r="BI29" s="235"/>
      <c r="BJ29" s="235"/>
      <c r="BK29" s="235"/>
      <c r="BL29" s="235"/>
      <c r="BM29" s="235"/>
      <c r="BN29" s="235"/>
      <c r="BO29" s="200"/>
      <c r="BP29" s="235"/>
      <c r="BQ29" s="235"/>
      <c r="BR29" s="235"/>
      <c r="BS29" s="235"/>
      <c r="BT29" s="235"/>
      <c r="BU29" s="235"/>
      <c r="BV29" s="235"/>
      <c r="BW29" s="235"/>
      <c r="BX29" s="235"/>
      <c r="BY29" s="235"/>
      <c r="BZ29" s="236">
        <f t="shared" si="4"/>
        <v>0</v>
      </c>
      <c r="CA29" s="31">
        <f t="shared" si="1"/>
        <v>0</v>
      </c>
      <c r="CB29" s="236">
        <f t="shared" si="2"/>
        <v>1</v>
      </c>
      <c r="CD29" s="420">
        <v>0</v>
      </c>
      <c r="CF29" s="236">
        <f t="shared" si="3"/>
        <v>0</v>
      </c>
    </row>
    <row r="30" spans="8:84" s="236" customFormat="1" ht="15" outlineLevel="2" x14ac:dyDescent="0.2">
      <c r="K30" s="406" t="s">
        <v>529</v>
      </c>
      <c r="L30" s="161" t="s">
        <v>527</v>
      </c>
      <c r="M30" s="164">
        <f>SUM(BB43:BB88,BF43:BF88)</f>
        <v>42.200000000000038</v>
      </c>
      <c r="N30" s="162">
        <f>SUM(BC43:BC88,BG43:BG88)</f>
        <v>14.499999999999993</v>
      </c>
      <c r="O30" s="442">
        <v>48.5</v>
      </c>
      <c r="P30" s="359"/>
      <c r="Q30" s="359"/>
      <c r="R30" s="359"/>
      <c r="S30" s="359"/>
      <c r="U30" s="235"/>
      <c r="V30" s="235"/>
      <c r="W30" s="235"/>
      <c r="X30" s="302"/>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235"/>
      <c r="BI30" s="235"/>
      <c r="BJ30" s="235"/>
      <c r="BK30" s="235"/>
      <c r="BL30" s="235"/>
      <c r="BM30" s="235"/>
      <c r="BN30" s="235"/>
      <c r="BO30" s="235"/>
      <c r="BP30" s="235"/>
      <c r="BQ30" s="235"/>
      <c r="BR30" s="235"/>
      <c r="BS30" s="235"/>
      <c r="BT30" s="235"/>
      <c r="BU30" s="235"/>
      <c r="BV30" s="235"/>
      <c r="BW30" s="235"/>
      <c r="BX30" s="235"/>
      <c r="BY30" s="235"/>
      <c r="BZ30" s="236">
        <f t="shared" si="4"/>
        <v>41.225000000000001</v>
      </c>
      <c r="CA30" s="31">
        <f>O30</f>
        <v>48.5</v>
      </c>
      <c r="CB30" s="236">
        <f t="shared" si="2"/>
        <v>67.899999999999991</v>
      </c>
      <c r="CD30" s="420">
        <v>0</v>
      </c>
      <c r="CF30" s="236">
        <f t="shared" si="3"/>
        <v>0</v>
      </c>
    </row>
    <row r="31" spans="8:84" s="198" customFormat="1" ht="15" outlineLevel="2" x14ac:dyDescent="0.2">
      <c r="K31" s="406" t="s">
        <v>529</v>
      </c>
      <c r="L31" s="161" t="s">
        <v>268</v>
      </c>
      <c r="M31" s="164">
        <f>SUM(BD43:BD88)</f>
        <v>20.100000000000016</v>
      </c>
      <c r="N31" s="162">
        <f>SUM(BE43:BE88)</f>
        <v>6.9999999999999964</v>
      </c>
      <c r="O31" s="442">
        <v>22.8</v>
      </c>
      <c r="P31" s="359"/>
      <c r="Q31" s="359"/>
      <c r="R31" s="359"/>
      <c r="S31" s="359"/>
      <c r="U31" s="235"/>
      <c r="V31" s="235"/>
      <c r="W31" s="235"/>
      <c r="X31" s="302"/>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235"/>
      <c r="BB31" s="235"/>
      <c r="BC31" s="235"/>
      <c r="BD31" s="235"/>
      <c r="BE31" s="235"/>
      <c r="BF31" s="235"/>
      <c r="BG31" s="235"/>
      <c r="BH31" s="235"/>
      <c r="BI31" s="235"/>
      <c r="BJ31" s="235"/>
      <c r="BK31" s="235"/>
      <c r="BL31" s="235"/>
      <c r="BM31" s="235"/>
      <c r="BN31" s="235"/>
      <c r="BO31" s="235"/>
      <c r="BP31" s="235"/>
      <c r="BQ31" s="235"/>
      <c r="BR31" s="235"/>
      <c r="BS31" s="235"/>
      <c r="BT31" s="235"/>
      <c r="BU31" s="235"/>
      <c r="BV31" s="235"/>
      <c r="BW31" s="235"/>
      <c r="BX31" s="235"/>
      <c r="BY31" s="235"/>
      <c r="BZ31" s="236">
        <f t="shared" ref="BZ31" si="7">CA31*0.85</f>
        <v>19.38</v>
      </c>
      <c r="CA31" s="31">
        <f t="shared" ref="CA31" si="8">O31</f>
        <v>22.8</v>
      </c>
      <c r="CB31" s="236">
        <f t="shared" si="2"/>
        <v>31.919999999999998</v>
      </c>
      <c r="CD31" s="420">
        <v>0</v>
      </c>
      <c r="CF31" s="236">
        <f t="shared" si="3"/>
        <v>0</v>
      </c>
    </row>
    <row r="32" spans="8:84" s="33" customFormat="1" ht="15" outlineLevel="2" x14ac:dyDescent="0.2">
      <c r="H32" s="106"/>
      <c r="I32" s="139"/>
      <c r="J32" s="139"/>
      <c r="K32" s="407" t="s">
        <v>529</v>
      </c>
      <c r="L32" s="161" t="s">
        <v>278</v>
      </c>
      <c r="M32" s="164">
        <f>N132*0.5</f>
        <v>21</v>
      </c>
      <c r="N32" s="162" t="s">
        <v>12</v>
      </c>
      <c r="O32" s="442">
        <f t="shared" si="5"/>
        <v>21</v>
      </c>
      <c r="P32" s="359"/>
      <c r="Q32" s="10"/>
      <c r="R32" s="10"/>
      <c r="S32" s="10"/>
      <c r="U32" s="235"/>
      <c r="V32" s="235"/>
      <c r="W32" s="235"/>
      <c r="X32" s="302"/>
      <c r="Y32" s="235"/>
      <c r="Z32" s="235"/>
      <c r="AA32" s="235"/>
      <c r="AB32" s="235"/>
      <c r="AC32" s="235"/>
      <c r="AD32" s="235"/>
      <c r="AE32" s="235"/>
      <c r="AF32" s="235"/>
      <c r="AG32" s="235"/>
      <c r="AH32" s="235"/>
      <c r="AI32" s="235"/>
      <c r="AJ32" s="235"/>
      <c r="AK32" s="235"/>
      <c r="AL32" s="235"/>
      <c r="AM32" s="235"/>
      <c r="AN32" s="235"/>
      <c r="AO32" s="235"/>
      <c r="AP32" s="235"/>
      <c r="AQ32" s="235"/>
      <c r="AR32" s="235"/>
      <c r="AS32" s="235"/>
      <c r="AT32" s="235"/>
      <c r="AU32" s="235"/>
      <c r="AV32" s="235"/>
      <c r="AW32" s="235"/>
      <c r="AX32" s="235"/>
      <c r="AY32" s="235"/>
      <c r="AZ32" s="235"/>
      <c r="BA32" s="235"/>
      <c r="BB32" s="235"/>
      <c r="BC32" s="235"/>
      <c r="BD32" s="235"/>
      <c r="BE32" s="235"/>
      <c r="BF32" s="235"/>
      <c r="BG32" s="235"/>
      <c r="BH32" s="235"/>
      <c r="BI32" s="235"/>
      <c r="BJ32" s="235"/>
      <c r="BK32" s="235"/>
      <c r="BL32" s="235"/>
      <c r="BM32" s="235"/>
      <c r="BN32" s="235"/>
      <c r="BO32" s="235"/>
      <c r="BP32" s="235"/>
      <c r="BQ32" s="235"/>
      <c r="BR32" s="235"/>
      <c r="BS32" s="235"/>
      <c r="BT32" s="235"/>
      <c r="BU32" s="235"/>
      <c r="BV32" s="235"/>
      <c r="BW32" s="235"/>
      <c r="BX32" s="235"/>
      <c r="BY32" s="235"/>
      <c r="BZ32" s="236">
        <f t="shared" si="4"/>
        <v>17.849999999999998</v>
      </c>
      <c r="CA32" s="31">
        <f t="shared" si="1"/>
        <v>21</v>
      </c>
      <c r="CB32" s="236">
        <f t="shared" si="2"/>
        <v>29.4</v>
      </c>
      <c r="CD32" s="420">
        <v>0</v>
      </c>
      <c r="CF32" s="236">
        <f t="shared" si="3"/>
        <v>0</v>
      </c>
    </row>
    <row r="33" spans="3:84" s="32" customFormat="1" outlineLevel="1" x14ac:dyDescent="0.2">
      <c r="H33" s="105"/>
      <c r="I33" s="105"/>
      <c r="J33" s="105"/>
      <c r="K33" s="105"/>
      <c r="L33" s="157" t="s">
        <v>169</v>
      </c>
      <c r="M33" s="163"/>
      <c r="N33" s="158"/>
      <c r="O33" s="350"/>
      <c r="P33" s="82"/>
      <c r="Q33" s="205"/>
      <c r="R33" s="205"/>
      <c r="S33" s="205"/>
      <c r="U33" s="235"/>
      <c r="V33" s="235"/>
      <c r="W33" s="235"/>
      <c r="X33" s="302"/>
      <c r="Y33" s="235"/>
      <c r="Z33" s="235"/>
      <c r="AA33" s="235"/>
      <c r="AB33" s="235"/>
      <c r="AC33" s="235"/>
      <c r="AD33" s="235"/>
      <c r="AE33" s="235"/>
      <c r="AF33" s="235"/>
      <c r="AG33" s="235"/>
      <c r="AH33" s="235"/>
      <c r="AI33" s="235"/>
      <c r="AJ33" s="235"/>
      <c r="AK33" s="235"/>
      <c r="AL33" s="235"/>
      <c r="AM33" s="235"/>
      <c r="AN33" s="235"/>
      <c r="AO33" s="235"/>
      <c r="AP33" s="235"/>
      <c r="AQ33" s="235"/>
      <c r="AR33" s="235"/>
      <c r="AS33" s="235"/>
      <c r="AT33" s="235"/>
      <c r="AU33" s="235"/>
      <c r="AV33" s="235"/>
      <c r="AW33" s="235"/>
      <c r="AX33" s="235"/>
      <c r="AY33" s="235"/>
      <c r="AZ33" s="235"/>
      <c r="BA33" s="235"/>
      <c r="BB33" s="235"/>
      <c r="BC33" s="235"/>
      <c r="BD33" s="235"/>
      <c r="BE33" s="235"/>
      <c r="BF33" s="235"/>
      <c r="BG33" s="235"/>
      <c r="BH33" s="235"/>
      <c r="BI33" s="235"/>
      <c r="BJ33" s="235"/>
      <c r="BK33" s="235"/>
      <c r="BL33" s="235"/>
      <c r="BM33" s="235"/>
      <c r="BN33" s="235"/>
      <c r="BO33" s="235"/>
      <c r="BP33" s="235"/>
      <c r="BQ33" s="235"/>
      <c r="BR33" s="235"/>
      <c r="BS33" s="235"/>
      <c r="BT33" s="235"/>
      <c r="BU33" s="235"/>
      <c r="BV33" s="235"/>
      <c r="BW33" s="235"/>
      <c r="BX33" s="235"/>
      <c r="BY33" s="235"/>
      <c r="BZ33" s="236">
        <f t="shared" si="4"/>
        <v>0</v>
      </c>
      <c r="CA33" s="31">
        <f t="shared" si="1"/>
        <v>0</v>
      </c>
      <c r="CB33" s="236">
        <f t="shared" si="2"/>
        <v>1</v>
      </c>
      <c r="CD33" s="424">
        <v>0</v>
      </c>
      <c r="CF33" s="236">
        <f t="shared" si="3"/>
        <v>0</v>
      </c>
    </row>
    <row r="34" spans="3:84" s="33" customFormat="1" ht="15" outlineLevel="2" x14ac:dyDescent="0.2">
      <c r="H34" s="106"/>
      <c r="I34" s="139"/>
      <c r="J34" s="139"/>
      <c r="K34" s="407" t="s">
        <v>529</v>
      </c>
      <c r="L34" s="161" t="s">
        <v>171</v>
      </c>
      <c r="M34" s="178">
        <v>2</v>
      </c>
      <c r="N34" s="162" t="s">
        <v>12</v>
      </c>
      <c r="O34" s="442">
        <f t="shared" ref="O34:O39" si="9">IF(K34="x",SUM(M34,N34),0)</f>
        <v>2</v>
      </c>
      <c r="P34" s="6"/>
      <c r="Q34" s="10"/>
      <c r="R34" s="10"/>
      <c r="S34" s="10"/>
      <c r="U34" s="235"/>
      <c r="V34" s="235"/>
      <c r="W34" s="235"/>
      <c r="X34" s="302"/>
      <c r="Y34" s="235"/>
      <c r="Z34" s="235"/>
      <c r="AA34" s="235"/>
      <c r="AB34" s="235"/>
      <c r="AC34" s="235"/>
      <c r="AD34" s="235"/>
      <c r="AE34" s="235"/>
      <c r="AF34" s="235"/>
      <c r="AG34" s="235"/>
      <c r="AH34" s="235"/>
      <c r="AI34" s="235"/>
      <c r="AJ34" s="235"/>
      <c r="AK34" s="235"/>
      <c r="AL34" s="235"/>
      <c r="AM34" s="235"/>
      <c r="AN34" s="235"/>
      <c r="AO34" s="235"/>
      <c r="AP34" s="235"/>
      <c r="AQ34" s="235"/>
      <c r="AR34" s="235"/>
      <c r="AS34" s="235"/>
      <c r="AT34" s="235"/>
      <c r="AU34" s="235"/>
      <c r="AV34" s="235"/>
      <c r="AW34" s="235"/>
      <c r="AX34" s="235"/>
      <c r="AY34" s="235"/>
      <c r="AZ34" s="235"/>
      <c r="BA34" s="235"/>
      <c r="BB34" s="235"/>
      <c r="BC34" s="235"/>
      <c r="BD34" s="235"/>
      <c r="BE34" s="235"/>
      <c r="BF34" s="235"/>
      <c r="BG34" s="235"/>
      <c r="BH34" s="235"/>
      <c r="BI34" s="235"/>
      <c r="BJ34" s="235"/>
      <c r="BK34" s="235"/>
      <c r="BL34" s="235"/>
      <c r="BM34" s="235"/>
      <c r="BN34" s="235"/>
      <c r="BO34" s="235"/>
      <c r="BP34" s="235"/>
      <c r="BQ34" s="235"/>
      <c r="BR34" s="235"/>
      <c r="BS34" s="235"/>
      <c r="BT34" s="235"/>
      <c r="BU34" s="235"/>
      <c r="BV34" s="235"/>
      <c r="BW34" s="235"/>
      <c r="BX34" s="235"/>
      <c r="BY34" s="235"/>
      <c r="BZ34" s="236">
        <f t="shared" si="4"/>
        <v>1.7</v>
      </c>
      <c r="CA34" s="31">
        <f t="shared" si="1"/>
        <v>2</v>
      </c>
      <c r="CB34" s="236">
        <f t="shared" si="2"/>
        <v>2.8</v>
      </c>
      <c r="CD34" s="420">
        <v>0</v>
      </c>
      <c r="CF34" s="236">
        <f t="shared" si="3"/>
        <v>0</v>
      </c>
    </row>
    <row r="35" spans="3:84" s="33" customFormat="1" ht="15" outlineLevel="2" x14ac:dyDescent="0.2">
      <c r="H35" s="139"/>
      <c r="I35" s="139"/>
      <c r="J35" s="139"/>
      <c r="K35" s="406" t="s">
        <v>529</v>
      </c>
      <c r="L35" s="161" t="s">
        <v>13</v>
      </c>
      <c r="M35" s="178">
        <v>1</v>
      </c>
      <c r="N35" s="162">
        <f>ROUNDUP(M35/3,1)</f>
        <v>0.4</v>
      </c>
      <c r="O35" s="349">
        <f t="shared" si="9"/>
        <v>1.4</v>
      </c>
      <c r="P35" s="6"/>
      <c r="Q35" s="10"/>
      <c r="R35" s="10"/>
      <c r="S35" s="10"/>
      <c r="U35" s="235"/>
      <c r="V35" s="235"/>
      <c r="W35" s="235"/>
      <c r="X35" s="302"/>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235"/>
      <c r="BI35" s="235"/>
      <c r="BJ35" s="235"/>
      <c r="BK35" s="235"/>
      <c r="BL35" s="235"/>
      <c r="BM35" s="235"/>
      <c r="BN35" s="235"/>
      <c r="BO35" s="235"/>
      <c r="BP35" s="235"/>
      <c r="BQ35" s="235"/>
      <c r="BR35" s="235"/>
      <c r="BS35" s="235"/>
      <c r="BT35" s="235"/>
      <c r="BU35" s="235"/>
      <c r="BV35" s="235"/>
      <c r="BW35" s="235"/>
      <c r="BX35" s="235"/>
      <c r="BY35" s="235"/>
      <c r="BZ35" s="236">
        <f t="shared" si="4"/>
        <v>1.19</v>
      </c>
      <c r="CA35" s="31">
        <f t="shared" si="1"/>
        <v>1.4</v>
      </c>
      <c r="CB35" s="236">
        <f t="shared" si="2"/>
        <v>1.9599999999999997</v>
      </c>
      <c r="CD35" s="420">
        <v>0</v>
      </c>
      <c r="CF35" s="236">
        <f t="shared" si="3"/>
        <v>0</v>
      </c>
    </row>
    <row r="36" spans="3:84" s="33" customFormat="1" ht="15" outlineLevel="2" x14ac:dyDescent="0.2">
      <c r="H36" s="139"/>
      <c r="I36" s="139"/>
      <c r="J36" s="139"/>
      <c r="K36" s="406"/>
      <c r="L36" s="161" t="s">
        <v>170</v>
      </c>
      <c r="M36" s="164">
        <f>ROUNDUP(((N129*10/60) + (N130*10/60)),1)</f>
        <v>6.5</v>
      </c>
      <c r="N36" s="162">
        <f>ROUNDUP(M36*20/80,1)</f>
        <v>1.7000000000000002</v>
      </c>
      <c r="O36" s="442">
        <v>0.5</v>
      </c>
      <c r="P36" s="359"/>
      <c r="Q36" s="359"/>
      <c r="R36" s="359"/>
      <c r="S36" s="359"/>
      <c r="T36" s="235"/>
      <c r="V36" s="235"/>
      <c r="W36" s="235"/>
      <c r="X36" s="302"/>
      <c r="Y36" s="235"/>
      <c r="Z36" s="235"/>
      <c r="AA36" s="235"/>
      <c r="AB36" s="235"/>
      <c r="AC36" s="235"/>
      <c r="AD36" s="235"/>
      <c r="AE36" s="235"/>
      <c r="AF36" s="235"/>
      <c r="AG36" s="235"/>
      <c r="AH36" s="235"/>
      <c r="AI36" s="235"/>
      <c r="AJ36" s="235"/>
      <c r="AK36" s="235"/>
      <c r="AL36" s="235"/>
      <c r="AM36" s="235"/>
      <c r="AN36" s="235"/>
      <c r="AO36" s="235"/>
      <c r="AP36" s="235"/>
      <c r="AQ36" s="235"/>
      <c r="AR36" s="235"/>
      <c r="AS36" s="235"/>
      <c r="AT36" s="235"/>
      <c r="AU36" s="235"/>
      <c r="AV36" s="235"/>
      <c r="AW36" s="235"/>
      <c r="AX36" s="235"/>
      <c r="AY36" s="235"/>
      <c r="AZ36" s="235"/>
      <c r="BA36" s="235"/>
      <c r="BB36" s="235"/>
      <c r="BC36" s="235"/>
      <c r="BD36" s="235"/>
      <c r="BE36" s="235"/>
      <c r="BF36" s="235"/>
      <c r="BG36" s="235"/>
      <c r="BH36" s="235"/>
      <c r="BI36" s="235"/>
      <c r="BJ36" s="235"/>
      <c r="BK36" s="235"/>
      <c r="BL36" s="235"/>
      <c r="BM36" s="235"/>
      <c r="BN36" s="235"/>
      <c r="BO36" s="235"/>
      <c r="BP36" s="235"/>
      <c r="BQ36" s="235"/>
      <c r="BR36" s="235"/>
      <c r="BS36" s="235"/>
      <c r="BT36" s="235"/>
      <c r="BU36" s="235"/>
      <c r="BV36" s="235"/>
      <c r="BW36" s="235"/>
      <c r="BX36" s="235"/>
      <c r="BY36" s="235"/>
      <c r="BZ36" s="236">
        <f t="shared" si="4"/>
        <v>0.42499999999999999</v>
      </c>
      <c r="CA36" s="31">
        <f t="shared" si="1"/>
        <v>0.5</v>
      </c>
      <c r="CB36" s="236">
        <f t="shared" si="2"/>
        <v>0.7</v>
      </c>
      <c r="CD36" s="420">
        <v>0</v>
      </c>
      <c r="CF36" s="236">
        <f t="shared" si="3"/>
        <v>0</v>
      </c>
    </row>
    <row r="37" spans="3:84" s="236" customFormat="1" ht="15" hidden="1" outlineLevel="2" x14ac:dyDescent="0.2">
      <c r="K37" s="406"/>
      <c r="L37" s="161" t="s">
        <v>523</v>
      </c>
      <c r="M37" s="164">
        <f>ROUNDUP(M36*0.8,1)</f>
        <v>5.2</v>
      </c>
      <c r="N37" s="162">
        <f>ROUNDUP(M37*20/80,1)</f>
        <v>1.3</v>
      </c>
      <c r="O37" s="349">
        <f t="shared" si="9"/>
        <v>0</v>
      </c>
      <c r="P37" s="359"/>
      <c r="Q37" s="359"/>
      <c r="R37" s="359"/>
      <c r="S37" s="359"/>
      <c r="U37" s="235"/>
      <c r="V37" s="235"/>
      <c r="W37" s="235"/>
      <c r="X37" s="302"/>
      <c r="Y37" s="235"/>
      <c r="Z37" s="235"/>
      <c r="AA37" s="235"/>
      <c r="AB37" s="235"/>
      <c r="AC37" s="235"/>
      <c r="AD37" s="235"/>
      <c r="AE37" s="235"/>
      <c r="AF37" s="235"/>
      <c r="AG37" s="235"/>
      <c r="AH37" s="235"/>
      <c r="AI37" s="235"/>
      <c r="AJ37" s="235"/>
      <c r="AK37" s="235"/>
      <c r="AL37" s="235"/>
      <c r="AM37" s="235"/>
      <c r="AN37" s="235"/>
      <c r="AO37" s="235"/>
      <c r="AP37" s="235"/>
      <c r="AQ37" s="235"/>
      <c r="AR37" s="235"/>
      <c r="AS37" s="235"/>
      <c r="AT37" s="235"/>
      <c r="AU37" s="235"/>
      <c r="AV37" s="235"/>
      <c r="AW37" s="235"/>
      <c r="AX37" s="235"/>
      <c r="AY37" s="235"/>
      <c r="AZ37" s="235"/>
      <c r="BA37" s="235"/>
      <c r="BB37" s="235"/>
      <c r="BC37" s="235"/>
      <c r="BD37" s="235"/>
      <c r="BE37" s="235"/>
      <c r="BF37" s="235"/>
      <c r="BG37" s="235"/>
      <c r="BH37" s="235"/>
      <c r="BI37" s="235"/>
      <c r="BK37" s="235"/>
      <c r="BL37" s="235"/>
      <c r="BM37" s="235"/>
      <c r="BN37" s="235"/>
      <c r="BO37" s="235"/>
      <c r="BP37" s="235"/>
      <c r="BQ37" s="235"/>
      <c r="BR37" s="235"/>
      <c r="BS37" s="235"/>
      <c r="BT37" s="235"/>
      <c r="BU37" s="235"/>
      <c r="BV37" s="235"/>
      <c r="BW37" s="235"/>
      <c r="BX37" s="235"/>
      <c r="BY37" s="235"/>
      <c r="BZ37" s="236">
        <f t="shared" si="4"/>
        <v>0</v>
      </c>
      <c r="CA37" s="31">
        <f t="shared" si="1"/>
        <v>0</v>
      </c>
      <c r="CB37" s="236">
        <f t="shared" si="2"/>
        <v>1</v>
      </c>
      <c r="CD37" s="420">
        <v>0</v>
      </c>
      <c r="CF37" s="236">
        <f t="shared" si="3"/>
        <v>0</v>
      </c>
    </row>
    <row r="38" spans="3:84" s="100" customFormat="1" ht="15.75" outlineLevel="2" thickBot="1" x14ac:dyDescent="0.25">
      <c r="K38" s="407"/>
      <c r="L38" s="161" t="s">
        <v>14</v>
      </c>
      <c r="M38" s="164">
        <f>ROUNDUP(N132*5/60,1)</f>
        <v>3.5</v>
      </c>
      <c r="N38" s="162">
        <f>ROUNDUP(M38*1/3,1)</f>
        <v>1.2000000000000002</v>
      </c>
      <c r="O38" s="442">
        <v>0.5</v>
      </c>
      <c r="P38" s="359"/>
      <c r="Q38" s="359"/>
      <c r="R38" s="359"/>
      <c r="S38" s="359"/>
      <c r="U38" s="235"/>
      <c r="V38" s="235"/>
      <c r="W38" s="235"/>
      <c r="X38" s="302"/>
      <c r="Y38" s="235"/>
      <c r="Z38" s="235"/>
      <c r="AA38" s="235"/>
      <c r="AB38" s="235"/>
      <c r="AC38" s="235"/>
      <c r="AD38" s="235"/>
      <c r="AE38" s="235"/>
      <c r="AF38" s="235"/>
      <c r="AG38" s="235"/>
      <c r="AH38" s="235"/>
      <c r="AI38" s="235"/>
      <c r="AJ38" s="235"/>
      <c r="AK38" s="235"/>
      <c r="AL38" s="235"/>
      <c r="AM38" s="235"/>
      <c r="AN38" s="235"/>
      <c r="AO38" s="235"/>
      <c r="AP38" s="235"/>
      <c r="AQ38" s="235"/>
      <c r="AR38" s="235"/>
      <c r="AU38" s="188"/>
      <c r="AV38" s="188" t="s">
        <v>18</v>
      </c>
      <c r="AW38" s="188" t="s">
        <v>18</v>
      </c>
      <c r="AX38" s="188"/>
      <c r="AY38" s="188"/>
      <c r="AZ38" s="188" t="s">
        <v>18</v>
      </c>
      <c r="BA38" s="188" t="s">
        <v>18</v>
      </c>
      <c r="BB38" s="188" t="s">
        <v>18</v>
      </c>
      <c r="BC38" s="188" t="s">
        <v>18</v>
      </c>
      <c r="BD38" s="188"/>
      <c r="BE38" s="188"/>
      <c r="BF38" s="188" t="s">
        <v>18</v>
      </c>
      <c r="BG38" s="188" t="s">
        <v>18</v>
      </c>
      <c r="BH38" s="188"/>
      <c r="BI38" s="188" t="s">
        <v>18</v>
      </c>
      <c r="BJ38" s="188"/>
      <c r="BK38" s="188"/>
      <c r="BL38" s="188"/>
      <c r="BM38" s="188"/>
      <c r="BN38" s="188"/>
      <c r="BO38" s="188"/>
      <c r="BP38" s="188"/>
      <c r="BQ38" s="188" t="s">
        <v>18</v>
      </c>
      <c r="BR38" s="188" t="s">
        <v>18</v>
      </c>
      <c r="BS38" s="188" t="s">
        <v>18</v>
      </c>
      <c r="BT38" s="188" t="s">
        <v>18</v>
      </c>
      <c r="BU38" s="188"/>
      <c r="BV38" s="188"/>
      <c r="BW38" s="188"/>
      <c r="BZ38" s="236">
        <f t="shared" si="4"/>
        <v>0.42499999999999999</v>
      </c>
      <c r="CA38" s="31">
        <f t="shared" si="1"/>
        <v>0.5</v>
      </c>
      <c r="CB38" s="236">
        <f t="shared" si="2"/>
        <v>0.7</v>
      </c>
      <c r="CD38" s="421">
        <v>0</v>
      </c>
      <c r="CF38" s="236">
        <f t="shared" si="3"/>
        <v>0</v>
      </c>
    </row>
    <row r="39" spans="3:84" s="33" customFormat="1" ht="15.75" outlineLevel="1" thickBot="1" x14ac:dyDescent="0.25">
      <c r="C39" s="100"/>
      <c r="D39" s="100"/>
      <c r="E39" s="100"/>
      <c r="F39" s="100"/>
      <c r="G39" s="100"/>
      <c r="H39" s="100"/>
      <c r="I39" s="100"/>
      <c r="J39" s="100"/>
      <c r="K39" s="407" t="s">
        <v>529</v>
      </c>
      <c r="L39" s="157" t="s">
        <v>173</v>
      </c>
      <c r="M39" s="164">
        <f>ROUNDUP(M164,0)</f>
        <v>7</v>
      </c>
      <c r="N39" s="158" t="s">
        <v>12</v>
      </c>
      <c r="O39" s="442">
        <f t="shared" si="9"/>
        <v>7</v>
      </c>
      <c r="P39" s="359"/>
      <c r="Q39" s="10"/>
      <c r="R39" s="10"/>
      <c r="S39" s="10"/>
      <c r="T39" s="87"/>
      <c r="U39" s="235"/>
      <c r="V39" s="235"/>
      <c r="W39" s="235"/>
      <c r="X39" s="302"/>
      <c r="Y39" s="235"/>
      <c r="Z39" s="235"/>
      <c r="AA39" s="235"/>
      <c r="AB39" s="235"/>
      <c r="AC39" s="235"/>
      <c r="AD39" s="235"/>
      <c r="AE39" s="235"/>
      <c r="AF39" s="235"/>
      <c r="AG39" s="235"/>
      <c r="AH39" s="235"/>
      <c r="AI39" s="235"/>
      <c r="AJ39" s="235"/>
      <c r="AK39" s="235"/>
      <c r="AL39" s="235"/>
      <c r="AM39" s="235"/>
      <c r="AN39" s="235"/>
      <c r="AO39" s="235"/>
      <c r="AP39" s="235"/>
      <c r="AQ39" s="235"/>
      <c r="AR39" s="235"/>
      <c r="AS39" s="100"/>
      <c r="AT39" s="236"/>
      <c r="AU39" s="468" t="s">
        <v>183</v>
      </c>
      <c r="AV39" s="469"/>
      <c r="AW39" s="469"/>
      <c r="AX39" s="470"/>
      <c r="AY39" s="471" t="s">
        <v>196</v>
      </c>
      <c r="AZ39" s="472"/>
      <c r="BA39" s="472"/>
      <c r="BB39" s="472"/>
      <c r="BC39" s="472"/>
      <c r="BD39" s="472"/>
      <c r="BE39" s="472"/>
      <c r="BF39" s="472"/>
      <c r="BG39" s="472"/>
      <c r="BH39" s="473"/>
      <c r="BI39" s="471" t="s">
        <v>197</v>
      </c>
      <c r="BJ39" s="472"/>
      <c r="BK39" s="472"/>
      <c r="BL39" s="472"/>
      <c r="BM39" s="472"/>
      <c r="BN39" s="472"/>
      <c r="BO39" s="472"/>
      <c r="BP39" s="473"/>
      <c r="BQ39" s="471" t="s">
        <v>208</v>
      </c>
      <c r="BR39" s="473"/>
      <c r="BS39" s="471" t="s">
        <v>187</v>
      </c>
      <c r="BT39" s="472"/>
      <c r="BU39" s="473"/>
      <c r="BV39" s="404" t="s">
        <v>198</v>
      </c>
      <c r="BW39" s="404" t="s">
        <v>200</v>
      </c>
      <c r="BX39" s="236"/>
      <c r="BY39" s="236"/>
      <c r="BZ39" s="236">
        <f t="shared" si="4"/>
        <v>5.95</v>
      </c>
      <c r="CA39" s="31">
        <f t="shared" si="1"/>
        <v>7</v>
      </c>
      <c r="CB39" s="236">
        <f t="shared" si="2"/>
        <v>9.7999999999999989</v>
      </c>
      <c r="CD39" s="420">
        <v>0</v>
      </c>
      <c r="CF39" s="236">
        <f t="shared" si="3"/>
        <v>0</v>
      </c>
    </row>
    <row r="40" spans="3:84" s="30" customFormat="1" ht="15.75" thickBot="1" x14ac:dyDescent="0.3">
      <c r="C40" s="100"/>
      <c r="D40" s="143"/>
      <c r="E40" s="152" t="s">
        <v>259</v>
      </c>
      <c r="F40" s="153"/>
      <c r="G40" s="154"/>
      <c r="H40" s="155"/>
      <c r="I40" s="151"/>
      <c r="J40" s="181"/>
      <c r="K40" s="181"/>
      <c r="L40" s="156" t="s">
        <v>15</v>
      </c>
      <c r="M40" s="238">
        <f>SUM(M41:M92)/$P$127</f>
        <v>0.36640316205533596</v>
      </c>
      <c r="N40" s="239">
        <f>SUM(N41:N92)/$P$127</f>
        <v>0.15454545454545446</v>
      </c>
      <c r="O40" s="351"/>
      <c r="P40" s="358">
        <f>SUM(O41:O92)</f>
        <v>255.70000000000002</v>
      </c>
      <c r="Q40" s="240">
        <f>SUM(O41:O92)/$P$127</f>
        <v>0.50533596837944672</v>
      </c>
      <c r="R40" s="240"/>
      <c r="S40" s="240"/>
      <c r="T40" s="87"/>
      <c r="U40" s="98" t="s">
        <v>89</v>
      </c>
      <c r="V40" s="98" t="s">
        <v>261</v>
      </c>
      <c r="W40" s="98" t="s">
        <v>219</v>
      </c>
      <c r="X40" s="307"/>
      <c r="Y40" s="98" t="s">
        <v>159</v>
      </c>
      <c r="Z40" s="98" t="s">
        <v>342</v>
      </c>
      <c r="AA40" s="98" t="s">
        <v>343</v>
      </c>
      <c r="AB40" s="98" t="s">
        <v>342</v>
      </c>
      <c r="AC40" s="98" t="s">
        <v>343</v>
      </c>
      <c r="AD40" s="98" t="s">
        <v>342</v>
      </c>
      <c r="AE40" s="98" t="s">
        <v>343</v>
      </c>
      <c r="AF40" s="98" t="s">
        <v>342</v>
      </c>
      <c r="AG40" s="98" t="s">
        <v>343</v>
      </c>
      <c r="AH40" s="110"/>
      <c r="AI40" s="98" t="s">
        <v>194</v>
      </c>
      <c r="AJ40" s="98" t="s">
        <v>195</v>
      </c>
      <c r="AK40" s="98" t="s">
        <v>342</v>
      </c>
      <c r="AL40" s="98" t="s">
        <v>343</v>
      </c>
      <c r="AM40" s="98" t="s">
        <v>342</v>
      </c>
      <c r="AN40" s="98" t="s">
        <v>343</v>
      </c>
      <c r="AO40" s="98" t="s">
        <v>342</v>
      </c>
      <c r="AP40" s="98" t="s">
        <v>343</v>
      </c>
      <c r="AQ40" s="98" t="s">
        <v>158</v>
      </c>
      <c r="AR40" s="98" t="s">
        <v>342</v>
      </c>
      <c r="AS40" s="98" t="s">
        <v>343</v>
      </c>
      <c r="AT40" s="233"/>
      <c r="AU40" s="98" t="s">
        <v>82</v>
      </c>
      <c r="AV40" s="98" t="s">
        <v>83</v>
      </c>
      <c r="AW40" s="98" t="s">
        <v>81</v>
      </c>
      <c r="AX40" s="98" t="s">
        <v>84</v>
      </c>
      <c r="AY40" s="98" t="s">
        <v>82</v>
      </c>
      <c r="AZ40" s="98" t="s">
        <v>202</v>
      </c>
      <c r="BA40" s="98" t="s">
        <v>203</v>
      </c>
      <c r="BB40" s="98" t="s">
        <v>204</v>
      </c>
      <c r="BC40" s="98" t="s">
        <v>205</v>
      </c>
      <c r="BD40" s="98" t="s">
        <v>266</v>
      </c>
      <c r="BE40" s="98" t="s">
        <v>267</v>
      </c>
      <c r="BF40" s="98" t="s">
        <v>206</v>
      </c>
      <c r="BG40" s="98" t="s">
        <v>207</v>
      </c>
      <c r="BH40" s="98" t="s">
        <v>84</v>
      </c>
      <c r="BI40" s="98" t="s">
        <v>80</v>
      </c>
      <c r="BJ40" s="98" t="s">
        <v>536</v>
      </c>
      <c r="BK40" s="98" t="s">
        <v>534</v>
      </c>
      <c r="BL40" s="98" t="s">
        <v>535</v>
      </c>
      <c r="BM40" s="98" t="s">
        <v>533</v>
      </c>
      <c r="BN40" s="98" t="s">
        <v>85</v>
      </c>
      <c r="BO40" s="98" t="s">
        <v>538</v>
      </c>
      <c r="BP40" s="98" t="s">
        <v>84</v>
      </c>
      <c r="BQ40" s="98" t="s">
        <v>83</v>
      </c>
      <c r="BR40" s="98" t="s">
        <v>81</v>
      </c>
      <c r="BS40" s="98" t="s">
        <v>83</v>
      </c>
      <c r="BT40" s="98" t="s">
        <v>81</v>
      </c>
      <c r="BU40" s="98" t="s">
        <v>84</v>
      </c>
      <c r="BV40" s="98" t="s">
        <v>86</v>
      </c>
      <c r="BW40" s="98" t="s">
        <v>87</v>
      </c>
      <c r="BX40" s="104"/>
      <c r="BY40" s="104"/>
      <c r="CB40" s="236"/>
      <c r="CF40" s="236"/>
    </row>
    <row r="41" spans="3:84" s="33" customFormat="1" ht="59.25" thickBot="1" x14ac:dyDescent="0.25">
      <c r="C41" s="219" t="s">
        <v>306</v>
      </c>
      <c r="D41" s="167" t="s">
        <v>17</v>
      </c>
      <c r="E41" s="168" t="s">
        <v>92</v>
      </c>
      <c r="F41" s="168" t="s">
        <v>150</v>
      </c>
      <c r="G41" s="168" t="s">
        <v>249</v>
      </c>
      <c r="H41" s="168" t="s">
        <v>53</v>
      </c>
      <c r="I41" s="168" t="s">
        <v>250</v>
      </c>
      <c r="J41" s="182" t="s">
        <v>261</v>
      </c>
      <c r="K41" s="220" t="s">
        <v>159</v>
      </c>
      <c r="L41" s="443" t="s">
        <v>610</v>
      </c>
      <c r="M41" s="163"/>
      <c r="N41" s="158"/>
      <c r="O41" s="352"/>
      <c r="Q41" s="409" t="s">
        <v>531</v>
      </c>
      <c r="R41" s="409" t="s">
        <v>532</v>
      </c>
      <c r="S41" s="409" t="s">
        <v>530</v>
      </c>
      <c r="U41" s="92"/>
      <c r="V41" s="92"/>
      <c r="W41" s="92"/>
      <c r="X41" s="308"/>
      <c r="Y41" s="91" t="str">
        <f t="shared" ref="Y41" si="10">IF(AND(U41&gt;=0,U41&lt;=6),"Chica 1",IF(AND(U41&gt;=7,U41&lt;=12),"Chica 2",IF(AND(U41&gt;=13,U41&lt;=18),"Chica 3",IF(AND(U41&gt;=19,U41&lt;=24),"Chica 4",IF(AND(U41&gt;=25,U41&lt;=30),"Mediana 1",IF(AND(U41&gt;=31,U41&lt;=36),"Mediana 2",IF(AND(U41&gt;=37,U41&lt;=42),"Mediana 3",IF(AND(U41&gt;=43,U41&lt;=48),"Mediana 4",IF(AND(U41&gt;=49,U41&lt;=54),"Grande 1",IF(AND(U41&gt;=55,U41&lt;=60),"Grande 2",IF(AND(U41&gt;=61,U41&lt;=66),"Grande 3",IF(AND(U41&gt;=67,U41&lt;=72),"Grande 4",IF(AND(U41&gt;=73,U41&lt;=78),"M. grande 1",IF(AND(U41&gt;=79,U41&lt;=84),"M. grande 2",IF(AND(U41&gt;=85,U41&lt;=90),"M. grande 3",IF(AND(U41&gt;=91,U41&lt;=96),"M. grande 4","NO DEF"))))))))))))))))</f>
        <v>Chica 1</v>
      </c>
      <c r="Z41" s="129" t="str">
        <f t="shared" ref="Z41" si="11">IF(E41="A","Alta",IF(E41="M","Media","Baja"))</f>
        <v>Baja</v>
      </c>
      <c r="AA41" s="129" t="str">
        <f t="shared" ref="AA41" si="12">IF(E41="A","Alta",IF(E41="M","Media","Baja"))</f>
        <v>Baja</v>
      </c>
      <c r="AB41" s="129" t="str">
        <f t="shared" ref="AB41" si="13">IF(F41="A","Alta",IF(F41="M","Media","Baja"))</f>
        <v>Baja</v>
      </c>
      <c r="AC41" s="129" t="str">
        <f t="shared" ref="AC41" si="14">IF(F41="A","Alta",IF(F41="M","Media","Baja"))</f>
        <v>Baja</v>
      </c>
      <c r="AD41" s="129" t="str">
        <f t="shared" ref="AD41" si="15">IF(G41="A","Alta",IF(G41="M","Media","Baja"))</f>
        <v>Baja</v>
      </c>
      <c r="AE41" s="129" t="str">
        <f t="shared" ref="AE41" si="16">IF(G41="A","Alta",IF(G41="M","Media","Baja"))</f>
        <v>Baja</v>
      </c>
      <c r="AF41" s="129" t="str">
        <f t="shared" ref="AF41" si="17">IF(H41="A","Alta",IF(H41="M","Media","Baja"))</f>
        <v>Baja</v>
      </c>
      <c r="AG41" s="129" t="str">
        <f t="shared" ref="AG41" si="18">IF(I41="A","Alta",IF(I41="M","Media","Baja"))</f>
        <v>Baja</v>
      </c>
      <c r="AH41" s="90"/>
      <c r="AI41" s="93">
        <f>IF(Y41=Modelo!$F$7,Modelo!$H$7,IF(Y41=Modelo!$F$8,Modelo!$H$8,IF(Y41=Modelo!$F$9,Modelo!$H$9,IF(Y41=Modelo!$F$10,Modelo!$H$10,IF(Y41=Modelo!$F$11,Modelo!$H$11,IF(Y41=Modelo!$F$12,Modelo!$H$12,IF(Y41=Modelo!$F$13,Modelo!$H$13,IF(Y41=Modelo!$F$14,Modelo!$H$14,IF(Y41=Modelo!$F$15,Modelo!$H$15,IF(Y41=Modelo!$F$16,Modelo!$H$16,IF(Y41=Modelo!$F$17,Modelo!$H$17,IF(Y41=Modelo!$F$18,Modelo!$H$18,IF(Y41=Modelo!$F$19,Modelo!$H$19,IF(Y41=Modelo!$F$20,Modelo!$H$20,IF(Y41=Modelo!$F$21,Modelo!$H$21,IF(Y41=Modelo!$F$22,Modelo!$H$22,0))))))))))))))))</f>
        <v>0.30000000000000004</v>
      </c>
      <c r="AJ41" s="93">
        <f>IF(Y41=Modelo!$F$7,Modelo!$I$7,IF(Y41=Modelo!$F$8,Modelo!$I$8,IF(Y41=Modelo!$F$9,Modelo!$I$9,IF(Y41=Modelo!$F$10,Modelo!$I$10,IF(Y41=Modelo!$F$11,Modelo!$I$11,IF(Y41=Modelo!$F$12,Modelo!$I$12,IF(Y41=Modelo!$F$13,Modelo!$I$13,IF(Y41=Modelo!$F$14,Modelo!$I$14,IF(Y41=Modelo!$F$15,Modelo!$I$15,IF(Y41=Modelo!$F$16,Modelo!$I$16,IF(Y41=Modelo!$F$17,Modelo!$I$17,IF(Y41=Modelo!$F$18,Modelo!$I$18,IF(Y41=Modelo!$F$19,Modelo!$I$19,IF(Y41=Modelo!$F$20,Modelo!$I$20,IF(Y41=Modelo!$F$21,Modelo!$I$21,IF(Y41=Modelo!$F$22,Modelo!$I$22,0))))))))))))))))</f>
        <v>0.1</v>
      </c>
      <c r="AK41" s="93">
        <f>IF(Z41=Modelo!$F$23,Modelo!$H$23,IF(Z41=Modelo!$F$24,Modelo!$H$24,IF(Z41=Modelo!$F$25,Modelo!$H$25,0)))</f>
        <v>1</v>
      </c>
      <c r="AL41" s="93">
        <f>IF(AA41=Modelo!$F$26,Modelo!$H$26,IF(AA41=Modelo!$F$27,Modelo!$H$27,IF(AA41=Modelo!$F$28,Modelo!$H$28,0)))</f>
        <v>0.1</v>
      </c>
      <c r="AM41" s="93">
        <f>IF(AB41=Modelo!$F$30,Modelo!$H$30,IF(AB41=Modelo!$F$31,Modelo!$H$31,IF(AB41=Modelo!$F$32,Modelo!$H$32,0)))</f>
        <v>0.8</v>
      </c>
      <c r="AN41" s="93">
        <f>IF(AC41=Modelo!$F$33,Modelo!$H$33,IF(AC41=Modelo!$F$34,Modelo!$H$34,IF(AC41=Modelo!$F$35,Modelo!$H$35,0)))</f>
        <v>0.3</v>
      </c>
      <c r="AO41" s="93">
        <f>IF(AD41=Modelo!$F$37,Modelo!$H$37,IF(AD41=Modelo!$F$38,Modelo!$H$38,IF(AD41=Modelo!$F$39,Modelo!$H$39,0)))</f>
        <v>0.8</v>
      </c>
      <c r="AP41" s="93">
        <f>IF(AE41=Modelo!$F$40,Modelo!$H$40,IF(AE41=Modelo!$F$41,Modelo!$H$41,IF(AE41=Modelo!$F$42,Modelo!$H$42,0)))</f>
        <v>0.4</v>
      </c>
      <c r="AQ41" s="129">
        <f>IF(C41=Modelo!$F$44,Modelo!$H$44,IF(C41=Modelo!$F$45,Modelo!$H$45,IF(C41=Modelo!$F$46,Modelo!$H$46,IF(C41=Modelo!$F$47,Modelo!$H$47,IF(C41=Modelo!$F$48,Modelo!$H$48,IF(C41=Modelo!$F$49,Modelo!$H$49,IF(C41=Modelo!$F$50,Modelo!$H$50,IF(C41=Modelo!$F$51,Modelo!$H$51,IF(C41=Modelo!$F$52,Modelo!$H$52,IF(C41=Modelo!$F$53,Modelo!$H$53,0))))))))))</f>
        <v>0</v>
      </c>
      <c r="AR41" s="93">
        <f>IF(AF41=Modelo!$F$54,Modelo!$H$54,IF(AF41=Modelo!$F$55,Modelo!$H$55,IF(AF41=Modelo!$F$56,Modelo!$H$56,0)))</f>
        <v>1</v>
      </c>
      <c r="AS41" s="93">
        <f>IF(AG41=Modelo!$F$58,Modelo!$H$58,IF(AG41=Modelo!$F$59,Modelo!$H$59,IF(AG41=Modelo!$F$60,Modelo!$H$60,0)))</f>
        <v>0.9</v>
      </c>
      <c r="AT41" s="90"/>
      <c r="AU41" s="111">
        <f>Modelo!$H$2</f>
        <v>0.05</v>
      </c>
      <c r="AV41" s="112">
        <f>ROUNDUP(Modelo!$I$2*Modelo!$H$3*Modelo!$I$75,2)</f>
        <v>0.02</v>
      </c>
      <c r="AW41" s="113">
        <f>ROUNDUP(Modelo!$I$2*Modelo!$H$3*Modelo!$H$4*Modelo!$I$75,3)</f>
        <v>3.0000000000000001E-3</v>
      </c>
      <c r="AX41" s="111">
        <f>Modelo!$H$5</f>
        <v>0.04</v>
      </c>
      <c r="AY41" s="111">
        <f>ROUNDUP(SUM(AZ41,BB41,BD41,BF41)*Modelo!$H$6,1)</f>
        <v>0.2</v>
      </c>
      <c r="AZ41" s="111">
        <f>ROUNDUP((AI41*AK41+0.1)*Modelo!$I$75,1)</f>
        <v>0.4</v>
      </c>
      <c r="BA41" s="111">
        <f>ROUNDUP(AJ41*AK41*AL41*Modelo!$I$75,1)</f>
        <v>0.1</v>
      </c>
      <c r="BB41" s="111">
        <f>ROUNDUP(V41*Modelo!$H$29*AM41*Modelo!$I$75*2/3,1)</f>
        <v>0</v>
      </c>
      <c r="BC41" s="111">
        <f>ROUNDUP(V41*Modelo!$H$29*AM41*AN41*Modelo!$I$75*2/3,1)</f>
        <v>0</v>
      </c>
      <c r="BD41" s="111">
        <f>ROUNDUP(V41*Modelo!$H$29*AM41*Modelo!$I$75/3,1)</f>
        <v>0</v>
      </c>
      <c r="BE41" s="111">
        <f>ROUNDUP(V41*Modelo!$H$29*AM41*AN41*Modelo!$I$75/3,1)</f>
        <v>0</v>
      </c>
      <c r="BF41" s="111">
        <f>ROUNDUP(W41*Modelo!$H$36*AO41*Modelo!$I$75,1)</f>
        <v>0</v>
      </c>
      <c r="BG41" s="111">
        <f>ROUNDUP(W41*Modelo!$H$36*AO41*AP41*Modelo!$I$75,1)</f>
        <v>0</v>
      </c>
      <c r="BH41" s="111">
        <f>Modelo!$H$43</f>
        <v>0.04</v>
      </c>
      <c r="BI41" s="111">
        <f>ROUNDUP(SUM(ROUNDUP(AI41*AK41+0.1,1),ROUNDUP(V41*Modelo!$H$29*AM41,1),ROUNDUP(W41*Modelo!$H$36*AO41,1))*AR41*AQ41*Modelo!$I$75,1)</f>
        <v>0</v>
      </c>
      <c r="BJ41" s="228">
        <f t="shared" ref="BJ41:BJ48" si="19">IF(K$31="x",0, BI41*0.1*1.25)</f>
        <v>0</v>
      </c>
      <c r="BK41" s="228">
        <f t="shared" ref="BK41:BK48" si="20">IF(Q41="x",(BI41)*0.1,0)</f>
        <v>0</v>
      </c>
      <c r="BL41" s="228">
        <f t="shared" ref="BL41:BL48" si="21">IF(R41="x",(BI41)*0.12,0)</f>
        <v>0</v>
      </c>
      <c r="BM41" s="228">
        <f t="shared" ref="BM41:BM48" si="22">IF(S41="x",(BI41)*0.12,0)*4</f>
        <v>0</v>
      </c>
      <c r="BN41" s="111">
        <f>ROUNDUP(SUM(ROUNDUP(AI41*AK41+0.1,1),ROUNDUP(V41*Modelo!$H$29*AM41,1),ROUNDUP(W41*Modelo!$H$36*AO41,1))*AQ41*AS41*Modelo!$H$57,1)</f>
        <v>0</v>
      </c>
      <c r="BO41" s="228">
        <f t="shared" ref="BO41:BO48" si="23">BI41*0.1
+IF(K$15="x",0,BI41*0.05)
+IF(K$27="x",0,BI41*0.2)
+IF(K$28="x",0,BI41*0.5)
+IF(OR(K$29="x",K$30="x"),0,BI41*0.05)
+IF(K$31="x",0,BI41*0.3)
+IF(Q41="x",0,BI41*0.5)
+IF(OR(R41="x",S41="x"),0,BI41*0.15)</f>
        <v>0</v>
      </c>
      <c r="BP41" s="111">
        <f>Modelo!$H$61</f>
        <v>0.04</v>
      </c>
      <c r="BQ41" s="111">
        <f>ROUNDUP(SUM(ROUNDUP(AI41*AK41+0.1,1),ROUNDUP(V41*Modelo!$H$29*AM41,1),ROUNDUP(W41*Modelo!$H$36*AO41,1))*Modelo!$H$62*Modelo!$I$75,1)</f>
        <v>0.1</v>
      </c>
      <c r="BR41" s="111">
        <f>ROUNDUP(ROUNDUP(SUM(ROUNDUP(AI41*AK41+0.1,1),ROUNDUP(V41*Modelo!$H$29*AM41,1),ROUNDUP(W41*Modelo!$H$36*AO41,1))*Modelo!$H$62,1)*Modelo!$H$63*Modelo!$I$75,1)</f>
        <v>0.1</v>
      </c>
      <c r="BS41" s="111">
        <f>SUM(ROUNDUP(AI41*AK41+0.1,1),ROUNDUP(V41*Modelo!$H$29*AM41,1),ROUNDUP(W41*Modelo!$H$36*AO41,1))*Modelo!$H$64*Modelo!$I$75</f>
        <v>8.0000000000000016E-2</v>
      </c>
      <c r="BT41" s="111">
        <f>ROUNDUP(SUM(ROUNDUP(AI41*AK41+0.1,1),ROUNDUP(V41*Modelo!$H$29*AM41,1),ROUNDUP(W41*Modelo!$H$36*AO41,1))*Modelo!$H$64*Modelo!$H$65*Modelo!$I$75,1)</f>
        <v>0.1</v>
      </c>
      <c r="BU41" s="111">
        <f>Modelo!$H$66</f>
        <v>0.04</v>
      </c>
      <c r="BV41" s="111">
        <f>ROUNDUP(SUM(ROUNDUP(AI41*AK41+0.1,1),ROUNDUP(V41*Modelo!$H$29*AM41,1),ROUNDUP(W41*Modelo!$H$36*AO41,1))*Modelo!$H$69,1)</f>
        <v>0.1</v>
      </c>
      <c r="BW41" s="111">
        <f>ROUNDUP(ROUNDUP(SUM(ROUNDUP(AI41*AK41+0.1,1),ROUNDUP(V41*Modelo!$H$29*AM41,1),ROUNDUP(W41*Modelo!$H$36*AO41,1))*Modelo!$H$62,1)*Modelo!$H$71,1)</f>
        <v>0.2</v>
      </c>
      <c r="BX41" s="109">
        <f>SUM(AU41:BW41)</f>
        <v>1.6130000000000004</v>
      </c>
      <c r="CB41" s="236"/>
      <c r="CF41" s="236"/>
    </row>
    <row r="42" spans="3:84" s="426" customFormat="1" ht="21" thickBot="1" x14ac:dyDescent="0.35">
      <c r="C42" s="448"/>
      <c r="D42" s="448" t="s">
        <v>17</v>
      </c>
      <c r="E42" s="448"/>
      <c r="F42" s="448"/>
      <c r="G42" s="448"/>
      <c r="H42" s="448"/>
      <c r="I42" s="448"/>
      <c r="J42" s="449"/>
      <c r="K42" s="450"/>
      <c r="L42" s="453" t="s">
        <v>611</v>
      </c>
      <c r="M42" s="451"/>
      <c r="N42" s="451"/>
      <c r="O42" s="452"/>
      <c r="Q42" s="408"/>
      <c r="R42" s="408"/>
      <c r="S42" s="408"/>
      <c r="T42" s="425"/>
      <c r="U42" s="441"/>
      <c r="V42" s="441"/>
      <c r="W42" s="441"/>
      <c r="X42" s="438"/>
      <c r="Y42" s="428"/>
      <c r="Z42" s="428"/>
      <c r="AA42" s="428"/>
      <c r="AB42" s="428"/>
      <c r="AC42" s="428"/>
      <c r="AD42" s="428"/>
      <c r="AE42" s="428"/>
      <c r="AF42" s="428"/>
      <c r="AG42" s="428"/>
      <c r="AH42" s="427"/>
      <c r="AI42" s="429"/>
      <c r="AJ42" s="429"/>
      <c r="AK42" s="429"/>
      <c r="AL42" s="429"/>
      <c r="AM42" s="429"/>
      <c r="AN42" s="429"/>
      <c r="AO42" s="429"/>
      <c r="AP42" s="429"/>
      <c r="AQ42" s="428"/>
      <c r="AR42" s="429"/>
      <c r="AS42" s="429"/>
      <c r="AT42" s="427"/>
      <c r="AU42" s="431"/>
      <c r="AV42" s="432"/>
      <c r="AW42" s="433"/>
      <c r="AX42" s="431"/>
      <c r="AY42" s="431"/>
      <c r="AZ42" s="431"/>
      <c r="BA42" s="431"/>
      <c r="BB42" s="431"/>
      <c r="BC42" s="431"/>
      <c r="BD42" s="431"/>
      <c r="BE42" s="431"/>
      <c r="BF42" s="431"/>
      <c r="BG42" s="431"/>
      <c r="BH42" s="431"/>
      <c r="BI42" s="431"/>
      <c r="BJ42" s="431"/>
      <c r="BK42" s="431"/>
      <c r="BL42" s="431"/>
      <c r="BM42" s="431"/>
      <c r="BN42" s="431"/>
      <c r="BO42" s="431"/>
      <c r="BP42" s="431"/>
      <c r="BQ42" s="431"/>
      <c r="BR42" s="431"/>
      <c r="BS42" s="431"/>
      <c r="BT42" s="431"/>
      <c r="BU42" s="431"/>
      <c r="BV42" s="431"/>
      <c r="BW42" s="431"/>
      <c r="BX42" s="430"/>
      <c r="CA42" s="425"/>
      <c r="CD42" s="420"/>
    </row>
    <row r="43" spans="3:84" s="236" customFormat="1" ht="51.75" thickBot="1" x14ac:dyDescent="0.25">
      <c r="C43" s="454" t="s">
        <v>100</v>
      </c>
      <c r="D43" s="169" t="s">
        <v>18</v>
      </c>
      <c r="E43" s="169" t="str">
        <f t="shared" ref="E43:E49" si="24">IF(U43&gt;50,"A",IF(U43&gt;15,"M","B"))</f>
        <v>M</v>
      </c>
      <c r="F43" s="169" t="s">
        <v>459</v>
      </c>
      <c r="G43" s="169" t="s">
        <v>459</v>
      </c>
      <c r="H43" s="169" t="str">
        <f t="shared" ref="H43:H49" si="25">IF(V43+W43&gt;20,"A",IF(V43+W43&gt;5,"M","B"))</f>
        <v>B</v>
      </c>
      <c r="I43" s="169" t="str">
        <f t="shared" ref="I43:I49" si="26">IF(V43+W43&gt;15,"A",IF(V43+W43&gt;4,"M","B"))</f>
        <v>B</v>
      </c>
      <c r="J43" s="225">
        <f t="shared" ref="J43:J49" si="27">V43+W43</f>
        <v>3</v>
      </c>
      <c r="K43" s="183" t="str">
        <f t="shared" ref="K43:K49" si="28">Y43</f>
        <v>Mediana 1</v>
      </c>
      <c r="L43" s="446" t="s">
        <v>614</v>
      </c>
      <c r="M43" s="162">
        <f t="shared" ref="M43:M88" si="29">BI43+BJ43+BK43+BL43+BM43</f>
        <v>6.1</v>
      </c>
      <c r="N43" s="162">
        <f t="shared" ref="N43:N49" si="30">BN43</f>
        <v>2.5</v>
      </c>
      <c r="O43" s="349">
        <f>SUM(M43,N43)</f>
        <v>8.6</v>
      </c>
      <c r="Q43" s="408"/>
      <c r="R43" s="408"/>
      <c r="S43" s="408"/>
      <c r="T43" s="31"/>
      <c r="U43" s="441">
        <v>25</v>
      </c>
      <c r="V43" s="441">
        <v>3</v>
      </c>
      <c r="W43" s="441">
        <v>0</v>
      </c>
      <c r="X43" s="308"/>
      <c r="Y43" s="231" t="str">
        <f t="shared" ref="Y43:Y49" si="31">IF(AND(U43&gt;=0,U43&lt;=6),"Chica 1",IF(AND(U43&gt;=7,U43&lt;=12),"Chica 2",IF(AND(U43&gt;=13,U43&lt;=18),"Chica 3",IF(AND(U43&gt;=19,U43&lt;=24),"Chica 4",IF(AND(U43&gt;=25,U43&lt;=30),"Mediana 1",IF(AND(U43&gt;=31,U43&lt;=36),"Mediana 2",IF(AND(U43&gt;=37,U43&lt;=42),"Mediana 3",IF(AND(U43&gt;=43,U43&lt;=48),"Mediana 4",IF(AND(U43&gt;=49,U43&lt;=54),"Grande 1",IF(AND(U43&gt;=55,U43&lt;=60),"Grande 2",IF(AND(U43&gt;=61,U43&lt;=66),"Grande 3",IF(AND(U43&gt;=67,U43&lt;=72),"Grande 4",IF(AND(U43&gt;=73,U43&lt;=78),"M. grande 1",IF(AND(U43&gt;=79,U43&lt;=84),"M. grande 2",IF(AND(U43&gt;=85,U43&lt;=90),"M. grande 3",IF(AND(U43&gt;=91,U43&lt;=96),"M. grande 4","NO DEF"))))))))))))))))</f>
        <v>Mediana 1</v>
      </c>
      <c r="Z43" s="231" t="str">
        <f t="shared" ref="Z43:Z49" si="32">IF(E43="A","Alta",IF(E43="M","Media","Baja"))</f>
        <v>Media</v>
      </c>
      <c r="AA43" s="231" t="str">
        <f t="shared" ref="AA43:AA49" si="33">IF(E43="A","Alta",IF(E43="M","Media","Baja"))</f>
        <v>Media</v>
      </c>
      <c r="AB43" s="231" t="str">
        <f t="shared" ref="AB43:AB49" si="34">IF(F43="A","Alta",IF(F43="M","Media","Baja"))</f>
        <v>Baja</v>
      </c>
      <c r="AC43" s="231" t="str">
        <f t="shared" ref="AC43:AC49" si="35">IF(F43="A","Alta",IF(F43="M","Media","Baja"))</f>
        <v>Baja</v>
      </c>
      <c r="AD43" s="231" t="str">
        <f t="shared" ref="AD43:AD49" si="36">IF(G43="A","Alta",IF(G43="M","Media","Baja"))</f>
        <v>Baja</v>
      </c>
      <c r="AE43" s="231" t="str">
        <f t="shared" ref="AE43:AE49" si="37">IF(G43="A","Alta",IF(G43="M","Media","Baja"))</f>
        <v>Baja</v>
      </c>
      <c r="AF43" s="231" t="str">
        <f t="shared" ref="AF43:AF49" si="38">IF(H43="A","Alta",IF(H43="M","Media","Baja"))</f>
        <v>Baja</v>
      </c>
      <c r="AG43" s="231" t="str">
        <f t="shared" ref="AG43:AG49" si="39">IF(I43="A","Alta",IF(I43="M","Media","Baja"))</f>
        <v>Baja</v>
      </c>
      <c r="AH43" s="233"/>
      <c r="AI43" s="232">
        <f>IF(Y43=Modelo!$F$7,Modelo!$H$7,IF(Y43=Modelo!$F$8,Modelo!$H$8,IF(Y43=Modelo!$F$9,Modelo!$H$9,IF(Y43=Modelo!$F$10,Modelo!$H$10,IF(Y43=Modelo!$F$11,Modelo!$H$11,IF(Y43=Modelo!$F$12,Modelo!$H$12,IF(Y43=Modelo!$F$13,Modelo!$H$13,IF(Y43=Modelo!$F$14,Modelo!$H$14,IF(Y43=Modelo!$F$15,Modelo!$H$15,IF(Y43=Modelo!$F$16,Modelo!$H$16,IF(Y43=Modelo!$F$17,Modelo!$H$17,IF(Y43=Modelo!$F$18,Modelo!$H$18,IF(Y43=Modelo!$F$19,Modelo!$H$19,IF(Y43=Modelo!$F$20,Modelo!$H$20,IF(Y43=Modelo!$F$21,Modelo!$H$21,IF(Y43=Modelo!$F$22,Modelo!$H$22,0))))))))))))))))</f>
        <v>1.5</v>
      </c>
      <c r="AJ43" s="232">
        <f>IF(Y43=Modelo!$F$7,Modelo!$I$7,IF(Y43=Modelo!$F$8,Modelo!$I$8,IF(Y43=Modelo!$F$9,Modelo!$I$9,IF(Y43=Modelo!$F$10,Modelo!$I$10,IF(Y43=Modelo!$F$11,Modelo!$I$11,IF(Y43=Modelo!$F$12,Modelo!$I$12,IF(Y43=Modelo!$F$13,Modelo!$I$13,IF(Y43=Modelo!$F$14,Modelo!$I$14,IF(Y43=Modelo!$F$15,Modelo!$I$15,IF(Y43=Modelo!$F$16,Modelo!$I$16,IF(Y43=Modelo!$F$17,Modelo!$I$17,IF(Y43=Modelo!$F$18,Modelo!$I$18,IF(Y43=Modelo!$F$19,Modelo!$I$19,IF(Y43=Modelo!$F$20,Modelo!$I$20,IF(Y43=Modelo!$F$21,Modelo!$I$21,IF(Y43=Modelo!$F$22,Modelo!$I$22,0))))))))))))))))</f>
        <v>0.5</v>
      </c>
      <c r="AK43" s="232">
        <f>IF(Z43=Modelo!$F$23,Modelo!$H$23,IF(Z43=Modelo!$F$24,Modelo!$H$24,IF(Z43=Modelo!$F$25,Modelo!$H$25,0)))</f>
        <v>1.2</v>
      </c>
      <c r="AL43" s="232">
        <f>IF(AA43=Modelo!$F$26,Modelo!$H$26,IF(AA43=Modelo!$F$27,Modelo!$H$27,IF(AA43=Modelo!$F$28,Modelo!$H$28,0)))</f>
        <v>0.2</v>
      </c>
      <c r="AM43" s="232">
        <f>IF(AB43=Modelo!$F$30,Modelo!$H$30,IF(AB43=Modelo!$F$31,Modelo!$H$31,IF(AB43=Modelo!$F$32,Modelo!$H$32,0)))</f>
        <v>0.8</v>
      </c>
      <c r="AN43" s="232">
        <f>IF(AC43=Modelo!$F$33,Modelo!$H$33,IF(AC43=Modelo!$F$34,Modelo!$H$34,IF(AC43=Modelo!$F$35,Modelo!$H$35,0)))</f>
        <v>0.3</v>
      </c>
      <c r="AO43" s="232">
        <f>IF(AD43=Modelo!$F$37,Modelo!$H$37,IF(AD43=Modelo!$F$38,Modelo!$H$38,IF(AD43=Modelo!$F$39,Modelo!$H$39,0)))</f>
        <v>0.8</v>
      </c>
      <c r="AP43" s="232">
        <f>IF(AE43=Modelo!$F$40,Modelo!$H$40,IF(AE43=Modelo!$F$41,Modelo!$H$41,IF(AE43=Modelo!$F$42,Modelo!$H$42,0)))</f>
        <v>0.4</v>
      </c>
      <c r="AQ43" s="231">
        <f>IF(C43=Modelo!$F$44,Modelo!$H$44,IF(C43=Modelo!$F$45,Modelo!$H$45,IF(C43=Modelo!$F$46,Modelo!$H$46,IF(C43=Modelo!$F$47,Modelo!$H$47,IF(C43=Modelo!$F$48,Modelo!$H$48,IF(C43=Modelo!$F$49,Modelo!$H$49,IF(C43=Modelo!$F$50,Modelo!$H$50,IF(C43=Modelo!$F$51,Modelo!$H$51,IF(C43=Modelo!$F$52,Modelo!$H$52,IF(C43=Modelo!$F$53,Modelo!$H$53,0))))))))))</f>
        <v>1.4</v>
      </c>
      <c r="AR43" s="232">
        <f>IF(AF43=Modelo!$F$54,Modelo!$H$54,IF(AF43=Modelo!$F$55,Modelo!$H$55,IF(AF43=Modelo!$F$56,Modelo!$H$56,0)))</f>
        <v>1</v>
      </c>
      <c r="AS43" s="232">
        <f>IF(AG43=Modelo!$F$58,Modelo!$H$58,IF(AG43=Modelo!$F$59,Modelo!$H$59,IF(AG43=Modelo!$F$60,Modelo!$H$60,0)))</f>
        <v>0.9</v>
      </c>
      <c r="AT43" s="233"/>
      <c r="AU43" s="228">
        <f>Modelo!$H$2</f>
        <v>0.05</v>
      </c>
      <c r="AV43" s="229">
        <f>ROUNDUP(Modelo!$I$2*Modelo!$H$3*Modelo!$I$75,2)</f>
        <v>0.02</v>
      </c>
      <c r="AW43" s="230">
        <f>ROUNDUP(Modelo!$I$2*Modelo!$H$3*Modelo!$H$4*Modelo!$I$75,3)</f>
        <v>3.0000000000000001E-3</v>
      </c>
      <c r="AX43" s="228">
        <f>Modelo!$H$5</f>
        <v>0.04</v>
      </c>
      <c r="AY43" s="228">
        <f>ROUNDUP(SUM(AZ43,BB43,BD43,BF43)*Modelo!$H$6,1)</f>
        <v>1.5</v>
      </c>
      <c r="AZ43" s="228">
        <f>ROUNDUP((AI43*AK43+0.1)*Modelo!$I$75,1)</f>
        <v>1.9</v>
      </c>
      <c r="BA43" s="228">
        <f>ROUNDUP(AJ43*AK43*AL43*Modelo!$I$75,1)</f>
        <v>0.2</v>
      </c>
      <c r="BB43" s="228">
        <f>ROUNDUP(V43*Modelo!$H$29*AM43*Modelo!$I$75*2/3,1)</f>
        <v>1.6</v>
      </c>
      <c r="BC43" s="228">
        <f>ROUNDUP(V43*Modelo!$H$29*AM43*AN43*Modelo!$I$75*2/3,1)</f>
        <v>0.5</v>
      </c>
      <c r="BD43" s="228">
        <f>ROUNDUP(V43*Modelo!$H$29*AM43*Modelo!$I$75/3,1)</f>
        <v>0.8</v>
      </c>
      <c r="BE43" s="228">
        <f>ROUNDUP(V43*Modelo!$H$29*AM43*AN43*Modelo!$I$75/3,1)</f>
        <v>0.30000000000000004</v>
      </c>
      <c r="BF43" s="228">
        <f>ROUNDUP(W43*Modelo!$H$36*AO43*Modelo!$I$75,1)</f>
        <v>0</v>
      </c>
      <c r="BG43" s="228">
        <f>ROUNDUP(W43*Modelo!$H$36*AO43*AP43*Modelo!$I$75,1)</f>
        <v>0</v>
      </c>
      <c r="BH43" s="228">
        <f>Modelo!$H$43</f>
        <v>0.04</v>
      </c>
      <c r="BI43" s="228">
        <f>ROUNDUP(SUM(ROUNDUP(AI43*AK43+0.1,1),ROUNDUP(V43*Modelo!$H$29*AM43,1),ROUNDUP(W43*Modelo!$H$36*AO43,1))*AR43*AQ43*Modelo!$I$75,1)</f>
        <v>6.1</v>
      </c>
      <c r="BJ43" s="228">
        <f t="shared" si="19"/>
        <v>0</v>
      </c>
      <c r="BK43" s="228">
        <f t="shared" si="20"/>
        <v>0</v>
      </c>
      <c r="BL43" s="228">
        <f t="shared" si="21"/>
        <v>0</v>
      </c>
      <c r="BM43" s="228">
        <f t="shared" si="22"/>
        <v>0</v>
      </c>
      <c r="BN43" s="228">
        <f>ROUNDUP(SUM(ROUNDUP(AI43*AK43+0.1,1),ROUNDUP(V43*Modelo!$H$29*AM43,1),ROUNDUP(W43*Modelo!$H$36*AO43,1))*AQ43*AS43*Modelo!$H$57,1)</f>
        <v>2.5</v>
      </c>
      <c r="BO43" s="228">
        <f t="shared" si="23"/>
        <v>5.7949999999999999</v>
      </c>
      <c r="BP43" s="228">
        <f>Modelo!$H$61</f>
        <v>0.04</v>
      </c>
      <c r="BQ43" s="228">
        <f>ROUNDUP(SUM(ROUNDUP(AI43*AK43+0.1,1),ROUNDUP(V43*Modelo!$H$29*AM43,1),ROUNDUP(W43*Modelo!$H$36*AO43,1))*Modelo!$H$62*Modelo!$I$75,1)</f>
        <v>0.30000000000000004</v>
      </c>
      <c r="BR43" s="228">
        <f>ROUNDUP(ROUNDUP(SUM(ROUNDUP(AI43*AK43+0.1,1),ROUNDUP(V43*Modelo!$H$29*AM43,1),ROUNDUP(W43*Modelo!$H$36*AO43,1))*Modelo!$H$62,1)*Modelo!$H$63*Modelo!$I$75,1)</f>
        <v>0.1</v>
      </c>
      <c r="BS43" s="228">
        <f>SUM(ROUNDUP(AI43*AK43+0.1,1),ROUNDUP(V43*Modelo!$H$29*AM43,1),ROUNDUP(W43*Modelo!$H$36*AO43,1))*Modelo!$H$64*Modelo!$I$75</f>
        <v>0.86</v>
      </c>
      <c r="BT43" s="228">
        <f>ROUNDUP(SUM(ROUNDUP(AI43*AK43+0.1,1),ROUNDUP(V43*Modelo!$H$29*AM43,1),ROUNDUP(W43*Modelo!$H$36*AO43,1))*Modelo!$H$64*Modelo!$H$65*Modelo!$I$75,1)</f>
        <v>0.5</v>
      </c>
      <c r="BU43" s="228">
        <f>Modelo!$H$66</f>
        <v>0.04</v>
      </c>
      <c r="BV43" s="228">
        <f>ROUNDUP(SUM(ROUNDUP(AI43*AK43+0.1,1),ROUNDUP(V43*Modelo!$H$29*AM43,1),ROUNDUP(W43*Modelo!$H$36*AO43,1))*Modelo!$H$69,1)</f>
        <v>1</v>
      </c>
      <c r="BW43" s="228">
        <f>ROUNDUP(ROUNDUP(SUM(ROUNDUP(AI43*AK43+0.1,1),ROUNDUP(V43*Modelo!$H$29*AM43,1),ROUNDUP(W43*Modelo!$H$36*AO43,1))*Modelo!$H$62,1)*Modelo!$H$71,1)</f>
        <v>0.6</v>
      </c>
      <c r="BX43" s="227">
        <f t="shared" ref="BX43:BX49" si="40">SUM(AU43:BW43)</f>
        <v>24.788</v>
      </c>
      <c r="BZ43" s="236">
        <f t="shared" ref="BZ43:BZ93" si="41">CA43*0.85</f>
        <v>7.31</v>
      </c>
      <c r="CA43" s="31">
        <f t="shared" ref="CA43:CA92" si="42">O43</f>
        <v>8.6</v>
      </c>
      <c r="CB43" s="236">
        <f t="shared" si="2"/>
        <v>12.04</v>
      </c>
      <c r="CD43" s="420">
        <v>0</v>
      </c>
      <c r="CF43" s="236">
        <f t="shared" si="3"/>
        <v>0</v>
      </c>
    </row>
    <row r="44" spans="3:84" s="236" customFormat="1" ht="44.25" customHeight="1" thickBot="1" x14ac:dyDescent="0.25">
      <c r="C44" s="454" t="s">
        <v>100</v>
      </c>
      <c r="D44" s="169" t="s">
        <v>18</v>
      </c>
      <c r="E44" s="169" t="str">
        <f t="shared" ref="E44" si="43">IF(U44&gt;50,"A",IF(U44&gt;15,"M","B"))</f>
        <v>B</v>
      </c>
      <c r="F44" s="169" t="s">
        <v>459</v>
      </c>
      <c r="G44" s="169" t="s">
        <v>459</v>
      </c>
      <c r="H44" s="169" t="str">
        <f t="shared" ref="H44" si="44">IF(V44+W44&gt;20,"A",IF(V44+W44&gt;5,"M","B"))</f>
        <v>B</v>
      </c>
      <c r="I44" s="169" t="str">
        <f t="shared" ref="I44" si="45">IF(V44+W44&gt;15,"A",IF(V44+W44&gt;4,"M","B"))</f>
        <v>B</v>
      </c>
      <c r="J44" s="225">
        <f t="shared" ref="J44" si="46">V44+W44</f>
        <v>1</v>
      </c>
      <c r="K44" s="183" t="str">
        <f t="shared" ref="K44" si="47">Y44</f>
        <v>Chica 1</v>
      </c>
      <c r="L44" s="446" t="s">
        <v>608</v>
      </c>
      <c r="M44" s="162">
        <f t="shared" si="29"/>
        <v>1.7000000000000002</v>
      </c>
      <c r="N44" s="162">
        <f t="shared" ref="N44" si="48">BN44</f>
        <v>0.7</v>
      </c>
      <c r="O44" s="349">
        <f t="shared" ref="O44" si="49">SUM(M44,N44)</f>
        <v>2.4000000000000004</v>
      </c>
      <c r="Q44" s="408"/>
      <c r="R44" s="408"/>
      <c r="S44" s="408"/>
      <c r="T44" s="31"/>
      <c r="U44" s="441">
        <v>6</v>
      </c>
      <c r="V44" s="441">
        <v>1</v>
      </c>
      <c r="W44" s="441">
        <v>0</v>
      </c>
      <c r="X44" s="308"/>
      <c r="Y44" s="231" t="str">
        <f t="shared" ref="Y44" si="50">IF(AND(U44&gt;=0,U44&lt;=6),"Chica 1",IF(AND(U44&gt;=7,U44&lt;=12),"Chica 2",IF(AND(U44&gt;=13,U44&lt;=18),"Chica 3",IF(AND(U44&gt;=19,U44&lt;=24),"Chica 4",IF(AND(U44&gt;=25,U44&lt;=30),"Mediana 1",IF(AND(U44&gt;=31,U44&lt;=36),"Mediana 2",IF(AND(U44&gt;=37,U44&lt;=42),"Mediana 3",IF(AND(U44&gt;=43,U44&lt;=48),"Mediana 4",IF(AND(U44&gt;=49,U44&lt;=54),"Grande 1",IF(AND(U44&gt;=55,U44&lt;=60),"Grande 2",IF(AND(U44&gt;=61,U44&lt;=66),"Grande 3",IF(AND(U44&gt;=67,U44&lt;=72),"Grande 4",IF(AND(U44&gt;=73,U44&lt;=78),"M. grande 1",IF(AND(U44&gt;=79,U44&lt;=84),"M. grande 2",IF(AND(U44&gt;=85,U44&lt;=90),"M. grande 3",IF(AND(U44&gt;=91,U44&lt;=96),"M. grande 4","NO DEF"))))))))))))))))</f>
        <v>Chica 1</v>
      </c>
      <c r="Z44" s="231" t="str">
        <f t="shared" ref="Z44" si="51">IF(E44="A","Alta",IF(E44="M","Media","Baja"))</f>
        <v>Baja</v>
      </c>
      <c r="AA44" s="231" t="str">
        <f t="shared" ref="AA44" si="52">IF(E44="A","Alta",IF(E44="M","Media","Baja"))</f>
        <v>Baja</v>
      </c>
      <c r="AB44" s="231" t="str">
        <f t="shared" ref="AB44" si="53">IF(F44="A","Alta",IF(F44="M","Media","Baja"))</f>
        <v>Baja</v>
      </c>
      <c r="AC44" s="231" t="str">
        <f t="shared" ref="AC44" si="54">IF(F44="A","Alta",IF(F44="M","Media","Baja"))</f>
        <v>Baja</v>
      </c>
      <c r="AD44" s="231" t="str">
        <f t="shared" ref="AD44" si="55">IF(G44="A","Alta",IF(G44="M","Media","Baja"))</f>
        <v>Baja</v>
      </c>
      <c r="AE44" s="231" t="str">
        <f t="shared" ref="AE44" si="56">IF(G44="A","Alta",IF(G44="M","Media","Baja"))</f>
        <v>Baja</v>
      </c>
      <c r="AF44" s="231" t="str">
        <f t="shared" ref="AF44" si="57">IF(H44="A","Alta",IF(H44="M","Media","Baja"))</f>
        <v>Baja</v>
      </c>
      <c r="AG44" s="231" t="str">
        <f t="shared" ref="AG44" si="58">IF(I44="A","Alta",IF(I44="M","Media","Baja"))</f>
        <v>Baja</v>
      </c>
      <c r="AH44" s="233"/>
      <c r="AI44" s="232">
        <f>IF(Y44=Modelo!$F$7,Modelo!$H$7,IF(Y44=Modelo!$F$8,Modelo!$H$8,IF(Y44=Modelo!$F$9,Modelo!$H$9,IF(Y44=Modelo!$F$10,Modelo!$H$10,IF(Y44=Modelo!$F$11,Modelo!$H$11,IF(Y44=Modelo!$F$12,Modelo!$H$12,IF(Y44=Modelo!$F$13,Modelo!$H$13,IF(Y44=Modelo!$F$14,Modelo!$H$14,IF(Y44=Modelo!$F$15,Modelo!$H$15,IF(Y44=Modelo!$F$16,Modelo!$H$16,IF(Y44=Modelo!$F$17,Modelo!$H$17,IF(Y44=Modelo!$F$18,Modelo!$H$18,IF(Y44=Modelo!$F$19,Modelo!$H$19,IF(Y44=Modelo!$F$20,Modelo!$H$20,IF(Y44=Modelo!$F$21,Modelo!$H$21,IF(Y44=Modelo!$F$22,Modelo!$H$22,0))))))))))))))))</f>
        <v>0.30000000000000004</v>
      </c>
      <c r="AJ44" s="232">
        <f>IF(Y44=Modelo!$F$7,Modelo!$I$7,IF(Y44=Modelo!$F$8,Modelo!$I$8,IF(Y44=Modelo!$F$9,Modelo!$I$9,IF(Y44=Modelo!$F$10,Modelo!$I$10,IF(Y44=Modelo!$F$11,Modelo!$I$11,IF(Y44=Modelo!$F$12,Modelo!$I$12,IF(Y44=Modelo!$F$13,Modelo!$I$13,IF(Y44=Modelo!$F$14,Modelo!$I$14,IF(Y44=Modelo!$F$15,Modelo!$I$15,IF(Y44=Modelo!$F$16,Modelo!$I$16,IF(Y44=Modelo!$F$17,Modelo!$I$17,IF(Y44=Modelo!$F$18,Modelo!$I$18,IF(Y44=Modelo!$F$19,Modelo!$I$19,IF(Y44=Modelo!$F$20,Modelo!$I$20,IF(Y44=Modelo!$F$21,Modelo!$I$21,IF(Y44=Modelo!$F$22,Modelo!$I$22,0))))))))))))))))</f>
        <v>0.1</v>
      </c>
      <c r="AK44" s="232">
        <f>IF(Z44=Modelo!$F$23,Modelo!$H$23,IF(Z44=Modelo!$F$24,Modelo!$H$24,IF(Z44=Modelo!$F$25,Modelo!$H$25,0)))</f>
        <v>1</v>
      </c>
      <c r="AL44" s="232">
        <f>IF(AA44=Modelo!$F$26,Modelo!$H$26,IF(AA44=Modelo!$F$27,Modelo!$H$27,IF(AA44=Modelo!$F$28,Modelo!$H$28,0)))</f>
        <v>0.1</v>
      </c>
      <c r="AM44" s="232">
        <f>IF(AB44=Modelo!$F$30,Modelo!$H$30,IF(AB44=Modelo!$F$31,Modelo!$H$31,IF(AB44=Modelo!$F$32,Modelo!$H$32,0)))</f>
        <v>0.8</v>
      </c>
      <c r="AN44" s="232">
        <f>IF(AC44=Modelo!$F$33,Modelo!$H$33,IF(AC44=Modelo!$F$34,Modelo!$H$34,IF(AC44=Modelo!$F$35,Modelo!$H$35,0)))</f>
        <v>0.3</v>
      </c>
      <c r="AO44" s="232">
        <f>IF(AD44=Modelo!$F$37,Modelo!$H$37,IF(AD44=Modelo!$F$38,Modelo!$H$38,IF(AD44=Modelo!$F$39,Modelo!$H$39,0)))</f>
        <v>0.8</v>
      </c>
      <c r="AP44" s="232">
        <f>IF(AE44=Modelo!$F$40,Modelo!$H$40,IF(AE44=Modelo!$F$41,Modelo!$H$41,IF(AE44=Modelo!$F$42,Modelo!$H$42,0)))</f>
        <v>0.4</v>
      </c>
      <c r="AQ44" s="231">
        <f>IF(C44=Modelo!$F$44,Modelo!$H$44,IF(C44=Modelo!$F$45,Modelo!$H$45,IF(C44=Modelo!$F$46,Modelo!$H$46,IF(C44=Modelo!$F$47,Modelo!$H$47,IF(C44=Modelo!$F$48,Modelo!$H$48,IF(C44=Modelo!$F$49,Modelo!$H$49,IF(C44=Modelo!$F$50,Modelo!$H$50,IF(C44=Modelo!$F$51,Modelo!$H$51,IF(C44=Modelo!$F$52,Modelo!$H$52,IF(C44=Modelo!$F$53,Modelo!$H$53,0))))))))))</f>
        <v>1.4</v>
      </c>
      <c r="AR44" s="232">
        <f>IF(AF44=Modelo!$F$54,Modelo!$H$54,IF(AF44=Modelo!$F$55,Modelo!$H$55,IF(AF44=Modelo!$F$56,Modelo!$H$56,0)))</f>
        <v>1</v>
      </c>
      <c r="AS44" s="232">
        <f>IF(AG44=Modelo!$F$58,Modelo!$H$58,IF(AG44=Modelo!$F$59,Modelo!$H$59,IF(AG44=Modelo!$F$60,Modelo!$H$60,0)))</f>
        <v>0.9</v>
      </c>
      <c r="AT44" s="233"/>
      <c r="AU44" s="228">
        <f>Modelo!$H$2</f>
        <v>0.05</v>
      </c>
      <c r="AV44" s="229">
        <f>ROUNDUP(Modelo!$I$2*Modelo!$H$3*Modelo!$I$75,2)</f>
        <v>0.02</v>
      </c>
      <c r="AW44" s="230">
        <f>ROUNDUP(Modelo!$I$2*Modelo!$H$3*Modelo!$H$4*Modelo!$I$75,3)</f>
        <v>3.0000000000000001E-3</v>
      </c>
      <c r="AX44" s="228">
        <f>Modelo!$H$5</f>
        <v>0.04</v>
      </c>
      <c r="AY44" s="228">
        <f>ROUNDUP(SUM(AZ44,BB44,BD44,BF44)*Modelo!$H$6,1)</f>
        <v>0.5</v>
      </c>
      <c r="AZ44" s="228">
        <f>ROUNDUP((AI44*AK44+0.1)*Modelo!$I$75,1)</f>
        <v>0.4</v>
      </c>
      <c r="BA44" s="228">
        <f>ROUNDUP(AJ44*AK44*AL44*Modelo!$I$75,1)</f>
        <v>0.1</v>
      </c>
      <c r="BB44" s="228">
        <f>ROUNDUP(V44*Modelo!$H$29*AM44*Modelo!$I$75*2/3,1)</f>
        <v>0.6</v>
      </c>
      <c r="BC44" s="228">
        <f>ROUNDUP(V44*Modelo!$H$29*AM44*AN44*Modelo!$I$75*2/3,1)</f>
        <v>0.2</v>
      </c>
      <c r="BD44" s="228">
        <f>ROUNDUP(V44*Modelo!$H$29*AM44*Modelo!$I$75/3,1)</f>
        <v>0.30000000000000004</v>
      </c>
      <c r="BE44" s="228">
        <f>ROUNDUP(V44*Modelo!$H$29*AM44*AN44*Modelo!$I$75/3,1)</f>
        <v>0.1</v>
      </c>
      <c r="BF44" s="228">
        <f>ROUNDUP(W44*Modelo!$H$36*AO44*Modelo!$I$75,1)</f>
        <v>0</v>
      </c>
      <c r="BG44" s="228">
        <f>ROUNDUP(W44*Modelo!$H$36*AO44*AP44*Modelo!$I$75,1)</f>
        <v>0</v>
      </c>
      <c r="BH44" s="228">
        <f>Modelo!$H$43</f>
        <v>0.04</v>
      </c>
      <c r="BI44" s="228">
        <f>ROUNDUP(SUM(ROUNDUP(AI44*AK44+0.1,1),ROUNDUP(V44*Modelo!$H$29*AM44,1),ROUNDUP(W44*Modelo!$H$36*AO44,1))*AR44*AQ44*Modelo!$I$75,1)</f>
        <v>1.7000000000000002</v>
      </c>
      <c r="BJ44" s="228">
        <f t="shared" si="19"/>
        <v>0</v>
      </c>
      <c r="BK44" s="228">
        <f t="shared" si="20"/>
        <v>0</v>
      </c>
      <c r="BL44" s="228">
        <f t="shared" si="21"/>
        <v>0</v>
      </c>
      <c r="BM44" s="228">
        <f t="shared" si="22"/>
        <v>0</v>
      </c>
      <c r="BN44" s="228">
        <f>ROUNDUP(SUM(ROUNDUP(AI44*AK44+0.1,1),ROUNDUP(V44*Modelo!$H$29*AM44,1),ROUNDUP(W44*Modelo!$H$36*AO44,1))*AQ44*AS44*Modelo!$H$57,1)</f>
        <v>0.7</v>
      </c>
      <c r="BO44" s="228">
        <f t="shared" si="23"/>
        <v>1.6150000000000002</v>
      </c>
      <c r="BP44" s="228">
        <f>Modelo!$H$61</f>
        <v>0.04</v>
      </c>
      <c r="BQ44" s="228">
        <f>ROUNDUP(SUM(ROUNDUP(AI44*AK44+0.1,1),ROUNDUP(V44*Modelo!$H$29*AM44,1),ROUNDUP(W44*Modelo!$H$36*AO44,1))*Modelo!$H$62*Modelo!$I$75,1)</f>
        <v>0.1</v>
      </c>
      <c r="BR44" s="228">
        <f>ROUNDUP(ROUNDUP(SUM(ROUNDUP(AI44*AK44+0.1,1),ROUNDUP(V44*Modelo!$H$29*AM44,1),ROUNDUP(W44*Modelo!$H$36*AO44,1))*Modelo!$H$62,1)*Modelo!$H$63*Modelo!$I$75,1)</f>
        <v>0.1</v>
      </c>
      <c r="BS44" s="228">
        <f>SUM(ROUNDUP(AI44*AK44+0.1,1),ROUNDUP(V44*Modelo!$H$29*AM44,1),ROUNDUP(W44*Modelo!$H$36*AO44,1))*Modelo!$H$64*Modelo!$I$75</f>
        <v>0.24000000000000005</v>
      </c>
      <c r="BT44" s="228">
        <f>ROUNDUP(SUM(ROUNDUP(AI44*AK44+0.1,1),ROUNDUP(V44*Modelo!$H$29*AM44,1),ROUNDUP(W44*Modelo!$H$36*AO44,1))*Modelo!$H$64*Modelo!$H$65*Modelo!$I$75,1)</f>
        <v>0.2</v>
      </c>
      <c r="BU44" s="228">
        <f>Modelo!$H$66</f>
        <v>0.04</v>
      </c>
      <c r="BV44" s="228">
        <f>ROUNDUP(SUM(ROUNDUP(AI44*AK44+0.1,1),ROUNDUP(V44*Modelo!$H$29*AM44,1),ROUNDUP(W44*Modelo!$H$36*AO44,1))*Modelo!$H$69,1)</f>
        <v>0.30000000000000004</v>
      </c>
      <c r="BW44" s="228">
        <f>ROUNDUP(ROUNDUP(SUM(ROUNDUP(AI44*AK44+0.1,1),ROUNDUP(V44*Modelo!$H$29*AM44,1),ROUNDUP(W44*Modelo!$H$36*AO44,1))*Modelo!$H$62,1)*Modelo!$H$71,1)</f>
        <v>0.2</v>
      </c>
      <c r="BX44" s="227">
        <f t="shared" ref="BX44" si="59">SUM(AU44:BW44)</f>
        <v>7.588000000000001</v>
      </c>
      <c r="BZ44" s="236">
        <f t="shared" si="41"/>
        <v>2.04</v>
      </c>
      <c r="CA44" s="31">
        <f t="shared" si="42"/>
        <v>2.4000000000000004</v>
      </c>
      <c r="CB44" s="236">
        <f t="shared" si="2"/>
        <v>3.3600000000000003</v>
      </c>
      <c r="CD44" s="420">
        <v>0</v>
      </c>
      <c r="CF44" s="236">
        <f t="shared" si="3"/>
        <v>0</v>
      </c>
    </row>
    <row r="45" spans="3:84" s="426" customFormat="1" ht="39" thickBot="1" x14ac:dyDescent="0.25">
      <c r="C45" s="454" t="s">
        <v>100</v>
      </c>
      <c r="D45" s="440" t="s">
        <v>18</v>
      </c>
      <c r="E45" s="440" t="str">
        <f t="shared" ref="E45" si="60">IF(U45&gt;50,"A",IF(U45&gt;15,"M","B"))</f>
        <v>B</v>
      </c>
      <c r="F45" s="440" t="s">
        <v>459</v>
      </c>
      <c r="G45" s="440" t="s">
        <v>459</v>
      </c>
      <c r="H45" s="440" t="str">
        <f t="shared" ref="H45" si="61">IF(V45+W45&gt;20,"A",IF(V45+W45&gt;5,"M","B"))</f>
        <v>B</v>
      </c>
      <c r="I45" s="440" t="str">
        <f t="shared" ref="I45" si="62">IF(V45+W45&gt;15,"A",IF(V45+W45&gt;4,"M","B"))</f>
        <v>B</v>
      </c>
      <c r="J45" s="437">
        <f t="shared" ref="J45" si="63">V45+W45</f>
        <v>1</v>
      </c>
      <c r="K45" s="436" t="str">
        <f t="shared" ref="K45" si="64">Y45</f>
        <v>Chica 2</v>
      </c>
      <c r="L45" s="445" t="s">
        <v>615</v>
      </c>
      <c r="M45" s="434">
        <f t="shared" ref="M45" si="65">BI45+BJ45+BK45+BL45+BM45</f>
        <v>2.1</v>
      </c>
      <c r="N45" s="434">
        <f t="shared" ref="N45" si="66">BN45</f>
        <v>0.9</v>
      </c>
      <c r="O45" s="442">
        <f>SUM(M45,N45)</f>
        <v>3</v>
      </c>
      <c r="Q45" s="408"/>
      <c r="R45" s="408"/>
      <c r="S45" s="408"/>
      <c r="T45" s="425"/>
      <c r="U45" s="441">
        <v>7</v>
      </c>
      <c r="V45" s="441">
        <v>1</v>
      </c>
      <c r="W45" s="441">
        <v>0</v>
      </c>
      <c r="X45" s="438"/>
      <c r="Y45" s="428" t="str">
        <f t="shared" ref="Y45" si="67">IF(AND(U45&gt;=0,U45&lt;=6),"Chica 1",IF(AND(U45&gt;=7,U45&lt;=12),"Chica 2",IF(AND(U45&gt;=13,U45&lt;=18),"Chica 3",IF(AND(U45&gt;=19,U45&lt;=24),"Chica 4",IF(AND(U45&gt;=25,U45&lt;=30),"Mediana 1",IF(AND(U45&gt;=31,U45&lt;=36),"Mediana 2",IF(AND(U45&gt;=37,U45&lt;=42),"Mediana 3",IF(AND(U45&gt;=43,U45&lt;=48),"Mediana 4",IF(AND(U45&gt;=49,U45&lt;=54),"Grande 1",IF(AND(U45&gt;=55,U45&lt;=60),"Grande 2",IF(AND(U45&gt;=61,U45&lt;=66),"Grande 3",IF(AND(U45&gt;=67,U45&lt;=72),"Grande 4",IF(AND(U45&gt;=73,U45&lt;=78),"M. grande 1",IF(AND(U45&gt;=79,U45&lt;=84),"M. grande 2",IF(AND(U45&gt;=85,U45&lt;=90),"M. grande 3",IF(AND(U45&gt;=91,U45&lt;=96),"M. grande 4","NO DEF"))))))))))))))))</f>
        <v>Chica 2</v>
      </c>
      <c r="Z45" s="428" t="str">
        <f t="shared" ref="Z45" si="68">IF(E45="A","Alta",IF(E45="M","Media","Baja"))</f>
        <v>Baja</v>
      </c>
      <c r="AA45" s="428" t="str">
        <f t="shared" ref="AA45" si="69">IF(E45="A","Alta",IF(E45="M","Media","Baja"))</f>
        <v>Baja</v>
      </c>
      <c r="AB45" s="428" t="str">
        <f t="shared" ref="AB45" si="70">IF(F45="A","Alta",IF(F45="M","Media","Baja"))</f>
        <v>Baja</v>
      </c>
      <c r="AC45" s="428" t="str">
        <f t="shared" ref="AC45" si="71">IF(F45="A","Alta",IF(F45="M","Media","Baja"))</f>
        <v>Baja</v>
      </c>
      <c r="AD45" s="428" t="str">
        <f t="shared" ref="AD45" si="72">IF(G45="A","Alta",IF(G45="M","Media","Baja"))</f>
        <v>Baja</v>
      </c>
      <c r="AE45" s="428" t="str">
        <f t="shared" ref="AE45" si="73">IF(G45="A","Alta",IF(G45="M","Media","Baja"))</f>
        <v>Baja</v>
      </c>
      <c r="AF45" s="428" t="str">
        <f t="shared" ref="AF45" si="74">IF(H45="A","Alta",IF(H45="M","Media","Baja"))</f>
        <v>Baja</v>
      </c>
      <c r="AG45" s="428" t="str">
        <f t="shared" ref="AG45" si="75">IF(I45="A","Alta",IF(I45="M","Media","Baja"))</f>
        <v>Baja</v>
      </c>
      <c r="AH45" s="427"/>
      <c r="AI45" s="429">
        <f>IF(Y45=Modelo!$F$7,Modelo!$H$7,IF(Y45=Modelo!$F$8,Modelo!$H$8,IF(Y45=Modelo!$F$9,Modelo!$H$9,IF(Y45=Modelo!$F$10,Modelo!$H$10,IF(Y45=Modelo!$F$11,Modelo!$H$11,IF(Y45=Modelo!$F$12,Modelo!$H$12,IF(Y45=Modelo!$F$13,Modelo!$H$13,IF(Y45=Modelo!$F$14,Modelo!$H$14,IF(Y45=Modelo!$F$15,Modelo!$H$15,IF(Y45=Modelo!$F$16,Modelo!$H$16,IF(Y45=Modelo!$F$17,Modelo!$H$17,IF(Y45=Modelo!$F$18,Modelo!$H$18,IF(Y45=Modelo!$F$19,Modelo!$H$19,IF(Y45=Modelo!$F$20,Modelo!$H$20,IF(Y45=Modelo!$F$21,Modelo!$H$21,IF(Y45=Modelo!$F$22,Modelo!$H$22,0))))))))))))))))</f>
        <v>0.60000000000000009</v>
      </c>
      <c r="AJ45" s="429">
        <f>IF(Y45=Modelo!$F$7,Modelo!$I$7,IF(Y45=Modelo!$F$8,Modelo!$I$8,IF(Y45=Modelo!$F$9,Modelo!$I$9,IF(Y45=Modelo!$F$10,Modelo!$I$10,IF(Y45=Modelo!$F$11,Modelo!$I$11,IF(Y45=Modelo!$F$12,Modelo!$I$12,IF(Y45=Modelo!$F$13,Modelo!$I$13,IF(Y45=Modelo!$F$14,Modelo!$I$14,IF(Y45=Modelo!$F$15,Modelo!$I$15,IF(Y45=Modelo!$F$16,Modelo!$I$16,IF(Y45=Modelo!$F$17,Modelo!$I$17,IF(Y45=Modelo!$F$18,Modelo!$I$18,IF(Y45=Modelo!$F$19,Modelo!$I$19,IF(Y45=Modelo!$F$20,Modelo!$I$20,IF(Y45=Modelo!$F$21,Modelo!$I$21,IF(Y45=Modelo!$F$22,Modelo!$I$22,0))))))))))))))))</f>
        <v>0.2</v>
      </c>
      <c r="AK45" s="429">
        <f>IF(Z45=Modelo!$F$23,Modelo!$H$23,IF(Z45=Modelo!$F$24,Modelo!$H$24,IF(Z45=Modelo!$F$25,Modelo!$H$25,0)))</f>
        <v>1</v>
      </c>
      <c r="AL45" s="429">
        <f>IF(AA45=Modelo!$F$26,Modelo!$H$26,IF(AA45=Modelo!$F$27,Modelo!$H$27,IF(AA45=Modelo!$F$28,Modelo!$H$28,0)))</f>
        <v>0.1</v>
      </c>
      <c r="AM45" s="429">
        <f>IF(AB45=Modelo!$F$30,Modelo!$H$30,IF(AB45=Modelo!$F$31,Modelo!$H$31,IF(AB45=Modelo!$F$32,Modelo!$H$32,0)))</f>
        <v>0.8</v>
      </c>
      <c r="AN45" s="429">
        <f>IF(AC45=Modelo!$F$33,Modelo!$H$33,IF(AC45=Modelo!$F$34,Modelo!$H$34,IF(AC45=Modelo!$F$35,Modelo!$H$35,0)))</f>
        <v>0.3</v>
      </c>
      <c r="AO45" s="429">
        <f>IF(AD45=Modelo!$F$37,Modelo!$H$37,IF(AD45=Modelo!$F$38,Modelo!$H$38,IF(AD45=Modelo!$F$39,Modelo!$H$39,0)))</f>
        <v>0.8</v>
      </c>
      <c r="AP45" s="429">
        <f>IF(AE45=Modelo!$F$40,Modelo!$H$40,IF(AE45=Modelo!$F$41,Modelo!$H$41,IF(AE45=Modelo!$F$42,Modelo!$H$42,0)))</f>
        <v>0.4</v>
      </c>
      <c r="AQ45" s="428">
        <f>IF(C45=Modelo!$F$44,Modelo!$H$44,IF(C45=Modelo!$F$45,Modelo!$H$45,IF(C45=Modelo!$F$46,Modelo!$H$46,IF(C45=Modelo!$F$47,Modelo!$H$47,IF(C45=Modelo!$F$48,Modelo!$H$48,IF(C45=Modelo!$F$49,Modelo!$H$49,IF(C45=Modelo!$F$50,Modelo!$H$50,IF(C45=Modelo!$F$51,Modelo!$H$51,IF(C45=Modelo!$F$52,Modelo!$H$52,IF(C45=Modelo!$F$53,Modelo!$H$53,0))))))))))</f>
        <v>1.4</v>
      </c>
      <c r="AR45" s="429">
        <f>IF(AF45=Modelo!$F$54,Modelo!$H$54,IF(AF45=Modelo!$F$55,Modelo!$H$55,IF(AF45=Modelo!$F$56,Modelo!$H$56,0)))</f>
        <v>1</v>
      </c>
      <c r="AS45" s="429">
        <f>IF(AG45=Modelo!$F$58,Modelo!$H$58,IF(AG45=Modelo!$F$59,Modelo!$H$59,IF(AG45=Modelo!$F$60,Modelo!$H$60,0)))</f>
        <v>0.9</v>
      </c>
      <c r="AT45" s="427"/>
      <c r="AU45" s="431">
        <f>Modelo!$H$2</f>
        <v>0.05</v>
      </c>
      <c r="AV45" s="432">
        <f>ROUNDUP(Modelo!$I$2*Modelo!$H$3*Modelo!$I$75,2)</f>
        <v>0.02</v>
      </c>
      <c r="AW45" s="433">
        <f>ROUNDUP(Modelo!$I$2*Modelo!$H$3*Modelo!$H$4*Modelo!$I$75,3)</f>
        <v>3.0000000000000001E-3</v>
      </c>
      <c r="AX45" s="431">
        <f>Modelo!$H$5</f>
        <v>0.04</v>
      </c>
      <c r="AY45" s="431">
        <f>ROUNDUP(SUM(AZ45,BB45,BD45,BF45)*Modelo!$H$6,1)</f>
        <v>0.6</v>
      </c>
      <c r="AZ45" s="431">
        <f>ROUNDUP((AI45*AK45+0.1)*Modelo!$I$75,1)</f>
        <v>0.7</v>
      </c>
      <c r="BA45" s="431">
        <f>ROUNDUP(AJ45*AK45*AL45*Modelo!$I$75,1)</f>
        <v>0.1</v>
      </c>
      <c r="BB45" s="431">
        <f>ROUNDUP(V45*Modelo!$H$29*AM45*Modelo!$I$75*2/3,1)</f>
        <v>0.6</v>
      </c>
      <c r="BC45" s="431">
        <f>ROUNDUP(V45*Modelo!$H$29*AM45*AN45*Modelo!$I$75*2/3,1)</f>
        <v>0.2</v>
      </c>
      <c r="BD45" s="431">
        <f>ROUNDUP(V45*Modelo!$H$29*AM45*Modelo!$I$75/3,1)</f>
        <v>0.30000000000000004</v>
      </c>
      <c r="BE45" s="431">
        <f>ROUNDUP(V45*Modelo!$H$29*AM45*AN45*Modelo!$I$75/3,1)</f>
        <v>0.1</v>
      </c>
      <c r="BF45" s="431">
        <f>ROUNDUP(W45*Modelo!$H$36*AO45*Modelo!$I$75,1)</f>
        <v>0</v>
      </c>
      <c r="BG45" s="431">
        <f>ROUNDUP(W45*Modelo!$H$36*AO45*AP45*Modelo!$I$75,1)</f>
        <v>0</v>
      </c>
      <c r="BH45" s="431">
        <f>Modelo!$H$43</f>
        <v>0.04</v>
      </c>
      <c r="BI45" s="431">
        <f>ROUNDUP(SUM(ROUNDUP(AI45*AK45+0.1,1),ROUNDUP(V45*Modelo!$H$29*AM45,1),ROUNDUP(W45*Modelo!$H$36*AO45,1))*AR45*AQ45*Modelo!$I$75,1)</f>
        <v>2.1</v>
      </c>
      <c r="BJ45" s="431">
        <f>IF(K$31="x",0, BI45*0.1*1.25)</f>
        <v>0</v>
      </c>
      <c r="BK45" s="431">
        <f t="shared" ref="BK45" si="76">IF(Q45="x",(BI45)*0.1,0)</f>
        <v>0</v>
      </c>
      <c r="BL45" s="431">
        <f t="shared" ref="BL45" si="77">IF(R45="x",(BI45)*0.12,0)</f>
        <v>0</v>
      </c>
      <c r="BM45" s="431">
        <f t="shared" ref="BM45" si="78">IF(S45="x",(BI45)*0.12,0)*4</f>
        <v>0</v>
      </c>
      <c r="BN45" s="431">
        <f>ROUNDUP(SUM(ROUNDUP(AI45*AK45+0.1,1),ROUNDUP(V45*Modelo!$H$29*AM45,1),ROUNDUP(W45*Modelo!$H$36*AO45,1))*AQ45*AS45*Modelo!$H$57,1)</f>
        <v>0.9</v>
      </c>
      <c r="BO45" s="431">
        <f>BI45*0.1
+IF(K$15="x",0,BI45*0.05)
+IF(K$27="x",0,BI45*0.2)
+IF(K$28="x",0,BI45*0.5)
+IF(OR(K$29="x",K$30="x"),0,BI45*0.05)
+IF(K$31="x",0,BI45*0.3)
+IF(Q45="x",0,BI45*0.5)
+IF(OR(R45="x",S45="x"),0,BI45*0.15)</f>
        <v>1.9950000000000001</v>
      </c>
      <c r="BP45" s="431">
        <f>Modelo!$H$61</f>
        <v>0.04</v>
      </c>
      <c r="BQ45" s="431">
        <f>ROUNDUP(SUM(ROUNDUP(AI45*AK45+0.1,1),ROUNDUP(V45*Modelo!$H$29*AM45,1),ROUNDUP(W45*Modelo!$H$36*AO45,1))*Modelo!$H$62*Modelo!$I$75,1)</f>
        <v>0.1</v>
      </c>
      <c r="BR45" s="431">
        <f>ROUNDUP(ROUNDUP(SUM(ROUNDUP(AI45*AK45+0.1,1),ROUNDUP(V45*Modelo!$H$29*AM45,1),ROUNDUP(W45*Modelo!$H$36*AO45,1))*Modelo!$H$62,1)*Modelo!$H$63*Modelo!$I$75,1)</f>
        <v>0.1</v>
      </c>
      <c r="BS45" s="431">
        <f>SUM(ROUNDUP(AI45*AK45+0.1,1),ROUNDUP(V45*Modelo!$H$29*AM45,1),ROUNDUP(W45*Modelo!$H$36*AO45,1))*Modelo!$H$64*Modelo!$I$75</f>
        <v>0.30000000000000004</v>
      </c>
      <c r="BT45" s="431">
        <f>ROUNDUP(SUM(ROUNDUP(AI45*AK45+0.1,1),ROUNDUP(V45*Modelo!$H$29*AM45,1),ROUNDUP(W45*Modelo!$H$36*AO45,1))*Modelo!$H$64*Modelo!$H$65*Modelo!$I$75,1)</f>
        <v>0.2</v>
      </c>
      <c r="BU45" s="431">
        <f>Modelo!$H$66</f>
        <v>0.04</v>
      </c>
      <c r="BV45" s="431">
        <f>ROUNDUP(SUM(ROUNDUP(AI45*AK45+0.1,1),ROUNDUP(V45*Modelo!$H$29*AM45,1),ROUNDUP(W45*Modelo!$H$36*AO45,1))*Modelo!$H$69,1)</f>
        <v>0.4</v>
      </c>
      <c r="BW45" s="431">
        <f>ROUNDUP(ROUNDUP(SUM(ROUNDUP(AI45*AK45+0.1,1),ROUNDUP(V45*Modelo!$H$29*AM45,1),ROUNDUP(W45*Modelo!$H$36*AO45,1))*Modelo!$H$62,1)*Modelo!$H$71,1)</f>
        <v>0.2</v>
      </c>
      <c r="BX45" s="430">
        <f t="shared" ref="BX45" si="79">SUM(AU45:BW45)</f>
        <v>9.1279999999999983</v>
      </c>
      <c r="BZ45" s="426">
        <f t="shared" ref="BZ45" si="80">CA45*0.85</f>
        <v>2.5499999999999998</v>
      </c>
      <c r="CA45" s="425">
        <f t="shared" ref="CA45" si="81">O45</f>
        <v>3</v>
      </c>
      <c r="CB45" s="426">
        <f t="shared" ref="CB45" si="82">IF(CA45=0,1,CA45*1.4)</f>
        <v>4.1999999999999993</v>
      </c>
      <c r="CD45" s="420">
        <v>0</v>
      </c>
      <c r="CF45" s="426">
        <f t="shared" ref="CF45" si="83">IF(CC45&lt;&gt;"",CC45,CD45)</f>
        <v>0</v>
      </c>
    </row>
    <row r="46" spans="3:84" s="236" customFormat="1" ht="77.25" thickBot="1" x14ac:dyDescent="0.25">
      <c r="C46" s="454" t="s">
        <v>100</v>
      </c>
      <c r="D46" s="169" t="s">
        <v>18</v>
      </c>
      <c r="E46" s="169" t="str">
        <f t="shared" ref="E46" si="84">IF(U46&gt;50,"A",IF(U46&gt;15,"M","B"))</f>
        <v>B</v>
      </c>
      <c r="F46" s="169" t="s">
        <v>459</v>
      </c>
      <c r="G46" s="169" t="s">
        <v>459</v>
      </c>
      <c r="H46" s="169" t="str">
        <f t="shared" ref="H46" si="85">IF(V46+W46&gt;20,"A",IF(V46+W46&gt;5,"M","B"))</f>
        <v>B</v>
      </c>
      <c r="I46" s="169" t="str">
        <f t="shared" ref="I46" si="86">IF(V46+W46&gt;15,"A",IF(V46+W46&gt;4,"M","B"))</f>
        <v>B</v>
      </c>
      <c r="J46" s="225">
        <f t="shared" ref="J46" si="87">V46+W46</f>
        <v>1</v>
      </c>
      <c r="K46" s="183" t="str">
        <f t="shared" ref="K46" si="88">Y46</f>
        <v>Chica 1</v>
      </c>
      <c r="L46" s="161" t="s">
        <v>577</v>
      </c>
      <c r="M46" s="162">
        <f t="shared" si="29"/>
        <v>1.7000000000000002</v>
      </c>
      <c r="N46" s="162">
        <f t="shared" ref="N46" si="89">BN46</f>
        <v>0.7</v>
      </c>
      <c r="O46" s="349">
        <f t="shared" ref="O46" si="90">SUM(M46,N46)</f>
        <v>2.4000000000000004</v>
      </c>
      <c r="Q46" s="408"/>
      <c r="R46" s="408"/>
      <c r="S46" s="408"/>
      <c r="T46" s="31"/>
      <c r="U46" s="441">
        <v>6</v>
      </c>
      <c r="V46" s="441">
        <v>1</v>
      </c>
      <c r="W46" s="441">
        <v>0</v>
      </c>
      <c r="X46" s="308"/>
      <c r="Y46" s="231" t="str">
        <f t="shared" ref="Y46" si="91">IF(AND(U46&gt;=0,U46&lt;=6),"Chica 1",IF(AND(U46&gt;=7,U46&lt;=12),"Chica 2",IF(AND(U46&gt;=13,U46&lt;=18),"Chica 3",IF(AND(U46&gt;=19,U46&lt;=24),"Chica 4",IF(AND(U46&gt;=25,U46&lt;=30),"Mediana 1",IF(AND(U46&gt;=31,U46&lt;=36),"Mediana 2",IF(AND(U46&gt;=37,U46&lt;=42),"Mediana 3",IF(AND(U46&gt;=43,U46&lt;=48),"Mediana 4",IF(AND(U46&gt;=49,U46&lt;=54),"Grande 1",IF(AND(U46&gt;=55,U46&lt;=60),"Grande 2",IF(AND(U46&gt;=61,U46&lt;=66),"Grande 3",IF(AND(U46&gt;=67,U46&lt;=72),"Grande 4",IF(AND(U46&gt;=73,U46&lt;=78),"M. grande 1",IF(AND(U46&gt;=79,U46&lt;=84),"M. grande 2",IF(AND(U46&gt;=85,U46&lt;=90),"M. grande 3",IF(AND(U46&gt;=91,U46&lt;=96),"M. grande 4","NO DEF"))))))))))))))))</f>
        <v>Chica 1</v>
      </c>
      <c r="Z46" s="231" t="str">
        <f t="shared" ref="Z46" si="92">IF(E46="A","Alta",IF(E46="M","Media","Baja"))</f>
        <v>Baja</v>
      </c>
      <c r="AA46" s="231" t="str">
        <f t="shared" ref="AA46" si="93">IF(E46="A","Alta",IF(E46="M","Media","Baja"))</f>
        <v>Baja</v>
      </c>
      <c r="AB46" s="231" t="str">
        <f t="shared" ref="AB46" si="94">IF(F46="A","Alta",IF(F46="M","Media","Baja"))</f>
        <v>Baja</v>
      </c>
      <c r="AC46" s="231" t="str">
        <f t="shared" ref="AC46" si="95">IF(F46="A","Alta",IF(F46="M","Media","Baja"))</f>
        <v>Baja</v>
      </c>
      <c r="AD46" s="231" t="str">
        <f t="shared" ref="AD46" si="96">IF(G46="A","Alta",IF(G46="M","Media","Baja"))</f>
        <v>Baja</v>
      </c>
      <c r="AE46" s="231" t="str">
        <f t="shared" ref="AE46" si="97">IF(G46="A","Alta",IF(G46="M","Media","Baja"))</f>
        <v>Baja</v>
      </c>
      <c r="AF46" s="231" t="str">
        <f t="shared" ref="AF46" si="98">IF(H46="A","Alta",IF(H46="M","Media","Baja"))</f>
        <v>Baja</v>
      </c>
      <c r="AG46" s="231" t="str">
        <f t="shared" ref="AG46" si="99">IF(I46="A","Alta",IF(I46="M","Media","Baja"))</f>
        <v>Baja</v>
      </c>
      <c r="AH46" s="233"/>
      <c r="AI46" s="232">
        <f>IF(Y46=Modelo!$F$7,Modelo!$H$7,IF(Y46=Modelo!$F$8,Modelo!$H$8,IF(Y46=Modelo!$F$9,Modelo!$H$9,IF(Y46=Modelo!$F$10,Modelo!$H$10,IF(Y46=Modelo!$F$11,Modelo!$H$11,IF(Y46=Modelo!$F$12,Modelo!$H$12,IF(Y46=Modelo!$F$13,Modelo!$H$13,IF(Y46=Modelo!$F$14,Modelo!$H$14,IF(Y46=Modelo!$F$15,Modelo!$H$15,IF(Y46=Modelo!$F$16,Modelo!$H$16,IF(Y46=Modelo!$F$17,Modelo!$H$17,IF(Y46=Modelo!$F$18,Modelo!$H$18,IF(Y46=Modelo!$F$19,Modelo!$H$19,IF(Y46=Modelo!$F$20,Modelo!$H$20,IF(Y46=Modelo!$F$21,Modelo!$H$21,IF(Y46=Modelo!$F$22,Modelo!$H$22,0))))))))))))))))</f>
        <v>0.30000000000000004</v>
      </c>
      <c r="AJ46" s="232">
        <f>IF(Y46=Modelo!$F$7,Modelo!$I$7,IF(Y46=Modelo!$F$8,Modelo!$I$8,IF(Y46=Modelo!$F$9,Modelo!$I$9,IF(Y46=Modelo!$F$10,Modelo!$I$10,IF(Y46=Modelo!$F$11,Modelo!$I$11,IF(Y46=Modelo!$F$12,Modelo!$I$12,IF(Y46=Modelo!$F$13,Modelo!$I$13,IF(Y46=Modelo!$F$14,Modelo!$I$14,IF(Y46=Modelo!$F$15,Modelo!$I$15,IF(Y46=Modelo!$F$16,Modelo!$I$16,IF(Y46=Modelo!$F$17,Modelo!$I$17,IF(Y46=Modelo!$F$18,Modelo!$I$18,IF(Y46=Modelo!$F$19,Modelo!$I$19,IF(Y46=Modelo!$F$20,Modelo!$I$20,IF(Y46=Modelo!$F$21,Modelo!$I$21,IF(Y46=Modelo!$F$22,Modelo!$I$22,0))))))))))))))))</f>
        <v>0.1</v>
      </c>
      <c r="AK46" s="232">
        <f>IF(Z46=Modelo!$F$23,Modelo!$H$23,IF(Z46=Modelo!$F$24,Modelo!$H$24,IF(Z46=Modelo!$F$25,Modelo!$H$25,0)))</f>
        <v>1</v>
      </c>
      <c r="AL46" s="232">
        <f>IF(AA46=Modelo!$F$26,Modelo!$H$26,IF(AA46=Modelo!$F$27,Modelo!$H$27,IF(AA46=Modelo!$F$28,Modelo!$H$28,0)))</f>
        <v>0.1</v>
      </c>
      <c r="AM46" s="232">
        <f>IF(AB46=Modelo!$F$30,Modelo!$H$30,IF(AB46=Modelo!$F$31,Modelo!$H$31,IF(AB46=Modelo!$F$32,Modelo!$H$32,0)))</f>
        <v>0.8</v>
      </c>
      <c r="AN46" s="232">
        <f>IF(AC46=Modelo!$F$33,Modelo!$H$33,IF(AC46=Modelo!$F$34,Modelo!$H$34,IF(AC46=Modelo!$F$35,Modelo!$H$35,0)))</f>
        <v>0.3</v>
      </c>
      <c r="AO46" s="232">
        <f>IF(AD46=Modelo!$F$37,Modelo!$H$37,IF(AD46=Modelo!$F$38,Modelo!$H$38,IF(AD46=Modelo!$F$39,Modelo!$H$39,0)))</f>
        <v>0.8</v>
      </c>
      <c r="AP46" s="232">
        <f>IF(AE46=Modelo!$F$40,Modelo!$H$40,IF(AE46=Modelo!$F$41,Modelo!$H$41,IF(AE46=Modelo!$F$42,Modelo!$H$42,0)))</f>
        <v>0.4</v>
      </c>
      <c r="AQ46" s="231">
        <f>IF(C46=Modelo!$F$44,Modelo!$H$44,IF(C46=Modelo!$F$45,Modelo!$H$45,IF(C46=Modelo!$F$46,Modelo!$H$46,IF(C46=Modelo!$F$47,Modelo!$H$47,IF(C46=Modelo!$F$48,Modelo!$H$48,IF(C46=Modelo!$F$49,Modelo!$H$49,IF(C46=Modelo!$F$50,Modelo!$H$50,IF(C46=Modelo!$F$51,Modelo!$H$51,IF(C46=Modelo!$F$52,Modelo!$H$52,IF(C46=Modelo!$F$53,Modelo!$H$53,0))))))))))</f>
        <v>1.4</v>
      </c>
      <c r="AR46" s="232">
        <f>IF(AF46=Modelo!$F$54,Modelo!$H$54,IF(AF46=Modelo!$F$55,Modelo!$H$55,IF(AF46=Modelo!$F$56,Modelo!$H$56,0)))</f>
        <v>1</v>
      </c>
      <c r="AS46" s="232">
        <f>IF(AG46=Modelo!$F$58,Modelo!$H$58,IF(AG46=Modelo!$F$59,Modelo!$H$59,IF(AG46=Modelo!$F$60,Modelo!$H$60,0)))</f>
        <v>0.9</v>
      </c>
      <c r="AT46" s="233"/>
      <c r="AU46" s="228">
        <f>Modelo!$H$2</f>
        <v>0.05</v>
      </c>
      <c r="AV46" s="229">
        <f>ROUNDUP(Modelo!$I$2*Modelo!$H$3*Modelo!$I$75,2)</f>
        <v>0.02</v>
      </c>
      <c r="AW46" s="230">
        <f>ROUNDUP(Modelo!$I$2*Modelo!$H$3*Modelo!$H$4*Modelo!$I$75,3)</f>
        <v>3.0000000000000001E-3</v>
      </c>
      <c r="AX46" s="228">
        <f>Modelo!$H$5</f>
        <v>0.04</v>
      </c>
      <c r="AY46" s="228">
        <f>ROUNDUP(SUM(AZ46,BB46,BD46,BF46)*Modelo!$H$6,1)</f>
        <v>0.5</v>
      </c>
      <c r="AZ46" s="228">
        <f>ROUNDUP((AI46*AK46+0.1)*Modelo!$I$75,1)</f>
        <v>0.4</v>
      </c>
      <c r="BA46" s="228">
        <f>ROUNDUP(AJ46*AK46*AL46*Modelo!$I$75,1)</f>
        <v>0.1</v>
      </c>
      <c r="BB46" s="228">
        <f>ROUNDUP(V46*Modelo!$H$29*AM46*Modelo!$I$75*2/3,1)</f>
        <v>0.6</v>
      </c>
      <c r="BC46" s="228">
        <f>ROUNDUP(V46*Modelo!$H$29*AM46*AN46*Modelo!$I$75*2/3,1)</f>
        <v>0.2</v>
      </c>
      <c r="BD46" s="228">
        <f>ROUNDUP(V46*Modelo!$H$29*AM46*Modelo!$I$75/3,1)</f>
        <v>0.30000000000000004</v>
      </c>
      <c r="BE46" s="228">
        <f>ROUNDUP(V46*Modelo!$H$29*AM46*AN46*Modelo!$I$75/3,1)</f>
        <v>0.1</v>
      </c>
      <c r="BF46" s="228">
        <f>ROUNDUP(W46*Modelo!$H$36*AO46*Modelo!$I$75,1)</f>
        <v>0</v>
      </c>
      <c r="BG46" s="228">
        <f>ROUNDUP(W46*Modelo!$H$36*AO46*AP46*Modelo!$I$75,1)</f>
        <v>0</v>
      </c>
      <c r="BH46" s="228">
        <f>Modelo!$H$43</f>
        <v>0.04</v>
      </c>
      <c r="BI46" s="228">
        <f>ROUNDUP(SUM(ROUNDUP(AI46*AK46+0.1,1),ROUNDUP(V46*Modelo!$H$29*AM46,1),ROUNDUP(W46*Modelo!$H$36*AO46,1))*AR46*AQ46*Modelo!$I$75,1)</f>
        <v>1.7000000000000002</v>
      </c>
      <c r="BJ46" s="228">
        <f t="shared" si="19"/>
        <v>0</v>
      </c>
      <c r="BK46" s="228">
        <f t="shared" si="20"/>
        <v>0</v>
      </c>
      <c r="BL46" s="228">
        <f t="shared" si="21"/>
        <v>0</v>
      </c>
      <c r="BM46" s="228">
        <f t="shared" si="22"/>
        <v>0</v>
      </c>
      <c r="BN46" s="228">
        <f>ROUNDUP(SUM(ROUNDUP(AI46*AK46+0.1,1),ROUNDUP(V46*Modelo!$H$29*AM46,1),ROUNDUP(W46*Modelo!$H$36*AO46,1))*AQ46*AS46*Modelo!$H$57,1)</f>
        <v>0.7</v>
      </c>
      <c r="BO46" s="228">
        <f t="shared" si="23"/>
        <v>1.6150000000000002</v>
      </c>
      <c r="BP46" s="228">
        <f>Modelo!$H$61</f>
        <v>0.04</v>
      </c>
      <c r="BQ46" s="228">
        <f>ROUNDUP(SUM(ROUNDUP(AI46*AK46+0.1,1),ROUNDUP(V46*Modelo!$H$29*AM46,1),ROUNDUP(W46*Modelo!$H$36*AO46,1))*Modelo!$H$62*Modelo!$I$75,1)</f>
        <v>0.1</v>
      </c>
      <c r="BR46" s="228">
        <f>ROUNDUP(ROUNDUP(SUM(ROUNDUP(AI46*AK46+0.1,1),ROUNDUP(V46*Modelo!$H$29*AM46,1),ROUNDUP(W46*Modelo!$H$36*AO46,1))*Modelo!$H$62,1)*Modelo!$H$63*Modelo!$I$75,1)</f>
        <v>0.1</v>
      </c>
      <c r="BS46" s="228">
        <f>SUM(ROUNDUP(AI46*AK46+0.1,1),ROUNDUP(V46*Modelo!$H$29*AM46,1),ROUNDUP(W46*Modelo!$H$36*AO46,1))*Modelo!$H$64*Modelo!$I$75</f>
        <v>0.24000000000000005</v>
      </c>
      <c r="BT46" s="228">
        <f>ROUNDUP(SUM(ROUNDUP(AI46*AK46+0.1,1),ROUNDUP(V46*Modelo!$H$29*AM46,1),ROUNDUP(W46*Modelo!$H$36*AO46,1))*Modelo!$H$64*Modelo!$H$65*Modelo!$I$75,1)</f>
        <v>0.2</v>
      </c>
      <c r="BU46" s="228">
        <f>Modelo!$H$66</f>
        <v>0.04</v>
      </c>
      <c r="BV46" s="228">
        <f>ROUNDUP(SUM(ROUNDUP(AI46*AK46+0.1,1),ROUNDUP(V46*Modelo!$H$29*AM46,1),ROUNDUP(W46*Modelo!$H$36*AO46,1))*Modelo!$H$69,1)</f>
        <v>0.30000000000000004</v>
      </c>
      <c r="BW46" s="228">
        <f>ROUNDUP(ROUNDUP(SUM(ROUNDUP(AI46*AK46+0.1,1),ROUNDUP(V46*Modelo!$H$29*AM46,1),ROUNDUP(W46*Modelo!$H$36*AO46,1))*Modelo!$H$62,1)*Modelo!$H$71,1)</f>
        <v>0.2</v>
      </c>
      <c r="BX46" s="227">
        <f t="shared" ref="BX46" si="100">SUM(AU46:BW46)</f>
        <v>7.588000000000001</v>
      </c>
      <c r="BZ46" s="236">
        <f t="shared" si="41"/>
        <v>2.04</v>
      </c>
      <c r="CA46" s="31">
        <f t="shared" si="42"/>
        <v>2.4000000000000004</v>
      </c>
      <c r="CB46" s="236">
        <f t="shared" si="2"/>
        <v>3.3600000000000003</v>
      </c>
      <c r="CD46" s="420">
        <v>0</v>
      </c>
      <c r="CF46" s="236">
        <f t="shared" si="3"/>
        <v>0</v>
      </c>
    </row>
    <row r="47" spans="3:84" s="426" customFormat="1" ht="16.5" thickBot="1" x14ac:dyDescent="0.3">
      <c r="C47" s="454"/>
      <c r="D47" s="440" t="s">
        <v>17</v>
      </c>
      <c r="E47" s="440"/>
      <c r="F47" s="440"/>
      <c r="G47" s="440"/>
      <c r="H47" s="440"/>
      <c r="I47" s="440"/>
      <c r="J47" s="437"/>
      <c r="K47" s="436"/>
      <c r="L47" s="444" t="s">
        <v>575</v>
      </c>
      <c r="M47" s="434"/>
      <c r="N47" s="434"/>
      <c r="O47" s="442"/>
      <c r="Q47" s="408"/>
      <c r="R47" s="408"/>
      <c r="S47" s="408"/>
      <c r="T47" s="425"/>
      <c r="U47" s="441"/>
      <c r="V47" s="441"/>
      <c r="W47" s="441"/>
      <c r="X47" s="438"/>
      <c r="Y47" s="428"/>
      <c r="Z47" s="428"/>
      <c r="AA47" s="428"/>
      <c r="AB47" s="428"/>
      <c r="AC47" s="428"/>
      <c r="AD47" s="428"/>
      <c r="AE47" s="428"/>
      <c r="AF47" s="428"/>
      <c r="AG47" s="428"/>
      <c r="AH47" s="427"/>
      <c r="AI47" s="429"/>
      <c r="AJ47" s="429"/>
      <c r="AK47" s="429"/>
      <c r="AL47" s="429"/>
      <c r="AM47" s="429"/>
      <c r="AN47" s="429"/>
      <c r="AO47" s="429"/>
      <c r="AP47" s="429"/>
      <c r="AQ47" s="428"/>
      <c r="AR47" s="429"/>
      <c r="AS47" s="429"/>
      <c r="AT47" s="427"/>
      <c r="AU47" s="431"/>
      <c r="AV47" s="432"/>
      <c r="AW47" s="433"/>
      <c r="AX47" s="431"/>
      <c r="AY47" s="431"/>
      <c r="AZ47" s="431"/>
      <c r="BA47" s="431"/>
      <c r="BB47" s="431"/>
      <c r="BC47" s="431"/>
      <c r="BD47" s="431"/>
      <c r="BE47" s="431"/>
      <c r="BF47" s="431"/>
      <c r="BG47" s="431"/>
      <c r="BH47" s="431"/>
      <c r="BI47" s="431"/>
      <c r="BJ47" s="431"/>
      <c r="BK47" s="431"/>
      <c r="BL47" s="431"/>
      <c r="BM47" s="431"/>
      <c r="BN47" s="431"/>
      <c r="BO47" s="431"/>
      <c r="BP47" s="431"/>
      <c r="BQ47" s="431"/>
      <c r="BR47" s="431"/>
      <c r="BS47" s="431"/>
      <c r="BT47" s="431"/>
      <c r="BU47" s="431"/>
      <c r="BV47" s="431"/>
      <c r="BW47" s="431"/>
      <c r="BX47" s="430"/>
      <c r="CA47" s="425"/>
      <c r="CD47" s="420"/>
    </row>
    <row r="48" spans="3:84" s="236" customFormat="1" ht="51.75" thickBot="1" x14ac:dyDescent="0.25">
      <c r="C48" s="454" t="s">
        <v>96</v>
      </c>
      <c r="D48" s="169" t="s">
        <v>80</v>
      </c>
      <c r="E48" s="169" t="str">
        <f t="shared" si="24"/>
        <v>B</v>
      </c>
      <c r="F48" s="169" t="s">
        <v>459</v>
      </c>
      <c r="G48" s="169" t="s">
        <v>459</v>
      </c>
      <c r="H48" s="169" t="str">
        <f t="shared" si="25"/>
        <v>B</v>
      </c>
      <c r="I48" s="169" t="str">
        <f t="shared" si="26"/>
        <v>B</v>
      </c>
      <c r="J48" s="225">
        <f t="shared" si="27"/>
        <v>3</v>
      </c>
      <c r="K48" s="183" t="str">
        <f t="shared" si="28"/>
        <v>Chica 3</v>
      </c>
      <c r="L48" s="446" t="s">
        <v>578</v>
      </c>
      <c r="M48" s="162">
        <f t="shared" si="29"/>
        <v>4.8</v>
      </c>
      <c r="N48" s="162">
        <f t="shared" si="30"/>
        <v>2</v>
      </c>
      <c r="O48" s="349">
        <f t="shared" ref="O48:O49" si="101">SUM(M48,N48)</f>
        <v>6.8</v>
      </c>
      <c r="Q48" s="408"/>
      <c r="R48" s="408"/>
      <c r="S48" s="408"/>
      <c r="T48" s="31"/>
      <c r="U48" s="441">
        <v>15</v>
      </c>
      <c r="V48" s="441">
        <v>3</v>
      </c>
      <c r="W48" s="441">
        <v>0</v>
      </c>
      <c r="X48" s="308"/>
      <c r="Y48" s="231" t="str">
        <f t="shared" si="31"/>
        <v>Chica 3</v>
      </c>
      <c r="Z48" s="231" t="str">
        <f t="shared" si="32"/>
        <v>Baja</v>
      </c>
      <c r="AA48" s="231" t="str">
        <f t="shared" si="33"/>
        <v>Baja</v>
      </c>
      <c r="AB48" s="231" t="str">
        <f t="shared" si="34"/>
        <v>Baja</v>
      </c>
      <c r="AC48" s="231" t="str">
        <f t="shared" si="35"/>
        <v>Baja</v>
      </c>
      <c r="AD48" s="231" t="str">
        <f t="shared" si="36"/>
        <v>Baja</v>
      </c>
      <c r="AE48" s="231" t="str">
        <f t="shared" si="37"/>
        <v>Baja</v>
      </c>
      <c r="AF48" s="231" t="str">
        <f t="shared" si="38"/>
        <v>Baja</v>
      </c>
      <c r="AG48" s="231" t="str">
        <f t="shared" si="39"/>
        <v>Baja</v>
      </c>
      <c r="AH48" s="233"/>
      <c r="AI48" s="232">
        <f>IF(Y48=Modelo!$F$7,Modelo!$H$7,IF(Y48=Modelo!$F$8,Modelo!$H$8,IF(Y48=Modelo!$F$9,Modelo!$H$9,IF(Y48=Modelo!$F$10,Modelo!$H$10,IF(Y48=Modelo!$F$11,Modelo!$H$11,IF(Y48=Modelo!$F$12,Modelo!$H$12,IF(Y48=Modelo!$F$13,Modelo!$H$13,IF(Y48=Modelo!$F$14,Modelo!$H$14,IF(Y48=Modelo!$F$15,Modelo!$H$15,IF(Y48=Modelo!$F$16,Modelo!$H$16,IF(Y48=Modelo!$F$17,Modelo!$H$17,IF(Y48=Modelo!$F$18,Modelo!$H$18,IF(Y48=Modelo!$F$19,Modelo!$H$19,IF(Y48=Modelo!$F$20,Modelo!$H$20,IF(Y48=Modelo!$F$21,Modelo!$H$21,IF(Y48=Modelo!$F$22,Modelo!$H$22,0))))))))))))))))</f>
        <v>0.9</v>
      </c>
      <c r="AJ48" s="232">
        <f>IF(Y48=Modelo!$F$7,Modelo!$I$7,IF(Y48=Modelo!$F$8,Modelo!$I$8,IF(Y48=Modelo!$F$9,Modelo!$I$9,IF(Y48=Modelo!$F$10,Modelo!$I$10,IF(Y48=Modelo!$F$11,Modelo!$I$11,IF(Y48=Modelo!$F$12,Modelo!$I$12,IF(Y48=Modelo!$F$13,Modelo!$I$13,IF(Y48=Modelo!$F$14,Modelo!$I$14,IF(Y48=Modelo!$F$15,Modelo!$I$15,IF(Y48=Modelo!$F$16,Modelo!$I$16,IF(Y48=Modelo!$F$17,Modelo!$I$17,IF(Y48=Modelo!$F$18,Modelo!$I$18,IF(Y48=Modelo!$F$19,Modelo!$I$19,IF(Y48=Modelo!$F$20,Modelo!$I$20,IF(Y48=Modelo!$F$21,Modelo!$I$21,IF(Y48=Modelo!$F$22,Modelo!$I$22,0))))))))))))))))</f>
        <v>0.3</v>
      </c>
      <c r="AK48" s="232">
        <f>IF(Z48=Modelo!$F$23,Modelo!$H$23,IF(Z48=Modelo!$F$24,Modelo!$H$24,IF(Z48=Modelo!$F$25,Modelo!$H$25,0)))</f>
        <v>1</v>
      </c>
      <c r="AL48" s="232">
        <f>IF(AA48=Modelo!$F$26,Modelo!$H$26,IF(AA48=Modelo!$F$27,Modelo!$H$27,IF(AA48=Modelo!$F$28,Modelo!$H$28,0)))</f>
        <v>0.1</v>
      </c>
      <c r="AM48" s="232">
        <f>IF(AB48=Modelo!$F$30,Modelo!$H$30,IF(AB48=Modelo!$F$31,Modelo!$H$31,IF(AB48=Modelo!$F$32,Modelo!$H$32,0)))</f>
        <v>0.8</v>
      </c>
      <c r="AN48" s="232">
        <f>IF(AC48=Modelo!$F$33,Modelo!$H$33,IF(AC48=Modelo!$F$34,Modelo!$H$34,IF(AC48=Modelo!$F$35,Modelo!$H$35,0)))</f>
        <v>0.3</v>
      </c>
      <c r="AO48" s="232">
        <f>IF(AD48=Modelo!$F$37,Modelo!$H$37,IF(AD48=Modelo!$F$38,Modelo!$H$38,IF(AD48=Modelo!$F$39,Modelo!$H$39,0)))</f>
        <v>0.8</v>
      </c>
      <c r="AP48" s="232">
        <f>IF(AE48=Modelo!$F$40,Modelo!$H$40,IF(AE48=Modelo!$F$41,Modelo!$H$41,IF(AE48=Modelo!$F$42,Modelo!$H$42,0)))</f>
        <v>0.4</v>
      </c>
      <c r="AQ48" s="231">
        <f>IF(C48=Modelo!$F$44,Modelo!$H$44,IF(C48=Modelo!$F$45,Modelo!$H$45,IF(C48=Modelo!$F$46,Modelo!$H$46,IF(C48=Modelo!$F$47,Modelo!$H$47,IF(C48=Modelo!$F$48,Modelo!$H$48,IF(C48=Modelo!$F$49,Modelo!$H$49,IF(C48=Modelo!$F$50,Modelo!$H$50,IF(C48=Modelo!$F$51,Modelo!$H$51,IF(C48=Modelo!$F$52,Modelo!$H$52,IF(C48=Modelo!$F$53,Modelo!$H$53,0))))))))))</f>
        <v>1.4</v>
      </c>
      <c r="AR48" s="232">
        <f>IF(AF48=Modelo!$F$54,Modelo!$H$54,IF(AF48=Modelo!$F$55,Modelo!$H$55,IF(AF48=Modelo!$F$56,Modelo!$H$56,0)))</f>
        <v>1</v>
      </c>
      <c r="AS48" s="232">
        <f>IF(AG48=Modelo!$F$58,Modelo!$H$58,IF(AG48=Modelo!$F$59,Modelo!$H$59,IF(AG48=Modelo!$F$60,Modelo!$H$60,0)))</f>
        <v>0.9</v>
      </c>
      <c r="AT48" s="233"/>
      <c r="AU48" s="228">
        <f>Modelo!$H$2</f>
        <v>0.05</v>
      </c>
      <c r="AV48" s="229">
        <f>ROUNDUP(Modelo!$I$2*Modelo!$H$3*Modelo!$I$75,2)</f>
        <v>0.02</v>
      </c>
      <c r="AW48" s="230">
        <f>ROUNDUP(Modelo!$I$2*Modelo!$H$3*Modelo!$H$4*Modelo!$I$75,3)</f>
        <v>3.0000000000000001E-3</v>
      </c>
      <c r="AX48" s="228">
        <f>Modelo!$H$5</f>
        <v>0.04</v>
      </c>
      <c r="AY48" s="228">
        <f>ROUNDUP(SUM(AZ48,BB48,BD48,BF48)*Modelo!$H$6,1)</f>
        <v>1.2000000000000002</v>
      </c>
      <c r="AZ48" s="228">
        <f>ROUNDUP((AI48*AK48+0.1)*Modelo!$I$75,1)</f>
        <v>1</v>
      </c>
      <c r="BA48" s="228">
        <f>ROUNDUP(AJ48*AK48*AL48*Modelo!$I$75,1)</f>
        <v>0.1</v>
      </c>
      <c r="BB48" s="228">
        <f>ROUNDUP(V48*Modelo!$H$29*AM48*Modelo!$I$75*2/3,1)</f>
        <v>1.6</v>
      </c>
      <c r="BC48" s="228">
        <f>ROUNDUP(V48*Modelo!$H$29*AM48*AN48*Modelo!$I$75*2/3,1)</f>
        <v>0.5</v>
      </c>
      <c r="BD48" s="228">
        <f>ROUNDUP(V48*Modelo!$H$29*AM48*Modelo!$I$75/3,1)</f>
        <v>0.8</v>
      </c>
      <c r="BE48" s="228">
        <f>ROUNDUP(V48*Modelo!$H$29*AM48*AN48*Modelo!$I$75/3,1)</f>
        <v>0.30000000000000004</v>
      </c>
      <c r="BF48" s="228">
        <f>ROUNDUP(W48*Modelo!$H$36*AO48*Modelo!$I$75,1)</f>
        <v>0</v>
      </c>
      <c r="BG48" s="228">
        <f>ROUNDUP(W48*Modelo!$H$36*AO48*AP48*Modelo!$I$75,1)</f>
        <v>0</v>
      </c>
      <c r="BH48" s="228">
        <f>Modelo!$H$43</f>
        <v>0.04</v>
      </c>
      <c r="BI48" s="228">
        <f>ROUNDUP(SUM(ROUNDUP(AI48*AK48+0.1,1),ROUNDUP(V48*Modelo!$H$29*AM48,1),ROUNDUP(W48*Modelo!$H$36*AO48,1))*AR48*AQ48*Modelo!$I$75,1)</f>
        <v>4.8</v>
      </c>
      <c r="BJ48" s="228">
        <f t="shared" si="19"/>
        <v>0</v>
      </c>
      <c r="BK48" s="228">
        <f t="shared" si="20"/>
        <v>0</v>
      </c>
      <c r="BL48" s="228">
        <f t="shared" si="21"/>
        <v>0</v>
      </c>
      <c r="BM48" s="228">
        <f t="shared" si="22"/>
        <v>0</v>
      </c>
      <c r="BN48" s="228">
        <f>ROUNDUP(SUM(ROUNDUP(AI48*AK48+0.1,1),ROUNDUP(V48*Modelo!$H$29*AM48,1),ROUNDUP(W48*Modelo!$H$36*AO48,1))*AQ48*AS48*Modelo!$H$57,1)</f>
        <v>2</v>
      </c>
      <c r="BO48" s="228">
        <f t="shared" si="23"/>
        <v>4.5599999999999996</v>
      </c>
      <c r="BP48" s="228">
        <f>Modelo!$H$61</f>
        <v>0.04</v>
      </c>
      <c r="BQ48" s="228">
        <f>ROUNDUP(SUM(ROUNDUP(AI48*AK48+0.1,1),ROUNDUP(V48*Modelo!$H$29*AM48,1),ROUNDUP(W48*Modelo!$H$36*AO48,1))*Modelo!$H$62*Modelo!$I$75,1)</f>
        <v>0.30000000000000004</v>
      </c>
      <c r="BR48" s="228">
        <f>ROUNDUP(ROUNDUP(SUM(ROUNDUP(AI48*AK48+0.1,1),ROUNDUP(V48*Modelo!$H$29*AM48,1),ROUNDUP(W48*Modelo!$H$36*AO48,1))*Modelo!$H$62,1)*Modelo!$H$63*Modelo!$I$75,1)</f>
        <v>0.1</v>
      </c>
      <c r="BS48" s="228">
        <f>SUM(ROUNDUP(AI48*AK48+0.1,1),ROUNDUP(V48*Modelo!$H$29*AM48,1),ROUNDUP(W48*Modelo!$H$36*AO48,1))*Modelo!$H$64*Modelo!$I$75</f>
        <v>0.68</v>
      </c>
      <c r="BT48" s="228">
        <f>ROUNDUP(SUM(ROUNDUP(AI48*AK48+0.1,1),ROUNDUP(V48*Modelo!$H$29*AM48,1),ROUNDUP(W48*Modelo!$H$36*AO48,1))*Modelo!$H$64*Modelo!$H$65*Modelo!$I$75,1)</f>
        <v>0.4</v>
      </c>
      <c r="BU48" s="228">
        <f>Modelo!$H$66</f>
        <v>0.04</v>
      </c>
      <c r="BV48" s="228">
        <f>ROUNDUP(SUM(ROUNDUP(AI48*AK48+0.1,1),ROUNDUP(V48*Modelo!$H$29*AM48,1),ROUNDUP(W48*Modelo!$H$36*AO48,1))*Modelo!$H$69,1)</f>
        <v>0.79999999999999993</v>
      </c>
      <c r="BW48" s="228">
        <f>ROUNDUP(ROUNDUP(SUM(ROUNDUP(AI48*AK48+0.1,1),ROUNDUP(V48*Modelo!$H$29*AM48,1),ROUNDUP(W48*Modelo!$H$36*AO48,1))*Modelo!$H$62,1)*Modelo!$H$71,1)</f>
        <v>0.6</v>
      </c>
      <c r="BX48" s="227">
        <f t="shared" si="40"/>
        <v>19.972999999999999</v>
      </c>
      <c r="BZ48" s="236">
        <f t="shared" si="41"/>
        <v>5.7799999999999994</v>
      </c>
      <c r="CA48" s="31">
        <f t="shared" si="42"/>
        <v>6.8</v>
      </c>
      <c r="CB48" s="236">
        <f t="shared" si="2"/>
        <v>9.52</v>
      </c>
      <c r="CD48" s="420">
        <v>0</v>
      </c>
      <c r="CF48" s="236">
        <f t="shared" si="3"/>
        <v>0</v>
      </c>
    </row>
    <row r="49" spans="3:84" s="236" customFormat="1" ht="26.25" thickBot="1" x14ac:dyDescent="0.25">
      <c r="C49" s="454" t="s">
        <v>96</v>
      </c>
      <c r="D49" s="169" t="s">
        <v>80</v>
      </c>
      <c r="E49" s="169" t="str">
        <f t="shared" si="24"/>
        <v>B</v>
      </c>
      <c r="F49" s="169" t="s">
        <v>459</v>
      </c>
      <c r="G49" s="169" t="s">
        <v>459</v>
      </c>
      <c r="H49" s="169" t="str">
        <f t="shared" si="25"/>
        <v>B</v>
      </c>
      <c r="I49" s="169" t="str">
        <f t="shared" si="26"/>
        <v>B</v>
      </c>
      <c r="J49" s="225">
        <f t="shared" si="27"/>
        <v>3</v>
      </c>
      <c r="K49" s="183" t="str">
        <f t="shared" si="28"/>
        <v>Chica 1</v>
      </c>
      <c r="L49" s="161" t="s">
        <v>576</v>
      </c>
      <c r="M49" s="162">
        <f t="shared" si="29"/>
        <v>4</v>
      </c>
      <c r="N49" s="162">
        <f t="shared" si="30"/>
        <v>1.6</v>
      </c>
      <c r="O49" s="349">
        <f t="shared" si="101"/>
        <v>5.6</v>
      </c>
      <c r="Q49" s="408"/>
      <c r="R49" s="408"/>
      <c r="S49" s="408"/>
      <c r="T49" s="31"/>
      <c r="U49" s="441">
        <v>6</v>
      </c>
      <c r="V49" s="441">
        <v>3</v>
      </c>
      <c r="W49" s="441">
        <v>0</v>
      </c>
      <c r="X49" s="308"/>
      <c r="Y49" s="231" t="str">
        <f t="shared" si="31"/>
        <v>Chica 1</v>
      </c>
      <c r="Z49" s="231" t="str">
        <f t="shared" si="32"/>
        <v>Baja</v>
      </c>
      <c r="AA49" s="231" t="str">
        <f t="shared" si="33"/>
        <v>Baja</v>
      </c>
      <c r="AB49" s="231" t="str">
        <f t="shared" si="34"/>
        <v>Baja</v>
      </c>
      <c r="AC49" s="231" t="str">
        <f t="shared" si="35"/>
        <v>Baja</v>
      </c>
      <c r="AD49" s="231" t="str">
        <f t="shared" si="36"/>
        <v>Baja</v>
      </c>
      <c r="AE49" s="231" t="str">
        <f t="shared" si="37"/>
        <v>Baja</v>
      </c>
      <c r="AF49" s="231" t="str">
        <f t="shared" si="38"/>
        <v>Baja</v>
      </c>
      <c r="AG49" s="231" t="str">
        <f t="shared" si="39"/>
        <v>Baja</v>
      </c>
      <c r="AH49" s="233"/>
      <c r="AI49" s="232">
        <f>IF(Y49=Modelo!$F$7,Modelo!$H$7,IF(Y49=Modelo!$F$8,Modelo!$H$8,IF(Y49=Modelo!$F$9,Modelo!$H$9,IF(Y49=Modelo!$F$10,Modelo!$H$10,IF(Y49=Modelo!$F$11,Modelo!$H$11,IF(Y49=Modelo!$F$12,Modelo!$H$12,IF(Y49=Modelo!$F$13,Modelo!$H$13,IF(Y49=Modelo!$F$14,Modelo!$H$14,IF(Y49=Modelo!$F$15,Modelo!$H$15,IF(Y49=Modelo!$F$16,Modelo!$H$16,IF(Y49=Modelo!$F$17,Modelo!$H$17,IF(Y49=Modelo!$F$18,Modelo!$H$18,IF(Y49=Modelo!$F$19,Modelo!$H$19,IF(Y49=Modelo!$F$20,Modelo!$H$20,IF(Y49=Modelo!$F$21,Modelo!$H$21,IF(Y49=Modelo!$F$22,Modelo!$H$22,0))))))))))))))))</f>
        <v>0.30000000000000004</v>
      </c>
      <c r="AJ49" s="232">
        <f>IF(Y49=Modelo!$F$7,Modelo!$I$7,IF(Y49=Modelo!$F$8,Modelo!$I$8,IF(Y49=Modelo!$F$9,Modelo!$I$9,IF(Y49=Modelo!$F$10,Modelo!$I$10,IF(Y49=Modelo!$F$11,Modelo!$I$11,IF(Y49=Modelo!$F$12,Modelo!$I$12,IF(Y49=Modelo!$F$13,Modelo!$I$13,IF(Y49=Modelo!$F$14,Modelo!$I$14,IF(Y49=Modelo!$F$15,Modelo!$I$15,IF(Y49=Modelo!$F$16,Modelo!$I$16,IF(Y49=Modelo!$F$17,Modelo!$I$17,IF(Y49=Modelo!$F$18,Modelo!$I$18,IF(Y49=Modelo!$F$19,Modelo!$I$19,IF(Y49=Modelo!$F$20,Modelo!$I$20,IF(Y49=Modelo!$F$21,Modelo!$I$21,IF(Y49=Modelo!$F$22,Modelo!$I$22,0))))))))))))))))</f>
        <v>0.1</v>
      </c>
      <c r="AK49" s="232">
        <f>IF(Z49=Modelo!$F$23,Modelo!$H$23,IF(Z49=Modelo!$F$24,Modelo!$H$24,IF(Z49=Modelo!$F$25,Modelo!$H$25,0)))</f>
        <v>1</v>
      </c>
      <c r="AL49" s="232">
        <f>IF(AA49=Modelo!$F$26,Modelo!$H$26,IF(AA49=Modelo!$F$27,Modelo!$H$27,IF(AA49=Modelo!$F$28,Modelo!$H$28,0)))</f>
        <v>0.1</v>
      </c>
      <c r="AM49" s="232">
        <f>IF(AB49=Modelo!$F$30,Modelo!$H$30,IF(AB49=Modelo!$F$31,Modelo!$H$31,IF(AB49=Modelo!$F$32,Modelo!$H$32,0)))</f>
        <v>0.8</v>
      </c>
      <c r="AN49" s="232">
        <f>IF(AC49=Modelo!$F$33,Modelo!$H$33,IF(AC49=Modelo!$F$34,Modelo!$H$34,IF(AC49=Modelo!$F$35,Modelo!$H$35,0)))</f>
        <v>0.3</v>
      </c>
      <c r="AO49" s="232">
        <f>IF(AD49=Modelo!$F$37,Modelo!$H$37,IF(AD49=Modelo!$F$38,Modelo!$H$38,IF(AD49=Modelo!$F$39,Modelo!$H$39,0)))</f>
        <v>0.8</v>
      </c>
      <c r="AP49" s="232">
        <f>IF(AE49=Modelo!$F$40,Modelo!$H$40,IF(AE49=Modelo!$F$41,Modelo!$H$41,IF(AE49=Modelo!$F$42,Modelo!$H$42,0)))</f>
        <v>0.4</v>
      </c>
      <c r="AQ49" s="231">
        <f>IF(C49=Modelo!$F$44,Modelo!$H$44,IF(C49=Modelo!$F$45,Modelo!$H$45,IF(C49=Modelo!$F$46,Modelo!$H$46,IF(C49=Modelo!$F$47,Modelo!$H$47,IF(C49=Modelo!$F$48,Modelo!$H$48,IF(C49=Modelo!$F$49,Modelo!$H$49,IF(C49=Modelo!$F$50,Modelo!$H$50,IF(C49=Modelo!$F$51,Modelo!$H$51,IF(C49=Modelo!$F$52,Modelo!$H$52,IF(C49=Modelo!$F$53,Modelo!$H$53,0))))))))))</f>
        <v>1.4</v>
      </c>
      <c r="AR49" s="232">
        <f>IF(AF49=Modelo!$F$54,Modelo!$H$54,IF(AF49=Modelo!$F$55,Modelo!$H$55,IF(AF49=Modelo!$F$56,Modelo!$H$56,0)))</f>
        <v>1</v>
      </c>
      <c r="AS49" s="232">
        <f>IF(AG49=Modelo!$F$58,Modelo!$H$58,IF(AG49=Modelo!$F$59,Modelo!$H$59,IF(AG49=Modelo!$F$60,Modelo!$H$60,0)))</f>
        <v>0.9</v>
      </c>
      <c r="AT49" s="233"/>
      <c r="AU49" s="228">
        <f>Modelo!$H$2</f>
        <v>0.05</v>
      </c>
      <c r="AV49" s="229">
        <f>ROUNDUP(Modelo!$I$2*Modelo!$H$3*Modelo!$I$75,2)</f>
        <v>0.02</v>
      </c>
      <c r="AW49" s="230">
        <f>ROUNDUP(Modelo!$I$2*Modelo!$H$3*Modelo!$H$4*Modelo!$I$75,3)</f>
        <v>3.0000000000000001E-3</v>
      </c>
      <c r="AX49" s="228">
        <f>Modelo!$H$5</f>
        <v>0.04</v>
      </c>
      <c r="AY49" s="228">
        <f>ROUNDUP(SUM(AZ49,BB49,BD49,BF49)*Modelo!$H$6,1)</f>
        <v>1</v>
      </c>
      <c r="AZ49" s="228">
        <f>ROUNDUP((AI49*AK49+0.1)*Modelo!$I$75,1)</f>
        <v>0.4</v>
      </c>
      <c r="BA49" s="228">
        <f>ROUNDUP(AJ49*AK49*AL49*Modelo!$I$75,1)</f>
        <v>0.1</v>
      </c>
      <c r="BB49" s="228">
        <f>ROUNDUP(V49*Modelo!$H$29*AM49*Modelo!$I$75*2/3,1)</f>
        <v>1.6</v>
      </c>
      <c r="BC49" s="228">
        <f>ROUNDUP(V49*Modelo!$H$29*AM49*AN49*Modelo!$I$75*2/3,1)</f>
        <v>0.5</v>
      </c>
      <c r="BD49" s="228">
        <f>ROUNDUP(V49*Modelo!$H$29*AM49*Modelo!$I$75/3,1)</f>
        <v>0.8</v>
      </c>
      <c r="BE49" s="228">
        <f>ROUNDUP(V49*Modelo!$H$29*AM49*AN49*Modelo!$I$75/3,1)</f>
        <v>0.30000000000000004</v>
      </c>
      <c r="BF49" s="228">
        <f>ROUNDUP(W49*Modelo!$H$36*AO49*Modelo!$I$75,1)</f>
        <v>0</v>
      </c>
      <c r="BG49" s="228">
        <f>ROUNDUP(W49*Modelo!$H$36*AO49*AP49*Modelo!$I$75,1)</f>
        <v>0</v>
      </c>
      <c r="BH49" s="228">
        <f>Modelo!$H$43</f>
        <v>0.04</v>
      </c>
      <c r="BI49" s="228">
        <f>ROUNDUP(SUM(ROUNDUP(AI49*AK49+0.1,1),ROUNDUP(V49*Modelo!$H$29*AM49,1),ROUNDUP(W49*Modelo!$H$36*AO49,1))*AR49*AQ49*Modelo!$I$75,1)</f>
        <v>4</v>
      </c>
      <c r="BJ49" s="228">
        <f t="shared" ref="BJ49:BJ50" si="102">IF(K$31="x",0, BI49*0.1*1.25)</f>
        <v>0</v>
      </c>
      <c r="BK49" s="228">
        <f t="shared" ref="BK49:BK50" si="103">IF(Q49="x",(BI49)*0.1,0)</f>
        <v>0</v>
      </c>
      <c r="BL49" s="228">
        <f t="shared" ref="BL49:BL50" si="104">IF(R49="x",(BI49)*0.12,0)</f>
        <v>0</v>
      </c>
      <c r="BM49" s="228">
        <f t="shared" ref="BM49:BM50" si="105">IF(S49="x",(BI49)*0.12,0)*4</f>
        <v>0</v>
      </c>
      <c r="BN49" s="228">
        <f>ROUNDUP(SUM(ROUNDUP(AI49*AK49+0.1,1),ROUNDUP(V49*Modelo!$H$29*AM49,1),ROUNDUP(W49*Modelo!$H$36*AO49,1))*AQ49*AS49*Modelo!$H$57,1)</f>
        <v>1.6</v>
      </c>
      <c r="BO49" s="228">
        <f t="shared" ref="BO49:BO50" si="106">BI49*0.1
+IF(K$15="x",0,BI49*0.05)
+IF(K$27="x",0,BI49*0.2)
+IF(K$28="x",0,BI49*0.5)
+IF(OR(K$29="x",K$30="x"),0,BI49*0.05)
+IF(K$31="x",0,BI49*0.3)
+IF(Q49="x",0,BI49*0.5)
+IF(OR(R49="x",S49="x"),0,BI49*0.15)</f>
        <v>3.8000000000000003</v>
      </c>
      <c r="BP49" s="228">
        <f>Modelo!$H$61</f>
        <v>0.04</v>
      </c>
      <c r="BQ49" s="228">
        <f>ROUNDUP(SUM(ROUNDUP(AI49*AK49+0.1,1),ROUNDUP(V49*Modelo!$H$29*AM49,1),ROUNDUP(W49*Modelo!$H$36*AO49,1))*Modelo!$H$62*Modelo!$I$75,1)</f>
        <v>0.2</v>
      </c>
      <c r="BR49" s="228">
        <f>ROUNDUP(ROUNDUP(SUM(ROUNDUP(AI49*AK49+0.1,1),ROUNDUP(V49*Modelo!$H$29*AM49,1),ROUNDUP(W49*Modelo!$H$36*AO49,1))*Modelo!$H$62,1)*Modelo!$H$63*Modelo!$I$75,1)</f>
        <v>0.1</v>
      </c>
      <c r="BS49" s="228">
        <f>SUM(ROUNDUP(AI49*AK49+0.1,1),ROUNDUP(V49*Modelo!$H$29*AM49,1),ROUNDUP(W49*Modelo!$H$36*AO49,1))*Modelo!$H$64*Modelo!$I$75</f>
        <v>0.55999999999999994</v>
      </c>
      <c r="BT49" s="228">
        <f>ROUNDUP(SUM(ROUNDUP(AI49*AK49+0.1,1),ROUNDUP(V49*Modelo!$H$29*AM49,1),ROUNDUP(W49*Modelo!$H$36*AO49,1))*Modelo!$H$64*Modelo!$H$65*Modelo!$I$75,1)</f>
        <v>0.30000000000000004</v>
      </c>
      <c r="BU49" s="228">
        <f>Modelo!$H$66</f>
        <v>0.04</v>
      </c>
      <c r="BV49" s="228">
        <f>ROUNDUP(SUM(ROUNDUP(AI49*AK49+0.1,1),ROUNDUP(V49*Modelo!$H$29*AM49,1),ROUNDUP(W49*Modelo!$H$36*AO49,1))*Modelo!$H$69,1)</f>
        <v>0.7</v>
      </c>
      <c r="BW49" s="228">
        <f>ROUNDUP(ROUNDUP(SUM(ROUNDUP(AI49*AK49+0.1,1),ROUNDUP(V49*Modelo!$H$29*AM49,1),ROUNDUP(W49*Modelo!$H$36*AO49,1))*Modelo!$H$62,1)*Modelo!$H$71,1)</f>
        <v>0.4</v>
      </c>
      <c r="BX49" s="227">
        <f t="shared" si="40"/>
        <v>16.592999999999996</v>
      </c>
      <c r="BZ49" s="236">
        <f t="shared" ref="BZ49:BZ50" si="107">CA49*0.85</f>
        <v>4.76</v>
      </c>
      <c r="CA49" s="31">
        <f t="shared" ref="CA49:CA50" si="108">O49</f>
        <v>5.6</v>
      </c>
      <c r="CB49" s="236">
        <f t="shared" ref="CB49:CB50" si="109">IF(CA49=0,1,CA49*1.4)</f>
        <v>7.839999999999999</v>
      </c>
      <c r="CD49" s="420">
        <v>0</v>
      </c>
      <c r="CF49" s="236">
        <f t="shared" ref="CF49:CF50" si="110">IF(CC49&lt;&gt;"",CC49,CD49)</f>
        <v>0</v>
      </c>
    </row>
    <row r="50" spans="3:84" s="236" customFormat="1" ht="128.25" thickBot="1" x14ac:dyDescent="0.25">
      <c r="C50" s="454" t="s">
        <v>96</v>
      </c>
      <c r="D50" s="169" t="s">
        <v>80</v>
      </c>
      <c r="E50" s="169" t="str">
        <f t="shared" ref="E50:E52" si="111">IF(U50&gt;50,"A",IF(U50&gt;15,"M","B"))</f>
        <v>B</v>
      </c>
      <c r="F50" s="169" t="s">
        <v>459</v>
      </c>
      <c r="G50" s="169" t="s">
        <v>459</v>
      </c>
      <c r="H50" s="169" t="str">
        <f t="shared" ref="H50:H52" si="112">IF(V50+W50&gt;20,"A",IF(V50+W50&gt;5,"M","B"))</f>
        <v>B</v>
      </c>
      <c r="I50" s="169" t="str">
        <f t="shared" ref="I50:I52" si="113">IF(V50+W50&gt;15,"A",IF(V50+W50&gt;4,"M","B"))</f>
        <v>B</v>
      </c>
      <c r="J50" s="225">
        <f t="shared" ref="J50:J52" si="114">V50+W50</f>
        <v>3</v>
      </c>
      <c r="K50" s="183" t="str">
        <f t="shared" ref="K50:K52" si="115">Y50</f>
        <v>Chica 1</v>
      </c>
      <c r="L50" s="446" t="s">
        <v>579</v>
      </c>
      <c r="M50" s="162">
        <f t="shared" si="29"/>
        <v>4</v>
      </c>
      <c r="N50" s="162">
        <f t="shared" ref="N50:N52" si="116">BN50</f>
        <v>1.6</v>
      </c>
      <c r="O50" s="349">
        <f t="shared" ref="O50:O52" si="117">SUM(M50,N50)</f>
        <v>5.6</v>
      </c>
      <c r="Q50" s="408"/>
      <c r="R50" s="408"/>
      <c r="S50" s="408"/>
      <c r="T50" s="31"/>
      <c r="U50" s="441">
        <v>6</v>
      </c>
      <c r="V50" s="441">
        <v>3</v>
      </c>
      <c r="W50" s="441">
        <v>0</v>
      </c>
      <c r="X50" s="308"/>
      <c r="Y50" s="231" t="str">
        <f t="shared" ref="Y50:Y52" si="118">IF(AND(U50&gt;=0,U50&lt;=6),"Chica 1",IF(AND(U50&gt;=7,U50&lt;=12),"Chica 2",IF(AND(U50&gt;=13,U50&lt;=18),"Chica 3",IF(AND(U50&gt;=19,U50&lt;=24),"Chica 4",IF(AND(U50&gt;=25,U50&lt;=30),"Mediana 1",IF(AND(U50&gt;=31,U50&lt;=36),"Mediana 2",IF(AND(U50&gt;=37,U50&lt;=42),"Mediana 3",IF(AND(U50&gt;=43,U50&lt;=48),"Mediana 4",IF(AND(U50&gt;=49,U50&lt;=54),"Grande 1",IF(AND(U50&gt;=55,U50&lt;=60),"Grande 2",IF(AND(U50&gt;=61,U50&lt;=66),"Grande 3",IF(AND(U50&gt;=67,U50&lt;=72),"Grande 4",IF(AND(U50&gt;=73,U50&lt;=78),"M. grande 1",IF(AND(U50&gt;=79,U50&lt;=84),"M. grande 2",IF(AND(U50&gt;=85,U50&lt;=90),"M. grande 3",IF(AND(U50&gt;=91,U50&lt;=96),"M. grande 4","NO DEF"))))))))))))))))</f>
        <v>Chica 1</v>
      </c>
      <c r="Z50" s="231" t="str">
        <f t="shared" ref="Z50:Z52" si="119">IF(E50="A","Alta",IF(E50="M","Media","Baja"))</f>
        <v>Baja</v>
      </c>
      <c r="AA50" s="231" t="str">
        <f t="shared" ref="AA50:AA52" si="120">IF(E50="A","Alta",IF(E50="M","Media","Baja"))</f>
        <v>Baja</v>
      </c>
      <c r="AB50" s="231" t="str">
        <f t="shared" ref="AB50:AB52" si="121">IF(F50="A","Alta",IF(F50="M","Media","Baja"))</f>
        <v>Baja</v>
      </c>
      <c r="AC50" s="231" t="str">
        <f t="shared" ref="AC50:AC52" si="122">IF(F50="A","Alta",IF(F50="M","Media","Baja"))</f>
        <v>Baja</v>
      </c>
      <c r="AD50" s="231" t="str">
        <f t="shared" ref="AD50:AD52" si="123">IF(G50="A","Alta",IF(G50="M","Media","Baja"))</f>
        <v>Baja</v>
      </c>
      <c r="AE50" s="231" t="str">
        <f t="shared" ref="AE50:AE52" si="124">IF(G50="A","Alta",IF(G50="M","Media","Baja"))</f>
        <v>Baja</v>
      </c>
      <c r="AF50" s="231" t="str">
        <f t="shared" ref="AF50:AF52" si="125">IF(H50="A","Alta",IF(H50="M","Media","Baja"))</f>
        <v>Baja</v>
      </c>
      <c r="AG50" s="231" t="str">
        <f t="shared" ref="AG50:AG52" si="126">IF(I50="A","Alta",IF(I50="M","Media","Baja"))</f>
        <v>Baja</v>
      </c>
      <c r="AH50" s="233"/>
      <c r="AI50" s="232">
        <f>IF(Y50=Modelo!$F$7,Modelo!$H$7,IF(Y50=Modelo!$F$8,Modelo!$H$8,IF(Y50=Modelo!$F$9,Modelo!$H$9,IF(Y50=Modelo!$F$10,Modelo!$H$10,IF(Y50=Modelo!$F$11,Modelo!$H$11,IF(Y50=Modelo!$F$12,Modelo!$H$12,IF(Y50=Modelo!$F$13,Modelo!$H$13,IF(Y50=Modelo!$F$14,Modelo!$H$14,IF(Y50=Modelo!$F$15,Modelo!$H$15,IF(Y50=Modelo!$F$16,Modelo!$H$16,IF(Y50=Modelo!$F$17,Modelo!$H$17,IF(Y50=Modelo!$F$18,Modelo!$H$18,IF(Y50=Modelo!$F$19,Modelo!$H$19,IF(Y50=Modelo!$F$20,Modelo!$H$20,IF(Y50=Modelo!$F$21,Modelo!$H$21,IF(Y50=Modelo!$F$22,Modelo!$H$22,0))))))))))))))))</f>
        <v>0.30000000000000004</v>
      </c>
      <c r="AJ50" s="232">
        <f>IF(Y50=Modelo!$F$7,Modelo!$I$7,IF(Y50=Modelo!$F$8,Modelo!$I$8,IF(Y50=Modelo!$F$9,Modelo!$I$9,IF(Y50=Modelo!$F$10,Modelo!$I$10,IF(Y50=Modelo!$F$11,Modelo!$I$11,IF(Y50=Modelo!$F$12,Modelo!$I$12,IF(Y50=Modelo!$F$13,Modelo!$I$13,IF(Y50=Modelo!$F$14,Modelo!$I$14,IF(Y50=Modelo!$F$15,Modelo!$I$15,IF(Y50=Modelo!$F$16,Modelo!$I$16,IF(Y50=Modelo!$F$17,Modelo!$I$17,IF(Y50=Modelo!$F$18,Modelo!$I$18,IF(Y50=Modelo!$F$19,Modelo!$I$19,IF(Y50=Modelo!$F$20,Modelo!$I$20,IF(Y50=Modelo!$F$21,Modelo!$I$21,IF(Y50=Modelo!$F$22,Modelo!$I$22,0))))))))))))))))</f>
        <v>0.1</v>
      </c>
      <c r="AK50" s="232">
        <f>IF(Z50=Modelo!$F$23,Modelo!$H$23,IF(Z50=Modelo!$F$24,Modelo!$H$24,IF(Z50=Modelo!$F$25,Modelo!$H$25,0)))</f>
        <v>1</v>
      </c>
      <c r="AL50" s="232">
        <f>IF(AA50=Modelo!$F$26,Modelo!$H$26,IF(AA50=Modelo!$F$27,Modelo!$H$27,IF(AA50=Modelo!$F$28,Modelo!$H$28,0)))</f>
        <v>0.1</v>
      </c>
      <c r="AM50" s="232">
        <f>IF(AB50=Modelo!$F$30,Modelo!$H$30,IF(AB50=Modelo!$F$31,Modelo!$H$31,IF(AB50=Modelo!$F$32,Modelo!$H$32,0)))</f>
        <v>0.8</v>
      </c>
      <c r="AN50" s="232">
        <f>IF(AC50=Modelo!$F$33,Modelo!$H$33,IF(AC50=Modelo!$F$34,Modelo!$H$34,IF(AC50=Modelo!$F$35,Modelo!$H$35,0)))</f>
        <v>0.3</v>
      </c>
      <c r="AO50" s="232">
        <f>IF(AD50=Modelo!$F$37,Modelo!$H$37,IF(AD50=Modelo!$F$38,Modelo!$H$38,IF(AD50=Modelo!$F$39,Modelo!$H$39,0)))</f>
        <v>0.8</v>
      </c>
      <c r="AP50" s="232">
        <f>IF(AE50=Modelo!$F$40,Modelo!$H$40,IF(AE50=Modelo!$F$41,Modelo!$H$41,IF(AE50=Modelo!$F$42,Modelo!$H$42,0)))</f>
        <v>0.4</v>
      </c>
      <c r="AQ50" s="231">
        <f>IF(C50=Modelo!$F$44,Modelo!$H$44,IF(C50=Modelo!$F$45,Modelo!$H$45,IF(C50=Modelo!$F$46,Modelo!$H$46,IF(C50=Modelo!$F$47,Modelo!$H$47,IF(C50=Modelo!$F$48,Modelo!$H$48,IF(C50=Modelo!$F$49,Modelo!$H$49,IF(C50=Modelo!$F$50,Modelo!$H$50,IF(C50=Modelo!$F$51,Modelo!$H$51,IF(C50=Modelo!$F$52,Modelo!$H$52,IF(C50=Modelo!$F$53,Modelo!$H$53,0))))))))))</f>
        <v>1.4</v>
      </c>
      <c r="AR50" s="232">
        <f>IF(AF50=Modelo!$F$54,Modelo!$H$54,IF(AF50=Modelo!$F$55,Modelo!$H$55,IF(AF50=Modelo!$F$56,Modelo!$H$56,0)))</f>
        <v>1</v>
      </c>
      <c r="AS50" s="232">
        <f>IF(AG50=Modelo!$F$58,Modelo!$H$58,IF(AG50=Modelo!$F$59,Modelo!$H$59,IF(AG50=Modelo!$F$60,Modelo!$H$60,0)))</f>
        <v>0.9</v>
      </c>
      <c r="AT50" s="233"/>
      <c r="AU50" s="228">
        <f>Modelo!$H$2</f>
        <v>0.05</v>
      </c>
      <c r="AV50" s="229">
        <f>ROUNDUP(Modelo!$I$2*Modelo!$H$3*Modelo!$I$75,2)</f>
        <v>0.02</v>
      </c>
      <c r="AW50" s="230">
        <f>ROUNDUP(Modelo!$I$2*Modelo!$H$3*Modelo!$H$4*Modelo!$I$75,3)</f>
        <v>3.0000000000000001E-3</v>
      </c>
      <c r="AX50" s="228">
        <f>Modelo!$H$5</f>
        <v>0.04</v>
      </c>
      <c r="AY50" s="228">
        <f>ROUNDUP(SUM(AZ50,BB50,BD50,BF50)*Modelo!$H$6,1)</f>
        <v>1</v>
      </c>
      <c r="AZ50" s="228">
        <f>ROUNDUP((AI50*AK50+0.1)*Modelo!$I$75,1)</f>
        <v>0.4</v>
      </c>
      <c r="BA50" s="228">
        <f>ROUNDUP(AJ50*AK50*AL50*Modelo!$I$75,1)</f>
        <v>0.1</v>
      </c>
      <c r="BB50" s="228">
        <f>ROUNDUP(V50*Modelo!$H$29*AM50*Modelo!$I$75*2/3,1)</f>
        <v>1.6</v>
      </c>
      <c r="BC50" s="228">
        <f>ROUNDUP(V50*Modelo!$H$29*AM50*AN50*Modelo!$I$75*2/3,1)</f>
        <v>0.5</v>
      </c>
      <c r="BD50" s="228">
        <f>ROUNDUP(V50*Modelo!$H$29*AM50*Modelo!$I$75/3,1)</f>
        <v>0.8</v>
      </c>
      <c r="BE50" s="228">
        <f>ROUNDUP(V50*Modelo!$H$29*AM50*AN50*Modelo!$I$75/3,1)</f>
        <v>0.30000000000000004</v>
      </c>
      <c r="BF50" s="228">
        <f>ROUNDUP(W50*Modelo!$H$36*AO50*Modelo!$I$75,1)</f>
        <v>0</v>
      </c>
      <c r="BG50" s="228">
        <f>ROUNDUP(W50*Modelo!$H$36*AO50*AP50*Modelo!$I$75,1)</f>
        <v>0</v>
      </c>
      <c r="BH50" s="228">
        <f>Modelo!$H$43</f>
        <v>0.04</v>
      </c>
      <c r="BI50" s="228">
        <f>ROUNDUP(SUM(ROUNDUP(AI50*AK50+0.1,1),ROUNDUP(V50*Modelo!$H$29*AM50,1),ROUNDUP(W50*Modelo!$H$36*AO50,1))*AR50*AQ50*Modelo!$I$75,1)</f>
        <v>4</v>
      </c>
      <c r="BJ50" s="228">
        <f t="shared" si="102"/>
        <v>0</v>
      </c>
      <c r="BK50" s="228">
        <f t="shared" si="103"/>
        <v>0</v>
      </c>
      <c r="BL50" s="228">
        <f t="shared" si="104"/>
        <v>0</v>
      </c>
      <c r="BM50" s="228">
        <f t="shared" si="105"/>
        <v>0</v>
      </c>
      <c r="BN50" s="228">
        <f>ROUNDUP(SUM(ROUNDUP(AI50*AK50+0.1,1),ROUNDUP(V50*Modelo!$H$29*AM50,1),ROUNDUP(W50*Modelo!$H$36*AO50,1))*AQ50*AS50*Modelo!$H$57,1)</f>
        <v>1.6</v>
      </c>
      <c r="BO50" s="228">
        <f t="shared" si="106"/>
        <v>3.8000000000000003</v>
      </c>
      <c r="BP50" s="228">
        <f>Modelo!$H$61</f>
        <v>0.04</v>
      </c>
      <c r="BQ50" s="228">
        <f>ROUNDUP(SUM(ROUNDUP(AI50*AK50+0.1,1),ROUNDUP(V50*Modelo!$H$29*AM50,1),ROUNDUP(W50*Modelo!$H$36*AO50,1))*Modelo!$H$62*Modelo!$I$75,1)</f>
        <v>0.2</v>
      </c>
      <c r="BR50" s="228">
        <f>ROUNDUP(ROUNDUP(SUM(ROUNDUP(AI50*AK50+0.1,1),ROUNDUP(V50*Modelo!$H$29*AM50,1),ROUNDUP(W50*Modelo!$H$36*AO50,1))*Modelo!$H$62,1)*Modelo!$H$63*Modelo!$I$75,1)</f>
        <v>0.1</v>
      </c>
      <c r="BS50" s="228">
        <f>SUM(ROUNDUP(AI50*AK50+0.1,1),ROUNDUP(V50*Modelo!$H$29*AM50,1),ROUNDUP(W50*Modelo!$H$36*AO50,1))*Modelo!$H$64*Modelo!$I$75</f>
        <v>0.55999999999999994</v>
      </c>
      <c r="BT50" s="228">
        <f>ROUNDUP(SUM(ROUNDUP(AI50*AK50+0.1,1),ROUNDUP(V50*Modelo!$H$29*AM50,1),ROUNDUP(W50*Modelo!$H$36*AO50,1))*Modelo!$H$64*Modelo!$H$65*Modelo!$I$75,1)</f>
        <v>0.30000000000000004</v>
      </c>
      <c r="BU50" s="228">
        <f>Modelo!$H$66</f>
        <v>0.04</v>
      </c>
      <c r="BV50" s="228">
        <f>ROUNDUP(SUM(ROUNDUP(AI50*AK50+0.1,1),ROUNDUP(V50*Modelo!$H$29*AM50,1),ROUNDUP(W50*Modelo!$H$36*AO50,1))*Modelo!$H$69,1)</f>
        <v>0.7</v>
      </c>
      <c r="BW50" s="228">
        <f>ROUNDUP(ROUNDUP(SUM(ROUNDUP(AI50*AK50+0.1,1),ROUNDUP(V50*Modelo!$H$29*AM50,1),ROUNDUP(W50*Modelo!$H$36*AO50,1))*Modelo!$H$62,1)*Modelo!$H$71,1)</f>
        <v>0.4</v>
      </c>
      <c r="BX50" s="227">
        <f t="shared" ref="BX50:BX52" si="127">SUM(AU50:BW50)</f>
        <v>16.592999999999996</v>
      </c>
      <c r="BZ50" s="236">
        <f t="shared" si="107"/>
        <v>4.76</v>
      </c>
      <c r="CA50" s="31">
        <f t="shared" si="108"/>
        <v>5.6</v>
      </c>
      <c r="CB50" s="236">
        <f t="shared" si="109"/>
        <v>7.839999999999999</v>
      </c>
      <c r="CD50" s="420">
        <v>0</v>
      </c>
      <c r="CF50" s="236">
        <f t="shared" si="110"/>
        <v>0</v>
      </c>
    </row>
    <row r="51" spans="3:84" s="236" customFormat="1" ht="26.25" thickBot="1" x14ac:dyDescent="0.25">
      <c r="C51" s="454" t="s">
        <v>96</v>
      </c>
      <c r="D51" s="169" t="s">
        <v>80</v>
      </c>
      <c r="E51" s="169" t="str">
        <f t="shared" si="111"/>
        <v>B</v>
      </c>
      <c r="F51" s="169" t="s">
        <v>459</v>
      </c>
      <c r="G51" s="169" t="s">
        <v>459</v>
      </c>
      <c r="H51" s="169" t="str">
        <f t="shared" si="112"/>
        <v>B</v>
      </c>
      <c r="I51" s="169" t="str">
        <f t="shared" si="113"/>
        <v>B</v>
      </c>
      <c r="J51" s="225">
        <f t="shared" si="114"/>
        <v>3</v>
      </c>
      <c r="K51" s="183" t="str">
        <f t="shared" si="115"/>
        <v>Chica 1</v>
      </c>
      <c r="L51" s="161" t="s">
        <v>580</v>
      </c>
      <c r="M51" s="162">
        <f t="shared" si="29"/>
        <v>4</v>
      </c>
      <c r="N51" s="162">
        <f t="shared" si="116"/>
        <v>1.6</v>
      </c>
      <c r="O51" s="349">
        <f t="shared" si="117"/>
        <v>5.6</v>
      </c>
      <c r="Q51" s="408"/>
      <c r="R51" s="408"/>
      <c r="S51" s="408"/>
      <c r="T51" s="31"/>
      <c r="U51" s="441">
        <v>6</v>
      </c>
      <c r="V51" s="441">
        <v>3</v>
      </c>
      <c r="W51" s="441">
        <v>0</v>
      </c>
      <c r="X51" s="308"/>
      <c r="Y51" s="231" t="str">
        <f t="shared" si="118"/>
        <v>Chica 1</v>
      </c>
      <c r="Z51" s="231" t="str">
        <f t="shared" si="119"/>
        <v>Baja</v>
      </c>
      <c r="AA51" s="231" t="str">
        <f t="shared" si="120"/>
        <v>Baja</v>
      </c>
      <c r="AB51" s="231" t="str">
        <f t="shared" si="121"/>
        <v>Baja</v>
      </c>
      <c r="AC51" s="231" t="str">
        <f t="shared" si="122"/>
        <v>Baja</v>
      </c>
      <c r="AD51" s="231" t="str">
        <f t="shared" si="123"/>
        <v>Baja</v>
      </c>
      <c r="AE51" s="231" t="str">
        <f t="shared" si="124"/>
        <v>Baja</v>
      </c>
      <c r="AF51" s="231" t="str">
        <f t="shared" si="125"/>
        <v>Baja</v>
      </c>
      <c r="AG51" s="231" t="str">
        <f t="shared" si="126"/>
        <v>Baja</v>
      </c>
      <c r="AH51" s="233"/>
      <c r="AI51" s="232">
        <f>IF(Y51=Modelo!$F$7,Modelo!$H$7,IF(Y51=Modelo!$F$8,Modelo!$H$8,IF(Y51=Modelo!$F$9,Modelo!$H$9,IF(Y51=Modelo!$F$10,Modelo!$H$10,IF(Y51=Modelo!$F$11,Modelo!$H$11,IF(Y51=Modelo!$F$12,Modelo!$H$12,IF(Y51=Modelo!$F$13,Modelo!$H$13,IF(Y51=Modelo!$F$14,Modelo!$H$14,IF(Y51=Modelo!$F$15,Modelo!$H$15,IF(Y51=Modelo!$F$16,Modelo!$H$16,IF(Y51=Modelo!$F$17,Modelo!$H$17,IF(Y51=Modelo!$F$18,Modelo!$H$18,IF(Y51=Modelo!$F$19,Modelo!$H$19,IF(Y51=Modelo!$F$20,Modelo!$H$20,IF(Y51=Modelo!$F$21,Modelo!$H$21,IF(Y51=Modelo!$F$22,Modelo!$H$22,0))))))))))))))))</f>
        <v>0.30000000000000004</v>
      </c>
      <c r="AJ51" s="232">
        <f>IF(Y51=Modelo!$F$7,Modelo!$I$7,IF(Y51=Modelo!$F$8,Modelo!$I$8,IF(Y51=Modelo!$F$9,Modelo!$I$9,IF(Y51=Modelo!$F$10,Modelo!$I$10,IF(Y51=Modelo!$F$11,Modelo!$I$11,IF(Y51=Modelo!$F$12,Modelo!$I$12,IF(Y51=Modelo!$F$13,Modelo!$I$13,IF(Y51=Modelo!$F$14,Modelo!$I$14,IF(Y51=Modelo!$F$15,Modelo!$I$15,IF(Y51=Modelo!$F$16,Modelo!$I$16,IF(Y51=Modelo!$F$17,Modelo!$I$17,IF(Y51=Modelo!$F$18,Modelo!$I$18,IF(Y51=Modelo!$F$19,Modelo!$I$19,IF(Y51=Modelo!$F$20,Modelo!$I$20,IF(Y51=Modelo!$F$21,Modelo!$I$21,IF(Y51=Modelo!$F$22,Modelo!$I$22,0))))))))))))))))</f>
        <v>0.1</v>
      </c>
      <c r="AK51" s="232">
        <f>IF(Z51=Modelo!$F$23,Modelo!$H$23,IF(Z51=Modelo!$F$24,Modelo!$H$24,IF(Z51=Modelo!$F$25,Modelo!$H$25,0)))</f>
        <v>1</v>
      </c>
      <c r="AL51" s="232">
        <f>IF(AA51=Modelo!$F$26,Modelo!$H$26,IF(AA51=Modelo!$F$27,Modelo!$H$27,IF(AA51=Modelo!$F$28,Modelo!$H$28,0)))</f>
        <v>0.1</v>
      </c>
      <c r="AM51" s="232">
        <f>IF(AB51=Modelo!$F$30,Modelo!$H$30,IF(AB51=Modelo!$F$31,Modelo!$H$31,IF(AB51=Modelo!$F$32,Modelo!$H$32,0)))</f>
        <v>0.8</v>
      </c>
      <c r="AN51" s="232">
        <f>IF(AC51=Modelo!$F$33,Modelo!$H$33,IF(AC51=Modelo!$F$34,Modelo!$H$34,IF(AC51=Modelo!$F$35,Modelo!$H$35,0)))</f>
        <v>0.3</v>
      </c>
      <c r="AO51" s="232">
        <f>IF(AD51=Modelo!$F$37,Modelo!$H$37,IF(AD51=Modelo!$F$38,Modelo!$H$38,IF(AD51=Modelo!$F$39,Modelo!$H$39,0)))</f>
        <v>0.8</v>
      </c>
      <c r="AP51" s="232">
        <f>IF(AE51=Modelo!$F$40,Modelo!$H$40,IF(AE51=Modelo!$F$41,Modelo!$H$41,IF(AE51=Modelo!$F$42,Modelo!$H$42,0)))</f>
        <v>0.4</v>
      </c>
      <c r="AQ51" s="231">
        <f>IF(C51=Modelo!$F$44,Modelo!$H$44,IF(C51=Modelo!$F$45,Modelo!$H$45,IF(C51=Modelo!$F$46,Modelo!$H$46,IF(C51=Modelo!$F$47,Modelo!$H$47,IF(C51=Modelo!$F$48,Modelo!$H$48,IF(C51=Modelo!$F$49,Modelo!$H$49,IF(C51=Modelo!$F$50,Modelo!$H$50,IF(C51=Modelo!$F$51,Modelo!$H$51,IF(C51=Modelo!$F$52,Modelo!$H$52,IF(C51=Modelo!$F$53,Modelo!$H$53,0))))))))))</f>
        <v>1.4</v>
      </c>
      <c r="AR51" s="232">
        <f>IF(AF51=Modelo!$F$54,Modelo!$H$54,IF(AF51=Modelo!$F$55,Modelo!$H$55,IF(AF51=Modelo!$F$56,Modelo!$H$56,0)))</f>
        <v>1</v>
      </c>
      <c r="AS51" s="232">
        <f>IF(AG51=Modelo!$F$58,Modelo!$H$58,IF(AG51=Modelo!$F$59,Modelo!$H$59,IF(AG51=Modelo!$F$60,Modelo!$H$60,0)))</f>
        <v>0.9</v>
      </c>
      <c r="AT51" s="233"/>
      <c r="AU51" s="228">
        <f>Modelo!$H$2</f>
        <v>0.05</v>
      </c>
      <c r="AV51" s="229">
        <f>ROUNDUP(Modelo!$I$2*Modelo!$H$3*Modelo!$I$75,2)</f>
        <v>0.02</v>
      </c>
      <c r="AW51" s="230">
        <f>ROUNDUP(Modelo!$I$2*Modelo!$H$3*Modelo!$H$4*Modelo!$I$75,3)</f>
        <v>3.0000000000000001E-3</v>
      </c>
      <c r="AX51" s="228">
        <f>Modelo!$H$5</f>
        <v>0.04</v>
      </c>
      <c r="AY51" s="228">
        <f>ROUNDUP(SUM(AZ51,BB51,BD51,BF51)*Modelo!$H$6,1)</f>
        <v>1</v>
      </c>
      <c r="AZ51" s="228">
        <f>ROUNDUP((AI51*AK51+0.1)*Modelo!$I$75,1)</f>
        <v>0.4</v>
      </c>
      <c r="BA51" s="228">
        <f>ROUNDUP(AJ51*AK51*AL51*Modelo!$I$75,1)</f>
        <v>0.1</v>
      </c>
      <c r="BB51" s="228">
        <f>ROUNDUP(V51*Modelo!$H$29*AM51*Modelo!$I$75*2/3,1)</f>
        <v>1.6</v>
      </c>
      <c r="BC51" s="228">
        <f>ROUNDUP(V51*Modelo!$H$29*AM51*AN51*Modelo!$I$75*2/3,1)</f>
        <v>0.5</v>
      </c>
      <c r="BD51" s="228">
        <f>ROUNDUP(V51*Modelo!$H$29*AM51*Modelo!$I$75/3,1)</f>
        <v>0.8</v>
      </c>
      <c r="BE51" s="228">
        <f>ROUNDUP(V51*Modelo!$H$29*AM51*AN51*Modelo!$I$75/3,1)</f>
        <v>0.30000000000000004</v>
      </c>
      <c r="BF51" s="228">
        <f>ROUNDUP(W51*Modelo!$H$36*AO51*Modelo!$I$75,1)</f>
        <v>0</v>
      </c>
      <c r="BG51" s="228">
        <f>ROUNDUP(W51*Modelo!$H$36*AO51*AP51*Modelo!$I$75,1)</f>
        <v>0</v>
      </c>
      <c r="BH51" s="228">
        <f>Modelo!$H$43</f>
        <v>0.04</v>
      </c>
      <c r="BI51" s="228">
        <f>ROUNDUP(SUM(ROUNDUP(AI51*AK51+0.1,1),ROUNDUP(V51*Modelo!$H$29*AM51,1),ROUNDUP(W51*Modelo!$H$36*AO51,1))*AR51*AQ51*Modelo!$I$75,1)</f>
        <v>4</v>
      </c>
      <c r="BJ51" s="228">
        <f t="shared" ref="BJ51:BJ87" si="128">IF(K$31="x",0, BI51*0.1*1.25)</f>
        <v>0</v>
      </c>
      <c r="BK51" s="228">
        <f t="shared" ref="BK51:BK87" si="129">IF(Q51="x",(BI51)*0.1,0)</f>
        <v>0</v>
      </c>
      <c r="BL51" s="228">
        <f t="shared" ref="BL51:BL87" si="130">IF(R51="x",(BI51)*0.12,0)</f>
        <v>0</v>
      </c>
      <c r="BM51" s="228">
        <f t="shared" ref="BM51:BM87" si="131">IF(S51="x",(BI51)*0.12,0)*4</f>
        <v>0</v>
      </c>
      <c r="BN51" s="228">
        <f>ROUNDUP(SUM(ROUNDUP(AI51*AK51+0.1,1),ROUNDUP(V51*Modelo!$H$29*AM51,1),ROUNDUP(W51*Modelo!$H$36*AO51,1))*AQ51*AS51*Modelo!$H$57,1)</f>
        <v>1.6</v>
      </c>
      <c r="BO51" s="228">
        <f t="shared" ref="BO51:BO87" si="132">BI51*0.1
+IF(K$15="x",0,BI51*0.05)
+IF(K$27="x",0,BI51*0.2)
+IF(K$28="x",0,BI51*0.5)
+IF(OR(K$29="x",K$30="x"),0,BI51*0.05)
+IF(K$31="x",0,BI51*0.3)
+IF(Q51="x",0,BI51*0.5)
+IF(OR(R51="x",S51="x"),0,BI51*0.15)</f>
        <v>3.8000000000000003</v>
      </c>
      <c r="BP51" s="228">
        <f>Modelo!$H$61</f>
        <v>0.04</v>
      </c>
      <c r="BQ51" s="228">
        <f>ROUNDUP(SUM(ROUNDUP(AI51*AK51+0.1,1),ROUNDUP(V51*Modelo!$H$29*AM51,1),ROUNDUP(W51*Modelo!$H$36*AO51,1))*Modelo!$H$62*Modelo!$I$75,1)</f>
        <v>0.2</v>
      </c>
      <c r="BR51" s="228">
        <f>ROUNDUP(ROUNDUP(SUM(ROUNDUP(AI51*AK51+0.1,1),ROUNDUP(V51*Modelo!$H$29*AM51,1),ROUNDUP(W51*Modelo!$H$36*AO51,1))*Modelo!$H$62,1)*Modelo!$H$63*Modelo!$I$75,1)</f>
        <v>0.1</v>
      </c>
      <c r="BS51" s="228">
        <f>SUM(ROUNDUP(AI51*AK51+0.1,1),ROUNDUP(V51*Modelo!$H$29*AM51,1),ROUNDUP(W51*Modelo!$H$36*AO51,1))*Modelo!$H$64*Modelo!$I$75</f>
        <v>0.55999999999999994</v>
      </c>
      <c r="BT51" s="228">
        <f>ROUNDUP(SUM(ROUNDUP(AI51*AK51+0.1,1),ROUNDUP(V51*Modelo!$H$29*AM51,1),ROUNDUP(W51*Modelo!$H$36*AO51,1))*Modelo!$H$64*Modelo!$H$65*Modelo!$I$75,1)</f>
        <v>0.30000000000000004</v>
      </c>
      <c r="BU51" s="228">
        <f>Modelo!$H$66</f>
        <v>0.04</v>
      </c>
      <c r="BV51" s="228">
        <f>ROUNDUP(SUM(ROUNDUP(AI51*AK51+0.1,1),ROUNDUP(V51*Modelo!$H$29*AM51,1),ROUNDUP(W51*Modelo!$H$36*AO51,1))*Modelo!$H$69,1)</f>
        <v>0.7</v>
      </c>
      <c r="BW51" s="228">
        <f>ROUNDUP(ROUNDUP(SUM(ROUNDUP(AI51*AK51+0.1,1),ROUNDUP(V51*Modelo!$H$29*AM51,1),ROUNDUP(W51*Modelo!$H$36*AO51,1))*Modelo!$H$62,1)*Modelo!$H$71,1)</f>
        <v>0.4</v>
      </c>
      <c r="BX51" s="227">
        <f t="shared" si="127"/>
        <v>16.592999999999996</v>
      </c>
      <c r="BZ51" s="236">
        <f t="shared" ref="BZ51:BZ87" si="133">CA51*0.85</f>
        <v>4.76</v>
      </c>
      <c r="CA51" s="31">
        <f t="shared" ref="CA51:CA87" si="134">O51</f>
        <v>5.6</v>
      </c>
      <c r="CB51" s="236">
        <f t="shared" ref="CB51:CB87" si="135">IF(CA51=0,1,CA51*1.4)</f>
        <v>7.839999999999999</v>
      </c>
      <c r="CD51" s="420">
        <v>0</v>
      </c>
      <c r="CF51" s="236">
        <f t="shared" ref="CF51:CF87" si="136">IF(CC51&lt;&gt;"",CC51,CD51)</f>
        <v>0</v>
      </c>
    </row>
    <row r="52" spans="3:84" s="236" customFormat="1" ht="26.25" thickBot="1" x14ac:dyDescent="0.25">
      <c r="C52" s="454" t="s">
        <v>96</v>
      </c>
      <c r="D52" s="169" t="s">
        <v>80</v>
      </c>
      <c r="E52" s="169" t="str">
        <f t="shared" si="111"/>
        <v>B</v>
      </c>
      <c r="F52" s="169" t="s">
        <v>459</v>
      </c>
      <c r="G52" s="169" t="s">
        <v>459</v>
      </c>
      <c r="H52" s="169" t="str">
        <f t="shared" si="112"/>
        <v>B</v>
      </c>
      <c r="I52" s="169" t="str">
        <f t="shared" si="113"/>
        <v>B</v>
      </c>
      <c r="J52" s="225">
        <f t="shared" si="114"/>
        <v>2</v>
      </c>
      <c r="K52" s="183" t="str">
        <f t="shared" si="115"/>
        <v>Chica 1</v>
      </c>
      <c r="L52" s="447" t="s">
        <v>581</v>
      </c>
      <c r="M52" s="162">
        <f t="shared" si="29"/>
        <v>2.8</v>
      </c>
      <c r="N52" s="162">
        <f t="shared" si="116"/>
        <v>1.2000000000000002</v>
      </c>
      <c r="O52" s="349">
        <f t="shared" si="117"/>
        <v>4</v>
      </c>
      <c r="Q52" s="408"/>
      <c r="R52" s="408"/>
      <c r="S52" s="408"/>
      <c r="T52" s="31"/>
      <c r="U52" s="441">
        <v>6</v>
      </c>
      <c r="V52" s="441">
        <v>2</v>
      </c>
      <c r="W52" s="441">
        <v>0</v>
      </c>
      <c r="X52" s="308"/>
      <c r="Y52" s="231" t="str">
        <f t="shared" si="118"/>
        <v>Chica 1</v>
      </c>
      <c r="Z52" s="231" t="str">
        <f t="shared" si="119"/>
        <v>Baja</v>
      </c>
      <c r="AA52" s="231" t="str">
        <f t="shared" si="120"/>
        <v>Baja</v>
      </c>
      <c r="AB52" s="231" t="str">
        <f t="shared" si="121"/>
        <v>Baja</v>
      </c>
      <c r="AC52" s="231" t="str">
        <f t="shared" si="122"/>
        <v>Baja</v>
      </c>
      <c r="AD52" s="231" t="str">
        <f t="shared" si="123"/>
        <v>Baja</v>
      </c>
      <c r="AE52" s="231" t="str">
        <f t="shared" si="124"/>
        <v>Baja</v>
      </c>
      <c r="AF52" s="231" t="str">
        <f t="shared" si="125"/>
        <v>Baja</v>
      </c>
      <c r="AG52" s="231" t="str">
        <f t="shared" si="126"/>
        <v>Baja</v>
      </c>
      <c r="AH52" s="233"/>
      <c r="AI52" s="232">
        <f>IF(Y52=Modelo!$F$7,Modelo!$H$7,IF(Y52=Modelo!$F$8,Modelo!$H$8,IF(Y52=Modelo!$F$9,Modelo!$H$9,IF(Y52=Modelo!$F$10,Modelo!$H$10,IF(Y52=Modelo!$F$11,Modelo!$H$11,IF(Y52=Modelo!$F$12,Modelo!$H$12,IF(Y52=Modelo!$F$13,Modelo!$H$13,IF(Y52=Modelo!$F$14,Modelo!$H$14,IF(Y52=Modelo!$F$15,Modelo!$H$15,IF(Y52=Modelo!$F$16,Modelo!$H$16,IF(Y52=Modelo!$F$17,Modelo!$H$17,IF(Y52=Modelo!$F$18,Modelo!$H$18,IF(Y52=Modelo!$F$19,Modelo!$H$19,IF(Y52=Modelo!$F$20,Modelo!$H$20,IF(Y52=Modelo!$F$21,Modelo!$H$21,IF(Y52=Modelo!$F$22,Modelo!$H$22,0))))))))))))))))</f>
        <v>0.30000000000000004</v>
      </c>
      <c r="AJ52" s="232">
        <f>IF(Y52=Modelo!$F$7,Modelo!$I$7,IF(Y52=Modelo!$F$8,Modelo!$I$8,IF(Y52=Modelo!$F$9,Modelo!$I$9,IF(Y52=Modelo!$F$10,Modelo!$I$10,IF(Y52=Modelo!$F$11,Modelo!$I$11,IF(Y52=Modelo!$F$12,Modelo!$I$12,IF(Y52=Modelo!$F$13,Modelo!$I$13,IF(Y52=Modelo!$F$14,Modelo!$I$14,IF(Y52=Modelo!$F$15,Modelo!$I$15,IF(Y52=Modelo!$F$16,Modelo!$I$16,IF(Y52=Modelo!$F$17,Modelo!$I$17,IF(Y52=Modelo!$F$18,Modelo!$I$18,IF(Y52=Modelo!$F$19,Modelo!$I$19,IF(Y52=Modelo!$F$20,Modelo!$I$20,IF(Y52=Modelo!$F$21,Modelo!$I$21,IF(Y52=Modelo!$F$22,Modelo!$I$22,0))))))))))))))))</f>
        <v>0.1</v>
      </c>
      <c r="AK52" s="232">
        <f>IF(Z52=Modelo!$F$23,Modelo!$H$23,IF(Z52=Modelo!$F$24,Modelo!$H$24,IF(Z52=Modelo!$F$25,Modelo!$H$25,0)))</f>
        <v>1</v>
      </c>
      <c r="AL52" s="232">
        <f>IF(AA52=Modelo!$F$26,Modelo!$H$26,IF(AA52=Modelo!$F$27,Modelo!$H$27,IF(AA52=Modelo!$F$28,Modelo!$H$28,0)))</f>
        <v>0.1</v>
      </c>
      <c r="AM52" s="232">
        <f>IF(AB52=Modelo!$F$30,Modelo!$H$30,IF(AB52=Modelo!$F$31,Modelo!$H$31,IF(AB52=Modelo!$F$32,Modelo!$H$32,0)))</f>
        <v>0.8</v>
      </c>
      <c r="AN52" s="232">
        <f>IF(AC52=Modelo!$F$33,Modelo!$H$33,IF(AC52=Modelo!$F$34,Modelo!$H$34,IF(AC52=Modelo!$F$35,Modelo!$H$35,0)))</f>
        <v>0.3</v>
      </c>
      <c r="AO52" s="232">
        <f>IF(AD52=Modelo!$F$37,Modelo!$H$37,IF(AD52=Modelo!$F$38,Modelo!$H$38,IF(AD52=Modelo!$F$39,Modelo!$H$39,0)))</f>
        <v>0.8</v>
      </c>
      <c r="AP52" s="232">
        <f>IF(AE52=Modelo!$F$40,Modelo!$H$40,IF(AE52=Modelo!$F$41,Modelo!$H$41,IF(AE52=Modelo!$F$42,Modelo!$H$42,0)))</f>
        <v>0.4</v>
      </c>
      <c r="AQ52" s="231">
        <f>IF(C52=Modelo!$F$44,Modelo!$H$44,IF(C52=Modelo!$F$45,Modelo!$H$45,IF(C52=Modelo!$F$46,Modelo!$H$46,IF(C52=Modelo!$F$47,Modelo!$H$47,IF(C52=Modelo!$F$48,Modelo!$H$48,IF(C52=Modelo!$F$49,Modelo!$H$49,IF(C52=Modelo!$F$50,Modelo!$H$50,IF(C52=Modelo!$F$51,Modelo!$H$51,IF(C52=Modelo!$F$52,Modelo!$H$52,IF(C52=Modelo!$F$53,Modelo!$H$53,0))))))))))</f>
        <v>1.4</v>
      </c>
      <c r="AR52" s="232">
        <f>IF(AF52=Modelo!$F$54,Modelo!$H$54,IF(AF52=Modelo!$F$55,Modelo!$H$55,IF(AF52=Modelo!$F$56,Modelo!$H$56,0)))</f>
        <v>1</v>
      </c>
      <c r="AS52" s="232">
        <f>IF(AG52=Modelo!$F$58,Modelo!$H$58,IF(AG52=Modelo!$F$59,Modelo!$H$59,IF(AG52=Modelo!$F$60,Modelo!$H$60,0)))</f>
        <v>0.9</v>
      </c>
      <c r="AT52" s="233"/>
      <c r="AU52" s="228">
        <f>Modelo!$H$2</f>
        <v>0.05</v>
      </c>
      <c r="AV52" s="229">
        <f>ROUNDUP(Modelo!$I$2*Modelo!$H$3*Modelo!$I$75,2)</f>
        <v>0.02</v>
      </c>
      <c r="AW52" s="230">
        <f>ROUNDUP(Modelo!$I$2*Modelo!$H$3*Modelo!$H$4*Modelo!$I$75,3)</f>
        <v>3.0000000000000001E-3</v>
      </c>
      <c r="AX52" s="228">
        <f>Modelo!$H$5</f>
        <v>0.04</v>
      </c>
      <c r="AY52" s="228">
        <f>ROUNDUP(SUM(AZ52,BB52,BD52,BF52)*Modelo!$H$6,1)</f>
        <v>0.7</v>
      </c>
      <c r="AZ52" s="228">
        <f>ROUNDUP((AI52*AK52+0.1)*Modelo!$I$75,1)</f>
        <v>0.4</v>
      </c>
      <c r="BA52" s="228">
        <f>ROUNDUP(AJ52*AK52*AL52*Modelo!$I$75,1)</f>
        <v>0.1</v>
      </c>
      <c r="BB52" s="228">
        <f>ROUNDUP(V52*Modelo!$H$29*AM52*Modelo!$I$75*2/3,1)</f>
        <v>1.1000000000000001</v>
      </c>
      <c r="BC52" s="228">
        <f>ROUNDUP(V52*Modelo!$H$29*AM52*AN52*Modelo!$I$75*2/3,1)</f>
        <v>0.4</v>
      </c>
      <c r="BD52" s="228">
        <f>ROUNDUP(V52*Modelo!$H$29*AM52*Modelo!$I$75/3,1)</f>
        <v>0.6</v>
      </c>
      <c r="BE52" s="228">
        <f>ROUNDUP(V52*Modelo!$H$29*AM52*AN52*Modelo!$I$75/3,1)</f>
        <v>0.2</v>
      </c>
      <c r="BF52" s="228">
        <f>ROUNDUP(W52*Modelo!$H$36*AO52*Modelo!$I$75,1)</f>
        <v>0</v>
      </c>
      <c r="BG52" s="228">
        <f>ROUNDUP(W52*Modelo!$H$36*AO52*AP52*Modelo!$I$75,1)</f>
        <v>0</v>
      </c>
      <c r="BH52" s="228">
        <f>Modelo!$H$43</f>
        <v>0.04</v>
      </c>
      <c r="BI52" s="228">
        <f>ROUNDUP(SUM(ROUNDUP(AI52*AK52+0.1,1),ROUNDUP(V52*Modelo!$H$29*AM52,1),ROUNDUP(W52*Modelo!$H$36*AO52,1))*AR52*AQ52*Modelo!$I$75,1)</f>
        <v>2.8</v>
      </c>
      <c r="BJ52" s="228">
        <f t="shared" si="128"/>
        <v>0</v>
      </c>
      <c r="BK52" s="228">
        <f t="shared" si="129"/>
        <v>0</v>
      </c>
      <c r="BL52" s="228">
        <f t="shared" si="130"/>
        <v>0</v>
      </c>
      <c r="BM52" s="228">
        <f t="shared" si="131"/>
        <v>0</v>
      </c>
      <c r="BN52" s="228">
        <f>ROUNDUP(SUM(ROUNDUP(AI52*AK52+0.1,1),ROUNDUP(V52*Modelo!$H$29*AM52,1),ROUNDUP(W52*Modelo!$H$36*AO52,1))*AQ52*AS52*Modelo!$H$57,1)</f>
        <v>1.2000000000000002</v>
      </c>
      <c r="BO52" s="228">
        <f t="shared" si="132"/>
        <v>2.6599999999999997</v>
      </c>
      <c r="BP52" s="228">
        <f>Modelo!$H$61</f>
        <v>0.04</v>
      </c>
      <c r="BQ52" s="228">
        <f>ROUNDUP(SUM(ROUNDUP(AI52*AK52+0.1,1),ROUNDUP(V52*Modelo!$H$29*AM52,1),ROUNDUP(W52*Modelo!$H$36*AO52,1))*Modelo!$H$62*Modelo!$I$75,1)</f>
        <v>0.2</v>
      </c>
      <c r="BR52" s="228">
        <f>ROUNDUP(ROUNDUP(SUM(ROUNDUP(AI52*AK52+0.1,1),ROUNDUP(V52*Modelo!$H$29*AM52,1),ROUNDUP(W52*Modelo!$H$36*AO52,1))*Modelo!$H$62,1)*Modelo!$H$63*Modelo!$I$75,1)</f>
        <v>0.1</v>
      </c>
      <c r="BS52" s="228">
        <f>SUM(ROUNDUP(AI52*AK52+0.1,1),ROUNDUP(V52*Modelo!$H$29*AM52,1),ROUNDUP(W52*Modelo!$H$36*AO52,1))*Modelo!$H$64*Modelo!$I$75</f>
        <v>0.4</v>
      </c>
      <c r="BT52" s="228">
        <f>ROUNDUP(SUM(ROUNDUP(AI52*AK52+0.1,1),ROUNDUP(V52*Modelo!$H$29*AM52,1),ROUNDUP(W52*Modelo!$H$36*AO52,1))*Modelo!$H$64*Modelo!$H$65*Modelo!$I$75,1)</f>
        <v>0.2</v>
      </c>
      <c r="BU52" s="228">
        <f>Modelo!$H$66</f>
        <v>0.04</v>
      </c>
      <c r="BV52" s="228">
        <f>ROUNDUP(SUM(ROUNDUP(AI52*AK52+0.1,1),ROUNDUP(V52*Modelo!$H$29*AM52,1),ROUNDUP(W52*Modelo!$H$36*AO52,1))*Modelo!$H$69,1)</f>
        <v>0.5</v>
      </c>
      <c r="BW52" s="228">
        <f>ROUNDUP(ROUNDUP(SUM(ROUNDUP(AI52*AK52+0.1,1),ROUNDUP(V52*Modelo!$H$29*AM52,1),ROUNDUP(W52*Modelo!$H$36*AO52,1))*Modelo!$H$62,1)*Modelo!$H$71,1)</f>
        <v>0.4</v>
      </c>
      <c r="BX52" s="227">
        <f t="shared" si="127"/>
        <v>12.192999999999998</v>
      </c>
      <c r="BZ52" s="236">
        <f t="shared" si="133"/>
        <v>3.4</v>
      </c>
      <c r="CA52" s="31">
        <f t="shared" si="134"/>
        <v>4</v>
      </c>
      <c r="CB52" s="236">
        <f t="shared" si="135"/>
        <v>5.6</v>
      </c>
      <c r="CD52" s="420">
        <v>0</v>
      </c>
      <c r="CF52" s="236">
        <f t="shared" si="136"/>
        <v>0</v>
      </c>
    </row>
    <row r="53" spans="3:84" s="426" customFormat="1" ht="26.25" thickBot="1" x14ac:dyDescent="0.25">
      <c r="C53" s="454" t="s">
        <v>96</v>
      </c>
      <c r="D53" s="440" t="s">
        <v>80</v>
      </c>
      <c r="E53" s="440" t="str">
        <f t="shared" ref="E53:E57" si="137">IF(U53&gt;50,"A",IF(U53&gt;15,"M","B"))</f>
        <v>B</v>
      </c>
      <c r="F53" s="440" t="s">
        <v>459</v>
      </c>
      <c r="G53" s="440" t="s">
        <v>459</v>
      </c>
      <c r="H53" s="440" t="str">
        <f t="shared" ref="H53:H57" si="138">IF(V53+W53&gt;20,"A",IF(V53+W53&gt;5,"M","B"))</f>
        <v>B</v>
      </c>
      <c r="I53" s="440" t="str">
        <f t="shared" ref="I53:I57" si="139">IF(V53+W53&gt;15,"A",IF(V53+W53&gt;4,"M","B"))</f>
        <v>B</v>
      </c>
      <c r="J53" s="437">
        <f t="shared" ref="J53:J57" si="140">V53+W53</f>
        <v>3</v>
      </c>
      <c r="K53" s="436" t="str">
        <f t="shared" ref="K53:K57" si="141">Y53</f>
        <v>Chica 3</v>
      </c>
      <c r="L53" s="446" t="s">
        <v>582</v>
      </c>
      <c r="M53" s="434">
        <f t="shared" ref="M53:M57" si="142">BI53+BJ53+BK53+BL53+BM53</f>
        <v>4.8</v>
      </c>
      <c r="N53" s="434">
        <f t="shared" ref="N53:N57" si="143">BN53</f>
        <v>2</v>
      </c>
      <c r="O53" s="442">
        <f t="shared" ref="O53:O57" si="144">SUM(M53,N53)</f>
        <v>6.8</v>
      </c>
      <c r="Q53" s="408"/>
      <c r="R53" s="408"/>
      <c r="S53" s="408"/>
      <c r="T53" s="425"/>
      <c r="U53" s="441">
        <v>15</v>
      </c>
      <c r="V53" s="441">
        <v>3</v>
      </c>
      <c r="W53" s="441">
        <v>0</v>
      </c>
      <c r="X53" s="438"/>
      <c r="Y53" s="428" t="str">
        <f t="shared" ref="Y53:Y57" si="145">IF(AND(U53&gt;=0,U53&lt;=6),"Chica 1",IF(AND(U53&gt;=7,U53&lt;=12),"Chica 2",IF(AND(U53&gt;=13,U53&lt;=18),"Chica 3",IF(AND(U53&gt;=19,U53&lt;=24),"Chica 4",IF(AND(U53&gt;=25,U53&lt;=30),"Mediana 1",IF(AND(U53&gt;=31,U53&lt;=36),"Mediana 2",IF(AND(U53&gt;=37,U53&lt;=42),"Mediana 3",IF(AND(U53&gt;=43,U53&lt;=48),"Mediana 4",IF(AND(U53&gt;=49,U53&lt;=54),"Grande 1",IF(AND(U53&gt;=55,U53&lt;=60),"Grande 2",IF(AND(U53&gt;=61,U53&lt;=66),"Grande 3",IF(AND(U53&gt;=67,U53&lt;=72),"Grande 4",IF(AND(U53&gt;=73,U53&lt;=78),"M. grande 1",IF(AND(U53&gt;=79,U53&lt;=84),"M. grande 2",IF(AND(U53&gt;=85,U53&lt;=90),"M. grande 3",IF(AND(U53&gt;=91,U53&lt;=96),"M. grande 4","NO DEF"))))))))))))))))</f>
        <v>Chica 3</v>
      </c>
      <c r="Z53" s="428" t="str">
        <f t="shared" ref="Z53:Z57" si="146">IF(E53="A","Alta",IF(E53="M","Media","Baja"))</f>
        <v>Baja</v>
      </c>
      <c r="AA53" s="428" t="str">
        <f t="shared" ref="AA53:AA57" si="147">IF(E53="A","Alta",IF(E53="M","Media","Baja"))</f>
        <v>Baja</v>
      </c>
      <c r="AB53" s="428" t="str">
        <f t="shared" ref="AB53:AB57" si="148">IF(F53="A","Alta",IF(F53="M","Media","Baja"))</f>
        <v>Baja</v>
      </c>
      <c r="AC53" s="428" t="str">
        <f t="shared" ref="AC53:AC57" si="149">IF(F53="A","Alta",IF(F53="M","Media","Baja"))</f>
        <v>Baja</v>
      </c>
      <c r="AD53" s="428" t="str">
        <f t="shared" ref="AD53:AD57" si="150">IF(G53="A","Alta",IF(G53="M","Media","Baja"))</f>
        <v>Baja</v>
      </c>
      <c r="AE53" s="428" t="str">
        <f t="shared" ref="AE53:AE57" si="151">IF(G53="A","Alta",IF(G53="M","Media","Baja"))</f>
        <v>Baja</v>
      </c>
      <c r="AF53" s="428" t="str">
        <f t="shared" ref="AF53:AF57" si="152">IF(H53="A","Alta",IF(H53="M","Media","Baja"))</f>
        <v>Baja</v>
      </c>
      <c r="AG53" s="428" t="str">
        <f t="shared" ref="AG53:AG57" si="153">IF(I53="A","Alta",IF(I53="M","Media","Baja"))</f>
        <v>Baja</v>
      </c>
      <c r="AH53" s="427"/>
      <c r="AI53" s="429">
        <f>IF(Y53=Modelo!$F$7,Modelo!$H$7,IF(Y53=Modelo!$F$8,Modelo!$H$8,IF(Y53=Modelo!$F$9,Modelo!$H$9,IF(Y53=Modelo!$F$10,Modelo!$H$10,IF(Y53=Modelo!$F$11,Modelo!$H$11,IF(Y53=Modelo!$F$12,Modelo!$H$12,IF(Y53=Modelo!$F$13,Modelo!$H$13,IF(Y53=Modelo!$F$14,Modelo!$H$14,IF(Y53=Modelo!$F$15,Modelo!$H$15,IF(Y53=Modelo!$F$16,Modelo!$H$16,IF(Y53=Modelo!$F$17,Modelo!$H$17,IF(Y53=Modelo!$F$18,Modelo!$H$18,IF(Y53=Modelo!$F$19,Modelo!$H$19,IF(Y53=Modelo!$F$20,Modelo!$H$20,IF(Y53=Modelo!$F$21,Modelo!$H$21,IF(Y53=Modelo!$F$22,Modelo!$H$22,0))))))))))))))))</f>
        <v>0.9</v>
      </c>
      <c r="AJ53" s="429">
        <f>IF(Y53=Modelo!$F$7,Modelo!$I$7,IF(Y53=Modelo!$F$8,Modelo!$I$8,IF(Y53=Modelo!$F$9,Modelo!$I$9,IF(Y53=Modelo!$F$10,Modelo!$I$10,IF(Y53=Modelo!$F$11,Modelo!$I$11,IF(Y53=Modelo!$F$12,Modelo!$I$12,IF(Y53=Modelo!$F$13,Modelo!$I$13,IF(Y53=Modelo!$F$14,Modelo!$I$14,IF(Y53=Modelo!$F$15,Modelo!$I$15,IF(Y53=Modelo!$F$16,Modelo!$I$16,IF(Y53=Modelo!$F$17,Modelo!$I$17,IF(Y53=Modelo!$F$18,Modelo!$I$18,IF(Y53=Modelo!$F$19,Modelo!$I$19,IF(Y53=Modelo!$F$20,Modelo!$I$20,IF(Y53=Modelo!$F$21,Modelo!$I$21,IF(Y53=Modelo!$F$22,Modelo!$I$22,0))))))))))))))))</f>
        <v>0.3</v>
      </c>
      <c r="AK53" s="429">
        <f>IF(Z53=Modelo!$F$23,Modelo!$H$23,IF(Z53=Modelo!$F$24,Modelo!$H$24,IF(Z53=Modelo!$F$25,Modelo!$H$25,0)))</f>
        <v>1</v>
      </c>
      <c r="AL53" s="429">
        <f>IF(AA53=Modelo!$F$26,Modelo!$H$26,IF(AA53=Modelo!$F$27,Modelo!$H$27,IF(AA53=Modelo!$F$28,Modelo!$H$28,0)))</f>
        <v>0.1</v>
      </c>
      <c r="AM53" s="429">
        <f>IF(AB53=Modelo!$F$30,Modelo!$H$30,IF(AB53=Modelo!$F$31,Modelo!$H$31,IF(AB53=Modelo!$F$32,Modelo!$H$32,0)))</f>
        <v>0.8</v>
      </c>
      <c r="AN53" s="429">
        <f>IF(AC53=Modelo!$F$33,Modelo!$H$33,IF(AC53=Modelo!$F$34,Modelo!$H$34,IF(AC53=Modelo!$F$35,Modelo!$H$35,0)))</f>
        <v>0.3</v>
      </c>
      <c r="AO53" s="429">
        <f>IF(AD53=Modelo!$F$37,Modelo!$H$37,IF(AD53=Modelo!$F$38,Modelo!$H$38,IF(AD53=Modelo!$F$39,Modelo!$H$39,0)))</f>
        <v>0.8</v>
      </c>
      <c r="AP53" s="429">
        <f>IF(AE53=Modelo!$F$40,Modelo!$H$40,IF(AE53=Modelo!$F$41,Modelo!$H$41,IF(AE53=Modelo!$F$42,Modelo!$H$42,0)))</f>
        <v>0.4</v>
      </c>
      <c r="AQ53" s="428">
        <f>IF(C53=Modelo!$F$44,Modelo!$H$44,IF(C53=Modelo!$F$45,Modelo!$H$45,IF(C53=Modelo!$F$46,Modelo!$H$46,IF(C53=Modelo!$F$47,Modelo!$H$47,IF(C53=Modelo!$F$48,Modelo!$H$48,IF(C53=Modelo!$F$49,Modelo!$H$49,IF(C53=Modelo!$F$50,Modelo!$H$50,IF(C53=Modelo!$F$51,Modelo!$H$51,IF(C53=Modelo!$F$52,Modelo!$H$52,IF(C53=Modelo!$F$53,Modelo!$H$53,0))))))))))</f>
        <v>1.4</v>
      </c>
      <c r="AR53" s="429">
        <f>IF(AF53=Modelo!$F$54,Modelo!$H$54,IF(AF53=Modelo!$F$55,Modelo!$H$55,IF(AF53=Modelo!$F$56,Modelo!$H$56,0)))</f>
        <v>1</v>
      </c>
      <c r="AS53" s="429">
        <f>IF(AG53=Modelo!$F$58,Modelo!$H$58,IF(AG53=Modelo!$F$59,Modelo!$H$59,IF(AG53=Modelo!$F$60,Modelo!$H$60,0)))</f>
        <v>0.9</v>
      </c>
      <c r="AT53" s="427"/>
      <c r="AU53" s="431">
        <f>Modelo!$H$2</f>
        <v>0.05</v>
      </c>
      <c r="AV53" s="432">
        <f>ROUNDUP(Modelo!$I$2*Modelo!$H$3*Modelo!$I$75,2)</f>
        <v>0.02</v>
      </c>
      <c r="AW53" s="433">
        <f>ROUNDUP(Modelo!$I$2*Modelo!$H$3*Modelo!$H$4*Modelo!$I$75,3)</f>
        <v>3.0000000000000001E-3</v>
      </c>
      <c r="AX53" s="431">
        <f>Modelo!$H$5</f>
        <v>0.04</v>
      </c>
      <c r="AY53" s="431">
        <f>ROUNDUP(SUM(AZ53,BB53,BD53,BF53)*Modelo!$H$6,1)</f>
        <v>1.2000000000000002</v>
      </c>
      <c r="AZ53" s="431">
        <f>ROUNDUP((AI53*AK53+0.1)*Modelo!$I$75,1)</f>
        <v>1</v>
      </c>
      <c r="BA53" s="431">
        <f>ROUNDUP(AJ53*AK53*AL53*Modelo!$I$75,1)</f>
        <v>0.1</v>
      </c>
      <c r="BB53" s="431">
        <f>ROUNDUP(V53*Modelo!$H$29*AM53*Modelo!$I$75*2/3,1)</f>
        <v>1.6</v>
      </c>
      <c r="BC53" s="431">
        <f>ROUNDUP(V53*Modelo!$H$29*AM53*AN53*Modelo!$I$75*2/3,1)</f>
        <v>0.5</v>
      </c>
      <c r="BD53" s="431">
        <f>ROUNDUP(V53*Modelo!$H$29*AM53*Modelo!$I$75/3,1)</f>
        <v>0.8</v>
      </c>
      <c r="BE53" s="431">
        <f>ROUNDUP(V53*Modelo!$H$29*AM53*AN53*Modelo!$I$75/3,1)</f>
        <v>0.30000000000000004</v>
      </c>
      <c r="BF53" s="431">
        <f>ROUNDUP(W53*Modelo!$H$36*AO53*Modelo!$I$75,1)</f>
        <v>0</v>
      </c>
      <c r="BG53" s="431">
        <f>ROUNDUP(W53*Modelo!$H$36*AO53*AP53*Modelo!$I$75,1)</f>
        <v>0</v>
      </c>
      <c r="BH53" s="431">
        <f>Modelo!$H$43</f>
        <v>0.04</v>
      </c>
      <c r="BI53" s="431">
        <f>ROUNDUP(SUM(ROUNDUP(AI53*AK53+0.1,1),ROUNDUP(V53*Modelo!$H$29*AM53,1),ROUNDUP(W53*Modelo!$H$36*AO53,1))*AR53*AQ53*Modelo!$I$75,1)</f>
        <v>4.8</v>
      </c>
      <c r="BJ53" s="431">
        <f t="shared" ref="BJ53:BJ57" si="154">IF(K$31="x",0, BI53*0.1*1.25)</f>
        <v>0</v>
      </c>
      <c r="BK53" s="431">
        <f t="shared" ref="BK53:BK57" si="155">IF(Q53="x",(BI53)*0.1,0)</f>
        <v>0</v>
      </c>
      <c r="BL53" s="431">
        <f t="shared" ref="BL53:BL57" si="156">IF(R53="x",(BI53)*0.12,0)</f>
        <v>0</v>
      </c>
      <c r="BM53" s="431">
        <f t="shared" ref="BM53:BM57" si="157">IF(S53="x",(BI53)*0.12,0)*4</f>
        <v>0</v>
      </c>
      <c r="BN53" s="431">
        <f>ROUNDUP(SUM(ROUNDUP(AI53*AK53+0.1,1),ROUNDUP(V53*Modelo!$H$29*AM53,1),ROUNDUP(W53*Modelo!$H$36*AO53,1))*AQ53*AS53*Modelo!$H$57,1)</f>
        <v>2</v>
      </c>
      <c r="BO53" s="431">
        <f t="shared" ref="BO53:BO57" si="158">BI53*0.1
+IF(K$15="x",0,BI53*0.05)
+IF(K$27="x",0,BI53*0.2)
+IF(K$28="x",0,BI53*0.5)
+IF(OR(K$29="x",K$30="x"),0,BI53*0.05)
+IF(K$31="x",0,BI53*0.3)
+IF(Q53="x",0,BI53*0.5)
+IF(OR(R53="x",S53="x"),0,BI53*0.15)</f>
        <v>4.5599999999999996</v>
      </c>
      <c r="BP53" s="431">
        <f>Modelo!$H$61</f>
        <v>0.04</v>
      </c>
      <c r="BQ53" s="431">
        <f>ROUNDUP(SUM(ROUNDUP(AI53*AK53+0.1,1),ROUNDUP(V53*Modelo!$H$29*AM53,1),ROUNDUP(W53*Modelo!$H$36*AO53,1))*Modelo!$H$62*Modelo!$I$75,1)</f>
        <v>0.30000000000000004</v>
      </c>
      <c r="BR53" s="431">
        <f>ROUNDUP(ROUNDUP(SUM(ROUNDUP(AI53*AK53+0.1,1),ROUNDUP(V53*Modelo!$H$29*AM53,1),ROUNDUP(W53*Modelo!$H$36*AO53,1))*Modelo!$H$62,1)*Modelo!$H$63*Modelo!$I$75,1)</f>
        <v>0.1</v>
      </c>
      <c r="BS53" s="431">
        <f>SUM(ROUNDUP(AI53*AK53+0.1,1),ROUNDUP(V53*Modelo!$H$29*AM53,1),ROUNDUP(W53*Modelo!$H$36*AO53,1))*Modelo!$H$64*Modelo!$I$75</f>
        <v>0.68</v>
      </c>
      <c r="BT53" s="431">
        <f>ROUNDUP(SUM(ROUNDUP(AI53*AK53+0.1,1),ROUNDUP(V53*Modelo!$H$29*AM53,1),ROUNDUP(W53*Modelo!$H$36*AO53,1))*Modelo!$H$64*Modelo!$H$65*Modelo!$I$75,1)</f>
        <v>0.4</v>
      </c>
      <c r="BU53" s="431">
        <f>Modelo!$H$66</f>
        <v>0.04</v>
      </c>
      <c r="BV53" s="431">
        <f>ROUNDUP(SUM(ROUNDUP(AI53*AK53+0.1,1),ROUNDUP(V53*Modelo!$H$29*AM53,1),ROUNDUP(W53*Modelo!$H$36*AO53,1))*Modelo!$H$69,1)</f>
        <v>0.79999999999999993</v>
      </c>
      <c r="BW53" s="431">
        <f>ROUNDUP(ROUNDUP(SUM(ROUNDUP(AI53*AK53+0.1,1),ROUNDUP(V53*Modelo!$H$29*AM53,1),ROUNDUP(W53*Modelo!$H$36*AO53,1))*Modelo!$H$62,1)*Modelo!$H$71,1)</f>
        <v>0.6</v>
      </c>
      <c r="BX53" s="430">
        <f t="shared" ref="BX53:BX57" si="159">SUM(AU53:BW53)</f>
        <v>19.972999999999999</v>
      </c>
      <c r="BZ53" s="426">
        <f t="shared" ref="BZ53:BZ57" si="160">CA53*0.85</f>
        <v>5.7799999999999994</v>
      </c>
      <c r="CA53" s="425">
        <f t="shared" ref="CA53:CA57" si="161">O53</f>
        <v>6.8</v>
      </c>
      <c r="CB53" s="426">
        <f t="shared" ref="CB53:CB57" si="162">IF(CA53=0,1,CA53*1.4)</f>
        <v>9.52</v>
      </c>
      <c r="CD53" s="420">
        <v>0</v>
      </c>
      <c r="CF53" s="426">
        <f t="shared" ref="CF53:CF57" si="163">IF(CC53&lt;&gt;"",CC53,CD53)</f>
        <v>0</v>
      </c>
    </row>
    <row r="54" spans="3:84" s="426" customFormat="1" ht="26.25" thickBot="1" x14ac:dyDescent="0.25">
      <c r="C54" s="454" t="s">
        <v>96</v>
      </c>
      <c r="D54" s="440" t="s">
        <v>80</v>
      </c>
      <c r="E54" s="440" t="str">
        <f t="shared" si="137"/>
        <v>B</v>
      </c>
      <c r="F54" s="440" t="s">
        <v>459</v>
      </c>
      <c r="G54" s="440" t="s">
        <v>459</v>
      </c>
      <c r="H54" s="440" t="str">
        <f t="shared" si="138"/>
        <v>B</v>
      </c>
      <c r="I54" s="440" t="str">
        <f t="shared" si="139"/>
        <v>B</v>
      </c>
      <c r="J54" s="437">
        <f t="shared" si="140"/>
        <v>2</v>
      </c>
      <c r="K54" s="436" t="str">
        <f t="shared" si="141"/>
        <v>Chica 1</v>
      </c>
      <c r="L54" s="447" t="s">
        <v>616</v>
      </c>
      <c r="M54" s="434">
        <f t="shared" si="142"/>
        <v>2.8</v>
      </c>
      <c r="N54" s="434">
        <f t="shared" si="143"/>
        <v>1.2000000000000002</v>
      </c>
      <c r="O54" s="442">
        <f t="shared" si="144"/>
        <v>4</v>
      </c>
      <c r="Q54" s="408"/>
      <c r="R54" s="408"/>
      <c r="S54" s="408"/>
      <c r="T54" s="425"/>
      <c r="U54" s="441">
        <v>6</v>
      </c>
      <c r="V54" s="441">
        <v>2</v>
      </c>
      <c r="W54" s="441">
        <v>0</v>
      </c>
      <c r="X54" s="438"/>
      <c r="Y54" s="428" t="str">
        <f t="shared" si="145"/>
        <v>Chica 1</v>
      </c>
      <c r="Z54" s="428" t="str">
        <f t="shared" si="146"/>
        <v>Baja</v>
      </c>
      <c r="AA54" s="428" t="str">
        <f t="shared" si="147"/>
        <v>Baja</v>
      </c>
      <c r="AB54" s="428" t="str">
        <f t="shared" si="148"/>
        <v>Baja</v>
      </c>
      <c r="AC54" s="428" t="str">
        <f t="shared" si="149"/>
        <v>Baja</v>
      </c>
      <c r="AD54" s="428" t="str">
        <f t="shared" si="150"/>
        <v>Baja</v>
      </c>
      <c r="AE54" s="428" t="str">
        <f t="shared" si="151"/>
        <v>Baja</v>
      </c>
      <c r="AF54" s="428" t="str">
        <f t="shared" si="152"/>
        <v>Baja</v>
      </c>
      <c r="AG54" s="428" t="str">
        <f t="shared" si="153"/>
        <v>Baja</v>
      </c>
      <c r="AH54" s="427"/>
      <c r="AI54" s="429">
        <f>IF(Y54=Modelo!$F$7,Modelo!$H$7,IF(Y54=Modelo!$F$8,Modelo!$H$8,IF(Y54=Modelo!$F$9,Modelo!$H$9,IF(Y54=Modelo!$F$10,Modelo!$H$10,IF(Y54=Modelo!$F$11,Modelo!$H$11,IF(Y54=Modelo!$F$12,Modelo!$H$12,IF(Y54=Modelo!$F$13,Modelo!$H$13,IF(Y54=Modelo!$F$14,Modelo!$H$14,IF(Y54=Modelo!$F$15,Modelo!$H$15,IF(Y54=Modelo!$F$16,Modelo!$H$16,IF(Y54=Modelo!$F$17,Modelo!$H$17,IF(Y54=Modelo!$F$18,Modelo!$H$18,IF(Y54=Modelo!$F$19,Modelo!$H$19,IF(Y54=Modelo!$F$20,Modelo!$H$20,IF(Y54=Modelo!$F$21,Modelo!$H$21,IF(Y54=Modelo!$F$22,Modelo!$H$22,0))))))))))))))))</f>
        <v>0.30000000000000004</v>
      </c>
      <c r="AJ54" s="429">
        <f>IF(Y54=Modelo!$F$7,Modelo!$I$7,IF(Y54=Modelo!$F$8,Modelo!$I$8,IF(Y54=Modelo!$F$9,Modelo!$I$9,IF(Y54=Modelo!$F$10,Modelo!$I$10,IF(Y54=Modelo!$F$11,Modelo!$I$11,IF(Y54=Modelo!$F$12,Modelo!$I$12,IF(Y54=Modelo!$F$13,Modelo!$I$13,IF(Y54=Modelo!$F$14,Modelo!$I$14,IF(Y54=Modelo!$F$15,Modelo!$I$15,IF(Y54=Modelo!$F$16,Modelo!$I$16,IF(Y54=Modelo!$F$17,Modelo!$I$17,IF(Y54=Modelo!$F$18,Modelo!$I$18,IF(Y54=Modelo!$F$19,Modelo!$I$19,IF(Y54=Modelo!$F$20,Modelo!$I$20,IF(Y54=Modelo!$F$21,Modelo!$I$21,IF(Y54=Modelo!$F$22,Modelo!$I$22,0))))))))))))))))</f>
        <v>0.1</v>
      </c>
      <c r="AK54" s="429">
        <f>IF(Z54=Modelo!$F$23,Modelo!$H$23,IF(Z54=Modelo!$F$24,Modelo!$H$24,IF(Z54=Modelo!$F$25,Modelo!$H$25,0)))</f>
        <v>1</v>
      </c>
      <c r="AL54" s="429">
        <f>IF(AA54=Modelo!$F$26,Modelo!$H$26,IF(AA54=Modelo!$F$27,Modelo!$H$27,IF(AA54=Modelo!$F$28,Modelo!$H$28,0)))</f>
        <v>0.1</v>
      </c>
      <c r="AM54" s="429">
        <f>IF(AB54=Modelo!$F$30,Modelo!$H$30,IF(AB54=Modelo!$F$31,Modelo!$H$31,IF(AB54=Modelo!$F$32,Modelo!$H$32,0)))</f>
        <v>0.8</v>
      </c>
      <c r="AN54" s="429">
        <f>IF(AC54=Modelo!$F$33,Modelo!$H$33,IF(AC54=Modelo!$F$34,Modelo!$H$34,IF(AC54=Modelo!$F$35,Modelo!$H$35,0)))</f>
        <v>0.3</v>
      </c>
      <c r="AO54" s="429">
        <f>IF(AD54=Modelo!$F$37,Modelo!$H$37,IF(AD54=Modelo!$F$38,Modelo!$H$38,IF(AD54=Modelo!$F$39,Modelo!$H$39,0)))</f>
        <v>0.8</v>
      </c>
      <c r="AP54" s="429">
        <f>IF(AE54=Modelo!$F$40,Modelo!$H$40,IF(AE54=Modelo!$F$41,Modelo!$H$41,IF(AE54=Modelo!$F$42,Modelo!$H$42,0)))</f>
        <v>0.4</v>
      </c>
      <c r="AQ54" s="428">
        <f>IF(C54=Modelo!$F$44,Modelo!$H$44,IF(C54=Modelo!$F$45,Modelo!$H$45,IF(C54=Modelo!$F$46,Modelo!$H$46,IF(C54=Modelo!$F$47,Modelo!$H$47,IF(C54=Modelo!$F$48,Modelo!$H$48,IF(C54=Modelo!$F$49,Modelo!$H$49,IF(C54=Modelo!$F$50,Modelo!$H$50,IF(C54=Modelo!$F$51,Modelo!$H$51,IF(C54=Modelo!$F$52,Modelo!$H$52,IF(C54=Modelo!$F$53,Modelo!$H$53,0))))))))))</f>
        <v>1.4</v>
      </c>
      <c r="AR54" s="429">
        <f>IF(AF54=Modelo!$F$54,Modelo!$H$54,IF(AF54=Modelo!$F$55,Modelo!$H$55,IF(AF54=Modelo!$F$56,Modelo!$H$56,0)))</f>
        <v>1</v>
      </c>
      <c r="AS54" s="429">
        <f>IF(AG54=Modelo!$F$58,Modelo!$H$58,IF(AG54=Modelo!$F$59,Modelo!$H$59,IF(AG54=Modelo!$F$60,Modelo!$H$60,0)))</f>
        <v>0.9</v>
      </c>
      <c r="AT54" s="427"/>
      <c r="AU54" s="431">
        <f>Modelo!$H$2</f>
        <v>0.05</v>
      </c>
      <c r="AV54" s="432">
        <f>ROUNDUP(Modelo!$I$2*Modelo!$H$3*Modelo!$I$75,2)</f>
        <v>0.02</v>
      </c>
      <c r="AW54" s="433">
        <f>ROUNDUP(Modelo!$I$2*Modelo!$H$3*Modelo!$H$4*Modelo!$I$75,3)</f>
        <v>3.0000000000000001E-3</v>
      </c>
      <c r="AX54" s="431">
        <f>Modelo!$H$5</f>
        <v>0.04</v>
      </c>
      <c r="AY54" s="431">
        <f>ROUNDUP(SUM(AZ54,BB54,BD54,BF54)*Modelo!$H$6,1)</f>
        <v>0.7</v>
      </c>
      <c r="AZ54" s="431">
        <f>ROUNDUP((AI54*AK54+0.1)*Modelo!$I$75,1)</f>
        <v>0.4</v>
      </c>
      <c r="BA54" s="431">
        <f>ROUNDUP(AJ54*AK54*AL54*Modelo!$I$75,1)</f>
        <v>0.1</v>
      </c>
      <c r="BB54" s="431">
        <f>ROUNDUP(V54*Modelo!$H$29*AM54*Modelo!$I$75*2/3,1)</f>
        <v>1.1000000000000001</v>
      </c>
      <c r="BC54" s="431">
        <f>ROUNDUP(V54*Modelo!$H$29*AM54*AN54*Modelo!$I$75*2/3,1)</f>
        <v>0.4</v>
      </c>
      <c r="BD54" s="431">
        <f>ROUNDUP(V54*Modelo!$H$29*AM54*Modelo!$I$75/3,1)</f>
        <v>0.6</v>
      </c>
      <c r="BE54" s="431">
        <f>ROUNDUP(V54*Modelo!$H$29*AM54*AN54*Modelo!$I$75/3,1)</f>
        <v>0.2</v>
      </c>
      <c r="BF54" s="431">
        <f>ROUNDUP(W54*Modelo!$H$36*AO54*Modelo!$I$75,1)</f>
        <v>0</v>
      </c>
      <c r="BG54" s="431">
        <f>ROUNDUP(W54*Modelo!$H$36*AO54*AP54*Modelo!$I$75,1)</f>
        <v>0</v>
      </c>
      <c r="BH54" s="431">
        <f>Modelo!$H$43</f>
        <v>0.04</v>
      </c>
      <c r="BI54" s="431">
        <f>ROUNDUP(SUM(ROUNDUP(AI54*AK54+0.1,1),ROUNDUP(V54*Modelo!$H$29*AM54,1),ROUNDUP(W54*Modelo!$H$36*AO54,1))*AR54*AQ54*Modelo!$I$75,1)</f>
        <v>2.8</v>
      </c>
      <c r="BJ54" s="431">
        <f t="shared" si="154"/>
        <v>0</v>
      </c>
      <c r="BK54" s="431">
        <f t="shared" si="155"/>
        <v>0</v>
      </c>
      <c r="BL54" s="431">
        <f t="shared" si="156"/>
        <v>0</v>
      </c>
      <c r="BM54" s="431">
        <f t="shared" si="157"/>
        <v>0</v>
      </c>
      <c r="BN54" s="431">
        <f>ROUNDUP(SUM(ROUNDUP(AI54*AK54+0.1,1),ROUNDUP(V54*Modelo!$H$29*AM54,1),ROUNDUP(W54*Modelo!$H$36*AO54,1))*AQ54*AS54*Modelo!$H$57,1)</f>
        <v>1.2000000000000002</v>
      </c>
      <c r="BO54" s="431">
        <f t="shared" si="158"/>
        <v>2.6599999999999997</v>
      </c>
      <c r="BP54" s="431">
        <f>Modelo!$H$61</f>
        <v>0.04</v>
      </c>
      <c r="BQ54" s="431">
        <f>ROUNDUP(SUM(ROUNDUP(AI54*AK54+0.1,1),ROUNDUP(V54*Modelo!$H$29*AM54,1),ROUNDUP(W54*Modelo!$H$36*AO54,1))*Modelo!$H$62*Modelo!$I$75,1)</f>
        <v>0.2</v>
      </c>
      <c r="BR54" s="431">
        <f>ROUNDUP(ROUNDUP(SUM(ROUNDUP(AI54*AK54+0.1,1),ROUNDUP(V54*Modelo!$H$29*AM54,1),ROUNDUP(W54*Modelo!$H$36*AO54,1))*Modelo!$H$62,1)*Modelo!$H$63*Modelo!$I$75,1)</f>
        <v>0.1</v>
      </c>
      <c r="BS54" s="431">
        <f>SUM(ROUNDUP(AI54*AK54+0.1,1),ROUNDUP(V54*Modelo!$H$29*AM54,1),ROUNDUP(W54*Modelo!$H$36*AO54,1))*Modelo!$H$64*Modelo!$I$75</f>
        <v>0.4</v>
      </c>
      <c r="BT54" s="431">
        <f>ROUNDUP(SUM(ROUNDUP(AI54*AK54+0.1,1),ROUNDUP(V54*Modelo!$H$29*AM54,1),ROUNDUP(W54*Modelo!$H$36*AO54,1))*Modelo!$H$64*Modelo!$H$65*Modelo!$I$75,1)</f>
        <v>0.2</v>
      </c>
      <c r="BU54" s="431">
        <f>Modelo!$H$66</f>
        <v>0.04</v>
      </c>
      <c r="BV54" s="431">
        <f>ROUNDUP(SUM(ROUNDUP(AI54*AK54+0.1,1),ROUNDUP(V54*Modelo!$H$29*AM54,1),ROUNDUP(W54*Modelo!$H$36*AO54,1))*Modelo!$H$69,1)</f>
        <v>0.5</v>
      </c>
      <c r="BW54" s="431">
        <f>ROUNDUP(ROUNDUP(SUM(ROUNDUP(AI54*AK54+0.1,1),ROUNDUP(V54*Modelo!$H$29*AM54,1),ROUNDUP(W54*Modelo!$H$36*AO54,1))*Modelo!$H$62,1)*Modelo!$H$71,1)</f>
        <v>0.4</v>
      </c>
      <c r="BX54" s="430">
        <f t="shared" si="159"/>
        <v>12.192999999999998</v>
      </c>
      <c r="BZ54" s="426">
        <f t="shared" si="160"/>
        <v>3.4</v>
      </c>
      <c r="CA54" s="425">
        <f t="shared" si="161"/>
        <v>4</v>
      </c>
      <c r="CB54" s="426">
        <f t="shared" si="162"/>
        <v>5.6</v>
      </c>
      <c r="CD54" s="420">
        <v>0</v>
      </c>
      <c r="CF54" s="426">
        <f t="shared" si="163"/>
        <v>0</v>
      </c>
    </row>
    <row r="55" spans="3:84" s="426" customFormat="1" ht="26.25" thickBot="1" x14ac:dyDescent="0.25">
      <c r="C55" s="454" t="s">
        <v>96</v>
      </c>
      <c r="D55" s="440" t="s">
        <v>80</v>
      </c>
      <c r="E55" s="440" t="str">
        <f t="shared" ref="E55" si="164">IF(U55&gt;50,"A",IF(U55&gt;15,"M","B"))</f>
        <v>B</v>
      </c>
      <c r="F55" s="440" t="s">
        <v>459</v>
      </c>
      <c r="G55" s="440" t="s">
        <v>459</v>
      </c>
      <c r="H55" s="440" t="str">
        <f t="shared" ref="H55" si="165">IF(V55+W55&gt;20,"A",IF(V55+W55&gt;5,"M","B"))</f>
        <v>B</v>
      </c>
      <c r="I55" s="440" t="str">
        <f t="shared" ref="I55" si="166">IF(V55+W55&gt;15,"A",IF(V55+W55&gt;4,"M","B"))</f>
        <v>B</v>
      </c>
      <c r="J55" s="437">
        <f t="shared" ref="J55" si="167">V55+W55</f>
        <v>2</v>
      </c>
      <c r="K55" s="436" t="str">
        <f t="shared" ref="K55" si="168">Y55</f>
        <v>Chica 1</v>
      </c>
      <c r="L55" s="447" t="s">
        <v>599</v>
      </c>
      <c r="M55" s="434">
        <f t="shared" ref="M55" si="169">BI55+BJ55+BK55+BL55+BM55</f>
        <v>2.8</v>
      </c>
      <c r="N55" s="434">
        <f t="shared" ref="N55" si="170">BN55</f>
        <v>1.2000000000000002</v>
      </c>
      <c r="O55" s="442">
        <f t="shared" ref="O55" si="171">SUM(M55,N55)</f>
        <v>4</v>
      </c>
      <c r="Q55" s="408"/>
      <c r="R55" s="408"/>
      <c r="S55" s="408"/>
      <c r="T55" s="425"/>
      <c r="U55" s="441">
        <v>6</v>
      </c>
      <c r="V55" s="441">
        <v>2</v>
      </c>
      <c r="W55" s="441">
        <v>0</v>
      </c>
      <c r="X55" s="438"/>
      <c r="Y55" s="428" t="str">
        <f t="shared" ref="Y55" si="172">IF(AND(U55&gt;=0,U55&lt;=6),"Chica 1",IF(AND(U55&gt;=7,U55&lt;=12),"Chica 2",IF(AND(U55&gt;=13,U55&lt;=18),"Chica 3",IF(AND(U55&gt;=19,U55&lt;=24),"Chica 4",IF(AND(U55&gt;=25,U55&lt;=30),"Mediana 1",IF(AND(U55&gt;=31,U55&lt;=36),"Mediana 2",IF(AND(U55&gt;=37,U55&lt;=42),"Mediana 3",IF(AND(U55&gt;=43,U55&lt;=48),"Mediana 4",IF(AND(U55&gt;=49,U55&lt;=54),"Grande 1",IF(AND(U55&gt;=55,U55&lt;=60),"Grande 2",IF(AND(U55&gt;=61,U55&lt;=66),"Grande 3",IF(AND(U55&gt;=67,U55&lt;=72),"Grande 4",IF(AND(U55&gt;=73,U55&lt;=78),"M. grande 1",IF(AND(U55&gt;=79,U55&lt;=84),"M. grande 2",IF(AND(U55&gt;=85,U55&lt;=90),"M. grande 3",IF(AND(U55&gt;=91,U55&lt;=96),"M. grande 4","NO DEF"))))))))))))))))</f>
        <v>Chica 1</v>
      </c>
      <c r="Z55" s="428" t="str">
        <f t="shared" ref="Z55" si="173">IF(E55="A","Alta",IF(E55="M","Media","Baja"))</f>
        <v>Baja</v>
      </c>
      <c r="AA55" s="428" t="str">
        <f t="shared" ref="AA55" si="174">IF(E55="A","Alta",IF(E55="M","Media","Baja"))</f>
        <v>Baja</v>
      </c>
      <c r="AB55" s="428" t="str">
        <f t="shared" ref="AB55" si="175">IF(F55="A","Alta",IF(F55="M","Media","Baja"))</f>
        <v>Baja</v>
      </c>
      <c r="AC55" s="428" t="str">
        <f t="shared" ref="AC55" si="176">IF(F55="A","Alta",IF(F55="M","Media","Baja"))</f>
        <v>Baja</v>
      </c>
      <c r="AD55" s="428" t="str">
        <f t="shared" ref="AD55" si="177">IF(G55="A","Alta",IF(G55="M","Media","Baja"))</f>
        <v>Baja</v>
      </c>
      <c r="AE55" s="428" t="str">
        <f t="shared" ref="AE55" si="178">IF(G55="A","Alta",IF(G55="M","Media","Baja"))</f>
        <v>Baja</v>
      </c>
      <c r="AF55" s="428" t="str">
        <f t="shared" ref="AF55" si="179">IF(H55="A","Alta",IF(H55="M","Media","Baja"))</f>
        <v>Baja</v>
      </c>
      <c r="AG55" s="428" t="str">
        <f t="shared" ref="AG55" si="180">IF(I55="A","Alta",IF(I55="M","Media","Baja"))</f>
        <v>Baja</v>
      </c>
      <c r="AH55" s="427"/>
      <c r="AI55" s="429">
        <f>IF(Y55=Modelo!$F$7,Modelo!$H$7,IF(Y55=Modelo!$F$8,Modelo!$H$8,IF(Y55=Modelo!$F$9,Modelo!$H$9,IF(Y55=Modelo!$F$10,Modelo!$H$10,IF(Y55=Modelo!$F$11,Modelo!$H$11,IF(Y55=Modelo!$F$12,Modelo!$H$12,IF(Y55=Modelo!$F$13,Modelo!$H$13,IF(Y55=Modelo!$F$14,Modelo!$H$14,IF(Y55=Modelo!$F$15,Modelo!$H$15,IF(Y55=Modelo!$F$16,Modelo!$H$16,IF(Y55=Modelo!$F$17,Modelo!$H$17,IF(Y55=Modelo!$F$18,Modelo!$H$18,IF(Y55=Modelo!$F$19,Modelo!$H$19,IF(Y55=Modelo!$F$20,Modelo!$H$20,IF(Y55=Modelo!$F$21,Modelo!$H$21,IF(Y55=Modelo!$F$22,Modelo!$H$22,0))))))))))))))))</f>
        <v>0.30000000000000004</v>
      </c>
      <c r="AJ55" s="429">
        <f>IF(Y55=Modelo!$F$7,Modelo!$I$7,IF(Y55=Modelo!$F$8,Modelo!$I$8,IF(Y55=Modelo!$F$9,Modelo!$I$9,IF(Y55=Modelo!$F$10,Modelo!$I$10,IF(Y55=Modelo!$F$11,Modelo!$I$11,IF(Y55=Modelo!$F$12,Modelo!$I$12,IF(Y55=Modelo!$F$13,Modelo!$I$13,IF(Y55=Modelo!$F$14,Modelo!$I$14,IF(Y55=Modelo!$F$15,Modelo!$I$15,IF(Y55=Modelo!$F$16,Modelo!$I$16,IF(Y55=Modelo!$F$17,Modelo!$I$17,IF(Y55=Modelo!$F$18,Modelo!$I$18,IF(Y55=Modelo!$F$19,Modelo!$I$19,IF(Y55=Modelo!$F$20,Modelo!$I$20,IF(Y55=Modelo!$F$21,Modelo!$I$21,IF(Y55=Modelo!$F$22,Modelo!$I$22,0))))))))))))))))</f>
        <v>0.1</v>
      </c>
      <c r="AK55" s="429">
        <f>IF(Z55=Modelo!$F$23,Modelo!$H$23,IF(Z55=Modelo!$F$24,Modelo!$H$24,IF(Z55=Modelo!$F$25,Modelo!$H$25,0)))</f>
        <v>1</v>
      </c>
      <c r="AL55" s="429">
        <f>IF(AA55=Modelo!$F$26,Modelo!$H$26,IF(AA55=Modelo!$F$27,Modelo!$H$27,IF(AA55=Modelo!$F$28,Modelo!$H$28,0)))</f>
        <v>0.1</v>
      </c>
      <c r="AM55" s="429">
        <f>IF(AB55=Modelo!$F$30,Modelo!$H$30,IF(AB55=Modelo!$F$31,Modelo!$H$31,IF(AB55=Modelo!$F$32,Modelo!$H$32,0)))</f>
        <v>0.8</v>
      </c>
      <c r="AN55" s="429">
        <f>IF(AC55=Modelo!$F$33,Modelo!$H$33,IF(AC55=Modelo!$F$34,Modelo!$H$34,IF(AC55=Modelo!$F$35,Modelo!$H$35,0)))</f>
        <v>0.3</v>
      </c>
      <c r="AO55" s="429">
        <f>IF(AD55=Modelo!$F$37,Modelo!$H$37,IF(AD55=Modelo!$F$38,Modelo!$H$38,IF(AD55=Modelo!$F$39,Modelo!$H$39,0)))</f>
        <v>0.8</v>
      </c>
      <c r="AP55" s="429">
        <f>IF(AE55=Modelo!$F$40,Modelo!$H$40,IF(AE55=Modelo!$F$41,Modelo!$H$41,IF(AE55=Modelo!$F$42,Modelo!$H$42,0)))</f>
        <v>0.4</v>
      </c>
      <c r="AQ55" s="428">
        <f>IF(C55=Modelo!$F$44,Modelo!$H$44,IF(C55=Modelo!$F$45,Modelo!$H$45,IF(C55=Modelo!$F$46,Modelo!$H$46,IF(C55=Modelo!$F$47,Modelo!$H$47,IF(C55=Modelo!$F$48,Modelo!$H$48,IF(C55=Modelo!$F$49,Modelo!$H$49,IF(C55=Modelo!$F$50,Modelo!$H$50,IF(C55=Modelo!$F$51,Modelo!$H$51,IF(C55=Modelo!$F$52,Modelo!$H$52,IF(C55=Modelo!$F$53,Modelo!$H$53,0))))))))))</f>
        <v>1.4</v>
      </c>
      <c r="AR55" s="429">
        <f>IF(AF55=Modelo!$F$54,Modelo!$H$54,IF(AF55=Modelo!$F$55,Modelo!$H$55,IF(AF55=Modelo!$F$56,Modelo!$H$56,0)))</f>
        <v>1</v>
      </c>
      <c r="AS55" s="429">
        <f>IF(AG55=Modelo!$F$58,Modelo!$H$58,IF(AG55=Modelo!$F$59,Modelo!$H$59,IF(AG55=Modelo!$F$60,Modelo!$H$60,0)))</f>
        <v>0.9</v>
      </c>
      <c r="AT55" s="427"/>
      <c r="AU55" s="431">
        <f>Modelo!$H$2</f>
        <v>0.05</v>
      </c>
      <c r="AV55" s="432">
        <f>ROUNDUP(Modelo!$I$2*Modelo!$H$3*Modelo!$I$75,2)</f>
        <v>0.02</v>
      </c>
      <c r="AW55" s="433">
        <f>ROUNDUP(Modelo!$I$2*Modelo!$H$3*Modelo!$H$4*Modelo!$I$75,3)</f>
        <v>3.0000000000000001E-3</v>
      </c>
      <c r="AX55" s="431">
        <f>Modelo!$H$5</f>
        <v>0.04</v>
      </c>
      <c r="AY55" s="431">
        <f>ROUNDUP(SUM(AZ55,BB55,BD55,BF55)*Modelo!$H$6,1)</f>
        <v>0.7</v>
      </c>
      <c r="AZ55" s="431">
        <f>ROUNDUP((AI55*AK55+0.1)*Modelo!$I$75,1)</f>
        <v>0.4</v>
      </c>
      <c r="BA55" s="431">
        <f>ROUNDUP(AJ55*AK55*AL55*Modelo!$I$75,1)</f>
        <v>0.1</v>
      </c>
      <c r="BB55" s="431">
        <f>ROUNDUP(V55*Modelo!$H$29*AM55*Modelo!$I$75*2/3,1)</f>
        <v>1.1000000000000001</v>
      </c>
      <c r="BC55" s="431">
        <f>ROUNDUP(V55*Modelo!$H$29*AM55*AN55*Modelo!$I$75*2/3,1)</f>
        <v>0.4</v>
      </c>
      <c r="BD55" s="431">
        <f>ROUNDUP(V55*Modelo!$H$29*AM55*Modelo!$I$75/3,1)</f>
        <v>0.6</v>
      </c>
      <c r="BE55" s="431">
        <f>ROUNDUP(V55*Modelo!$H$29*AM55*AN55*Modelo!$I$75/3,1)</f>
        <v>0.2</v>
      </c>
      <c r="BF55" s="431">
        <f>ROUNDUP(W55*Modelo!$H$36*AO55*Modelo!$I$75,1)</f>
        <v>0</v>
      </c>
      <c r="BG55" s="431">
        <f>ROUNDUP(W55*Modelo!$H$36*AO55*AP55*Modelo!$I$75,1)</f>
        <v>0</v>
      </c>
      <c r="BH55" s="431">
        <f>Modelo!$H$43</f>
        <v>0.04</v>
      </c>
      <c r="BI55" s="431">
        <f>ROUNDUP(SUM(ROUNDUP(AI55*AK55+0.1,1),ROUNDUP(V55*Modelo!$H$29*AM55,1),ROUNDUP(W55*Modelo!$H$36*AO55,1))*AR55*AQ55*Modelo!$I$75,1)</f>
        <v>2.8</v>
      </c>
      <c r="BJ55" s="431">
        <f t="shared" ref="BJ55" si="181">IF(K$31="x",0, BI55*0.1*1.25)</f>
        <v>0</v>
      </c>
      <c r="BK55" s="431">
        <f t="shared" ref="BK55" si="182">IF(Q55="x",(BI55)*0.1,0)</f>
        <v>0</v>
      </c>
      <c r="BL55" s="431">
        <f t="shared" ref="BL55" si="183">IF(R55="x",(BI55)*0.12,0)</f>
        <v>0</v>
      </c>
      <c r="BM55" s="431">
        <f t="shared" ref="BM55" si="184">IF(S55="x",(BI55)*0.12,0)*4</f>
        <v>0</v>
      </c>
      <c r="BN55" s="431">
        <f>ROUNDUP(SUM(ROUNDUP(AI55*AK55+0.1,1),ROUNDUP(V55*Modelo!$H$29*AM55,1),ROUNDUP(W55*Modelo!$H$36*AO55,1))*AQ55*AS55*Modelo!$H$57,1)</f>
        <v>1.2000000000000002</v>
      </c>
      <c r="BO55" s="431">
        <f t="shared" ref="BO55" si="185">BI55*0.1
+IF(K$15="x",0,BI55*0.05)
+IF(K$27="x",0,BI55*0.2)
+IF(K$28="x",0,BI55*0.5)
+IF(OR(K$29="x",K$30="x"),0,BI55*0.05)
+IF(K$31="x",0,BI55*0.3)
+IF(Q55="x",0,BI55*0.5)
+IF(OR(R55="x",S55="x"),0,BI55*0.15)</f>
        <v>2.6599999999999997</v>
      </c>
      <c r="BP55" s="431">
        <f>Modelo!$H$61</f>
        <v>0.04</v>
      </c>
      <c r="BQ55" s="431">
        <f>ROUNDUP(SUM(ROUNDUP(AI55*AK55+0.1,1),ROUNDUP(V55*Modelo!$H$29*AM55,1),ROUNDUP(W55*Modelo!$H$36*AO55,1))*Modelo!$H$62*Modelo!$I$75,1)</f>
        <v>0.2</v>
      </c>
      <c r="BR55" s="431">
        <f>ROUNDUP(ROUNDUP(SUM(ROUNDUP(AI55*AK55+0.1,1),ROUNDUP(V55*Modelo!$H$29*AM55,1),ROUNDUP(W55*Modelo!$H$36*AO55,1))*Modelo!$H$62,1)*Modelo!$H$63*Modelo!$I$75,1)</f>
        <v>0.1</v>
      </c>
      <c r="BS55" s="431">
        <f>SUM(ROUNDUP(AI55*AK55+0.1,1),ROUNDUP(V55*Modelo!$H$29*AM55,1),ROUNDUP(W55*Modelo!$H$36*AO55,1))*Modelo!$H$64*Modelo!$I$75</f>
        <v>0.4</v>
      </c>
      <c r="BT55" s="431">
        <f>ROUNDUP(SUM(ROUNDUP(AI55*AK55+0.1,1),ROUNDUP(V55*Modelo!$H$29*AM55,1),ROUNDUP(W55*Modelo!$H$36*AO55,1))*Modelo!$H$64*Modelo!$H$65*Modelo!$I$75,1)</f>
        <v>0.2</v>
      </c>
      <c r="BU55" s="431">
        <f>Modelo!$H$66</f>
        <v>0.04</v>
      </c>
      <c r="BV55" s="431">
        <f>ROUNDUP(SUM(ROUNDUP(AI55*AK55+0.1,1),ROUNDUP(V55*Modelo!$H$29*AM55,1),ROUNDUP(W55*Modelo!$H$36*AO55,1))*Modelo!$H$69,1)</f>
        <v>0.5</v>
      </c>
      <c r="BW55" s="431">
        <f>ROUNDUP(ROUNDUP(SUM(ROUNDUP(AI55*AK55+0.1,1),ROUNDUP(V55*Modelo!$H$29*AM55,1),ROUNDUP(W55*Modelo!$H$36*AO55,1))*Modelo!$H$62,1)*Modelo!$H$71,1)</f>
        <v>0.4</v>
      </c>
      <c r="BX55" s="430">
        <f t="shared" ref="BX55" si="186">SUM(AU55:BW55)</f>
        <v>12.192999999999998</v>
      </c>
      <c r="BZ55" s="426">
        <f t="shared" ref="BZ55" si="187">CA55*0.85</f>
        <v>3.4</v>
      </c>
      <c r="CA55" s="425">
        <f t="shared" ref="CA55" si="188">O55</f>
        <v>4</v>
      </c>
      <c r="CB55" s="426">
        <f t="shared" ref="CB55" si="189">IF(CA55=0,1,CA55*1.4)</f>
        <v>5.6</v>
      </c>
      <c r="CD55" s="420">
        <v>0</v>
      </c>
      <c r="CF55" s="426">
        <f t="shared" ref="CF55" si="190">IF(CC55&lt;&gt;"",CC55,CD55)</f>
        <v>0</v>
      </c>
    </row>
    <row r="56" spans="3:84" s="426" customFormat="1" ht="26.25" thickBot="1" x14ac:dyDescent="0.25">
      <c r="C56" s="454" t="s">
        <v>96</v>
      </c>
      <c r="D56" s="440" t="s">
        <v>80</v>
      </c>
      <c r="E56" s="440" t="str">
        <f t="shared" ref="E56" si="191">IF(U56&gt;50,"A",IF(U56&gt;15,"M","B"))</f>
        <v>B</v>
      </c>
      <c r="F56" s="440" t="s">
        <v>459</v>
      </c>
      <c r="G56" s="440" t="s">
        <v>459</v>
      </c>
      <c r="H56" s="440" t="str">
        <f t="shared" ref="H56" si="192">IF(V56+W56&gt;20,"A",IF(V56+W56&gt;5,"M","B"))</f>
        <v>B</v>
      </c>
      <c r="I56" s="440" t="str">
        <f t="shared" ref="I56" si="193">IF(V56+W56&gt;15,"A",IF(V56+W56&gt;4,"M","B"))</f>
        <v>B</v>
      </c>
      <c r="J56" s="437">
        <f t="shared" ref="J56" si="194">V56+W56</f>
        <v>2</v>
      </c>
      <c r="K56" s="436" t="str">
        <f t="shared" ref="K56" si="195">Y56</f>
        <v>Chica 1</v>
      </c>
      <c r="L56" s="447" t="s">
        <v>617</v>
      </c>
      <c r="M56" s="434">
        <f t="shared" ref="M56" si="196">BI56+BJ56+BK56+BL56+BM56</f>
        <v>2.8</v>
      </c>
      <c r="N56" s="434">
        <f t="shared" ref="N56" si="197">BN56</f>
        <v>1.2000000000000002</v>
      </c>
      <c r="O56" s="442">
        <f t="shared" ref="O56" si="198">SUM(M56,N56)</f>
        <v>4</v>
      </c>
      <c r="Q56" s="408"/>
      <c r="R56" s="408"/>
      <c r="S56" s="408"/>
      <c r="T56" s="425"/>
      <c r="U56" s="441">
        <v>6</v>
      </c>
      <c r="V56" s="441">
        <v>2</v>
      </c>
      <c r="W56" s="441">
        <v>0</v>
      </c>
      <c r="X56" s="438"/>
      <c r="Y56" s="428" t="str">
        <f t="shared" ref="Y56" si="199">IF(AND(U56&gt;=0,U56&lt;=6),"Chica 1",IF(AND(U56&gt;=7,U56&lt;=12),"Chica 2",IF(AND(U56&gt;=13,U56&lt;=18),"Chica 3",IF(AND(U56&gt;=19,U56&lt;=24),"Chica 4",IF(AND(U56&gt;=25,U56&lt;=30),"Mediana 1",IF(AND(U56&gt;=31,U56&lt;=36),"Mediana 2",IF(AND(U56&gt;=37,U56&lt;=42),"Mediana 3",IF(AND(U56&gt;=43,U56&lt;=48),"Mediana 4",IF(AND(U56&gt;=49,U56&lt;=54),"Grande 1",IF(AND(U56&gt;=55,U56&lt;=60),"Grande 2",IF(AND(U56&gt;=61,U56&lt;=66),"Grande 3",IF(AND(U56&gt;=67,U56&lt;=72),"Grande 4",IF(AND(U56&gt;=73,U56&lt;=78),"M. grande 1",IF(AND(U56&gt;=79,U56&lt;=84),"M. grande 2",IF(AND(U56&gt;=85,U56&lt;=90),"M. grande 3",IF(AND(U56&gt;=91,U56&lt;=96),"M. grande 4","NO DEF"))))))))))))))))</f>
        <v>Chica 1</v>
      </c>
      <c r="Z56" s="428" t="str">
        <f t="shared" ref="Z56" si="200">IF(E56="A","Alta",IF(E56="M","Media","Baja"))</f>
        <v>Baja</v>
      </c>
      <c r="AA56" s="428" t="str">
        <f t="shared" ref="AA56" si="201">IF(E56="A","Alta",IF(E56="M","Media","Baja"))</f>
        <v>Baja</v>
      </c>
      <c r="AB56" s="428" t="str">
        <f t="shared" ref="AB56" si="202">IF(F56="A","Alta",IF(F56="M","Media","Baja"))</f>
        <v>Baja</v>
      </c>
      <c r="AC56" s="428" t="str">
        <f t="shared" ref="AC56" si="203">IF(F56="A","Alta",IF(F56="M","Media","Baja"))</f>
        <v>Baja</v>
      </c>
      <c r="AD56" s="428" t="str">
        <f t="shared" ref="AD56" si="204">IF(G56="A","Alta",IF(G56="M","Media","Baja"))</f>
        <v>Baja</v>
      </c>
      <c r="AE56" s="428" t="str">
        <f t="shared" ref="AE56" si="205">IF(G56="A","Alta",IF(G56="M","Media","Baja"))</f>
        <v>Baja</v>
      </c>
      <c r="AF56" s="428" t="str">
        <f t="shared" ref="AF56" si="206">IF(H56="A","Alta",IF(H56="M","Media","Baja"))</f>
        <v>Baja</v>
      </c>
      <c r="AG56" s="428" t="str">
        <f t="shared" ref="AG56" si="207">IF(I56="A","Alta",IF(I56="M","Media","Baja"))</f>
        <v>Baja</v>
      </c>
      <c r="AH56" s="427"/>
      <c r="AI56" s="429">
        <f>IF(Y56=Modelo!$F$7,Modelo!$H$7,IF(Y56=Modelo!$F$8,Modelo!$H$8,IF(Y56=Modelo!$F$9,Modelo!$H$9,IF(Y56=Modelo!$F$10,Modelo!$H$10,IF(Y56=Modelo!$F$11,Modelo!$H$11,IF(Y56=Modelo!$F$12,Modelo!$H$12,IF(Y56=Modelo!$F$13,Modelo!$H$13,IF(Y56=Modelo!$F$14,Modelo!$H$14,IF(Y56=Modelo!$F$15,Modelo!$H$15,IF(Y56=Modelo!$F$16,Modelo!$H$16,IF(Y56=Modelo!$F$17,Modelo!$H$17,IF(Y56=Modelo!$F$18,Modelo!$H$18,IF(Y56=Modelo!$F$19,Modelo!$H$19,IF(Y56=Modelo!$F$20,Modelo!$H$20,IF(Y56=Modelo!$F$21,Modelo!$H$21,IF(Y56=Modelo!$F$22,Modelo!$H$22,0))))))))))))))))</f>
        <v>0.30000000000000004</v>
      </c>
      <c r="AJ56" s="429">
        <f>IF(Y56=Modelo!$F$7,Modelo!$I$7,IF(Y56=Modelo!$F$8,Modelo!$I$8,IF(Y56=Modelo!$F$9,Modelo!$I$9,IF(Y56=Modelo!$F$10,Modelo!$I$10,IF(Y56=Modelo!$F$11,Modelo!$I$11,IF(Y56=Modelo!$F$12,Modelo!$I$12,IF(Y56=Modelo!$F$13,Modelo!$I$13,IF(Y56=Modelo!$F$14,Modelo!$I$14,IF(Y56=Modelo!$F$15,Modelo!$I$15,IF(Y56=Modelo!$F$16,Modelo!$I$16,IF(Y56=Modelo!$F$17,Modelo!$I$17,IF(Y56=Modelo!$F$18,Modelo!$I$18,IF(Y56=Modelo!$F$19,Modelo!$I$19,IF(Y56=Modelo!$F$20,Modelo!$I$20,IF(Y56=Modelo!$F$21,Modelo!$I$21,IF(Y56=Modelo!$F$22,Modelo!$I$22,0))))))))))))))))</f>
        <v>0.1</v>
      </c>
      <c r="AK56" s="429">
        <f>IF(Z56=Modelo!$F$23,Modelo!$H$23,IF(Z56=Modelo!$F$24,Modelo!$H$24,IF(Z56=Modelo!$F$25,Modelo!$H$25,0)))</f>
        <v>1</v>
      </c>
      <c r="AL56" s="429">
        <f>IF(AA56=Modelo!$F$26,Modelo!$H$26,IF(AA56=Modelo!$F$27,Modelo!$H$27,IF(AA56=Modelo!$F$28,Modelo!$H$28,0)))</f>
        <v>0.1</v>
      </c>
      <c r="AM56" s="429">
        <f>IF(AB56=Modelo!$F$30,Modelo!$H$30,IF(AB56=Modelo!$F$31,Modelo!$H$31,IF(AB56=Modelo!$F$32,Modelo!$H$32,0)))</f>
        <v>0.8</v>
      </c>
      <c r="AN56" s="429">
        <f>IF(AC56=Modelo!$F$33,Modelo!$H$33,IF(AC56=Modelo!$F$34,Modelo!$H$34,IF(AC56=Modelo!$F$35,Modelo!$H$35,0)))</f>
        <v>0.3</v>
      </c>
      <c r="AO56" s="429">
        <f>IF(AD56=Modelo!$F$37,Modelo!$H$37,IF(AD56=Modelo!$F$38,Modelo!$H$38,IF(AD56=Modelo!$F$39,Modelo!$H$39,0)))</f>
        <v>0.8</v>
      </c>
      <c r="AP56" s="429">
        <f>IF(AE56=Modelo!$F$40,Modelo!$H$40,IF(AE56=Modelo!$F$41,Modelo!$H$41,IF(AE56=Modelo!$F$42,Modelo!$H$42,0)))</f>
        <v>0.4</v>
      </c>
      <c r="AQ56" s="428">
        <f>IF(C56=Modelo!$F$44,Modelo!$H$44,IF(C56=Modelo!$F$45,Modelo!$H$45,IF(C56=Modelo!$F$46,Modelo!$H$46,IF(C56=Modelo!$F$47,Modelo!$H$47,IF(C56=Modelo!$F$48,Modelo!$H$48,IF(C56=Modelo!$F$49,Modelo!$H$49,IF(C56=Modelo!$F$50,Modelo!$H$50,IF(C56=Modelo!$F$51,Modelo!$H$51,IF(C56=Modelo!$F$52,Modelo!$H$52,IF(C56=Modelo!$F$53,Modelo!$H$53,0))))))))))</f>
        <v>1.4</v>
      </c>
      <c r="AR56" s="429">
        <f>IF(AF56=Modelo!$F$54,Modelo!$H$54,IF(AF56=Modelo!$F$55,Modelo!$H$55,IF(AF56=Modelo!$F$56,Modelo!$H$56,0)))</f>
        <v>1</v>
      </c>
      <c r="AS56" s="429">
        <f>IF(AG56=Modelo!$F$58,Modelo!$H$58,IF(AG56=Modelo!$F$59,Modelo!$H$59,IF(AG56=Modelo!$F$60,Modelo!$H$60,0)))</f>
        <v>0.9</v>
      </c>
      <c r="AT56" s="427"/>
      <c r="AU56" s="431">
        <f>Modelo!$H$2</f>
        <v>0.05</v>
      </c>
      <c r="AV56" s="432">
        <f>ROUNDUP(Modelo!$I$2*Modelo!$H$3*Modelo!$I$75,2)</f>
        <v>0.02</v>
      </c>
      <c r="AW56" s="433">
        <f>ROUNDUP(Modelo!$I$2*Modelo!$H$3*Modelo!$H$4*Modelo!$I$75,3)</f>
        <v>3.0000000000000001E-3</v>
      </c>
      <c r="AX56" s="431">
        <f>Modelo!$H$5</f>
        <v>0.04</v>
      </c>
      <c r="AY56" s="431">
        <f>ROUNDUP(SUM(AZ56,BB56,BD56,BF56)*Modelo!$H$6,1)</f>
        <v>0.7</v>
      </c>
      <c r="AZ56" s="431">
        <f>ROUNDUP((AI56*AK56+0.1)*Modelo!$I$75,1)</f>
        <v>0.4</v>
      </c>
      <c r="BA56" s="431">
        <f>ROUNDUP(AJ56*AK56*AL56*Modelo!$I$75,1)</f>
        <v>0.1</v>
      </c>
      <c r="BB56" s="431">
        <f>ROUNDUP(V56*Modelo!$H$29*AM56*Modelo!$I$75*2/3,1)</f>
        <v>1.1000000000000001</v>
      </c>
      <c r="BC56" s="431">
        <f>ROUNDUP(V56*Modelo!$H$29*AM56*AN56*Modelo!$I$75*2/3,1)</f>
        <v>0.4</v>
      </c>
      <c r="BD56" s="431">
        <f>ROUNDUP(V56*Modelo!$H$29*AM56*Modelo!$I$75/3,1)</f>
        <v>0.6</v>
      </c>
      <c r="BE56" s="431">
        <f>ROUNDUP(V56*Modelo!$H$29*AM56*AN56*Modelo!$I$75/3,1)</f>
        <v>0.2</v>
      </c>
      <c r="BF56" s="431">
        <f>ROUNDUP(W56*Modelo!$H$36*AO56*Modelo!$I$75,1)</f>
        <v>0</v>
      </c>
      <c r="BG56" s="431">
        <f>ROUNDUP(W56*Modelo!$H$36*AO56*AP56*Modelo!$I$75,1)</f>
        <v>0</v>
      </c>
      <c r="BH56" s="431">
        <f>Modelo!$H$43</f>
        <v>0.04</v>
      </c>
      <c r="BI56" s="431">
        <f>ROUNDUP(SUM(ROUNDUP(AI56*AK56+0.1,1),ROUNDUP(V56*Modelo!$H$29*AM56,1),ROUNDUP(W56*Modelo!$H$36*AO56,1))*AR56*AQ56*Modelo!$I$75,1)</f>
        <v>2.8</v>
      </c>
      <c r="BJ56" s="431">
        <f>IF(K$31="x",0, BI56*0.1*1.25)</f>
        <v>0</v>
      </c>
      <c r="BK56" s="431">
        <f t="shared" ref="BK56" si="208">IF(Q56="x",(BI56)*0.1,0)</f>
        <v>0</v>
      </c>
      <c r="BL56" s="431">
        <f t="shared" ref="BL56" si="209">IF(R56="x",(BI56)*0.12,0)</f>
        <v>0</v>
      </c>
      <c r="BM56" s="431">
        <f t="shared" ref="BM56" si="210">IF(S56="x",(BI56)*0.12,0)*4</f>
        <v>0</v>
      </c>
      <c r="BN56" s="431">
        <f>ROUNDUP(SUM(ROUNDUP(AI56*AK56+0.1,1),ROUNDUP(V56*Modelo!$H$29*AM56,1),ROUNDUP(W56*Modelo!$H$36*AO56,1))*AQ56*AS56*Modelo!$H$57,1)</f>
        <v>1.2000000000000002</v>
      </c>
      <c r="BO56" s="431">
        <f>BI56*0.1
+IF(K$15="x",0,BI56*0.05)
+IF(K$27="x",0,BI56*0.2)
+IF(K$28="x",0,BI56*0.5)
+IF(OR(K$29="x",K$30="x"),0,BI56*0.05)
+IF(K$31="x",0,BI56*0.3)
+IF(Q56="x",0,BI56*0.5)
+IF(OR(R56="x",S56="x"),0,BI56*0.15)</f>
        <v>2.6599999999999997</v>
      </c>
      <c r="BP56" s="431">
        <f>Modelo!$H$61</f>
        <v>0.04</v>
      </c>
      <c r="BQ56" s="431">
        <f>ROUNDUP(SUM(ROUNDUP(AI56*AK56+0.1,1),ROUNDUP(V56*Modelo!$H$29*AM56,1),ROUNDUP(W56*Modelo!$H$36*AO56,1))*Modelo!$H$62*Modelo!$I$75,1)</f>
        <v>0.2</v>
      </c>
      <c r="BR56" s="431">
        <f>ROUNDUP(ROUNDUP(SUM(ROUNDUP(AI56*AK56+0.1,1),ROUNDUP(V56*Modelo!$H$29*AM56,1),ROUNDUP(W56*Modelo!$H$36*AO56,1))*Modelo!$H$62,1)*Modelo!$H$63*Modelo!$I$75,1)</f>
        <v>0.1</v>
      </c>
      <c r="BS56" s="431">
        <f>SUM(ROUNDUP(AI56*AK56+0.1,1),ROUNDUP(V56*Modelo!$H$29*AM56,1),ROUNDUP(W56*Modelo!$H$36*AO56,1))*Modelo!$H$64*Modelo!$I$75</f>
        <v>0.4</v>
      </c>
      <c r="BT56" s="431">
        <f>ROUNDUP(SUM(ROUNDUP(AI56*AK56+0.1,1),ROUNDUP(V56*Modelo!$H$29*AM56,1),ROUNDUP(W56*Modelo!$H$36*AO56,1))*Modelo!$H$64*Modelo!$H$65*Modelo!$I$75,1)</f>
        <v>0.2</v>
      </c>
      <c r="BU56" s="431">
        <f>Modelo!$H$66</f>
        <v>0.04</v>
      </c>
      <c r="BV56" s="431">
        <f>ROUNDUP(SUM(ROUNDUP(AI56*AK56+0.1,1),ROUNDUP(V56*Modelo!$H$29*AM56,1),ROUNDUP(W56*Modelo!$H$36*AO56,1))*Modelo!$H$69,1)</f>
        <v>0.5</v>
      </c>
      <c r="BW56" s="431">
        <f>ROUNDUP(ROUNDUP(SUM(ROUNDUP(AI56*AK56+0.1,1),ROUNDUP(V56*Modelo!$H$29*AM56,1),ROUNDUP(W56*Modelo!$H$36*AO56,1))*Modelo!$H$62,1)*Modelo!$H$71,1)</f>
        <v>0.4</v>
      </c>
      <c r="BX56" s="430">
        <f t="shared" ref="BX56" si="211">SUM(AU56:BW56)</f>
        <v>12.192999999999998</v>
      </c>
      <c r="BZ56" s="426">
        <f t="shared" ref="BZ56" si="212">CA56*0.85</f>
        <v>3.4</v>
      </c>
      <c r="CA56" s="425">
        <f t="shared" ref="CA56" si="213">O56</f>
        <v>4</v>
      </c>
      <c r="CB56" s="426">
        <f t="shared" ref="CB56" si="214">IF(CA56=0,1,CA56*1.4)</f>
        <v>5.6</v>
      </c>
      <c r="CD56" s="420">
        <v>0</v>
      </c>
      <c r="CF56" s="426">
        <f t="shared" ref="CF56" si="215">IF(CC56&lt;&gt;"",CC56,CD56)</f>
        <v>0</v>
      </c>
    </row>
    <row r="57" spans="3:84" s="426" customFormat="1" ht="15.75" thickBot="1" x14ac:dyDescent="0.25">
      <c r="C57" s="454" t="s">
        <v>106</v>
      </c>
      <c r="D57" s="440" t="s">
        <v>18</v>
      </c>
      <c r="E57" s="440" t="str">
        <f t="shared" si="137"/>
        <v>B</v>
      </c>
      <c r="F57" s="440" t="s">
        <v>459</v>
      </c>
      <c r="G57" s="440" t="s">
        <v>459</v>
      </c>
      <c r="H57" s="440" t="str">
        <f t="shared" si="138"/>
        <v>B</v>
      </c>
      <c r="I57" s="440" t="str">
        <f t="shared" si="139"/>
        <v>B</v>
      </c>
      <c r="J57" s="437">
        <f t="shared" si="140"/>
        <v>2</v>
      </c>
      <c r="K57" s="436" t="str">
        <f t="shared" si="141"/>
        <v>Chica 1</v>
      </c>
      <c r="L57" s="447" t="s">
        <v>600</v>
      </c>
      <c r="M57" s="434">
        <f t="shared" si="142"/>
        <v>5</v>
      </c>
      <c r="N57" s="434">
        <f t="shared" si="143"/>
        <v>2.1</v>
      </c>
      <c r="O57" s="442">
        <f t="shared" si="144"/>
        <v>7.1</v>
      </c>
      <c r="Q57" s="408"/>
      <c r="R57" s="408"/>
      <c r="S57" s="408"/>
      <c r="T57" s="425"/>
      <c r="U57" s="441">
        <v>6</v>
      </c>
      <c r="V57" s="441">
        <v>2</v>
      </c>
      <c r="W57" s="441">
        <v>0</v>
      </c>
      <c r="X57" s="438"/>
      <c r="Y57" s="428" t="str">
        <f t="shared" si="145"/>
        <v>Chica 1</v>
      </c>
      <c r="Z57" s="428" t="str">
        <f t="shared" si="146"/>
        <v>Baja</v>
      </c>
      <c r="AA57" s="428" t="str">
        <f t="shared" si="147"/>
        <v>Baja</v>
      </c>
      <c r="AB57" s="428" t="str">
        <f t="shared" si="148"/>
        <v>Baja</v>
      </c>
      <c r="AC57" s="428" t="str">
        <f t="shared" si="149"/>
        <v>Baja</v>
      </c>
      <c r="AD57" s="428" t="str">
        <f t="shared" si="150"/>
        <v>Baja</v>
      </c>
      <c r="AE57" s="428" t="str">
        <f t="shared" si="151"/>
        <v>Baja</v>
      </c>
      <c r="AF57" s="428" t="str">
        <f t="shared" si="152"/>
        <v>Baja</v>
      </c>
      <c r="AG57" s="428" t="str">
        <f t="shared" si="153"/>
        <v>Baja</v>
      </c>
      <c r="AH57" s="427"/>
      <c r="AI57" s="429">
        <f>IF(Y57=Modelo!$F$7,Modelo!$H$7,IF(Y57=Modelo!$F$8,Modelo!$H$8,IF(Y57=Modelo!$F$9,Modelo!$H$9,IF(Y57=Modelo!$F$10,Modelo!$H$10,IF(Y57=Modelo!$F$11,Modelo!$H$11,IF(Y57=Modelo!$F$12,Modelo!$H$12,IF(Y57=Modelo!$F$13,Modelo!$H$13,IF(Y57=Modelo!$F$14,Modelo!$H$14,IF(Y57=Modelo!$F$15,Modelo!$H$15,IF(Y57=Modelo!$F$16,Modelo!$H$16,IF(Y57=Modelo!$F$17,Modelo!$H$17,IF(Y57=Modelo!$F$18,Modelo!$H$18,IF(Y57=Modelo!$F$19,Modelo!$H$19,IF(Y57=Modelo!$F$20,Modelo!$H$20,IF(Y57=Modelo!$F$21,Modelo!$H$21,IF(Y57=Modelo!$F$22,Modelo!$H$22,0))))))))))))))))</f>
        <v>0.30000000000000004</v>
      </c>
      <c r="AJ57" s="429">
        <f>IF(Y57=Modelo!$F$7,Modelo!$I$7,IF(Y57=Modelo!$F$8,Modelo!$I$8,IF(Y57=Modelo!$F$9,Modelo!$I$9,IF(Y57=Modelo!$F$10,Modelo!$I$10,IF(Y57=Modelo!$F$11,Modelo!$I$11,IF(Y57=Modelo!$F$12,Modelo!$I$12,IF(Y57=Modelo!$F$13,Modelo!$I$13,IF(Y57=Modelo!$F$14,Modelo!$I$14,IF(Y57=Modelo!$F$15,Modelo!$I$15,IF(Y57=Modelo!$F$16,Modelo!$I$16,IF(Y57=Modelo!$F$17,Modelo!$I$17,IF(Y57=Modelo!$F$18,Modelo!$I$18,IF(Y57=Modelo!$F$19,Modelo!$I$19,IF(Y57=Modelo!$F$20,Modelo!$I$20,IF(Y57=Modelo!$F$21,Modelo!$I$21,IF(Y57=Modelo!$F$22,Modelo!$I$22,0))))))))))))))))</f>
        <v>0.1</v>
      </c>
      <c r="AK57" s="429">
        <f>IF(Z57=Modelo!$F$23,Modelo!$H$23,IF(Z57=Modelo!$F$24,Modelo!$H$24,IF(Z57=Modelo!$F$25,Modelo!$H$25,0)))</f>
        <v>1</v>
      </c>
      <c r="AL57" s="429">
        <f>IF(AA57=Modelo!$F$26,Modelo!$H$26,IF(AA57=Modelo!$F$27,Modelo!$H$27,IF(AA57=Modelo!$F$28,Modelo!$H$28,0)))</f>
        <v>0.1</v>
      </c>
      <c r="AM57" s="429">
        <f>IF(AB57=Modelo!$F$30,Modelo!$H$30,IF(AB57=Modelo!$F$31,Modelo!$H$31,IF(AB57=Modelo!$F$32,Modelo!$H$32,0)))</f>
        <v>0.8</v>
      </c>
      <c r="AN57" s="429">
        <f>IF(AC57=Modelo!$F$33,Modelo!$H$33,IF(AC57=Modelo!$F$34,Modelo!$H$34,IF(AC57=Modelo!$F$35,Modelo!$H$35,0)))</f>
        <v>0.3</v>
      </c>
      <c r="AO57" s="429">
        <f>IF(AD57=Modelo!$F$37,Modelo!$H$37,IF(AD57=Modelo!$F$38,Modelo!$H$38,IF(AD57=Modelo!$F$39,Modelo!$H$39,0)))</f>
        <v>0.8</v>
      </c>
      <c r="AP57" s="429">
        <f>IF(AE57=Modelo!$F$40,Modelo!$H$40,IF(AE57=Modelo!$F$41,Modelo!$H$41,IF(AE57=Modelo!$F$42,Modelo!$H$42,0)))</f>
        <v>0.4</v>
      </c>
      <c r="AQ57" s="428">
        <f>IF(C57=Modelo!$F$44,Modelo!$H$44,IF(C57=Modelo!$F$45,Modelo!$H$45,IF(C57=Modelo!$F$46,Modelo!$H$46,IF(C57=Modelo!$F$47,Modelo!$H$47,IF(C57=Modelo!$F$48,Modelo!$H$48,IF(C57=Modelo!$F$49,Modelo!$H$49,IF(C57=Modelo!$F$50,Modelo!$H$50,IF(C57=Modelo!$F$51,Modelo!$H$51,IF(C57=Modelo!$F$52,Modelo!$H$52,IF(C57=Modelo!$F$53,Modelo!$H$53,0))))))))))</f>
        <v>2.5</v>
      </c>
      <c r="AR57" s="429">
        <f>IF(AF57=Modelo!$F$54,Modelo!$H$54,IF(AF57=Modelo!$F$55,Modelo!$H$55,IF(AF57=Modelo!$F$56,Modelo!$H$56,0)))</f>
        <v>1</v>
      </c>
      <c r="AS57" s="429">
        <f>IF(AG57=Modelo!$F$58,Modelo!$H$58,IF(AG57=Modelo!$F$59,Modelo!$H$59,IF(AG57=Modelo!$F$60,Modelo!$H$60,0)))</f>
        <v>0.9</v>
      </c>
      <c r="AT57" s="427"/>
      <c r="AU57" s="431">
        <f>Modelo!$H$2</f>
        <v>0.05</v>
      </c>
      <c r="AV57" s="432">
        <f>ROUNDUP(Modelo!$I$2*Modelo!$H$3*Modelo!$I$75,2)</f>
        <v>0.02</v>
      </c>
      <c r="AW57" s="433">
        <f>ROUNDUP(Modelo!$I$2*Modelo!$H$3*Modelo!$H$4*Modelo!$I$75,3)</f>
        <v>3.0000000000000001E-3</v>
      </c>
      <c r="AX57" s="431">
        <f>Modelo!$H$5</f>
        <v>0.04</v>
      </c>
      <c r="AY57" s="431">
        <f>ROUNDUP(SUM(AZ57,BB57,BD57,BF57)*Modelo!$H$6,1)</f>
        <v>0.7</v>
      </c>
      <c r="AZ57" s="431">
        <f>ROUNDUP((AI57*AK57+0.1)*Modelo!$I$75,1)</f>
        <v>0.4</v>
      </c>
      <c r="BA57" s="431">
        <f>ROUNDUP(AJ57*AK57*AL57*Modelo!$I$75,1)</f>
        <v>0.1</v>
      </c>
      <c r="BB57" s="431">
        <f>ROUNDUP(V57*Modelo!$H$29*AM57*Modelo!$I$75*2/3,1)</f>
        <v>1.1000000000000001</v>
      </c>
      <c r="BC57" s="431">
        <f>ROUNDUP(V57*Modelo!$H$29*AM57*AN57*Modelo!$I$75*2/3,1)</f>
        <v>0.4</v>
      </c>
      <c r="BD57" s="431">
        <f>ROUNDUP(V57*Modelo!$H$29*AM57*Modelo!$I$75/3,1)</f>
        <v>0.6</v>
      </c>
      <c r="BE57" s="431">
        <f>ROUNDUP(V57*Modelo!$H$29*AM57*AN57*Modelo!$I$75/3,1)</f>
        <v>0.2</v>
      </c>
      <c r="BF57" s="431">
        <f>ROUNDUP(W57*Modelo!$H$36*AO57*Modelo!$I$75,1)</f>
        <v>0</v>
      </c>
      <c r="BG57" s="431">
        <f>ROUNDUP(W57*Modelo!$H$36*AO57*AP57*Modelo!$I$75,1)</f>
        <v>0</v>
      </c>
      <c r="BH57" s="431">
        <f>Modelo!$H$43</f>
        <v>0.04</v>
      </c>
      <c r="BI57" s="431">
        <f>ROUNDUP(SUM(ROUNDUP(AI57*AK57+0.1,1),ROUNDUP(V57*Modelo!$H$29*AM57,1),ROUNDUP(W57*Modelo!$H$36*AO57,1))*AR57*AQ57*Modelo!$I$75,1)</f>
        <v>5</v>
      </c>
      <c r="BJ57" s="431">
        <f t="shared" si="154"/>
        <v>0</v>
      </c>
      <c r="BK57" s="431">
        <f t="shared" si="155"/>
        <v>0</v>
      </c>
      <c r="BL57" s="431">
        <f t="shared" si="156"/>
        <v>0</v>
      </c>
      <c r="BM57" s="431">
        <f t="shared" si="157"/>
        <v>0</v>
      </c>
      <c r="BN57" s="431">
        <f>ROUNDUP(SUM(ROUNDUP(AI57*AK57+0.1,1),ROUNDUP(V57*Modelo!$H$29*AM57,1),ROUNDUP(W57*Modelo!$H$36*AO57,1))*AQ57*AS57*Modelo!$H$57,1)</f>
        <v>2.1</v>
      </c>
      <c r="BO57" s="431">
        <f t="shared" si="158"/>
        <v>4.75</v>
      </c>
      <c r="BP57" s="431">
        <f>Modelo!$H$61</f>
        <v>0.04</v>
      </c>
      <c r="BQ57" s="431">
        <f>ROUNDUP(SUM(ROUNDUP(AI57*AK57+0.1,1),ROUNDUP(V57*Modelo!$H$29*AM57,1),ROUNDUP(W57*Modelo!$H$36*AO57,1))*Modelo!$H$62*Modelo!$I$75,1)</f>
        <v>0.2</v>
      </c>
      <c r="BR57" s="431">
        <f>ROUNDUP(ROUNDUP(SUM(ROUNDUP(AI57*AK57+0.1,1),ROUNDUP(V57*Modelo!$H$29*AM57,1),ROUNDUP(W57*Modelo!$H$36*AO57,1))*Modelo!$H$62,1)*Modelo!$H$63*Modelo!$I$75,1)</f>
        <v>0.1</v>
      </c>
      <c r="BS57" s="431">
        <f>SUM(ROUNDUP(AI57*AK57+0.1,1),ROUNDUP(V57*Modelo!$H$29*AM57,1),ROUNDUP(W57*Modelo!$H$36*AO57,1))*Modelo!$H$64*Modelo!$I$75</f>
        <v>0.4</v>
      </c>
      <c r="BT57" s="431">
        <f>ROUNDUP(SUM(ROUNDUP(AI57*AK57+0.1,1),ROUNDUP(V57*Modelo!$H$29*AM57,1),ROUNDUP(W57*Modelo!$H$36*AO57,1))*Modelo!$H$64*Modelo!$H$65*Modelo!$I$75,1)</f>
        <v>0.2</v>
      </c>
      <c r="BU57" s="431">
        <f>Modelo!$H$66</f>
        <v>0.04</v>
      </c>
      <c r="BV57" s="431">
        <f>ROUNDUP(SUM(ROUNDUP(AI57*AK57+0.1,1),ROUNDUP(V57*Modelo!$H$29*AM57,1),ROUNDUP(W57*Modelo!$H$36*AO57,1))*Modelo!$H$69,1)</f>
        <v>0.5</v>
      </c>
      <c r="BW57" s="431">
        <f>ROUNDUP(ROUNDUP(SUM(ROUNDUP(AI57*AK57+0.1,1),ROUNDUP(V57*Modelo!$H$29*AM57,1),ROUNDUP(W57*Modelo!$H$36*AO57,1))*Modelo!$H$62,1)*Modelo!$H$71,1)</f>
        <v>0.4</v>
      </c>
      <c r="BX57" s="430">
        <f t="shared" si="159"/>
        <v>17.382999999999996</v>
      </c>
      <c r="BZ57" s="426">
        <f t="shared" si="160"/>
        <v>6.0349999999999993</v>
      </c>
      <c r="CA57" s="425">
        <f t="shared" si="161"/>
        <v>7.1</v>
      </c>
      <c r="CB57" s="426">
        <f t="shared" si="162"/>
        <v>9.94</v>
      </c>
      <c r="CD57" s="420">
        <v>0</v>
      </c>
      <c r="CF57" s="426">
        <f t="shared" si="163"/>
        <v>0</v>
      </c>
    </row>
    <row r="58" spans="3:84" s="426" customFormat="1" ht="26.25" thickBot="1" x14ac:dyDescent="0.25">
      <c r="C58" s="454" t="s">
        <v>96</v>
      </c>
      <c r="D58" s="440" t="s">
        <v>80</v>
      </c>
      <c r="E58" s="440" t="str">
        <f t="shared" ref="E58:E59" si="216">IF(U58&gt;50,"A",IF(U58&gt;15,"M","B"))</f>
        <v>B</v>
      </c>
      <c r="F58" s="440" t="s">
        <v>459</v>
      </c>
      <c r="G58" s="440" t="s">
        <v>459</v>
      </c>
      <c r="H58" s="440" t="str">
        <f t="shared" ref="H58:H59" si="217">IF(V58+W58&gt;20,"A",IF(V58+W58&gt;5,"M","B"))</f>
        <v>B</v>
      </c>
      <c r="I58" s="440" t="str">
        <f t="shared" ref="I58:I59" si="218">IF(V58+W58&gt;15,"A",IF(V58+W58&gt;4,"M","B"))</f>
        <v>B</v>
      </c>
      <c r="J58" s="437">
        <f t="shared" ref="J58:J59" si="219">V58+W58</f>
        <v>3</v>
      </c>
      <c r="K58" s="436" t="str">
        <f t="shared" ref="K58:K59" si="220">Y58</f>
        <v>Chica 1</v>
      </c>
      <c r="L58" s="446" t="s">
        <v>583</v>
      </c>
      <c r="M58" s="434">
        <f t="shared" ref="M58:M59" si="221">BI58+BJ58+BK58+BL58+BM58</f>
        <v>4</v>
      </c>
      <c r="N58" s="434">
        <f t="shared" ref="N58:N59" si="222">BN58</f>
        <v>1.6</v>
      </c>
      <c r="O58" s="442">
        <f t="shared" ref="O58:O59" si="223">SUM(M58,N58)</f>
        <v>5.6</v>
      </c>
      <c r="Q58" s="408"/>
      <c r="R58" s="408"/>
      <c r="S58" s="408"/>
      <c r="T58" s="425"/>
      <c r="U58" s="441">
        <v>6</v>
      </c>
      <c r="V58" s="441">
        <v>3</v>
      </c>
      <c r="W58" s="441">
        <v>0</v>
      </c>
      <c r="X58" s="438"/>
      <c r="Y58" s="428" t="str">
        <f t="shared" ref="Y58:Y59" si="224">IF(AND(U58&gt;=0,U58&lt;=6),"Chica 1",IF(AND(U58&gt;=7,U58&lt;=12),"Chica 2",IF(AND(U58&gt;=13,U58&lt;=18),"Chica 3",IF(AND(U58&gt;=19,U58&lt;=24),"Chica 4",IF(AND(U58&gt;=25,U58&lt;=30),"Mediana 1",IF(AND(U58&gt;=31,U58&lt;=36),"Mediana 2",IF(AND(U58&gt;=37,U58&lt;=42),"Mediana 3",IF(AND(U58&gt;=43,U58&lt;=48),"Mediana 4",IF(AND(U58&gt;=49,U58&lt;=54),"Grande 1",IF(AND(U58&gt;=55,U58&lt;=60),"Grande 2",IF(AND(U58&gt;=61,U58&lt;=66),"Grande 3",IF(AND(U58&gt;=67,U58&lt;=72),"Grande 4",IF(AND(U58&gt;=73,U58&lt;=78),"M. grande 1",IF(AND(U58&gt;=79,U58&lt;=84),"M. grande 2",IF(AND(U58&gt;=85,U58&lt;=90),"M. grande 3",IF(AND(U58&gt;=91,U58&lt;=96),"M. grande 4","NO DEF"))))))))))))))))</f>
        <v>Chica 1</v>
      </c>
      <c r="Z58" s="428" t="str">
        <f t="shared" ref="Z58:Z59" si="225">IF(E58="A","Alta",IF(E58="M","Media","Baja"))</f>
        <v>Baja</v>
      </c>
      <c r="AA58" s="428" t="str">
        <f t="shared" ref="AA58:AA59" si="226">IF(E58="A","Alta",IF(E58="M","Media","Baja"))</f>
        <v>Baja</v>
      </c>
      <c r="AB58" s="428" t="str">
        <f t="shared" ref="AB58:AB59" si="227">IF(F58="A","Alta",IF(F58="M","Media","Baja"))</f>
        <v>Baja</v>
      </c>
      <c r="AC58" s="428" t="str">
        <f t="shared" ref="AC58:AC59" si="228">IF(F58="A","Alta",IF(F58="M","Media","Baja"))</f>
        <v>Baja</v>
      </c>
      <c r="AD58" s="428" t="str">
        <f t="shared" ref="AD58:AD59" si="229">IF(G58="A","Alta",IF(G58="M","Media","Baja"))</f>
        <v>Baja</v>
      </c>
      <c r="AE58" s="428" t="str">
        <f t="shared" ref="AE58:AE59" si="230">IF(G58="A","Alta",IF(G58="M","Media","Baja"))</f>
        <v>Baja</v>
      </c>
      <c r="AF58" s="428" t="str">
        <f t="shared" ref="AF58:AF59" si="231">IF(H58="A","Alta",IF(H58="M","Media","Baja"))</f>
        <v>Baja</v>
      </c>
      <c r="AG58" s="428" t="str">
        <f t="shared" ref="AG58:AG59" si="232">IF(I58="A","Alta",IF(I58="M","Media","Baja"))</f>
        <v>Baja</v>
      </c>
      <c r="AH58" s="427"/>
      <c r="AI58" s="429">
        <f>IF(Y58=Modelo!$F$7,Modelo!$H$7,IF(Y58=Modelo!$F$8,Modelo!$H$8,IF(Y58=Modelo!$F$9,Modelo!$H$9,IF(Y58=Modelo!$F$10,Modelo!$H$10,IF(Y58=Modelo!$F$11,Modelo!$H$11,IF(Y58=Modelo!$F$12,Modelo!$H$12,IF(Y58=Modelo!$F$13,Modelo!$H$13,IF(Y58=Modelo!$F$14,Modelo!$H$14,IF(Y58=Modelo!$F$15,Modelo!$H$15,IF(Y58=Modelo!$F$16,Modelo!$H$16,IF(Y58=Modelo!$F$17,Modelo!$H$17,IF(Y58=Modelo!$F$18,Modelo!$H$18,IF(Y58=Modelo!$F$19,Modelo!$H$19,IF(Y58=Modelo!$F$20,Modelo!$H$20,IF(Y58=Modelo!$F$21,Modelo!$H$21,IF(Y58=Modelo!$F$22,Modelo!$H$22,0))))))))))))))))</f>
        <v>0.30000000000000004</v>
      </c>
      <c r="AJ58" s="429">
        <f>IF(Y58=Modelo!$F$7,Modelo!$I$7,IF(Y58=Modelo!$F$8,Modelo!$I$8,IF(Y58=Modelo!$F$9,Modelo!$I$9,IF(Y58=Modelo!$F$10,Modelo!$I$10,IF(Y58=Modelo!$F$11,Modelo!$I$11,IF(Y58=Modelo!$F$12,Modelo!$I$12,IF(Y58=Modelo!$F$13,Modelo!$I$13,IF(Y58=Modelo!$F$14,Modelo!$I$14,IF(Y58=Modelo!$F$15,Modelo!$I$15,IF(Y58=Modelo!$F$16,Modelo!$I$16,IF(Y58=Modelo!$F$17,Modelo!$I$17,IF(Y58=Modelo!$F$18,Modelo!$I$18,IF(Y58=Modelo!$F$19,Modelo!$I$19,IF(Y58=Modelo!$F$20,Modelo!$I$20,IF(Y58=Modelo!$F$21,Modelo!$I$21,IF(Y58=Modelo!$F$22,Modelo!$I$22,0))))))))))))))))</f>
        <v>0.1</v>
      </c>
      <c r="AK58" s="429">
        <f>IF(Z58=Modelo!$F$23,Modelo!$H$23,IF(Z58=Modelo!$F$24,Modelo!$H$24,IF(Z58=Modelo!$F$25,Modelo!$H$25,0)))</f>
        <v>1</v>
      </c>
      <c r="AL58" s="429">
        <f>IF(AA58=Modelo!$F$26,Modelo!$H$26,IF(AA58=Modelo!$F$27,Modelo!$H$27,IF(AA58=Modelo!$F$28,Modelo!$H$28,0)))</f>
        <v>0.1</v>
      </c>
      <c r="AM58" s="429">
        <f>IF(AB58=Modelo!$F$30,Modelo!$H$30,IF(AB58=Modelo!$F$31,Modelo!$H$31,IF(AB58=Modelo!$F$32,Modelo!$H$32,0)))</f>
        <v>0.8</v>
      </c>
      <c r="AN58" s="429">
        <f>IF(AC58=Modelo!$F$33,Modelo!$H$33,IF(AC58=Modelo!$F$34,Modelo!$H$34,IF(AC58=Modelo!$F$35,Modelo!$H$35,0)))</f>
        <v>0.3</v>
      </c>
      <c r="AO58" s="429">
        <f>IF(AD58=Modelo!$F$37,Modelo!$H$37,IF(AD58=Modelo!$F$38,Modelo!$H$38,IF(AD58=Modelo!$F$39,Modelo!$H$39,0)))</f>
        <v>0.8</v>
      </c>
      <c r="AP58" s="429">
        <f>IF(AE58=Modelo!$F$40,Modelo!$H$40,IF(AE58=Modelo!$F$41,Modelo!$H$41,IF(AE58=Modelo!$F$42,Modelo!$H$42,0)))</f>
        <v>0.4</v>
      </c>
      <c r="AQ58" s="428">
        <f>IF(C58=Modelo!$F$44,Modelo!$H$44,IF(C58=Modelo!$F$45,Modelo!$H$45,IF(C58=Modelo!$F$46,Modelo!$H$46,IF(C58=Modelo!$F$47,Modelo!$H$47,IF(C58=Modelo!$F$48,Modelo!$H$48,IF(C58=Modelo!$F$49,Modelo!$H$49,IF(C58=Modelo!$F$50,Modelo!$H$50,IF(C58=Modelo!$F$51,Modelo!$H$51,IF(C58=Modelo!$F$52,Modelo!$H$52,IF(C58=Modelo!$F$53,Modelo!$H$53,0))))))))))</f>
        <v>1.4</v>
      </c>
      <c r="AR58" s="429">
        <f>IF(AF58=Modelo!$F$54,Modelo!$H$54,IF(AF58=Modelo!$F$55,Modelo!$H$55,IF(AF58=Modelo!$F$56,Modelo!$H$56,0)))</f>
        <v>1</v>
      </c>
      <c r="AS58" s="429">
        <f>IF(AG58=Modelo!$F$58,Modelo!$H$58,IF(AG58=Modelo!$F$59,Modelo!$H$59,IF(AG58=Modelo!$F$60,Modelo!$H$60,0)))</f>
        <v>0.9</v>
      </c>
      <c r="AT58" s="427"/>
      <c r="AU58" s="431">
        <f>Modelo!$H$2</f>
        <v>0.05</v>
      </c>
      <c r="AV58" s="432">
        <f>ROUNDUP(Modelo!$I$2*Modelo!$H$3*Modelo!$I$75,2)</f>
        <v>0.02</v>
      </c>
      <c r="AW58" s="433">
        <f>ROUNDUP(Modelo!$I$2*Modelo!$H$3*Modelo!$H$4*Modelo!$I$75,3)</f>
        <v>3.0000000000000001E-3</v>
      </c>
      <c r="AX58" s="431">
        <f>Modelo!$H$5</f>
        <v>0.04</v>
      </c>
      <c r="AY58" s="431">
        <f>ROUNDUP(SUM(AZ58,BB58,BD58,BF58)*Modelo!$H$6,1)</f>
        <v>1</v>
      </c>
      <c r="AZ58" s="431">
        <f>ROUNDUP((AI58*AK58+0.1)*Modelo!$I$75,1)</f>
        <v>0.4</v>
      </c>
      <c r="BA58" s="431">
        <f>ROUNDUP(AJ58*AK58*AL58*Modelo!$I$75,1)</f>
        <v>0.1</v>
      </c>
      <c r="BB58" s="431">
        <f>ROUNDUP(V58*Modelo!$H$29*AM58*Modelo!$I$75*2/3,1)</f>
        <v>1.6</v>
      </c>
      <c r="BC58" s="431">
        <f>ROUNDUP(V58*Modelo!$H$29*AM58*AN58*Modelo!$I$75*2/3,1)</f>
        <v>0.5</v>
      </c>
      <c r="BD58" s="431">
        <f>ROUNDUP(V58*Modelo!$H$29*AM58*Modelo!$I$75/3,1)</f>
        <v>0.8</v>
      </c>
      <c r="BE58" s="431">
        <f>ROUNDUP(V58*Modelo!$H$29*AM58*AN58*Modelo!$I$75/3,1)</f>
        <v>0.30000000000000004</v>
      </c>
      <c r="BF58" s="431">
        <f>ROUNDUP(W58*Modelo!$H$36*AO58*Modelo!$I$75,1)</f>
        <v>0</v>
      </c>
      <c r="BG58" s="431">
        <f>ROUNDUP(W58*Modelo!$H$36*AO58*AP58*Modelo!$I$75,1)</f>
        <v>0</v>
      </c>
      <c r="BH58" s="431">
        <f>Modelo!$H$43</f>
        <v>0.04</v>
      </c>
      <c r="BI58" s="431">
        <f>ROUNDUP(SUM(ROUNDUP(AI58*AK58+0.1,1),ROUNDUP(V58*Modelo!$H$29*AM58,1),ROUNDUP(W58*Modelo!$H$36*AO58,1))*AR58*AQ58*Modelo!$I$75,1)</f>
        <v>4</v>
      </c>
      <c r="BJ58" s="431">
        <f t="shared" ref="BJ58:BJ59" si="233">IF(K$31="x",0, BI58*0.1*1.25)</f>
        <v>0</v>
      </c>
      <c r="BK58" s="431">
        <f t="shared" ref="BK58:BK59" si="234">IF(Q58="x",(BI58)*0.1,0)</f>
        <v>0</v>
      </c>
      <c r="BL58" s="431">
        <f t="shared" ref="BL58:BL59" si="235">IF(R58="x",(BI58)*0.12,0)</f>
        <v>0</v>
      </c>
      <c r="BM58" s="431">
        <f t="shared" ref="BM58:BM59" si="236">IF(S58="x",(BI58)*0.12,0)*4</f>
        <v>0</v>
      </c>
      <c r="BN58" s="431">
        <f>ROUNDUP(SUM(ROUNDUP(AI58*AK58+0.1,1),ROUNDUP(V58*Modelo!$H$29*AM58,1),ROUNDUP(W58*Modelo!$H$36*AO58,1))*AQ58*AS58*Modelo!$H$57,1)</f>
        <v>1.6</v>
      </c>
      <c r="BO58" s="431">
        <f t="shared" ref="BO58:BO59" si="237">BI58*0.1
+IF(K$15="x",0,BI58*0.05)
+IF(K$27="x",0,BI58*0.2)
+IF(K$28="x",0,BI58*0.5)
+IF(OR(K$29="x",K$30="x"),0,BI58*0.05)
+IF(K$31="x",0,BI58*0.3)
+IF(Q58="x",0,BI58*0.5)
+IF(OR(R58="x",S58="x"),0,BI58*0.15)</f>
        <v>3.8000000000000003</v>
      </c>
      <c r="BP58" s="431">
        <f>Modelo!$H$61</f>
        <v>0.04</v>
      </c>
      <c r="BQ58" s="431">
        <f>ROUNDUP(SUM(ROUNDUP(AI58*AK58+0.1,1),ROUNDUP(V58*Modelo!$H$29*AM58,1),ROUNDUP(W58*Modelo!$H$36*AO58,1))*Modelo!$H$62*Modelo!$I$75,1)</f>
        <v>0.2</v>
      </c>
      <c r="BR58" s="431">
        <f>ROUNDUP(ROUNDUP(SUM(ROUNDUP(AI58*AK58+0.1,1),ROUNDUP(V58*Modelo!$H$29*AM58,1),ROUNDUP(W58*Modelo!$H$36*AO58,1))*Modelo!$H$62,1)*Modelo!$H$63*Modelo!$I$75,1)</f>
        <v>0.1</v>
      </c>
      <c r="BS58" s="431">
        <f>SUM(ROUNDUP(AI58*AK58+0.1,1),ROUNDUP(V58*Modelo!$H$29*AM58,1),ROUNDUP(W58*Modelo!$H$36*AO58,1))*Modelo!$H$64*Modelo!$I$75</f>
        <v>0.55999999999999994</v>
      </c>
      <c r="BT58" s="431">
        <f>ROUNDUP(SUM(ROUNDUP(AI58*AK58+0.1,1),ROUNDUP(V58*Modelo!$H$29*AM58,1),ROUNDUP(W58*Modelo!$H$36*AO58,1))*Modelo!$H$64*Modelo!$H$65*Modelo!$I$75,1)</f>
        <v>0.30000000000000004</v>
      </c>
      <c r="BU58" s="431">
        <f>Modelo!$H$66</f>
        <v>0.04</v>
      </c>
      <c r="BV58" s="431">
        <f>ROUNDUP(SUM(ROUNDUP(AI58*AK58+0.1,1),ROUNDUP(V58*Modelo!$H$29*AM58,1),ROUNDUP(W58*Modelo!$H$36*AO58,1))*Modelo!$H$69,1)</f>
        <v>0.7</v>
      </c>
      <c r="BW58" s="431">
        <f>ROUNDUP(ROUNDUP(SUM(ROUNDUP(AI58*AK58+0.1,1),ROUNDUP(V58*Modelo!$H$29*AM58,1),ROUNDUP(W58*Modelo!$H$36*AO58,1))*Modelo!$H$62,1)*Modelo!$H$71,1)</f>
        <v>0.4</v>
      </c>
      <c r="BX58" s="430">
        <f t="shared" ref="BX58:BX59" si="238">SUM(AU58:BW58)</f>
        <v>16.592999999999996</v>
      </c>
      <c r="BZ58" s="426">
        <f t="shared" ref="BZ58:BZ59" si="239">CA58*0.85</f>
        <v>4.76</v>
      </c>
      <c r="CA58" s="425">
        <f t="shared" ref="CA58:CA59" si="240">O58</f>
        <v>5.6</v>
      </c>
      <c r="CB58" s="426">
        <f t="shared" ref="CB58:CB59" si="241">IF(CA58=0,1,CA58*1.4)</f>
        <v>7.839999999999999</v>
      </c>
      <c r="CD58" s="420">
        <v>0</v>
      </c>
      <c r="CF58" s="426">
        <f t="shared" ref="CF58:CF59" si="242">IF(CC58&lt;&gt;"",CC58,CD58)</f>
        <v>0</v>
      </c>
    </row>
    <row r="59" spans="3:84" s="426" customFormat="1" ht="26.25" thickBot="1" x14ac:dyDescent="0.25">
      <c r="C59" s="454" t="s">
        <v>96</v>
      </c>
      <c r="D59" s="440" t="s">
        <v>80</v>
      </c>
      <c r="E59" s="440" t="str">
        <f t="shared" si="216"/>
        <v>B</v>
      </c>
      <c r="F59" s="440" t="s">
        <v>459</v>
      </c>
      <c r="G59" s="440" t="s">
        <v>459</v>
      </c>
      <c r="H59" s="440" t="str">
        <f t="shared" si="217"/>
        <v>B</v>
      </c>
      <c r="I59" s="440" t="str">
        <f t="shared" si="218"/>
        <v>B</v>
      </c>
      <c r="J59" s="437">
        <f t="shared" si="219"/>
        <v>3</v>
      </c>
      <c r="K59" s="436" t="str">
        <f t="shared" si="220"/>
        <v>Chica 2</v>
      </c>
      <c r="L59" s="446" t="s">
        <v>584</v>
      </c>
      <c r="M59" s="434">
        <f t="shared" si="221"/>
        <v>4.3999999999999995</v>
      </c>
      <c r="N59" s="434">
        <f t="shared" si="222"/>
        <v>1.8</v>
      </c>
      <c r="O59" s="442">
        <f t="shared" si="223"/>
        <v>6.1999999999999993</v>
      </c>
      <c r="Q59" s="408"/>
      <c r="R59" s="408"/>
      <c r="S59" s="408"/>
      <c r="T59" s="425"/>
      <c r="U59" s="441">
        <v>7</v>
      </c>
      <c r="V59" s="441">
        <v>3</v>
      </c>
      <c r="W59" s="441">
        <v>0</v>
      </c>
      <c r="X59" s="438"/>
      <c r="Y59" s="428" t="str">
        <f t="shared" si="224"/>
        <v>Chica 2</v>
      </c>
      <c r="Z59" s="428" t="str">
        <f t="shared" si="225"/>
        <v>Baja</v>
      </c>
      <c r="AA59" s="428" t="str">
        <f t="shared" si="226"/>
        <v>Baja</v>
      </c>
      <c r="AB59" s="428" t="str">
        <f t="shared" si="227"/>
        <v>Baja</v>
      </c>
      <c r="AC59" s="428" t="str">
        <f t="shared" si="228"/>
        <v>Baja</v>
      </c>
      <c r="AD59" s="428" t="str">
        <f t="shared" si="229"/>
        <v>Baja</v>
      </c>
      <c r="AE59" s="428" t="str">
        <f t="shared" si="230"/>
        <v>Baja</v>
      </c>
      <c r="AF59" s="428" t="str">
        <f t="shared" si="231"/>
        <v>Baja</v>
      </c>
      <c r="AG59" s="428" t="str">
        <f t="shared" si="232"/>
        <v>Baja</v>
      </c>
      <c r="AH59" s="427"/>
      <c r="AI59" s="429">
        <f>IF(Y59=Modelo!$F$7,Modelo!$H$7,IF(Y59=Modelo!$F$8,Modelo!$H$8,IF(Y59=Modelo!$F$9,Modelo!$H$9,IF(Y59=Modelo!$F$10,Modelo!$H$10,IF(Y59=Modelo!$F$11,Modelo!$H$11,IF(Y59=Modelo!$F$12,Modelo!$H$12,IF(Y59=Modelo!$F$13,Modelo!$H$13,IF(Y59=Modelo!$F$14,Modelo!$H$14,IF(Y59=Modelo!$F$15,Modelo!$H$15,IF(Y59=Modelo!$F$16,Modelo!$H$16,IF(Y59=Modelo!$F$17,Modelo!$H$17,IF(Y59=Modelo!$F$18,Modelo!$H$18,IF(Y59=Modelo!$F$19,Modelo!$H$19,IF(Y59=Modelo!$F$20,Modelo!$H$20,IF(Y59=Modelo!$F$21,Modelo!$H$21,IF(Y59=Modelo!$F$22,Modelo!$H$22,0))))))))))))))))</f>
        <v>0.60000000000000009</v>
      </c>
      <c r="AJ59" s="429">
        <f>IF(Y59=Modelo!$F$7,Modelo!$I$7,IF(Y59=Modelo!$F$8,Modelo!$I$8,IF(Y59=Modelo!$F$9,Modelo!$I$9,IF(Y59=Modelo!$F$10,Modelo!$I$10,IF(Y59=Modelo!$F$11,Modelo!$I$11,IF(Y59=Modelo!$F$12,Modelo!$I$12,IF(Y59=Modelo!$F$13,Modelo!$I$13,IF(Y59=Modelo!$F$14,Modelo!$I$14,IF(Y59=Modelo!$F$15,Modelo!$I$15,IF(Y59=Modelo!$F$16,Modelo!$I$16,IF(Y59=Modelo!$F$17,Modelo!$I$17,IF(Y59=Modelo!$F$18,Modelo!$I$18,IF(Y59=Modelo!$F$19,Modelo!$I$19,IF(Y59=Modelo!$F$20,Modelo!$I$20,IF(Y59=Modelo!$F$21,Modelo!$I$21,IF(Y59=Modelo!$F$22,Modelo!$I$22,0))))))))))))))))</f>
        <v>0.2</v>
      </c>
      <c r="AK59" s="429">
        <f>IF(Z59=Modelo!$F$23,Modelo!$H$23,IF(Z59=Modelo!$F$24,Modelo!$H$24,IF(Z59=Modelo!$F$25,Modelo!$H$25,0)))</f>
        <v>1</v>
      </c>
      <c r="AL59" s="429">
        <f>IF(AA59=Modelo!$F$26,Modelo!$H$26,IF(AA59=Modelo!$F$27,Modelo!$H$27,IF(AA59=Modelo!$F$28,Modelo!$H$28,0)))</f>
        <v>0.1</v>
      </c>
      <c r="AM59" s="429">
        <f>IF(AB59=Modelo!$F$30,Modelo!$H$30,IF(AB59=Modelo!$F$31,Modelo!$H$31,IF(AB59=Modelo!$F$32,Modelo!$H$32,0)))</f>
        <v>0.8</v>
      </c>
      <c r="AN59" s="429">
        <f>IF(AC59=Modelo!$F$33,Modelo!$H$33,IF(AC59=Modelo!$F$34,Modelo!$H$34,IF(AC59=Modelo!$F$35,Modelo!$H$35,0)))</f>
        <v>0.3</v>
      </c>
      <c r="AO59" s="429">
        <f>IF(AD59=Modelo!$F$37,Modelo!$H$37,IF(AD59=Modelo!$F$38,Modelo!$H$38,IF(AD59=Modelo!$F$39,Modelo!$H$39,0)))</f>
        <v>0.8</v>
      </c>
      <c r="AP59" s="429">
        <f>IF(AE59=Modelo!$F$40,Modelo!$H$40,IF(AE59=Modelo!$F$41,Modelo!$H$41,IF(AE59=Modelo!$F$42,Modelo!$H$42,0)))</f>
        <v>0.4</v>
      </c>
      <c r="AQ59" s="428">
        <f>IF(C59=Modelo!$F$44,Modelo!$H$44,IF(C59=Modelo!$F$45,Modelo!$H$45,IF(C59=Modelo!$F$46,Modelo!$H$46,IF(C59=Modelo!$F$47,Modelo!$H$47,IF(C59=Modelo!$F$48,Modelo!$H$48,IF(C59=Modelo!$F$49,Modelo!$H$49,IF(C59=Modelo!$F$50,Modelo!$H$50,IF(C59=Modelo!$F$51,Modelo!$H$51,IF(C59=Modelo!$F$52,Modelo!$H$52,IF(C59=Modelo!$F$53,Modelo!$H$53,0))))))))))</f>
        <v>1.4</v>
      </c>
      <c r="AR59" s="429">
        <f>IF(AF59=Modelo!$F$54,Modelo!$H$54,IF(AF59=Modelo!$F$55,Modelo!$H$55,IF(AF59=Modelo!$F$56,Modelo!$H$56,0)))</f>
        <v>1</v>
      </c>
      <c r="AS59" s="429">
        <f>IF(AG59=Modelo!$F$58,Modelo!$H$58,IF(AG59=Modelo!$F$59,Modelo!$H$59,IF(AG59=Modelo!$F$60,Modelo!$H$60,0)))</f>
        <v>0.9</v>
      </c>
      <c r="AT59" s="427"/>
      <c r="AU59" s="431">
        <f>Modelo!$H$2</f>
        <v>0.05</v>
      </c>
      <c r="AV59" s="432">
        <f>ROUNDUP(Modelo!$I$2*Modelo!$H$3*Modelo!$I$75,2)</f>
        <v>0.02</v>
      </c>
      <c r="AW59" s="433">
        <f>ROUNDUP(Modelo!$I$2*Modelo!$H$3*Modelo!$H$4*Modelo!$I$75,3)</f>
        <v>3.0000000000000001E-3</v>
      </c>
      <c r="AX59" s="431">
        <f>Modelo!$H$5</f>
        <v>0.04</v>
      </c>
      <c r="AY59" s="431">
        <f>ROUNDUP(SUM(AZ59,BB59,BD59,BF59)*Modelo!$H$6,1)</f>
        <v>1.1000000000000001</v>
      </c>
      <c r="AZ59" s="431">
        <f>ROUNDUP((AI59*AK59+0.1)*Modelo!$I$75,1)</f>
        <v>0.7</v>
      </c>
      <c r="BA59" s="431">
        <f>ROUNDUP(AJ59*AK59*AL59*Modelo!$I$75,1)</f>
        <v>0.1</v>
      </c>
      <c r="BB59" s="431">
        <f>ROUNDUP(V59*Modelo!$H$29*AM59*Modelo!$I$75*2/3,1)</f>
        <v>1.6</v>
      </c>
      <c r="BC59" s="431">
        <f>ROUNDUP(V59*Modelo!$H$29*AM59*AN59*Modelo!$I$75*2/3,1)</f>
        <v>0.5</v>
      </c>
      <c r="BD59" s="431">
        <f>ROUNDUP(V59*Modelo!$H$29*AM59*Modelo!$I$75/3,1)</f>
        <v>0.8</v>
      </c>
      <c r="BE59" s="431">
        <f>ROUNDUP(V59*Modelo!$H$29*AM59*AN59*Modelo!$I$75/3,1)</f>
        <v>0.30000000000000004</v>
      </c>
      <c r="BF59" s="431">
        <f>ROUNDUP(W59*Modelo!$H$36*AO59*Modelo!$I$75,1)</f>
        <v>0</v>
      </c>
      <c r="BG59" s="431">
        <f>ROUNDUP(W59*Modelo!$H$36*AO59*AP59*Modelo!$I$75,1)</f>
        <v>0</v>
      </c>
      <c r="BH59" s="431">
        <f>Modelo!$H$43</f>
        <v>0.04</v>
      </c>
      <c r="BI59" s="431">
        <f>ROUNDUP(SUM(ROUNDUP(AI59*AK59+0.1,1),ROUNDUP(V59*Modelo!$H$29*AM59,1),ROUNDUP(W59*Modelo!$H$36*AO59,1))*AR59*AQ59*Modelo!$I$75,1)</f>
        <v>4.3999999999999995</v>
      </c>
      <c r="BJ59" s="431">
        <f t="shared" si="233"/>
        <v>0</v>
      </c>
      <c r="BK59" s="431">
        <f t="shared" si="234"/>
        <v>0</v>
      </c>
      <c r="BL59" s="431">
        <f t="shared" si="235"/>
        <v>0</v>
      </c>
      <c r="BM59" s="431">
        <f t="shared" si="236"/>
        <v>0</v>
      </c>
      <c r="BN59" s="431">
        <f>ROUNDUP(SUM(ROUNDUP(AI59*AK59+0.1,1),ROUNDUP(V59*Modelo!$H$29*AM59,1),ROUNDUP(W59*Modelo!$H$36*AO59,1))*AQ59*AS59*Modelo!$H$57,1)</f>
        <v>1.8</v>
      </c>
      <c r="BO59" s="431">
        <f t="shared" si="237"/>
        <v>4.18</v>
      </c>
      <c r="BP59" s="431">
        <f>Modelo!$H$61</f>
        <v>0.04</v>
      </c>
      <c r="BQ59" s="431">
        <f>ROUNDUP(SUM(ROUNDUP(AI59*AK59+0.1,1),ROUNDUP(V59*Modelo!$H$29*AM59,1),ROUNDUP(W59*Modelo!$H$36*AO59,1))*Modelo!$H$62*Modelo!$I$75,1)</f>
        <v>0.2</v>
      </c>
      <c r="BR59" s="431">
        <f>ROUNDUP(ROUNDUP(SUM(ROUNDUP(AI59*AK59+0.1,1),ROUNDUP(V59*Modelo!$H$29*AM59,1),ROUNDUP(W59*Modelo!$H$36*AO59,1))*Modelo!$H$62,1)*Modelo!$H$63*Modelo!$I$75,1)</f>
        <v>0.1</v>
      </c>
      <c r="BS59" s="431">
        <f>SUM(ROUNDUP(AI59*AK59+0.1,1),ROUNDUP(V59*Modelo!$H$29*AM59,1),ROUNDUP(W59*Modelo!$H$36*AO59,1))*Modelo!$H$64*Modelo!$I$75</f>
        <v>0.62</v>
      </c>
      <c r="BT59" s="431">
        <f>ROUNDUP(SUM(ROUNDUP(AI59*AK59+0.1,1),ROUNDUP(V59*Modelo!$H$29*AM59,1),ROUNDUP(W59*Modelo!$H$36*AO59,1))*Modelo!$H$64*Modelo!$H$65*Modelo!$I$75,1)</f>
        <v>0.4</v>
      </c>
      <c r="BU59" s="431">
        <f>Modelo!$H$66</f>
        <v>0.04</v>
      </c>
      <c r="BV59" s="431">
        <f>ROUNDUP(SUM(ROUNDUP(AI59*AK59+0.1,1),ROUNDUP(V59*Modelo!$H$29*AM59,1),ROUNDUP(W59*Modelo!$H$36*AO59,1))*Modelo!$H$69,1)</f>
        <v>0.7</v>
      </c>
      <c r="BW59" s="431">
        <f>ROUNDUP(ROUNDUP(SUM(ROUNDUP(AI59*AK59+0.1,1),ROUNDUP(V59*Modelo!$H$29*AM59,1),ROUNDUP(W59*Modelo!$H$36*AO59,1))*Modelo!$H$62,1)*Modelo!$H$71,1)</f>
        <v>0.4</v>
      </c>
      <c r="BX59" s="430">
        <f t="shared" si="238"/>
        <v>18.132999999999992</v>
      </c>
      <c r="BZ59" s="426">
        <f t="shared" si="239"/>
        <v>5.27</v>
      </c>
      <c r="CA59" s="425">
        <f t="shared" si="240"/>
        <v>6.1999999999999993</v>
      </c>
      <c r="CB59" s="426">
        <f t="shared" si="241"/>
        <v>8.6799999999999979</v>
      </c>
      <c r="CD59" s="420">
        <v>0</v>
      </c>
      <c r="CF59" s="426">
        <f t="shared" si="242"/>
        <v>0</v>
      </c>
    </row>
    <row r="60" spans="3:84" s="426" customFormat="1" ht="16.5" thickBot="1" x14ac:dyDescent="0.25">
      <c r="C60" s="454"/>
      <c r="D60" s="440" t="s">
        <v>17</v>
      </c>
      <c r="E60" s="440"/>
      <c r="F60" s="440"/>
      <c r="G60" s="440"/>
      <c r="H60" s="440"/>
      <c r="I60" s="440"/>
      <c r="J60" s="437"/>
      <c r="K60" s="436"/>
      <c r="L60" s="443" t="s">
        <v>612</v>
      </c>
      <c r="M60" s="434"/>
      <c r="N60" s="434"/>
      <c r="O60" s="442"/>
      <c r="Q60" s="408"/>
      <c r="R60" s="408"/>
      <c r="S60" s="408"/>
      <c r="T60" s="425"/>
      <c r="U60" s="441"/>
      <c r="V60" s="441"/>
      <c r="W60" s="441"/>
      <c r="X60" s="438"/>
      <c r="Y60" s="428"/>
      <c r="Z60" s="428"/>
      <c r="AA60" s="428"/>
      <c r="AB60" s="428"/>
      <c r="AC60" s="428"/>
      <c r="AD60" s="428"/>
      <c r="AE60" s="428"/>
      <c r="AF60" s="428"/>
      <c r="AG60" s="428"/>
      <c r="AH60" s="427"/>
      <c r="AI60" s="429"/>
      <c r="AJ60" s="429"/>
      <c r="AK60" s="429"/>
      <c r="AL60" s="429"/>
      <c r="AM60" s="429"/>
      <c r="AN60" s="429"/>
      <c r="AO60" s="429"/>
      <c r="AP60" s="429"/>
      <c r="AQ60" s="428"/>
      <c r="AR60" s="429"/>
      <c r="AS60" s="429"/>
      <c r="AT60" s="427"/>
      <c r="AU60" s="431"/>
      <c r="AV60" s="432"/>
      <c r="AW60" s="433"/>
      <c r="AX60" s="431"/>
      <c r="AY60" s="431"/>
      <c r="AZ60" s="431"/>
      <c r="BA60" s="431"/>
      <c r="BB60" s="431"/>
      <c r="BC60" s="431"/>
      <c r="BD60" s="431"/>
      <c r="BE60" s="431"/>
      <c r="BF60" s="431"/>
      <c r="BG60" s="431"/>
      <c r="BH60" s="431"/>
      <c r="BI60" s="431"/>
      <c r="BJ60" s="431"/>
      <c r="BK60" s="431"/>
      <c r="BL60" s="431"/>
      <c r="BM60" s="431"/>
      <c r="BN60" s="431"/>
      <c r="BO60" s="431"/>
      <c r="BP60" s="431"/>
      <c r="BQ60" s="431"/>
      <c r="BR60" s="431"/>
      <c r="BS60" s="431"/>
      <c r="BT60" s="431"/>
      <c r="BU60" s="431"/>
      <c r="BV60" s="431"/>
      <c r="BW60" s="431"/>
      <c r="BX60" s="430"/>
      <c r="CA60" s="425"/>
      <c r="CD60" s="420"/>
    </row>
    <row r="61" spans="3:84" s="426" customFormat="1" ht="51.75" thickBot="1" x14ac:dyDescent="0.25">
      <c r="C61" s="454" t="s">
        <v>94</v>
      </c>
      <c r="D61" s="440" t="s">
        <v>18</v>
      </c>
      <c r="E61" s="440" t="str">
        <f t="shared" ref="E61:E63" si="243">IF(U61&gt;50,"A",IF(U61&gt;15,"M","B"))</f>
        <v>B</v>
      </c>
      <c r="F61" s="440" t="s">
        <v>459</v>
      </c>
      <c r="G61" s="440" t="s">
        <v>459</v>
      </c>
      <c r="H61" s="440" t="str">
        <f t="shared" ref="H61:H63" si="244">IF(V61+W61&gt;20,"A",IF(V61+W61&gt;5,"M","B"))</f>
        <v>B</v>
      </c>
      <c r="I61" s="440" t="str">
        <f t="shared" ref="I61:I63" si="245">IF(V61+W61&gt;15,"A",IF(V61+W61&gt;4,"M","B"))</f>
        <v>B</v>
      </c>
      <c r="J61" s="437">
        <f t="shared" ref="J61:J63" si="246">V61+W61</f>
        <v>2</v>
      </c>
      <c r="K61" s="436" t="str">
        <f t="shared" ref="K61:K63" si="247">Y61</f>
        <v>Chica 3</v>
      </c>
      <c r="L61" s="161" t="s">
        <v>597</v>
      </c>
      <c r="M61" s="434">
        <f t="shared" ref="M61:M63" si="248">BI61+BJ61+BK61+BL61+BM61</f>
        <v>4.5</v>
      </c>
      <c r="N61" s="434">
        <f t="shared" ref="N61:N62" si="249">BN61</f>
        <v>1.8</v>
      </c>
      <c r="O61" s="442">
        <f t="shared" ref="O61:O63" si="250">SUM(M61,N61)</f>
        <v>6.3</v>
      </c>
      <c r="Q61" s="408"/>
      <c r="R61" s="408"/>
      <c r="S61" s="408"/>
      <c r="T61" s="425"/>
      <c r="U61" s="441">
        <v>15</v>
      </c>
      <c r="V61" s="441">
        <v>2</v>
      </c>
      <c r="W61" s="441">
        <v>0</v>
      </c>
      <c r="X61" s="438"/>
      <c r="Y61" s="428" t="str">
        <f t="shared" ref="Y61:Y63" si="251">IF(AND(U61&gt;=0,U61&lt;=6),"Chica 1",IF(AND(U61&gt;=7,U61&lt;=12),"Chica 2",IF(AND(U61&gt;=13,U61&lt;=18),"Chica 3",IF(AND(U61&gt;=19,U61&lt;=24),"Chica 4",IF(AND(U61&gt;=25,U61&lt;=30),"Mediana 1",IF(AND(U61&gt;=31,U61&lt;=36),"Mediana 2",IF(AND(U61&gt;=37,U61&lt;=42),"Mediana 3",IF(AND(U61&gt;=43,U61&lt;=48),"Mediana 4",IF(AND(U61&gt;=49,U61&lt;=54),"Grande 1",IF(AND(U61&gt;=55,U61&lt;=60),"Grande 2",IF(AND(U61&gt;=61,U61&lt;=66),"Grande 3",IF(AND(U61&gt;=67,U61&lt;=72),"Grande 4",IF(AND(U61&gt;=73,U61&lt;=78),"M. grande 1",IF(AND(U61&gt;=79,U61&lt;=84),"M. grande 2",IF(AND(U61&gt;=85,U61&lt;=90),"M. grande 3",IF(AND(U61&gt;=91,U61&lt;=96),"M. grande 4","NO DEF"))))))))))))))))</f>
        <v>Chica 3</v>
      </c>
      <c r="Z61" s="428" t="str">
        <f t="shared" ref="Z61:Z63" si="252">IF(E61="A","Alta",IF(E61="M","Media","Baja"))</f>
        <v>Baja</v>
      </c>
      <c r="AA61" s="428" t="str">
        <f t="shared" ref="AA61:AA63" si="253">IF(E61="A","Alta",IF(E61="M","Media","Baja"))</f>
        <v>Baja</v>
      </c>
      <c r="AB61" s="428" t="str">
        <f t="shared" ref="AB61:AB63" si="254">IF(F61="A","Alta",IF(F61="M","Media","Baja"))</f>
        <v>Baja</v>
      </c>
      <c r="AC61" s="428" t="str">
        <f t="shared" ref="AC61:AC63" si="255">IF(F61="A","Alta",IF(F61="M","Media","Baja"))</f>
        <v>Baja</v>
      </c>
      <c r="AD61" s="428" t="str">
        <f t="shared" ref="AD61:AD63" si="256">IF(G61="A","Alta",IF(G61="M","Media","Baja"))</f>
        <v>Baja</v>
      </c>
      <c r="AE61" s="428" t="str">
        <f t="shared" ref="AE61:AE63" si="257">IF(G61="A","Alta",IF(G61="M","Media","Baja"))</f>
        <v>Baja</v>
      </c>
      <c r="AF61" s="428" t="str">
        <f t="shared" ref="AF61:AF63" si="258">IF(H61="A","Alta",IF(H61="M","Media","Baja"))</f>
        <v>Baja</v>
      </c>
      <c r="AG61" s="428" t="str">
        <f t="shared" ref="AG61:AG63" si="259">IF(I61="A","Alta",IF(I61="M","Media","Baja"))</f>
        <v>Baja</v>
      </c>
      <c r="AH61" s="427"/>
      <c r="AI61" s="429">
        <f>IF(Y61=Modelo!$F$7,Modelo!$H$7,IF(Y61=Modelo!$F$8,Modelo!$H$8,IF(Y61=Modelo!$F$9,Modelo!$H$9,IF(Y61=Modelo!$F$10,Modelo!$H$10,IF(Y61=Modelo!$F$11,Modelo!$H$11,IF(Y61=Modelo!$F$12,Modelo!$H$12,IF(Y61=Modelo!$F$13,Modelo!$H$13,IF(Y61=Modelo!$F$14,Modelo!$H$14,IF(Y61=Modelo!$F$15,Modelo!$H$15,IF(Y61=Modelo!$F$16,Modelo!$H$16,IF(Y61=Modelo!$F$17,Modelo!$H$17,IF(Y61=Modelo!$F$18,Modelo!$H$18,IF(Y61=Modelo!$F$19,Modelo!$H$19,IF(Y61=Modelo!$F$20,Modelo!$H$20,IF(Y61=Modelo!$F$21,Modelo!$H$21,IF(Y61=Modelo!$F$22,Modelo!$H$22,0))))))))))))))))</f>
        <v>0.9</v>
      </c>
      <c r="AJ61" s="429">
        <f>IF(Y61=Modelo!$F$7,Modelo!$I$7,IF(Y61=Modelo!$F$8,Modelo!$I$8,IF(Y61=Modelo!$F$9,Modelo!$I$9,IF(Y61=Modelo!$F$10,Modelo!$I$10,IF(Y61=Modelo!$F$11,Modelo!$I$11,IF(Y61=Modelo!$F$12,Modelo!$I$12,IF(Y61=Modelo!$F$13,Modelo!$I$13,IF(Y61=Modelo!$F$14,Modelo!$I$14,IF(Y61=Modelo!$F$15,Modelo!$I$15,IF(Y61=Modelo!$F$16,Modelo!$I$16,IF(Y61=Modelo!$F$17,Modelo!$I$17,IF(Y61=Modelo!$F$18,Modelo!$I$18,IF(Y61=Modelo!$F$19,Modelo!$I$19,IF(Y61=Modelo!$F$20,Modelo!$I$20,IF(Y61=Modelo!$F$21,Modelo!$I$21,IF(Y61=Modelo!$F$22,Modelo!$I$22,0))))))))))))))))</f>
        <v>0.3</v>
      </c>
      <c r="AK61" s="429">
        <f>IF(Z61=Modelo!$F$23,Modelo!$H$23,IF(Z61=Modelo!$F$24,Modelo!$H$24,IF(Z61=Modelo!$F$25,Modelo!$H$25,0)))</f>
        <v>1</v>
      </c>
      <c r="AL61" s="429">
        <f>IF(AA61=Modelo!$F$26,Modelo!$H$26,IF(AA61=Modelo!$F$27,Modelo!$H$27,IF(AA61=Modelo!$F$28,Modelo!$H$28,0)))</f>
        <v>0.1</v>
      </c>
      <c r="AM61" s="429">
        <f>IF(AB61=Modelo!$F$30,Modelo!$H$30,IF(AB61=Modelo!$F$31,Modelo!$H$31,IF(AB61=Modelo!$F$32,Modelo!$H$32,0)))</f>
        <v>0.8</v>
      </c>
      <c r="AN61" s="429">
        <f>IF(AC61=Modelo!$F$33,Modelo!$H$33,IF(AC61=Modelo!$F$34,Modelo!$H$34,IF(AC61=Modelo!$F$35,Modelo!$H$35,0)))</f>
        <v>0.3</v>
      </c>
      <c r="AO61" s="429">
        <f>IF(AD61=Modelo!$F$37,Modelo!$H$37,IF(AD61=Modelo!$F$38,Modelo!$H$38,IF(AD61=Modelo!$F$39,Modelo!$H$39,0)))</f>
        <v>0.8</v>
      </c>
      <c r="AP61" s="429">
        <f>IF(AE61=Modelo!$F$40,Modelo!$H$40,IF(AE61=Modelo!$F$41,Modelo!$H$41,IF(AE61=Modelo!$F$42,Modelo!$H$42,0)))</f>
        <v>0.4</v>
      </c>
      <c r="AQ61" s="428">
        <f>IF(C61=Modelo!$F$44,Modelo!$H$44,IF(C61=Modelo!$F$45,Modelo!$H$45,IF(C61=Modelo!$F$46,Modelo!$H$46,IF(C61=Modelo!$F$47,Modelo!$H$47,IF(C61=Modelo!$F$48,Modelo!$H$48,IF(C61=Modelo!$F$49,Modelo!$H$49,IF(C61=Modelo!$F$50,Modelo!$H$50,IF(C61=Modelo!$F$51,Modelo!$H$51,IF(C61=Modelo!$F$52,Modelo!$H$52,IF(C61=Modelo!$F$53,Modelo!$H$53,0))))))))))</f>
        <v>1.7</v>
      </c>
      <c r="AR61" s="429">
        <f>IF(AF61=Modelo!$F$54,Modelo!$H$54,IF(AF61=Modelo!$F$55,Modelo!$H$55,IF(AF61=Modelo!$F$56,Modelo!$H$56,0)))</f>
        <v>1</v>
      </c>
      <c r="AS61" s="429">
        <f>IF(AG61=Modelo!$F$58,Modelo!$H$58,IF(AG61=Modelo!$F$59,Modelo!$H$59,IF(AG61=Modelo!$F$60,Modelo!$H$60,0)))</f>
        <v>0.9</v>
      </c>
      <c r="AT61" s="427"/>
      <c r="AU61" s="431">
        <f>Modelo!$H$2</f>
        <v>0.05</v>
      </c>
      <c r="AV61" s="432">
        <f>ROUNDUP(Modelo!$I$2*Modelo!$H$3*Modelo!$I$75,2)</f>
        <v>0.02</v>
      </c>
      <c r="AW61" s="433">
        <f>ROUNDUP(Modelo!$I$2*Modelo!$H$3*Modelo!$H$4*Modelo!$I$75,3)</f>
        <v>3.0000000000000001E-3</v>
      </c>
      <c r="AX61" s="431">
        <f>Modelo!$H$5</f>
        <v>0.04</v>
      </c>
      <c r="AY61" s="431">
        <f>ROUNDUP(SUM(AZ61,BB61,BD61,BF61)*Modelo!$H$6,1)</f>
        <v>0.9</v>
      </c>
      <c r="AZ61" s="431">
        <f>ROUNDUP((AI61*AK61+0.1)*Modelo!$I$75,1)</f>
        <v>1</v>
      </c>
      <c r="BA61" s="431">
        <f>ROUNDUP(AJ61*AK61*AL61*Modelo!$I$75,1)</f>
        <v>0.1</v>
      </c>
      <c r="BB61" s="431">
        <f>ROUNDUP(V61*Modelo!$H$29*AM61*Modelo!$I$75*2/3,1)</f>
        <v>1.1000000000000001</v>
      </c>
      <c r="BC61" s="431">
        <f>ROUNDUP(V61*Modelo!$H$29*AM61*AN61*Modelo!$I$75*2/3,1)</f>
        <v>0.4</v>
      </c>
      <c r="BD61" s="431">
        <f>ROUNDUP(V61*Modelo!$H$29*AM61*Modelo!$I$75/3,1)</f>
        <v>0.6</v>
      </c>
      <c r="BE61" s="431">
        <f>ROUNDUP(V61*Modelo!$H$29*AM61*AN61*Modelo!$I$75/3,1)</f>
        <v>0.2</v>
      </c>
      <c r="BF61" s="431">
        <f>ROUNDUP(W61*Modelo!$H$36*AO61*Modelo!$I$75,1)</f>
        <v>0</v>
      </c>
      <c r="BG61" s="431">
        <f>ROUNDUP(W61*Modelo!$H$36*AO61*AP61*Modelo!$I$75,1)</f>
        <v>0</v>
      </c>
      <c r="BH61" s="431">
        <f>Modelo!$H$43</f>
        <v>0.04</v>
      </c>
      <c r="BI61" s="431">
        <f>ROUNDUP(SUM(ROUNDUP(AI61*AK61+0.1,1),ROUNDUP(V61*Modelo!$H$29*AM61,1),ROUNDUP(W61*Modelo!$H$36*AO61,1))*AR61*AQ61*Modelo!$I$75,1)</f>
        <v>4.5</v>
      </c>
      <c r="BJ61" s="431">
        <f t="shared" ref="BJ61:BJ63" si="260">IF(K$31="x",0, BI61*0.1*1.25)</f>
        <v>0</v>
      </c>
      <c r="BK61" s="431">
        <f t="shared" ref="BK61:BK63" si="261">IF(Q61="x",(BI61)*0.1,0)</f>
        <v>0</v>
      </c>
      <c r="BL61" s="431">
        <f t="shared" ref="BL61:BL63" si="262">IF(R61="x",(BI61)*0.12,0)</f>
        <v>0</v>
      </c>
      <c r="BM61" s="431">
        <f t="shared" ref="BM61:BM63" si="263">IF(S61="x",(BI61)*0.12,0)*4</f>
        <v>0</v>
      </c>
      <c r="BN61" s="431">
        <f>ROUNDUP(SUM(ROUNDUP(AI61*AK61+0.1,1),ROUNDUP(V61*Modelo!$H$29*AM61,1),ROUNDUP(W61*Modelo!$H$36*AO61,1))*AQ61*AS61*Modelo!$H$57,1)</f>
        <v>1.8</v>
      </c>
      <c r="BO61" s="431">
        <f t="shared" ref="BO61:BO63" si="264">BI61*0.1
+IF(K$15="x",0,BI61*0.05)
+IF(K$27="x",0,BI61*0.2)
+IF(K$28="x",0,BI61*0.5)
+IF(OR(K$29="x",K$30="x"),0,BI61*0.05)
+IF(K$31="x",0,BI61*0.3)
+IF(Q61="x",0,BI61*0.5)
+IF(OR(R61="x",S61="x"),0,BI61*0.15)</f>
        <v>4.2750000000000004</v>
      </c>
      <c r="BP61" s="431">
        <f>Modelo!$H$61</f>
        <v>0.04</v>
      </c>
      <c r="BQ61" s="431">
        <f>ROUNDUP(SUM(ROUNDUP(AI61*AK61+0.1,1),ROUNDUP(V61*Modelo!$H$29*AM61,1),ROUNDUP(W61*Modelo!$H$36*AO61,1))*Modelo!$H$62*Modelo!$I$75,1)</f>
        <v>0.2</v>
      </c>
      <c r="BR61" s="431">
        <f>ROUNDUP(ROUNDUP(SUM(ROUNDUP(AI61*AK61+0.1,1),ROUNDUP(V61*Modelo!$H$29*AM61,1),ROUNDUP(W61*Modelo!$H$36*AO61,1))*Modelo!$H$62,1)*Modelo!$H$63*Modelo!$I$75,1)</f>
        <v>0.1</v>
      </c>
      <c r="BS61" s="431">
        <f>SUM(ROUNDUP(AI61*AK61+0.1,1),ROUNDUP(V61*Modelo!$H$29*AM61,1),ROUNDUP(W61*Modelo!$H$36*AO61,1))*Modelo!$H$64*Modelo!$I$75</f>
        <v>0.52</v>
      </c>
      <c r="BT61" s="431">
        <f>ROUNDUP(SUM(ROUNDUP(AI61*AK61+0.1,1),ROUNDUP(V61*Modelo!$H$29*AM61,1),ROUNDUP(W61*Modelo!$H$36*AO61,1))*Modelo!$H$64*Modelo!$H$65*Modelo!$I$75,1)</f>
        <v>0.30000000000000004</v>
      </c>
      <c r="BU61" s="431">
        <f>Modelo!$H$66</f>
        <v>0.04</v>
      </c>
      <c r="BV61" s="431">
        <f>ROUNDUP(SUM(ROUNDUP(AI61*AK61+0.1,1),ROUNDUP(V61*Modelo!$H$29*AM61,1),ROUNDUP(W61*Modelo!$H$36*AO61,1))*Modelo!$H$69,1)</f>
        <v>0.6</v>
      </c>
      <c r="BW61" s="431">
        <f>ROUNDUP(ROUNDUP(SUM(ROUNDUP(AI61*AK61+0.1,1),ROUNDUP(V61*Modelo!$H$29*AM61,1),ROUNDUP(W61*Modelo!$H$36*AO61,1))*Modelo!$H$62,1)*Modelo!$H$71,1)</f>
        <v>0.4</v>
      </c>
      <c r="BX61" s="430">
        <f t="shared" ref="BX61:BX63" si="265">SUM(AU61:BW61)</f>
        <v>17.227999999999998</v>
      </c>
      <c r="BZ61" s="426">
        <f t="shared" ref="BZ61:BZ63" si="266">CA61*0.85</f>
        <v>5.3549999999999995</v>
      </c>
      <c r="CA61" s="425">
        <f t="shared" ref="CA61:CA63" si="267">O61</f>
        <v>6.3</v>
      </c>
      <c r="CB61" s="426">
        <f t="shared" ref="CB61:CB63" si="268">IF(CA61=0,1,CA61*1.4)</f>
        <v>8.8199999999999985</v>
      </c>
      <c r="CD61" s="420">
        <v>0</v>
      </c>
      <c r="CF61" s="426">
        <f t="shared" ref="CF61:CF63" si="269">IF(CC61&lt;&gt;"",CC61,CD61)</f>
        <v>0</v>
      </c>
    </row>
    <row r="62" spans="3:84" s="426" customFormat="1" ht="39" thickBot="1" x14ac:dyDescent="0.25">
      <c r="C62" s="454" t="s">
        <v>94</v>
      </c>
      <c r="D62" s="440" t="s">
        <v>18</v>
      </c>
      <c r="E62" s="440" t="str">
        <f t="shared" si="243"/>
        <v>B</v>
      </c>
      <c r="F62" s="440" t="s">
        <v>459</v>
      </c>
      <c r="G62" s="440" t="s">
        <v>459</v>
      </c>
      <c r="H62" s="440" t="str">
        <f t="shared" si="244"/>
        <v>B</v>
      </c>
      <c r="I62" s="440" t="str">
        <f t="shared" si="245"/>
        <v>B</v>
      </c>
      <c r="J62" s="437">
        <f t="shared" si="246"/>
        <v>1</v>
      </c>
      <c r="K62" s="436" t="str">
        <f t="shared" si="247"/>
        <v>Chica 3</v>
      </c>
      <c r="L62" s="161" t="s">
        <v>618</v>
      </c>
      <c r="M62" s="434">
        <f t="shared" si="248"/>
        <v>3.1</v>
      </c>
      <c r="N62" s="434">
        <f t="shared" si="249"/>
        <v>1.3</v>
      </c>
      <c r="O62" s="442">
        <f t="shared" si="250"/>
        <v>4.4000000000000004</v>
      </c>
      <c r="Q62" s="408"/>
      <c r="R62" s="408"/>
      <c r="S62" s="408"/>
      <c r="T62" s="425"/>
      <c r="U62" s="441">
        <v>15</v>
      </c>
      <c r="V62" s="441">
        <v>1</v>
      </c>
      <c r="W62" s="441">
        <v>0</v>
      </c>
      <c r="X62" s="438"/>
      <c r="Y62" s="428" t="str">
        <f t="shared" si="251"/>
        <v>Chica 3</v>
      </c>
      <c r="Z62" s="428" t="str">
        <f t="shared" si="252"/>
        <v>Baja</v>
      </c>
      <c r="AA62" s="428" t="str">
        <f t="shared" si="253"/>
        <v>Baja</v>
      </c>
      <c r="AB62" s="428" t="str">
        <f t="shared" si="254"/>
        <v>Baja</v>
      </c>
      <c r="AC62" s="428" t="str">
        <f t="shared" si="255"/>
        <v>Baja</v>
      </c>
      <c r="AD62" s="428" t="str">
        <f t="shared" si="256"/>
        <v>Baja</v>
      </c>
      <c r="AE62" s="428" t="str">
        <f t="shared" si="257"/>
        <v>Baja</v>
      </c>
      <c r="AF62" s="428" t="str">
        <f t="shared" si="258"/>
        <v>Baja</v>
      </c>
      <c r="AG62" s="428" t="str">
        <f t="shared" si="259"/>
        <v>Baja</v>
      </c>
      <c r="AH62" s="427"/>
      <c r="AI62" s="429">
        <f>IF(Y62=Modelo!$F$7,Modelo!$H$7,IF(Y62=Modelo!$F$8,Modelo!$H$8,IF(Y62=Modelo!$F$9,Modelo!$H$9,IF(Y62=Modelo!$F$10,Modelo!$H$10,IF(Y62=Modelo!$F$11,Modelo!$H$11,IF(Y62=Modelo!$F$12,Modelo!$H$12,IF(Y62=Modelo!$F$13,Modelo!$H$13,IF(Y62=Modelo!$F$14,Modelo!$H$14,IF(Y62=Modelo!$F$15,Modelo!$H$15,IF(Y62=Modelo!$F$16,Modelo!$H$16,IF(Y62=Modelo!$F$17,Modelo!$H$17,IF(Y62=Modelo!$F$18,Modelo!$H$18,IF(Y62=Modelo!$F$19,Modelo!$H$19,IF(Y62=Modelo!$F$20,Modelo!$H$20,IF(Y62=Modelo!$F$21,Modelo!$H$21,IF(Y62=Modelo!$F$22,Modelo!$H$22,0))))))))))))))))</f>
        <v>0.9</v>
      </c>
      <c r="AJ62" s="429">
        <f>IF(Y62=Modelo!$F$7,Modelo!$I$7,IF(Y62=Modelo!$F$8,Modelo!$I$8,IF(Y62=Modelo!$F$9,Modelo!$I$9,IF(Y62=Modelo!$F$10,Modelo!$I$10,IF(Y62=Modelo!$F$11,Modelo!$I$11,IF(Y62=Modelo!$F$12,Modelo!$I$12,IF(Y62=Modelo!$F$13,Modelo!$I$13,IF(Y62=Modelo!$F$14,Modelo!$I$14,IF(Y62=Modelo!$F$15,Modelo!$I$15,IF(Y62=Modelo!$F$16,Modelo!$I$16,IF(Y62=Modelo!$F$17,Modelo!$I$17,IF(Y62=Modelo!$F$18,Modelo!$I$18,IF(Y62=Modelo!$F$19,Modelo!$I$19,IF(Y62=Modelo!$F$20,Modelo!$I$20,IF(Y62=Modelo!$F$21,Modelo!$I$21,IF(Y62=Modelo!$F$22,Modelo!$I$22,0))))))))))))))))</f>
        <v>0.3</v>
      </c>
      <c r="AK62" s="429">
        <f>IF(Z62=Modelo!$F$23,Modelo!$H$23,IF(Z62=Modelo!$F$24,Modelo!$H$24,IF(Z62=Modelo!$F$25,Modelo!$H$25,0)))</f>
        <v>1</v>
      </c>
      <c r="AL62" s="429">
        <f>IF(AA62=Modelo!$F$26,Modelo!$H$26,IF(AA62=Modelo!$F$27,Modelo!$H$27,IF(AA62=Modelo!$F$28,Modelo!$H$28,0)))</f>
        <v>0.1</v>
      </c>
      <c r="AM62" s="429">
        <f>IF(AB62=Modelo!$F$30,Modelo!$H$30,IF(AB62=Modelo!$F$31,Modelo!$H$31,IF(AB62=Modelo!$F$32,Modelo!$H$32,0)))</f>
        <v>0.8</v>
      </c>
      <c r="AN62" s="429">
        <f>IF(AC62=Modelo!$F$33,Modelo!$H$33,IF(AC62=Modelo!$F$34,Modelo!$H$34,IF(AC62=Modelo!$F$35,Modelo!$H$35,0)))</f>
        <v>0.3</v>
      </c>
      <c r="AO62" s="429">
        <f>IF(AD62=Modelo!$F$37,Modelo!$H$37,IF(AD62=Modelo!$F$38,Modelo!$H$38,IF(AD62=Modelo!$F$39,Modelo!$H$39,0)))</f>
        <v>0.8</v>
      </c>
      <c r="AP62" s="429">
        <f>IF(AE62=Modelo!$F$40,Modelo!$H$40,IF(AE62=Modelo!$F$41,Modelo!$H$41,IF(AE62=Modelo!$F$42,Modelo!$H$42,0)))</f>
        <v>0.4</v>
      </c>
      <c r="AQ62" s="428">
        <f>IF(C62=Modelo!$F$44,Modelo!$H$44,IF(C62=Modelo!$F$45,Modelo!$H$45,IF(C62=Modelo!$F$46,Modelo!$H$46,IF(C62=Modelo!$F$47,Modelo!$H$47,IF(C62=Modelo!$F$48,Modelo!$H$48,IF(C62=Modelo!$F$49,Modelo!$H$49,IF(C62=Modelo!$F$50,Modelo!$H$50,IF(C62=Modelo!$F$51,Modelo!$H$51,IF(C62=Modelo!$F$52,Modelo!$H$52,IF(C62=Modelo!$F$53,Modelo!$H$53,0))))))))))</f>
        <v>1.7</v>
      </c>
      <c r="AR62" s="429">
        <f>IF(AF62=Modelo!$F$54,Modelo!$H$54,IF(AF62=Modelo!$F$55,Modelo!$H$55,IF(AF62=Modelo!$F$56,Modelo!$H$56,0)))</f>
        <v>1</v>
      </c>
      <c r="AS62" s="429">
        <f>IF(AG62=Modelo!$F$58,Modelo!$H$58,IF(AG62=Modelo!$F$59,Modelo!$H$59,IF(AG62=Modelo!$F$60,Modelo!$H$60,0)))</f>
        <v>0.9</v>
      </c>
      <c r="AT62" s="427"/>
      <c r="AU62" s="431">
        <f>Modelo!$H$2</f>
        <v>0.05</v>
      </c>
      <c r="AV62" s="432">
        <f>ROUNDUP(Modelo!$I$2*Modelo!$H$3*Modelo!$I$75,2)</f>
        <v>0.02</v>
      </c>
      <c r="AW62" s="433">
        <f>ROUNDUP(Modelo!$I$2*Modelo!$H$3*Modelo!$H$4*Modelo!$I$75,3)</f>
        <v>3.0000000000000001E-3</v>
      </c>
      <c r="AX62" s="431">
        <f>Modelo!$H$5</f>
        <v>0.04</v>
      </c>
      <c r="AY62" s="431">
        <f>ROUNDUP(SUM(AZ62,BB62,BD62,BF62)*Modelo!$H$6,1)</f>
        <v>0.7</v>
      </c>
      <c r="AZ62" s="431">
        <f>ROUNDUP((AI62*AK62+0.1)*Modelo!$I$75,1)</f>
        <v>1</v>
      </c>
      <c r="BA62" s="431">
        <f>ROUNDUP(AJ62*AK62*AL62*Modelo!$I$75,1)</f>
        <v>0.1</v>
      </c>
      <c r="BB62" s="431">
        <f>ROUNDUP(V62*Modelo!$H$29*AM62*Modelo!$I$75*2/3,1)</f>
        <v>0.6</v>
      </c>
      <c r="BC62" s="431">
        <f>ROUNDUP(V62*Modelo!$H$29*AM62*AN62*Modelo!$I$75*2/3,1)</f>
        <v>0.2</v>
      </c>
      <c r="BD62" s="431">
        <f>ROUNDUP(V62*Modelo!$H$29*AM62*Modelo!$I$75/3,1)</f>
        <v>0.30000000000000004</v>
      </c>
      <c r="BE62" s="431">
        <f>ROUNDUP(V62*Modelo!$H$29*AM62*AN62*Modelo!$I$75/3,1)</f>
        <v>0.1</v>
      </c>
      <c r="BF62" s="431">
        <f>ROUNDUP(W62*Modelo!$H$36*AO62*Modelo!$I$75,1)</f>
        <v>0</v>
      </c>
      <c r="BG62" s="431">
        <f>ROUNDUP(W62*Modelo!$H$36*AO62*AP62*Modelo!$I$75,1)</f>
        <v>0</v>
      </c>
      <c r="BH62" s="431">
        <f>Modelo!$H$43</f>
        <v>0.04</v>
      </c>
      <c r="BI62" s="431">
        <f>ROUNDUP(SUM(ROUNDUP(AI62*AK62+0.1,1),ROUNDUP(V62*Modelo!$H$29*AM62,1),ROUNDUP(W62*Modelo!$H$36*AO62,1))*AR62*AQ62*Modelo!$I$75,1)</f>
        <v>3.1</v>
      </c>
      <c r="BJ62" s="431">
        <f t="shared" si="260"/>
        <v>0</v>
      </c>
      <c r="BK62" s="431">
        <f t="shared" si="261"/>
        <v>0</v>
      </c>
      <c r="BL62" s="431">
        <f t="shared" si="262"/>
        <v>0</v>
      </c>
      <c r="BM62" s="431">
        <f t="shared" si="263"/>
        <v>0</v>
      </c>
      <c r="BN62" s="431">
        <f>ROUNDUP(SUM(ROUNDUP(AI62*AK62+0.1,1),ROUNDUP(V62*Modelo!$H$29*AM62,1),ROUNDUP(W62*Modelo!$H$36*AO62,1))*AQ62*AS62*Modelo!$H$57,1)</f>
        <v>1.3</v>
      </c>
      <c r="BO62" s="431">
        <f t="shared" si="264"/>
        <v>2.9450000000000003</v>
      </c>
      <c r="BP62" s="431">
        <f>Modelo!$H$61</f>
        <v>0.04</v>
      </c>
      <c r="BQ62" s="431">
        <f>ROUNDUP(SUM(ROUNDUP(AI62*AK62+0.1,1),ROUNDUP(V62*Modelo!$H$29*AM62,1),ROUNDUP(W62*Modelo!$H$36*AO62,1))*Modelo!$H$62*Modelo!$I$75,1)</f>
        <v>0.2</v>
      </c>
      <c r="BR62" s="431">
        <f>ROUNDUP(ROUNDUP(SUM(ROUNDUP(AI62*AK62+0.1,1),ROUNDUP(V62*Modelo!$H$29*AM62,1),ROUNDUP(W62*Modelo!$H$36*AO62,1))*Modelo!$H$62,1)*Modelo!$H$63*Modelo!$I$75,1)</f>
        <v>0.1</v>
      </c>
      <c r="BS62" s="431">
        <f>SUM(ROUNDUP(AI62*AK62+0.1,1),ROUNDUP(V62*Modelo!$H$29*AM62,1),ROUNDUP(W62*Modelo!$H$36*AO62,1))*Modelo!$H$64*Modelo!$I$75</f>
        <v>0.36000000000000004</v>
      </c>
      <c r="BT62" s="431">
        <f>ROUNDUP(SUM(ROUNDUP(AI62*AK62+0.1,1),ROUNDUP(V62*Modelo!$H$29*AM62,1),ROUNDUP(W62*Modelo!$H$36*AO62,1))*Modelo!$H$64*Modelo!$H$65*Modelo!$I$75,1)</f>
        <v>0.2</v>
      </c>
      <c r="BU62" s="431">
        <f>Modelo!$H$66</f>
        <v>0.04</v>
      </c>
      <c r="BV62" s="431">
        <f>ROUNDUP(SUM(ROUNDUP(AI62*AK62+0.1,1),ROUNDUP(V62*Modelo!$H$29*AM62,1),ROUNDUP(W62*Modelo!$H$36*AO62,1))*Modelo!$H$69,1)</f>
        <v>0.4</v>
      </c>
      <c r="BW62" s="431">
        <f>ROUNDUP(ROUNDUP(SUM(ROUNDUP(AI62*AK62+0.1,1),ROUNDUP(V62*Modelo!$H$29*AM62,1),ROUNDUP(W62*Modelo!$H$36*AO62,1))*Modelo!$H$62,1)*Modelo!$H$71,1)</f>
        <v>0.4</v>
      </c>
      <c r="BX62" s="430">
        <f t="shared" si="265"/>
        <v>12.237999999999998</v>
      </c>
      <c r="BZ62" s="426">
        <f t="shared" si="266"/>
        <v>3.74</v>
      </c>
      <c r="CA62" s="425">
        <f t="shared" si="267"/>
        <v>4.4000000000000004</v>
      </c>
      <c r="CB62" s="426">
        <f t="shared" si="268"/>
        <v>6.16</v>
      </c>
      <c r="CD62" s="420">
        <v>0</v>
      </c>
      <c r="CF62" s="426">
        <f t="shared" si="269"/>
        <v>0</v>
      </c>
    </row>
    <row r="63" spans="3:84" s="426" customFormat="1" ht="15.75" thickBot="1" x14ac:dyDescent="0.25">
      <c r="C63" s="454" t="s">
        <v>304</v>
      </c>
      <c r="D63" s="440" t="s">
        <v>18</v>
      </c>
      <c r="E63" s="440" t="str">
        <f t="shared" si="243"/>
        <v>B</v>
      </c>
      <c r="F63" s="440" t="s">
        <v>459</v>
      </c>
      <c r="G63" s="440" t="s">
        <v>459</v>
      </c>
      <c r="H63" s="440" t="str">
        <f t="shared" si="244"/>
        <v>B</v>
      </c>
      <c r="I63" s="440" t="str">
        <f t="shared" si="245"/>
        <v>B</v>
      </c>
      <c r="J63" s="437">
        <f t="shared" si="246"/>
        <v>1</v>
      </c>
      <c r="K63" s="436" t="str">
        <f t="shared" si="247"/>
        <v>Chica 3</v>
      </c>
      <c r="L63" s="445" t="s">
        <v>598</v>
      </c>
      <c r="M63" s="434">
        <f t="shared" si="248"/>
        <v>1.8</v>
      </c>
      <c r="N63" s="434">
        <f>BN63</f>
        <v>0.79999999999999993</v>
      </c>
      <c r="O63" s="442">
        <f t="shared" si="250"/>
        <v>2.6</v>
      </c>
      <c r="Q63" s="408"/>
      <c r="R63" s="408"/>
      <c r="S63" s="408"/>
      <c r="U63" s="441">
        <v>15</v>
      </c>
      <c r="V63" s="441">
        <v>1</v>
      </c>
      <c r="W63" s="441">
        <v>0</v>
      </c>
      <c r="X63" s="438"/>
      <c r="Y63" s="428" t="str">
        <f t="shared" si="251"/>
        <v>Chica 3</v>
      </c>
      <c r="Z63" s="428" t="str">
        <f t="shared" si="252"/>
        <v>Baja</v>
      </c>
      <c r="AA63" s="428" t="str">
        <f t="shared" si="253"/>
        <v>Baja</v>
      </c>
      <c r="AB63" s="428" t="str">
        <f t="shared" si="254"/>
        <v>Baja</v>
      </c>
      <c r="AC63" s="428" t="str">
        <f t="shared" si="255"/>
        <v>Baja</v>
      </c>
      <c r="AD63" s="428" t="str">
        <f t="shared" si="256"/>
        <v>Baja</v>
      </c>
      <c r="AE63" s="428" t="str">
        <f t="shared" si="257"/>
        <v>Baja</v>
      </c>
      <c r="AF63" s="428" t="str">
        <f t="shared" si="258"/>
        <v>Baja</v>
      </c>
      <c r="AG63" s="428" t="str">
        <f t="shared" si="259"/>
        <v>Baja</v>
      </c>
      <c r="AH63" s="427"/>
      <c r="AI63" s="429">
        <f>IF(Y63=Modelo!$F$7,Modelo!$H$7,IF(Y63=Modelo!$F$8,Modelo!$H$8,IF(Y63=Modelo!$F$9,Modelo!$H$9,IF(Y63=Modelo!$F$10,Modelo!$H$10,IF(Y63=Modelo!$F$11,Modelo!$H$11,IF(Y63=Modelo!$F$12,Modelo!$H$12,IF(Y63=Modelo!$F$13,Modelo!$H$13,IF(Y63=Modelo!$F$14,Modelo!$H$14,IF(Y63=Modelo!$F$15,Modelo!$H$15,IF(Y63=Modelo!$F$16,Modelo!$H$16,IF(Y63=Modelo!$F$17,Modelo!$H$17,IF(Y63=Modelo!$F$18,Modelo!$H$18,IF(Y63=Modelo!$F$19,Modelo!$H$19,IF(Y63=Modelo!$F$20,Modelo!$H$20,IF(Y63=Modelo!$F$21,Modelo!$H$21,IF(Y63=Modelo!$F$22,Modelo!$H$22,0))))))))))))))))</f>
        <v>0.9</v>
      </c>
      <c r="AJ63" s="429">
        <f>IF(Y63=Modelo!$F$7,Modelo!$I$7,IF(Y63=Modelo!$F$8,Modelo!$I$8,IF(Y63=Modelo!$F$9,Modelo!$I$9,IF(Y63=Modelo!$F$10,Modelo!$I$10,IF(Y63=Modelo!$F$11,Modelo!$I$11,IF(Y63=Modelo!$F$12,Modelo!$I$12,IF(Y63=Modelo!$F$13,Modelo!$I$13,IF(Y63=Modelo!$F$14,Modelo!$I$14,IF(Y63=Modelo!$F$15,Modelo!$I$15,IF(Y63=Modelo!$F$16,Modelo!$I$16,IF(Y63=Modelo!$F$17,Modelo!$I$17,IF(Y63=Modelo!$F$18,Modelo!$I$18,IF(Y63=Modelo!$F$19,Modelo!$I$19,IF(Y63=Modelo!$F$20,Modelo!$I$20,IF(Y63=Modelo!$F$21,Modelo!$I$21,IF(Y63=Modelo!$F$22,Modelo!$I$22,0))))))))))))))))</f>
        <v>0.3</v>
      </c>
      <c r="AK63" s="429">
        <f>IF(Z63=Modelo!$F$23,Modelo!$H$23,IF(Z63=Modelo!$F$24,Modelo!$H$24,IF(Z63=Modelo!$F$25,Modelo!$H$25,0)))</f>
        <v>1</v>
      </c>
      <c r="AL63" s="429">
        <f>IF(AA63=Modelo!$F$26,Modelo!$H$26,IF(AA63=Modelo!$F$27,Modelo!$H$27,IF(AA63=Modelo!$F$28,Modelo!$H$28,0)))</f>
        <v>0.1</v>
      </c>
      <c r="AM63" s="429">
        <f>IF(AB63=Modelo!$F$30,Modelo!$H$30,IF(AB63=Modelo!$F$31,Modelo!$H$31,IF(AB63=Modelo!$F$32,Modelo!$H$32,0)))</f>
        <v>0.8</v>
      </c>
      <c r="AN63" s="429">
        <f>IF(AC63=Modelo!$F$33,Modelo!$H$33,IF(AC63=Modelo!$F$34,Modelo!$H$34,IF(AC63=Modelo!$F$35,Modelo!$H$35,0)))</f>
        <v>0.3</v>
      </c>
      <c r="AO63" s="429">
        <f>IF(AD63=Modelo!$F$37,Modelo!$H$37,IF(AD63=Modelo!$F$38,Modelo!$H$38,IF(AD63=Modelo!$F$39,Modelo!$H$39,0)))</f>
        <v>0.8</v>
      </c>
      <c r="AP63" s="429">
        <f>IF(AE63=Modelo!$F$40,Modelo!$H$40,IF(AE63=Modelo!$F$41,Modelo!$H$41,IF(AE63=Modelo!$F$42,Modelo!$H$42,0)))</f>
        <v>0.4</v>
      </c>
      <c r="AQ63" s="428">
        <f>IF(C63=Modelo!$F$44,Modelo!$H$44,IF(C63=Modelo!$F$45,Modelo!$H$45,IF(C63=Modelo!$F$46,Modelo!$H$46,IF(C63=Modelo!$F$47,Modelo!$H$47,IF(C63=Modelo!$F$48,Modelo!$H$48,IF(C63=Modelo!$F$49,Modelo!$H$49,IF(C63=Modelo!$F$50,Modelo!$H$50,IF(C63=Modelo!$F$51,Modelo!$H$51,IF(C63=Modelo!$F$52,Modelo!$H$52,IF(C63=Modelo!$F$53,Modelo!$H$53,0))))))))))</f>
        <v>1</v>
      </c>
      <c r="AR63" s="429">
        <f>IF(AF63=Modelo!$F$54,Modelo!$H$54,IF(AF63=Modelo!$F$55,Modelo!$H$55,IF(AF63=Modelo!$F$56,Modelo!$H$56,0)))</f>
        <v>1</v>
      </c>
      <c r="AS63" s="429">
        <f>IF(AG63=Modelo!$F$58,Modelo!$H$58,IF(AG63=Modelo!$F$59,Modelo!$H$59,IF(AG63=Modelo!$F$60,Modelo!$H$60,0)))</f>
        <v>0.9</v>
      </c>
      <c r="AT63" s="427"/>
      <c r="AU63" s="431">
        <f>Modelo!$H$2</f>
        <v>0.05</v>
      </c>
      <c r="AV63" s="432">
        <f>ROUNDUP(Modelo!$I$2*Modelo!$H$3*Modelo!$I$75,2)</f>
        <v>0.02</v>
      </c>
      <c r="AW63" s="433">
        <f>ROUNDUP(Modelo!$I$2*Modelo!$H$3*Modelo!$H$4*Modelo!$I$75,3)</f>
        <v>3.0000000000000001E-3</v>
      </c>
      <c r="AX63" s="431">
        <f>Modelo!$H$5</f>
        <v>0.04</v>
      </c>
      <c r="AY63" s="431">
        <f>ROUNDUP(SUM(AZ63,BB63,BD63,BF63)*Modelo!$H$6,1)</f>
        <v>0.7</v>
      </c>
      <c r="AZ63" s="431">
        <f>ROUNDUP((AI63*AK63+0.1)*Modelo!$I$75,1)</f>
        <v>1</v>
      </c>
      <c r="BA63" s="431">
        <f>ROUNDUP(AJ63*AK63*AL63*Modelo!$I$75,1)</f>
        <v>0.1</v>
      </c>
      <c r="BB63" s="431">
        <f>ROUNDUP(V63*Modelo!$H$29*AM63*Modelo!$I$75*2/3,1)</f>
        <v>0.6</v>
      </c>
      <c r="BC63" s="431">
        <f>ROUNDUP(V63*Modelo!$H$29*AM63*AN63*Modelo!$I$75*2/3,1)</f>
        <v>0.2</v>
      </c>
      <c r="BD63" s="431">
        <f>ROUNDUP(V63*Modelo!$H$29*AM63*Modelo!$I$75/3,1)</f>
        <v>0.30000000000000004</v>
      </c>
      <c r="BE63" s="431">
        <f>ROUNDUP(V63*Modelo!$H$29*AM63*AN63*Modelo!$I$75/3,1)</f>
        <v>0.1</v>
      </c>
      <c r="BF63" s="431">
        <f>ROUNDUP(W63*Modelo!$H$36*AO63*Modelo!$I$75,1)</f>
        <v>0</v>
      </c>
      <c r="BG63" s="431">
        <f>ROUNDUP(W63*Modelo!$H$36*AO63*AP63*Modelo!$I$75,1)</f>
        <v>0</v>
      </c>
      <c r="BH63" s="431">
        <f>Modelo!$H$43</f>
        <v>0.04</v>
      </c>
      <c r="BI63" s="431">
        <f>ROUNDUP(SUM(ROUNDUP(AI63*AK63+0.1,1),ROUNDUP(V63*Modelo!$H$29*AM63,1),ROUNDUP(W63*Modelo!$H$36*AO63,1))*AR63*AQ63*Modelo!$I$75,1)</f>
        <v>1.8</v>
      </c>
      <c r="BJ63" s="431">
        <f t="shared" si="260"/>
        <v>0</v>
      </c>
      <c r="BK63" s="431">
        <f t="shared" si="261"/>
        <v>0</v>
      </c>
      <c r="BL63" s="431">
        <f t="shared" si="262"/>
        <v>0</v>
      </c>
      <c r="BM63" s="431">
        <f t="shared" si="263"/>
        <v>0</v>
      </c>
      <c r="BN63" s="431">
        <f>ROUNDUP(SUM(ROUNDUP(AI63*AK63+0.1,1),ROUNDUP(V63*Modelo!$H$29*AM63,1),ROUNDUP(W63*Modelo!$H$36*AO63,1))*AQ63*AS63*Modelo!$H$57,1)</f>
        <v>0.79999999999999993</v>
      </c>
      <c r="BO63" s="431">
        <f t="shared" si="264"/>
        <v>1.71</v>
      </c>
      <c r="BP63" s="431">
        <f>Modelo!$H$61</f>
        <v>0.04</v>
      </c>
      <c r="BQ63" s="431">
        <f>ROUNDUP(SUM(ROUNDUP(AI63*AK63+0.1,1),ROUNDUP(V63*Modelo!$H$29*AM63,1),ROUNDUP(W63*Modelo!$H$36*AO63,1))*Modelo!$H$62*Modelo!$I$75,1)</f>
        <v>0.2</v>
      </c>
      <c r="BR63" s="431">
        <f>ROUNDUP(ROUNDUP(SUM(ROUNDUP(AI63*AK63+0.1,1),ROUNDUP(V63*Modelo!$H$29*AM63,1),ROUNDUP(W63*Modelo!$H$36*AO63,1))*Modelo!$H$62,1)*Modelo!$H$63*Modelo!$I$75,1)</f>
        <v>0.1</v>
      </c>
      <c r="BS63" s="431">
        <f>SUM(ROUNDUP(AI63*AK63+0.1,1),ROUNDUP(V63*Modelo!$H$29*AM63,1),ROUNDUP(W63*Modelo!$H$36*AO63,1))*Modelo!$H$64*Modelo!$I$75</f>
        <v>0.36000000000000004</v>
      </c>
      <c r="BT63" s="431">
        <f>ROUNDUP(SUM(ROUNDUP(AI63*AK63+0.1,1),ROUNDUP(V63*Modelo!$H$29*AM63,1),ROUNDUP(W63*Modelo!$H$36*AO63,1))*Modelo!$H$64*Modelo!$H$65*Modelo!$I$75,1)</f>
        <v>0.2</v>
      </c>
      <c r="BU63" s="431">
        <f>Modelo!$H$66</f>
        <v>0.04</v>
      </c>
      <c r="BV63" s="431">
        <f>ROUNDUP(SUM(ROUNDUP(AI63*AK63+0.1,1),ROUNDUP(V63*Modelo!$H$29*AM63,1),ROUNDUP(W63*Modelo!$H$36*AO63,1))*Modelo!$H$69,1)</f>
        <v>0.4</v>
      </c>
      <c r="BW63" s="431">
        <f>ROUNDUP(ROUNDUP(SUM(ROUNDUP(AI63*AK63+0.1,1),ROUNDUP(V63*Modelo!$H$29*AM63,1),ROUNDUP(W63*Modelo!$H$36*AO63,1))*Modelo!$H$62,1)*Modelo!$H$71,1)</f>
        <v>0.4</v>
      </c>
      <c r="BX63" s="430">
        <f t="shared" si="265"/>
        <v>9.2029999999999994</v>
      </c>
      <c r="BZ63" s="426">
        <f t="shared" si="266"/>
        <v>2.21</v>
      </c>
      <c r="CA63" s="425">
        <f t="shared" si="267"/>
        <v>2.6</v>
      </c>
      <c r="CB63" s="426">
        <f t="shared" si="268"/>
        <v>3.6399999999999997</v>
      </c>
      <c r="CD63" s="420">
        <v>0</v>
      </c>
      <c r="CF63" s="426">
        <f t="shared" si="269"/>
        <v>0</v>
      </c>
    </row>
    <row r="64" spans="3:84" s="426" customFormat="1" ht="21" thickBot="1" x14ac:dyDescent="0.25">
      <c r="C64" s="455"/>
      <c r="D64" s="455" t="s">
        <v>17</v>
      </c>
      <c r="E64" s="455"/>
      <c r="F64" s="455"/>
      <c r="G64" s="455"/>
      <c r="H64" s="455"/>
      <c r="I64" s="455"/>
      <c r="J64" s="456"/>
      <c r="K64" s="457"/>
      <c r="L64" s="460" t="s">
        <v>585</v>
      </c>
      <c r="M64" s="458"/>
      <c r="N64" s="458"/>
      <c r="O64" s="459"/>
      <c r="Q64" s="408"/>
      <c r="R64" s="408"/>
      <c r="S64" s="408"/>
      <c r="T64" s="425"/>
      <c r="U64" s="441"/>
      <c r="V64" s="441"/>
      <c r="W64" s="441"/>
      <c r="X64" s="438"/>
      <c r="Y64" s="428"/>
      <c r="Z64" s="428"/>
      <c r="AA64" s="428"/>
      <c r="AB64" s="428"/>
      <c r="AC64" s="428"/>
      <c r="AD64" s="428"/>
      <c r="AE64" s="428"/>
      <c r="AF64" s="428"/>
      <c r="AG64" s="428"/>
      <c r="AH64" s="427"/>
      <c r="AI64" s="429"/>
      <c r="AJ64" s="429"/>
      <c r="AK64" s="429"/>
      <c r="AL64" s="429"/>
      <c r="AM64" s="429"/>
      <c r="AN64" s="429"/>
      <c r="AO64" s="429"/>
      <c r="AP64" s="429"/>
      <c r="AQ64" s="428"/>
      <c r="AR64" s="429"/>
      <c r="AS64" s="429"/>
      <c r="AT64" s="427"/>
      <c r="AU64" s="431"/>
      <c r="AV64" s="432"/>
      <c r="AW64" s="433"/>
      <c r="AX64" s="431"/>
      <c r="AY64" s="431"/>
      <c r="AZ64" s="431"/>
      <c r="BA64" s="431"/>
      <c r="BB64" s="431"/>
      <c r="BC64" s="431"/>
      <c r="BD64" s="431"/>
      <c r="BE64" s="431"/>
      <c r="BF64" s="431"/>
      <c r="BG64" s="431"/>
      <c r="BH64" s="431"/>
      <c r="BI64" s="431"/>
      <c r="BJ64" s="431"/>
      <c r="BK64" s="431"/>
      <c r="BL64" s="431"/>
      <c r="BM64" s="431"/>
      <c r="BN64" s="431"/>
      <c r="BO64" s="431"/>
      <c r="BP64" s="431"/>
      <c r="BQ64" s="431"/>
      <c r="BR64" s="431"/>
      <c r="BS64" s="431"/>
      <c r="BT64" s="431"/>
      <c r="BU64" s="431"/>
      <c r="BV64" s="431"/>
      <c r="BW64" s="431"/>
      <c r="BX64" s="430"/>
      <c r="CA64" s="425"/>
      <c r="CD64" s="420"/>
    </row>
    <row r="65" spans="3:84" s="426" customFormat="1" ht="44.25" customHeight="1" thickBot="1" x14ac:dyDescent="0.25">
      <c r="C65" s="461" t="s">
        <v>100</v>
      </c>
      <c r="D65" s="440" t="s">
        <v>18</v>
      </c>
      <c r="E65" s="440" t="str">
        <f t="shared" ref="E65:E66" si="270">IF(U65&gt;50,"A",IF(U65&gt;15,"M","B"))</f>
        <v>B</v>
      </c>
      <c r="F65" s="440" t="s">
        <v>459</v>
      </c>
      <c r="G65" s="440" t="s">
        <v>459</v>
      </c>
      <c r="H65" s="440" t="str">
        <f t="shared" ref="H65:H66" si="271">IF(V65+W65&gt;20,"A",IF(V65+W65&gt;5,"M","B"))</f>
        <v>B</v>
      </c>
      <c r="I65" s="440" t="str">
        <f t="shared" ref="I65:I66" si="272">IF(V65+W65&gt;15,"A",IF(V65+W65&gt;4,"M","B"))</f>
        <v>B</v>
      </c>
      <c r="J65" s="437">
        <f t="shared" ref="J65:J66" si="273">V65+W65</f>
        <v>1</v>
      </c>
      <c r="K65" s="436" t="str">
        <f t="shared" ref="K65:K66" si="274">Y65</f>
        <v>Chica 1</v>
      </c>
      <c r="L65" s="446" t="s">
        <v>609</v>
      </c>
      <c r="M65" s="434">
        <f t="shared" ref="M65:M66" si="275">BI65+BJ65+BK65+BL65+BM65</f>
        <v>1.7000000000000002</v>
      </c>
      <c r="N65" s="434">
        <f t="shared" ref="N65:N66" si="276">BN65</f>
        <v>0.7</v>
      </c>
      <c r="O65" s="442">
        <f t="shared" ref="O65" si="277">SUM(M65,N65)</f>
        <v>2.4000000000000004</v>
      </c>
      <c r="Q65" s="408"/>
      <c r="R65" s="408"/>
      <c r="S65" s="408"/>
      <c r="T65" s="425"/>
      <c r="U65" s="441">
        <v>6</v>
      </c>
      <c r="V65" s="441">
        <v>1</v>
      </c>
      <c r="W65" s="441">
        <v>0</v>
      </c>
      <c r="X65" s="438"/>
      <c r="Y65" s="428" t="str">
        <f t="shared" ref="Y65:Y66" si="278">IF(AND(U65&gt;=0,U65&lt;=6),"Chica 1",IF(AND(U65&gt;=7,U65&lt;=12),"Chica 2",IF(AND(U65&gt;=13,U65&lt;=18),"Chica 3",IF(AND(U65&gt;=19,U65&lt;=24),"Chica 4",IF(AND(U65&gt;=25,U65&lt;=30),"Mediana 1",IF(AND(U65&gt;=31,U65&lt;=36),"Mediana 2",IF(AND(U65&gt;=37,U65&lt;=42),"Mediana 3",IF(AND(U65&gt;=43,U65&lt;=48),"Mediana 4",IF(AND(U65&gt;=49,U65&lt;=54),"Grande 1",IF(AND(U65&gt;=55,U65&lt;=60),"Grande 2",IF(AND(U65&gt;=61,U65&lt;=66),"Grande 3",IF(AND(U65&gt;=67,U65&lt;=72),"Grande 4",IF(AND(U65&gt;=73,U65&lt;=78),"M. grande 1",IF(AND(U65&gt;=79,U65&lt;=84),"M. grande 2",IF(AND(U65&gt;=85,U65&lt;=90),"M. grande 3",IF(AND(U65&gt;=91,U65&lt;=96),"M. grande 4","NO DEF"))))))))))))))))</f>
        <v>Chica 1</v>
      </c>
      <c r="Z65" s="428" t="str">
        <f t="shared" ref="Z65:Z66" si="279">IF(E65="A","Alta",IF(E65="M","Media","Baja"))</f>
        <v>Baja</v>
      </c>
      <c r="AA65" s="428" t="str">
        <f t="shared" ref="AA65:AA66" si="280">IF(E65="A","Alta",IF(E65="M","Media","Baja"))</f>
        <v>Baja</v>
      </c>
      <c r="AB65" s="428" t="str">
        <f t="shared" ref="AB65:AB66" si="281">IF(F65="A","Alta",IF(F65="M","Media","Baja"))</f>
        <v>Baja</v>
      </c>
      <c r="AC65" s="428" t="str">
        <f t="shared" ref="AC65:AC66" si="282">IF(F65="A","Alta",IF(F65="M","Media","Baja"))</f>
        <v>Baja</v>
      </c>
      <c r="AD65" s="428" t="str">
        <f t="shared" ref="AD65:AD66" si="283">IF(G65="A","Alta",IF(G65="M","Media","Baja"))</f>
        <v>Baja</v>
      </c>
      <c r="AE65" s="428" t="str">
        <f t="shared" ref="AE65:AE66" si="284">IF(G65="A","Alta",IF(G65="M","Media","Baja"))</f>
        <v>Baja</v>
      </c>
      <c r="AF65" s="428" t="str">
        <f t="shared" ref="AF65:AF66" si="285">IF(H65="A","Alta",IF(H65="M","Media","Baja"))</f>
        <v>Baja</v>
      </c>
      <c r="AG65" s="428" t="str">
        <f t="shared" ref="AG65:AG66" si="286">IF(I65="A","Alta",IF(I65="M","Media","Baja"))</f>
        <v>Baja</v>
      </c>
      <c r="AH65" s="427"/>
      <c r="AI65" s="429">
        <f>IF(Y65=Modelo!$F$7,Modelo!$H$7,IF(Y65=Modelo!$F$8,Modelo!$H$8,IF(Y65=Modelo!$F$9,Modelo!$H$9,IF(Y65=Modelo!$F$10,Modelo!$H$10,IF(Y65=Modelo!$F$11,Modelo!$H$11,IF(Y65=Modelo!$F$12,Modelo!$H$12,IF(Y65=Modelo!$F$13,Modelo!$H$13,IF(Y65=Modelo!$F$14,Modelo!$H$14,IF(Y65=Modelo!$F$15,Modelo!$H$15,IF(Y65=Modelo!$F$16,Modelo!$H$16,IF(Y65=Modelo!$F$17,Modelo!$H$17,IF(Y65=Modelo!$F$18,Modelo!$H$18,IF(Y65=Modelo!$F$19,Modelo!$H$19,IF(Y65=Modelo!$F$20,Modelo!$H$20,IF(Y65=Modelo!$F$21,Modelo!$H$21,IF(Y65=Modelo!$F$22,Modelo!$H$22,0))))))))))))))))</f>
        <v>0.30000000000000004</v>
      </c>
      <c r="AJ65" s="429">
        <f>IF(Y65=Modelo!$F$7,Modelo!$I$7,IF(Y65=Modelo!$F$8,Modelo!$I$8,IF(Y65=Modelo!$F$9,Modelo!$I$9,IF(Y65=Modelo!$F$10,Modelo!$I$10,IF(Y65=Modelo!$F$11,Modelo!$I$11,IF(Y65=Modelo!$F$12,Modelo!$I$12,IF(Y65=Modelo!$F$13,Modelo!$I$13,IF(Y65=Modelo!$F$14,Modelo!$I$14,IF(Y65=Modelo!$F$15,Modelo!$I$15,IF(Y65=Modelo!$F$16,Modelo!$I$16,IF(Y65=Modelo!$F$17,Modelo!$I$17,IF(Y65=Modelo!$F$18,Modelo!$I$18,IF(Y65=Modelo!$F$19,Modelo!$I$19,IF(Y65=Modelo!$F$20,Modelo!$I$20,IF(Y65=Modelo!$F$21,Modelo!$I$21,IF(Y65=Modelo!$F$22,Modelo!$I$22,0))))))))))))))))</f>
        <v>0.1</v>
      </c>
      <c r="AK65" s="429">
        <f>IF(Z65=Modelo!$F$23,Modelo!$H$23,IF(Z65=Modelo!$F$24,Modelo!$H$24,IF(Z65=Modelo!$F$25,Modelo!$H$25,0)))</f>
        <v>1</v>
      </c>
      <c r="AL65" s="429">
        <f>IF(AA65=Modelo!$F$26,Modelo!$H$26,IF(AA65=Modelo!$F$27,Modelo!$H$27,IF(AA65=Modelo!$F$28,Modelo!$H$28,0)))</f>
        <v>0.1</v>
      </c>
      <c r="AM65" s="429">
        <f>IF(AB65=Modelo!$F$30,Modelo!$H$30,IF(AB65=Modelo!$F$31,Modelo!$H$31,IF(AB65=Modelo!$F$32,Modelo!$H$32,0)))</f>
        <v>0.8</v>
      </c>
      <c r="AN65" s="429">
        <f>IF(AC65=Modelo!$F$33,Modelo!$H$33,IF(AC65=Modelo!$F$34,Modelo!$H$34,IF(AC65=Modelo!$F$35,Modelo!$H$35,0)))</f>
        <v>0.3</v>
      </c>
      <c r="AO65" s="429">
        <f>IF(AD65=Modelo!$F$37,Modelo!$H$37,IF(AD65=Modelo!$F$38,Modelo!$H$38,IF(AD65=Modelo!$F$39,Modelo!$H$39,0)))</f>
        <v>0.8</v>
      </c>
      <c r="AP65" s="429">
        <f>IF(AE65=Modelo!$F$40,Modelo!$H$40,IF(AE65=Modelo!$F$41,Modelo!$H$41,IF(AE65=Modelo!$F$42,Modelo!$H$42,0)))</f>
        <v>0.4</v>
      </c>
      <c r="AQ65" s="428">
        <f>IF(C65=Modelo!$F$44,Modelo!$H$44,IF(C65=Modelo!$F$45,Modelo!$H$45,IF(C65=Modelo!$F$46,Modelo!$H$46,IF(C65=Modelo!$F$47,Modelo!$H$47,IF(C65=Modelo!$F$48,Modelo!$H$48,IF(C65=Modelo!$F$49,Modelo!$H$49,IF(C65=Modelo!$F$50,Modelo!$H$50,IF(C65=Modelo!$F$51,Modelo!$H$51,IF(C65=Modelo!$F$52,Modelo!$H$52,IF(C65=Modelo!$F$53,Modelo!$H$53,0))))))))))</f>
        <v>1.4</v>
      </c>
      <c r="AR65" s="429">
        <f>IF(AF65=Modelo!$F$54,Modelo!$H$54,IF(AF65=Modelo!$F$55,Modelo!$H$55,IF(AF65=Modelo!$F$56,Modelo!$H$56,0)))</f>
        <v>1</v>
      </c>
      <c r="AS65" s="429">
        <f>IF(AG65=Modelo!$F$58,Modelo!$H$58,IF(AG65=Modelo!$F$59,Modelo!$H$59,IF(AG65=Modelo!$F$60,Modelo!$H$60,0)))</f>
        <v>0.9</v>
      </c>
      <c r="AT65" s="427"/>
      <c r="AU65" s="431">
        <f>Modelo!$H$2</f>
        <v>0.05</v>
      </c>
      <c r="AV65" s="432">
        <f>ROUNDUP(Modelo!$I$2*Modelo!$H$3*Modelo!$I$75,2)</f>
        <v>0.02</v>
      </c>
      <c r="AW65" s="433">
        <f>ROUNDUP(Modelo!$I$2*Modelo!$H$3*Modelo!$H$4*Modelo!$I$75,3)</f>
        <v>3.0000000000000001E-3</v>
      </c>
      <c r="AX65" s="431">
        <f>Modelo!$H$5</f>
        <v>0.04</v>
      </c>
      <c r="AY65" s="431">
        <f>ROUNDUP(SUM(AZ65,BB65,BD65,BF65)*Modelo!$H$6,1)</f>
        <v>0.5</v>
      </c>
      <c r="AZ65" s="431">
        <f>ROUNDUP((AI65*AK65+0.1)*Modelo!$I$75,1)</f>
        <v>0.4</v>
      </c>
      <c r="BA65" s="431">
        <f>ROUNDUP(AJ65*AK65*AL65*Modelo!$I$75,1)</f>
        <v>0.1</v>
      </c>
      <c r="BB65" s="431">
        <f>ROUNDUP(V65*Modelo!$H$29*AM65*Modelo!$I$75*2/3,1)</f>
        <v>0.6</v>
      </c>
      <c r="BC65" s="431">
        <f>ROUNDUP(V65*Modelo!$H$29*AM65*AN65*Modelo!$I$75*2/3,1)</f>
        <v>0.2</v>
      </c>
      <c r="BD65" s="431">
        <f>ROUNDUP(V65*Modelo!$H$29*AM65*Modelo!$I$75/3,1)</f>
        <v>0.30000000000000004</v>
      </c>
      <c r="BE65" s="431">
        <f>ROUNDUP(V65*Modelo!$H$29*AM65*AN65*Modelo!$I$75/3,1)</f>
        <v>0.1</v>
      </c>
      <c r="BF65" s="431">
        <f>ROUNDUP(W65*Modelo!$H$36*AO65*Modelo!$I$75,1)</f>
        <v>0</v>
      </c>
      <c r="BG65" s="431">
        <f>ROUNDUP(W65*Modelo!$H$36*AO65*AP65*Modelo!$I$75,1)</f>
        <v>0</v>
      </c>
      <c r="BH65" s="431">
        <f>Modelo!$H$43</f>
        <v>0.04</v>
      </c>
      <c r="BI65" s="431">
        <f>ROUNDUP(SUM(ROUNDUP(AI65*AK65+0.1,1),ROUNDUP(V65*Modelo!$H$29*AM65,1),ROUNDUP(W65*Modelo!$H$36*AO65,1))*AR65*AQ65*Modelo!$I$75,1)</f>
        <v>1.7000000000000002</v>
      </c>
      <c r="BJ65" s="431">
        <f t="shared" ref="BJ65" si="287">IF(K$31="x",0, BI65*0.1*1.25)</f>
        <v>0</v>
      </c>
      <c r="BK65" s="431">
        <f t="shared" ref="BK65:BK66" si="288">IF(Q65="x",(BI65)*0.1,0)</f>
        <v>0</v>
      </c>
      <c r="BL65" s="431">
        <f t="shared" ref="BL65:BL66" si="289">IF(R65="x",(BI65)*0.12,0)</f>
        <v>0</v>
      </c>
      <c r="BM65" s="431">
        <f t="shared" ref="BM65:BM66" si="290">IF(S65="x",(BI65)*0.12,0)*4</f>
        <v>0</v>
      </c>
      <c r="BN65" s="431">
        <f>ROUNDUP(SUM(ROUNDUP(AI65*AK65+0.1,1),ROUNDUP(V65*Modelo!$H$29*AM65,1),ROUNDUP(W65*Modelo!$H$36*AO65,1))*AQ65*AS65*Modelo!$H$57,1)</f>
        <v>0.7</v>
      </c>
      <c r="BO65" s="431">
        <f t="shared" ref="BO65" si="291">BI65*0.1
+IF(K$15="x",0,BI65*0.05)
+IF(K$27="x",0,BI65*0.2)
+IF(K$28="x",0,BI65*0.5)
+IF(OR(K$29="x",K$30="x"),0,BI65*0.05)
+IF(K$31="x",0,BI65*0.3)
+IF(Q65="x",0,BI65*0.5)
+IF(OR(R65="x",S65="x"),0,BI65*0.15)</f>
        <v>1.6150000000000002</v>
      </c>
      <c r="BP65" s="431">
        <f>Modelo!$H$61</f>
        <v>0.04</v>
      </c>
      <c r="BQ65" s="431">
        <f>ROUNDUP(SUM(ROUNDUP(AI65*AK65+0.1,1),ROUNDUP(V65*Modelo!$H$29*AM65,1),ROUNDUP(W65*Modelo!$H$36*AO65,1))*Modelo!$H$62*Modelo!$I$75,1)</f>
        <v>0.1</v>
      </c>
      <c r="BR65" s="431">
        <f>ROUNDUP(ROUNDUP(SUM(ROUNDUP(AI65*AK65+0.1,1),ROUNDUP(V65*Modelo!$H$29*AM65,1),ROUNDUP(W65*Modelo!$H$36*AO65,1))*Modelo!$H$62,1)*Modelo!$H$63*Modelo!$I$75,1)</f>
        <v>0.1</v>
      </c>
      <c r="BS65" s="431">
        <f>SUM(ROUNDUP(AI65*AK65+0.1,1),ROUNDUP(V65*Modelo!$H$29*AM65,1),ROUNDUP(W65*Modelo!$H$36*AO65,1))*Modelo!$H$64*Modelo!$I$75</f>
        <v>0.24000000000000005</v>
      </c>
      <c r="BT65" s="431">
        <f>ROUNDUP(SUM(ROUNDUP(AI65*AK65+0.1,1),ROUNDUP(V65*Modelo!$H$29*AM65,1),ROUNDUP(W65*Modelo!$H$36*AO65,1))*Modelo!$H$64*Modelo!$H$65*Modelo!$I$75,1)</f>
        <v>0.2</v>
      </c>
      <c r="BU65" s="431">
        <f>Modelo!$H$66</f>
        <v>0.04</v>
      </c>
      <c r="BV65" s="431">
        <f>ROUNDUP(SUM(ROUNDUP(AI65*AK65+0.1,1),ROUNDUP(V65*Modelo!$H$29*AM65,1),ROUNDUP(W65*Modelo!$H$36*AO65,1))*Modelo!$H$69,1)</f>
        <v>0.30000000000000004</v>
      </c>
      <c r="BW65" s="431">
        <f>ROUNDUP(ROUNDUP(SUM(ROUNDUP(AI65*AK65+0.1,1),ROUNDUP(V65*Modelo!$H$29*AM65,1),ROUNDUP(W65*Modelo!$H$36*AO65,1))*Modelo!$H$62,1)*Modelo!$H$71,1)</f>
        <v>0.2</v>
      </c>
      <c r="BX65" s="430">
        <f t="shared" ref="BX65:BX66" si="292">SUM(AU65:BW65)</f>
        <v>7.588000000000001</v>
      </c>
      <c r="BZ65" s="426">
        <f t="shared" ref="BZ65:BZ66" si="293">CA65*0.85</f>
        <v>2.04</v>
      </c>
      <c r="CA65" s="425">
        <f t="shared" ref="CA65:CA66" si="294">O65</f>
        <v>2.4000000000000004</v>
      </c>
      <c r="CB65" s="426">
        <f t="shared" ref="CB65:CB66" si="295">IF(CA65=0,1,CA65*1.4)</f>
        <v>3.3600000000000003</v>
      </c>
      <c r="CD65" s="420">
        <v>0</v>
      </c>
      <c r="CF65" s="426">
        <f t="shared" ref="CF65:CF66" si="296">IF(CC65&lt;&gt;"",CC65,CD65)</f>
        <v>0</v>
      </c>
    </row>
    <row r="66" spans="3:84" s="426" customFormat="1" ht="39" thickBot="1" x14ac:dyDescent="0.25">
      <c r="C66" s="461" t="s">
        <v>100</v>
      </c>
      <c r="D66" s="440" t="s">
        <v>18</v>
      </c>
      <c r="E66" s="440" t="str">
        <f t="shared" si="270"/>
        <v>B</v>
      </c>
      <c r="F66" s="440" t="s">
        <v>459</v>
      </c>
      <c r="G66" s="440" t="s">
        <v>459</v>
      </c>
      <c r="H66" s="440" t="str">
        <f t="shared" si="271"/>
        <v>B</v>
      </c>
      <c r="I66" s="440" t="str">
        <f t="shared" si="272"/>
        <v>B</v>
      </c>
      <c r="J66" s="437">
        <f t="shared" si="273"/>
        <v>1</v>
      </c>
      <c r="K66" s="436" t="str">
        <f t="shared" si="274"/>
        <v>Chica 2</v>
      </c>
      <c r="L66" s="445" t="s">
        <v>607</v>
      </c>
      <c r="M66" s="434">
        <f t="shared" si="275"/>
        <v>2.1</v>
      </c>
      <c r="N66" s="434">
        <f t="shared" si="276"/>
        <v>0.9</v>
      </c>
      <c r="O66" s="442">
        <f>SUM(M66,N66)</f>
        <v>3</v>
      </c>
      <c r="Q66" s="408"/>
      <c r="R66" s="408"/>
      <c r="S66" s="408"/>
      <c r="T66" s="425"/>
      <c r="U66" s="441">
        <v>7</v>
      </c>
      <c r="V66" s="441">
        <v>1</v>
      </c>
      <c r="W66" s="441">
        <v>0</v>
      </c>
      <c r="X66" s="438"/>
      <c r="Y66" s="428" t="str">
        <f t="shared" si="278"/>
        <v>Chica 2</v>
      </c>
      <c r="Z66" s="428" t="str">
        <f t="shared" si="279"/>
        <v>Baja</v>
      </c>
      <c r="AA66" s="428" t="str">
        <f t="shared" si="280"/>
        <v>Baja</v>
      </c>
      <c r="AB66" s="428" t="str">
        <f t="shared" si="281"/>
        <v>Baja</v>
      </c>
      <c r="AC66" s="428" t="str">
        <f t="shared" si="282"/>
        <v>Baja</v>
      </c>
      <c r="AD66" s="428" t="str">
        <f t="shared" si="283"/>
        <v>Baja</v>
      </c>
      <c r="AE66" s="428" t="str">
        <f t="shared" si="284"/>
        <v>Baja</v>
      </c>
      <c r="AF66" s="428" t="str">
        <f t="shared" si="285"/>
        <v>Baja</v>
      </c>
      <c r="AG66" s="428" t="str">
        <f t="shared" si="286"/>
        <v>Baja</v>
      </c>
      <c r="AH66" s="427"/>
      <c r="AI66" s="429">
        <f>IF(Y66=Modelo!$F$7,Modelo!$H$7,IF(Y66=Modelo!$F$8,Modelo!$H$8,IF(Y66=Modelo!$F$9,Modelo!$H$9,IF(Y66=Modelo!$F$10,Modelo!$H$10,IF(Y66=Modelo!$F$11,Modelo!$H$11,IF(Y66=Modelo!$F$12,Modelo!$H$12,IF(Y66=Modelo!$F$13,Modelo!$H$13,IF(Y66=Modelo!$F$14,Modelo!$H$14,IF(Y66=Modelo!$F$15,Modelo!$H$15,IF(Y66=Modelo!$F$16,Modelo!$H$16,IF(Y66=Modelo!$F$17,Modelo!$H$17,IF(Y66=Modelo!$F$18,Modelo!$H$18,IF(Y66=Modelo!$F$19,Modelo!$H$19,IF(Y66=Modelo!$F$20,Modelo!$H$20,IF(Y66=Modelo!$F$21,Modelo!$H$21,IF(Y66=Modelo!$F$22,Modelo!$H$22,0))))))))))))))))</f>
        <v>0.60000000000000009</v>
      </c>
      <c r="AJ66" s="429">
        <f>IF(Y66=Modelo!$F$7,Modelo!$I$7,IF(Y66=Modelo!$F$8,Modelo!$I$8,IF(Y66=Modelo!$F$9,Modelo!$I$9,IF(Y66=Modelo!$F$10,Modelo!$I$10,IF(Y66=Modelo!$F$11,Modelo!$I$11,IF(Y66=Modelo!$F$12,Modelo!$I$12,IF(Y66=Modelo!$F$13,Modelo!$I$13,IF(Y66=Modelo!$F$14,Modelo!$I$14,IF(Y66=Modelo!$F$15,Modelo!$I$15,IF(Y66=Modelo!$F$16,Modelo!$I$16,IF(Y66=Modelo!$F$17,Modelo!$I$17,IF(Y66=Modelo!$F$18,Modelo!$I$18,IF(Y66=Modelo!$F$19,Modelo!$I$19,IF(Y66=Modelo!$F$20,Modelo!$I$20,IF(Y66=Modelo!$F$21,Modelo!$I$21,IF(Y66=Modelo!$F$22,Modelo!$I$22,0))))))))))))))))</f>
        <v>0.2</v>
      </c>
      <c r="AK66" s="429">
        <f>IF(Z66=Modelo!$F$23,Modelo!$H$23,IF(Z66=Modelo!$F$24,Modelo!$H$24,IF(Z66=Modelo!$F$25,Modelo!$H$25,0)))</f>
        <v>1</v>
      </c>
      <c r="AL66" s="429">
        <f>IF(AA66=Modelo!$F$26,Modelo!$H$26,IF(AA66=Modelo!$F$27,Modelo!$H$27,IF(AA66=Modelo!$F$28,Modelo!$H$28,0)))</f>
        <v>0.1</v>
      </c>
      <c r="AM66" s="429">
        <f>IF(AB66=Modelo!$F$30,Modelo!$H$30,IF(AB66=Modelo!$F$31,Modelo!$H$31,IF(AB66=Modelo!$F$32,Modelo!$H$32,0)))</f>
        <v>0.8</v>
      </c>
      <c r="AN66" s="429">
        <f>IF(AC66=Modelo!$F$33,Modelo!$H$33,IF(AC66=Modelo!$F$34,Modelo!$H$34,IF(AC66=Modelo!$F$35,Modelo!$H$35,0)))</f>
        <v>0.3</v>
      </c>
      <c r="AO66" s="429">
        <f>IF(AD66=Modelo!$F$37,Modelo!$H$37,IF(AD66=Modelo!$F$38,Modelo!$H$38,IF(AD66=Modelo!$F$39,Modelo!$H$39,0)))</f>
        <v>0.8</v>
      </c>
      <c r="AP66" s="429">
        <f>IF(AE66=Modelo!$F$40,Modelo!$H$40,IF(AE66=Modelo!$F$41,Modelo!$H$41,IF(AE66=Modelo!$F$42,Modelo!$H$42,0)))</f>
        <v>0.4</v>
      </c>
      <c r="AQ66" s="428">
        <f>IF(C66=Modelo!$F$44,Modelo!$H$44,IF(C66=Modelo!$F$45,Modelo!$H$45,IF(C66=Modelo!$F$46,Modelo!$H$46,IF(C66=Modelo!$F$47,Modelo!$H$47,IF(C66=Modelo!$F$48,Modelo!$H$48,IF(C66=Modelo!$F$49,Modelo!$H$49,IF(C66=Modelo!$F$50,Modelo!$H$50,IF(C66=Modelo!$F$51,Modelo!$H$51,IF(C66=Modelo!$F$52,Modelo!$H$52,IF(C66=Modelo!$F$53,Modelo!$H$53,0))))))))))</f>
        <v>1.4</v>
      </c>
      <c r="AR66" s="429">
        <f>IF(AF66=Modelo!$F$54,Modelo!$H$54,IF(AF66=Modelo!$F$55,Modelo!$H$55,IF(AF66=Modelo!$F$56,Modelo!$H$56,0)))</f>
        <v>1</v>
      </c>
      <c r="AS66" s="429">
        <f>IF(AG66=Modelo!$F$58,Modelo!$H$58,IF(AG66=Modelo!$F$59,Modelo!$H$59,IF(AG66=Modelo!$F$60,Modelo!$H$60,0)))</f>
        <v>0.9</v>
      </c>
      <c r="AT66" s="427"/>
      <c r="AU66" s="431">
        <f>Modelo!$H$2</f>
        <v>0.05</v>
      </c>
      <c r="AV66" s="432">
        <f>ROUNDUP(Modelo!$I$2*Modelo!$H$3*Modelo!$I$75,2)</f>
        <v>0.02</v>
      </c>
      <c r="AW66" s="433">
        <f>ROUNDUP(Modelo!$I$2*Modelo!$H$3*Modelo!$H$4*Modelo!$I$75,3)</f>
        <v>3.0000000000000001E-3</v>
      </c>
      <c r="AX66" s="431">
        <f>Modelo!$H$5</f>
        <v>0.04</v>
      </c>
      <c r="AY66" s="431">
        <f>ROUNDUP(SUM(AZ66,BB66,BD66,BF66)*Modelo!$H$6,1)</f>
        <v>0.6</v>
      </c>
      <c r="AZ66" s="431">
        <f>ROUNDUP((AI66*AK66+0.1)*Modelo!$I$75,1)</f>
        <v>0.7</v>
      </c>
      <c r="BA66" s="431">
        <f>ROUNDUP(AJ66*AK66*AL66*Modelo!$I$75,1)</f>
        <v>0.1</v>
      </c>
      <c r="BB66" s="431">
        <f>ROUNDUP(V66*Modelo!$H$29*AM66*Modelo!$I$75*2/3,1)</f>
        <v>0.6</v>
      </c>
      <c r="BC66" s="431">
        <f>ROUNDUP(V66*Modelo!$H$29*AM66*AN66*Modelo!$I$75*2/3,1)</f>
        <v>0.2</v>
      </c>
      <c r="BD66" s="431">
        <f>ROUNDUP(V66*Modelo!$H$29*AM66*Modelo!$I$75/3,1)</f>
        <v>0.30000000000000004</v>
      </c>
      <c r="BE66" s="431">
        <f>ROUNDUP(V66*Modelo!$H$29*AM66*AN66*Modelo!$I$75/3,1)</f>
        <v>0.1</v>
      </c>
      <c r="BF66" s="431">
        <f>ROUNDUP(W66*Modelo!$H$36*AO66*Modelo!$I$75,1)</f>
        <v>0</v>
      </c>
      <c r="BG66" s="431">
        <f>ROUNDUP(W66*Modelo!$H$36*AO66*AP66*Modelo!$I$75,1)</f>
        <v>0</v>
      </c>
      <c r="BH66" s="431">
        <f>Modelo!$H$43</f>
        <v>0.04</v>
      </c>
      <c r="BI66" s="431">
        <f>ROUNDUP(SUM(ROUNDUP(AI66*AK66+0.1,1),ROUNDUP(V66*Modelo!$H$29*AM66,1),ROUNDUP(W66*Modelo!$H$36*AO66,1))*AR66*AQ66*Modelo!$I$75,1)</f>
        <v>2.1</v>
      </c>
      <c r="BJ66" s="431">
        <f>IF(K$31="x",0, BI66*0.1*1.25)</f>
        <v>0</v>
      </c>
      <c r="BK66" s="431">
        <f t="shared" si="288"/>
        <v>0</v>
      </c>
      <c r="BL66" s="431">
        <f t="shared" si="289"/>
        <v>0</v>
      </c>
      <c r="BM66" s="431">
        <f t="shared" si="290"/>
        <v>0</v>
      </c>
      <c r="BN66" s="431">
        <f>ROUNDUP(SUM(ROUNDUP(AI66*AK66+0.1,1),ROUNDUP(V66*Modelo!$H$29*AM66,1),ROUNDUP(W66*Modelo!$H$36*AO66,1))*AQ66*AS66*Modelo!$H$57,1)</f>
        <v>0.9</v>
      </c>
      <c r="BO66" s="431">
        <f>BI66*0.1
+IF(K$15="x",0,BI66*0.05)
+IF(K$27="x",0,BI66*0.2)
+IF(K$28="x",0,BI66*0.5)
+IF(OR(K$29="x",K$30="x"),0,BI66*0.05)
+IF(K$31="x",0,BI66*0.3)
+IF(Q66="x",0,BI66*0.5)
+IF(OR(R66="x",S66="x"),0,BI66*0.15)</f>
        <v>1.9950000000000001</v>
      </c>
      <c r="BP66" s="431">
        <f>Modelo!$H$61</f>
        <v>0.04</v>
      </c>
      <c r="BQ66" s="431">
        <f>ROUNDUP(SUM(ROUNDUP(AI66*AK66+0.1,1),ROUNDUP(V66*Modelo!$H$29*AM66,1),ROUNDUP(W66*Modelo!$H$36*AO66,1))*Modelo!$H$62*Modelo!$I$75,1)</f>
        <v>0.1</v>
      </c>
      <c r="BR66" s="431">
        <f>ROUNDUP(ROUNDUP(SUM(ROUNDUP(AI66*AK66+0.1,1),ROUNDUP(V66*Modelo!$H$29*AM66,1),ROUNDUP(W66*Modelo!$H$36*AO66,1))*Modelo!$H$62,1)*Modelo!$H$63*Modelo!$I$75,1)</f>
        <v>0.1</v>
      </c>
      <c r="BS66" s="431">
        <f>SUM(ROUNDUP(AI66*AK66+0.1,1),ROUNDUP(V66*Modelo!$H$29*AM66,1),ROUNDUP(W66*Modelo!$H$36*AO66,1))*Modelo!$H$64*Modelo!$I$75</f>
        <v>0.30000000000000004</v>
      </c>
      <c r="BT66" s="431">
        <f>ROUNDUP(SUM(ROUNDUP(AI66*AK66+0.1,1),ROUNDUP(V66*Modelo!$H$29*AM66,1),ROUNDUP(W66*Modelo!$H$36*AO66,1))*Modelo!$H$64*Modelo!$H$65*Modelo!$I$75,1)</f>
        <v>0.2</v>
      </c>
      <c r="BU66" s="431">
        <f>Modelo!$H$66</f>
        <v>0.04</v>
      </c>
      <c r="BV66" s="431">
        <f>ROUNDUP(SUM(ROUNDUP(AI66*AK66+0.1,1),ROUNDUP(V66*Modelo!$H$29*AM66,1),ROUNDUP(W66*Modelo!$H$36*AO66,1))*Modelo!$H$69,1)</f>
        <v>0.4</v>
      </c>
      <c r="BW66" s="431">
        <f>ROUNDUP(ROUNDUP(SUM(ROUNDUP(AI66*AK66+0.1,1),ROUNDUP(V66*Modelo!$H$29*AM66,1),ROUNDUP(W66*Modelo!$H$36*AO66,1))*Modelo!$H$62,1)*Modelo!$H$71,1)</f>
        <v>0.2</v>
      </c>
      <c r="BX66" s="430">
        <f t="shared" si="292"/>
        <v>9.1279999999999983</v>
      </c>
      <c r="BZ66" s="426">
        <f t="shared" si="293"/>
        <v>2.5499999999999998</v>
      </c>
      <c r="CA66" s="425">
        <f t="shared" si="294"/>
        <v>3</v>
      </c>
      <c r="CB66" s="426">
        <f t="shared" si="295"/>
        <v>4.1999999999999993</v>
      </c>
      <c r="CD66" s="420">
        <v>0</v>
      </c>
      <c r="CF66" s="426">
        <f t="shared" si="296"/>
        <v>0</v>
      </c>
    </row>
    <row r="67" spans="3:84" s="426" customFormat="1" ht="51.75" thickBot="1" x14ac:dyDescent="0.25">
      <c r="C67" s="461" t="s">
        <v>100</v>
      </c>
      <c r="D67" s="440" t="s">
        <v>18</v>
      </c>
      <c r="E67" s="440" t="str">
        <f t="shared" ref="E67:E69" si="297">IF(U67&gt;50,"A",IF(U67&gt;15,"M","B"))</f>
        <v>B</v>
      </c>
      <c r="F67" s="440" t="s">
        <v>459</v>
      </c>
      <c r="G67" s="440" t="s">
        <v>459</v>
      </c>
      <c r="H67" s="440" t="str">
        <f t="shared" ref="H67:H69" si="298">IF(V67+W67&gt;20,"A",IF(V67+W67&gt;5,"M","B"))</f>
        <v>B</v>
      </c>
      <c r="I67" s="440" t="str">
        <f t="shared" ref="I67:I69" si="299">IF(V67+W67&gt;15,"A",IF(V67+W67&gt;4,"M","B"))</f>
        <v>B</v>
      </c>
      <c r="J67" s="437">
        <f t="shared" ref="J67:J69" si="300">V67+W67</f>
        <v>3</v>
      </c>
      <c r="K67" s="436" t="str">
        <f t="shared" ref="K67:K69" si="301">Y67</f>
        <v>Chica 3</v>
      </c>
      <c r="L67" s="161" t="s">
        <v>594</v>
      </c>
      <c r="M67" s="434">
        <f t="shared" ref="M67:M69" si="302">BI67+BJ67+BK67+BL67+BM67</f>
        <v>4.8</v>
      </c>
      <c r="N67" s="434">
        <f t="shared" ref="N67:N68" si="303">BN67</f>
        <v>2</v>
      </c>
      <c r="O67" s="442">
        <f t="shared" ref="O67:O69" si="304">SUM(M67,N67)</f>
        <v>6.8</v>
      </c>
      <c r="Q67" s="408"/>
      <c r="R67" s="408"/>
      <c r="S67" s="408"/>
      <c r="T67" s="425"/>
      <c r="U67" s="441">
        <v>15</v>
      </c>
      <c r="V67" s="441">
        <v>3</v>
      </c>
      <c r="W67" s="441">
        <v>0</v>
      </c>
      <c r="X67" s="438"/>
      <c r="Y67" s="428" t="str">
        <f t="shared" ref="Y67:Y69" si="305">IF(AND(U67&gt;=0,U67&lt;=6),"Chica 1",IF(AND(U67&gt;=7,U67&lt;=12),"Chica 2",IF(AND(U67&gt;=13,U67&lt;=18),"Chica 3",IF(AND(U67&gt;=19,U67&lt;=24),"Chica 4",IF(AND(U67&gt;=25,U67&lt;=30),"Mediana 1",IF(AND(U67&gt;=31,U67&lt;=36),"Mediana 2",IF(AND(U67&gt;=37,U67&lt;=42),"Mediana 3",IF(AND(U67&gt;=43,U67&lt;=48),"Mediana 4",IF(AND(U67&gt;=49,U67&lt;=54),"Grande 1",IF(AND(U67&gt;=55,U67&lt;=60),"Grande 2",IF(AND(U67&gt;=61,U67&lt;=66),"Grande 3",IF(AND(U67&gt;=67,U67&lt;=72),"Grande 4",IF(AND(U67&gt;=73,U67&lt;=78),"M. grande 1",IF(AND(U67&gt;=79,U67&lt;=84),"M. grande 2",IF(AND(U67&gt;=85,U67&lt;=90),"M. grande 3",IF(AND(U67&gt;=91,U67&lt;=96),"M. grande 4","NO DEF"))))))))))))))))</f>
        <v>Chica 3</v>
      </c>
      <c r="Z67" s="428" t="str">
        <f t="shared" ref="Z67:Z69" si="306">IF(E67="A","Alta",IF(E67="M","Media","Baja"))</f>
        <v>Baja</v>
      </c>
      <c r="AA67" s="428" t="str">
        <f t="shared" ref="AA67:AA69" si="307">IF(E67="A","Alta",IF(E67="M","Media","Baja"))</f>
        <v>Baja</v>
      </c>
      <c r="AB67" s="428" t="str">
        <f t="shared" ref="AB67:AB69" si="308">IF(F67="A","Alta",IF(F67="M","Media","Baja"))</f>
        <v>Baja</v>
      </c>
      <c r="AC67" s="428" t="str">
        <f t="shared" ref="AC67:AC69" si="309">IF(F67="A","Alta",IF(F67="M","Media","Baja"))</f>
        <v>Baja</v>
      </c>
      <c r="AD67" s="428" t="str">
        <f t="shared" ref="AD67:AD69" si="310">IF(G67="A","Alta",IF(G67="M","Media","Baja"))</f>
        <v>Baja</v>
      </c>
      <c r="AE67" s="428" t="str">
        <f t="shared" ref="AE67:AE69" si="311">IF(G67="A","Alta",IF(G67="M","Media","Baja"))</f>
        <v>Baja</v>
      </c>
      <c r="AF67" s="428" t="str">
        <f t="shared" ref="AF67:AF69" si="312">IF(H67="A","Alta",IF(H67="M","Media","Baja"))</f>
        <v>Baja</v>
      </c>
      <c r="AG67" s="428" t="str">
        <f t="shared" ref="AG67:AG69" si="313">IF(I67="A","Alta",IF(I67="M","Media","Baja"))</f>
        <v>Baja</v>
      </c>
      <c r="AH67" s="427"/>
      <c r="AI67" s="429">
        <f>IF(Y67=Modelo!$F$7,Modelo!$H$7,IF(Y67=Modelo!$F$8,Modelo!$H$8,IF(Y67=Modelo!$F$9,Modelo!$H$9,IF(Y67=Modelo!$F$10,Modelo!$H$10,IF(Y67=Modelo!$F$11,Modelo!$H$11,IF(Y67=Modelo!$F$12,Modelo!$H$12,IF(Y67=Modelo!$F$13,Modelo!$H$13,IF(Y67=Modelo!$F$14,Modelo!$H$14,IF(Y67=Modelo!$F$15,Modelo!$H$15,IF(Y67=Modelo!$F$16,Modelo!$H$16,IF(Y67=Modelo!$F$17,Modelo!$H$17,IF(Y67=Modelo!$F$18,Modelo!$H$18,IF(Y67=Modelo!$F$19,Modelo!$H$19,IF(Y67=Modelo!$F$20,Modelo!$H$20,IF(Y67=Modelo!$F$21,Modelo!$H$21,IF(Y67=Modelo!$F$22,Modelo!$H$22,0))))))))))))))))</f>
        <v>0.9</v>
      </c>
      <c r="AJ67" s="429">
        <f>IF(Y67=Modelo!$F$7,Modelo!$I$7,IF(Y67=Modelo!$F$8,Modelo!$I$8,IF(Y67=Modelo!$F$9,Modelo!$I$9,IF(Y67=Modelo!$F$10,Modelo!$I$10,IF(Y67=Modelo!$F$11,Modelo!$I$11,IF(Y67=Modelo!$F$12,Modelo!$I$12,IF(Y67=Modelo!$F$13,Modelo!$I$13,IF(Y67=Modelo!$F$14,Modelo!$I$14,IF(Y67=Modelo!$F$15,Modelo!$I$15,IF(Y67=Modelo!$F$16,Modelo!$I$16,IF(Y67=Modelo!$F$17,Modelo!$I$17,IF(Y67=Modelo!$F$18,Modelo!$I$18,IF(Y67=Modelo!$F$19,Modelo!$I$19,IF(Y67=Modelo!$F$20,Modelo!$I$20,IF(Y67=Modelo!$F$21,Modelo!$I$21,IF(Y67=Modelo!$F$22,Modelo!$I$22,0))))))))))))))))</f>
        <v>0.3</v>
      </c>
      <c r="AK67" s="429">
        <f>IF(Z67=Modelo!$F$23,Modelo!$H$23,IF(Z67=Modelo!$F$24,Modelo!$H$24,IF(Z67=Modelo!$F$25,Modelo!$H$25,0)))</f>
        <v>1</v>
      </c>
      <c r="AL67" s="429">
        <f>IF(AA67=Modelo!$F$26,Modelo!$H$26,IF(AA67=Modelo!$F$27,Modelo!$H$27,IF(AA67=Modelo!$F$28,Modelo!$H$28,0)))</f>
        <v>0.1</v>
      </c>
      <c r="AM67" s="429">
        <f>IF(AB67=Modelo!$F$30,Modelo!$H$30,IF(AB67=Modelo!$F$31,Modelo!$H$31,IF(AB67=Modelo!$F$32,Modelo!$H$32,0)))</f>
        <v>0.8</v>
      </c>
      <c r="AN67" s="429">
        <f>IF(AC67=Modelo!$F$33,Modelo!$H$33,IF(AC67=Modelo!$F$34,Modelo!$H$34,IF(AC67=Modelo!$F$35,Modelo!$H$35,0)))</f>
        <v>0.3</v>
      </c>
      <c r="AO67" s="429">
        <f>IF(AD67=Modelo!$F$37,Modelo!$H$37,IF(AD67=Modelo!$F$38,Modelo!$H$38,IF(AD67=Modelo!$F$39,Modelo!$H$39,0)))</f>
        <v>0.8</v>
      </c>
      <c r="AP67" s="429">
        <f>IF(AE67=Modelo!$F$40,Modelo!$H$40,IF(AE67=Modelo!$F$41,Modelo!$H$41,IF(AE67=Modelo!$F$42,Modelo!$H$42,0)))</f>
        <v>0.4</v>
      </c>
      <c r="AQ67" s="428">
        <f>IF(C67=Modelo!$F$44,Modelo!$H$44,IF(C67=Modelo!$F$45,Modelo!$H$45,IF(C67=Modelo!$F$46,Modelo!$H$46,IF(C67=Modelo!$F$47,Modelo!$H$47,IF(C67=Modelo!$F$48,Modelo!$H$48,IF(C67=Modelo!$F$49,Modelo!$H$49,IF(C67=Modelo!$F$50,Modelo!$H$50,IF(C67=Modelo!$F$51,Modelo!$H$51,IF(C67=Modelo!$F$52,Modelo!$H$52,IF(C67=Modelo!$F$53,Modelo!$H$53,0))))))))))</f>
        <v>1.4</v>
      </c>
      <c r="AR67" s="429">
        <f>IF(AF67=Modelo!$F$54,Modelo!$H$54,IF(AF67=Modelo!$F$55,Modelo!$H$55,IF(AF67=Modelo!$F$56,Modelo!$H$56,0)))</f>
        <v>1</v>
      </c>
      <c r="AS67" s="429">
        <f>IF(AG67=Modelo!$F$58,Modelo!$H$58,IF(AG67=Modelo!$F$59,Modelo!$H$59,IF(AG67=Modelo!$F$60,Modelo!$H$60,0)))</f>
        <v>0.9</v>
      </c>
      <c r="AT67" s="427"/>
      <c r="AU67" s="431">
        <f>Modelo!$H$2</f>
        <v>0.05</v>
      </c>
      <c r="AV67" s="432">
        <f>ROUNDUP(Modelo!$I$2*Modelo!$H$3*Modelo!$I$75,2)</f>
        <v>0.02</v>
      </c>
      <c r="AW67" s="433">
        <f>ROUNDUP(Modelo!$I$2*Modelo!$H$3*Modelo!$H$4*Modelo!$I$75,3)</f>
        <v>3.0000000000000001E-3</v>
      </c>
      <c r="AX67" s="431">
        <f>Modelo!$H$5</f>
        <v>0.04</v>
      </c>
      <c r="AY67" s="431">
        <f>ROUNDUP(SUM(AZ67,BB67,BD67,BF67)*Modelo!$H$6,1)</f>
        <v>1.2000000000000002</v>
      </c>
      <c r="AZ67" s="431">
        <f>ROUNDUP((AI67*AK67+0.1)*Modelo!$I$75,1)</f>
        <v>1</v>
      </c>
      <c r="BA67" s="431">
        <f>ROUNDUP(AJ67*AK67*AL67*Modelo!$I$75,1)</f>
        <v>0.1</v>
      </c>
      <c r="BB67" s="431">
        <f>ROUNDUP(V67*Modelo!$H$29*AM67*Modelo!$I$75*2/3,1)</f>
        <v>1.6</v>
      </c>
      <c r="BC67" s="431">
        <f>ROUNDUP(V67*Modelo!$H$29*AM67*AN67*Modelo!$I$75*2/3,1)</f>
        <v>0.5</v>
      </c>
      <c r="BD67" s="431">
        <f>ROUNDUP(V67*Modelo!$H$29*AM67*Modelo!$I$75/3,1)</f>
        <v>0.8</v>
      </c>
      <c r="BE67" s="431">
        <f>ROUNDUP(V67*Modelo!$H$29*AM67*AN67*Modelo!$I$75/3,1)</f>
        <v>0.30000000000000004</v>
      </c>
      <c r="BF67" s="431">
        <f>ROUNDUP(W67*Modelo!$H$36*AO67*Modelo!$I$75,1)</f>
        <v>0</v>
      </c>
      <c r="BG67" s="431">
        <f>ROUNDUP(W67*Modelo!$H$36*AO67*AP67*Modelo!$I$75,1)</f>
        <v>0</v>
      </c>
      <c r="BH67" s="431">
        <f>Modelo!$H$43</f>
        <v>0.04</v>
      </c>
      <c r="BI67" s="431">
        <f>ROUNDUP(SUM(ROUNDUP(AI67*AK67+0.1,1),ROUNDUP(V67*Modelo!$H$29*AM67,1),ROUNDUP(W67*Modelo!$H$36*AO67,1))*AR67*AQ67*Modelo!$I$75,1)</f>
        <v>4.8</v>
      </c>
      <c r="BJ67" s="431">
        <f t="shared" ref="BJ67:BJ69" si="314">IF(K$31="x",0, BI67*0.1*1.25)</f>
        <v>0</v>
      </c>
      <c r="BK67" s="431">
        <f t="shared" ref="BK67:BK69" si="315">IF(Q67="x",(BI67)*0.1,0)</f>
        <v>0</v>
      </c>
      <c r="BL67" s="431">
        <f t="shared" ref="BL67:BL69" si="316">IF(R67="x",(BI67)*0.12,0)</f>
        <v>0</v>
      </c>
      <c r="BM67" s="431">
        <f t="shared" ref="BM67:BM69" si="317">IF(S67="x",(BI67)*0.12,0)*4</f>
        <v>0</v>
      </c>
      <c r="BN67" s="431">
        <f>ROUNDUP(SUM(ROUNDUP(AI67*AK67+0.1,1),ROUNDUP(V67*Modelo!$H$29*AM67,1),ROUNDUP(W67*Modelo!$H$36*AO67,1))*AQ67*AS67*Modelo!$H$57,1)</f>
        <v>2</v>
      </c>
      <c r="BO67" s="431">
        <f t="shared" ref="BO67:BO69" si="318">BI67*0.1
+IF(K$15="x",0,BI67*0.05)
+IF(K$27="x",0,BI67*0.2)
+IF(K$28="x",0,BI67*0.5)
+IF(OR(K$29="x",K$30="x"),0,BI67*0.05)
+IF(K$31="x",0,BI67*0.3)
+IF(Q67="x",0,BI67*0.5)
+IF(OR(R67="x",S67="x"),0,BI67*0.15)</f>
        <v>4.5599999999999996</v>
      </c>
      <c r="BP67" s="431">
        <f>Modelo!$H$61</f>
        <v>0.04</v>
      </c>
      <c r="BQ67" s="431">
        <f>ROUNDUP(SUM(ROUNDUP(AI67*AK67+0.1,1),ROUNDUP(V67*Modelo!$H$29*AM67,1),ROUNDUP(W67*Modelo!$H$36*AO67,1))*Modelo!$H$62*Modelo!$I$75,1)</f>
        <v>0.30000000000000004</v>
      </c>
      <c r="BR67" s="431">
        <f>ROUNDUP(ROUNDUP(SUM(ROUNDUP(AI67*AK67+0.1,1),ROUNDUP(V67*Modelo!$H$29*AM67,1),ROUNDUP(W67*Modelo!$H$36*AO67,1))*Modelo!$H$62,1)*Modelo!$H$63*Modelo!$I$75,1)</f>
        <v>0.1</v>
      </c>
      <c r="BS67" s="431">
        <f>SUM(ROUNDUP(AI67*AK67+0.1,1),ROUNDUP(V67*Modelo!$H$29*AM67,1),ROUNDUP(W67*Modelo!$H$36*AO67,1))*Modelo!$H$64*Modelo!$I$75</f>
        <v>0.68</v>
      </c>
      <c r="BT67" s="431">
        <f>ROUNDUP(SUM(ROUNDUP(AI67*AK67+0.1,1),ROUNDUP(V67*Modelo!$H$29*AM67,1),ROUNDUP(W67*Modelo!$H$36*AO67,1))*Modelo!$H$64*Modelo!$H$65*Modelo!$I$75,1)</f>
        <v>0.4</v>
      </c>
      <c r="BU67" s="431">
        <f>Modelo!$H$66</f>
        <v>0.04</v>
      </c>
      <c r="BV67" s="431">
        <f>ROUNDUP(SUM(ROUNDUP(AI67*AK67+0.1,1),ROUNDUP(V67*Modelo!$H$29*AM67,1),ROUNDUP(W67*Modelo!$H$36*AO67,1))*Modelo!$H$69,1)</f>
        <v>0.79999999999999993</v>
      </c>
      <c r="BW67" s="431">
        <f>ROUNDUP(ROUNDUP(SUM(ROUNDUP(AI67*AK67+0.1,1),ROUNDUP(V67*Modelo!$H$29*AM67,1),ROUNDUP(W67*Modelo!$H$36*AO67,1))*Modelo!$H$62,1)*Modelo!$H$71,1)</f>
        <v>0.6</v>
      </c>
      <c r="BX67" s="430">
        <f t="shared" ref="BX67:BX69" si="319">SUM(AU67:BW67)</f>
        <v>19.972999999999999</v>
      </c>
      <c r="BZ67" s="426">
        <f t="shared" ref="BZ67:BZ69" si="320">CA67*0.85</f>
        <v>5.7799999999999994</v>
      </c>
      <c r="CA67" s="425">
        <f t="shared" ref="CA67:CA69" si="321">O67</f>
        <v>6.8</v>
      </c>
      <c r="CB67" s="426">
        <f t="shared" ref="CB67:CB69" si="322">IF(CA67=0,1,CA67*1.4)</f>
        <v>9.52</v>
      </c>
      <c r="CD67" s="420">
        <v>0</v>
      </c>
      <c r="CF67" s="426">
        <f t="shared" ref="CF67:CF69" si="323">IF(CC67&lt;&gt;"",CC67,CD67)</f>
        <v>0</v>
      </c>
    </row>
    <row r="68" spans="3:84" s="426" customFormat="1" ht="64.5" thickBot="1" x14ac:dyDescent="0.25">
      <c r="C68" s="461" t="s">
        <v>94</v>
      </c>
      <c r="D68" s="440" t="s">
        <v>18</v>
      </c>
      <c r="E68" s="440" t="str">
        <f t="shared" si="297"/>
        <v>B</v>
      </c>
      <c r="F68" s="440" t="s">
        <v>459</v>
      </c>
      <c r="G68" s="440" t="s">
        <v>459</v>
      </c>
      <c r="H68" s="440" t="str">
        <f t="shared" si="298"/>
        <v>B</v>
      </c>
      <c r="I68" s="440" t="str">
        <f t="shared" si="299"/>
        <v>B</v>
      </c>
      <c r="J68" s="437">
        <f t="shared" si="300"/>
        <v>2</v>
      </c>
      <c r="K68" s="436" t="str">
        <f t="shared" si="301"/>
        <v>Chica 3</v>
      </c>
      <c r="L68" s="161" t="s">
        <v>586</v>
      </c>
      <c r="M68" s="434">
        <f t="shared" si="302"/>
        <v>4.5</v>
      </c>
      <c r="N68" s="434">
        <f t="shared" si="303"/>
        <v>1.8</v>
      </c>
      <c r="O68" s="442">
        <f t="shared" si="304"/>
        <v>6.3</v>
      </c>
      <c r="Q68" s="408"/>
      <c r="R68" s="408"/>
      <c r="S68" s="408"/>
      <c r="T68" s="425"/>
      <c r="U68" s="441">
        <v>15</v>
      </c>
      <c r="V68" s="441">
        <v>2</v>
      </c>
      <c r="W68" s="441">
        <v>0</v>
      </c>
      <c r="X68" s="438"/>
      <c r="Y68" s="428" t="str">
        <f t="shared" si="305"/>
        <v>Chica 3</v>
      </c>
      <c r="Z68" s="428" t="str">
        <f t="shared" si="306"/>
        <v>Baja</v>
      </c>
      <c r="AA68" s="428" t="str">
        <f t="shared" si="307"/>
        <v>Baja</v>
      </c>
      <c r="AB68" s="428" t="str">
        <f t="shared" si="308"/>
        <v>Baja</v>
      </c>
      <c r="AC68" s="428" t="str">
        <f t="shared" si="309"/>
        <v>Baja</v>
      </c>
      <c r="AD68" s="428" t="str">
        <f t="shared" si="310"/>
        <v>Baja</v>
      </c>
      <c r="AE68" s="428" t="str">
        <f t="shared" si="311"/>
        <v>Baja</v>
      </c>
      <c r="AF68" s="428" t="str">
        <f t="shared" si="312"/>
        <v>Baja</v>
      </c>
      <c r="AG68" s="428" t="str">
        <f t="shared" si="313"/>
        <v>Baja</v>
      </c>
      <c r="AH68" s="427"/>
      <c r="AI68" s="429">
        <f>IF(Y68=Modelo!$F$7,Modelo!$H$7,IF(Y68=Modelo!$F$8,Modelo!$H$8,IF(Y68=Modelo!$F$9,Modelo!$H$9,IF(Y68=Modelo!$F$10,Modelo!$H$10,IF(Y68=Modelo!$F$11,Modelo!$H$11,IF(Y68=Modelo!$F$12,Modelo!$H$12,IF(Y68=Modelo!$F$13,Modelo!$H$13,IF(Y68=Modelo!$F$14,Modelo!$H$14,IF(Y68=Modelo!$F$15,Modelo!$H$15,IF(Y68=Modelo!$F$16,Modelo!$H$16,IF(Y68=Modelo!$F$17,Modelo!$H$17,IF(Y68=Modelo!$F$18,Modelo!$H$18,IF(Y68=Modelo!$F$19,Modelo!$H$19,IF(Y68=Modelo!$F$20,Modelo!$H$20,IF(Y68=Modelo!$F$21,Modelo!$H$21,IF(Y68=Modelo!$F$22,Modelo!$H$22,0))))))))))))))))</f>
        <v>0.9</v>
      </c>
      <c r="AJ68" s="429">
        <f>IF(Y68=Modelo!$F$7,Modelo!$I$7,IF(Y68=Modelo!$F$8,Modelo!$I$8,IF(Y68=Modelo!$F$9,Modelo!$I$9,IF(Y68=Modelo!$F$10,Modelo!$I$10,IF(Y68=Modelo!$F$11,Modelo!$I$11,IF(Y68=Modelo!$F$12,Modelo!$I$12,IF(Y68=Modelo!$F$13,Modelo!$I$13,IF(Y68=Modelo!$F$14,Modelo!$I$14,IF(Y68=Modelo!$F$15,Modelo!$I$15,IF(Y68=Modelo!$F$16,Modelo!$I$16,IF(Y68=Modelo!$F$17,Modelo!$I$17,IF(Y68=Modelo!$F$18,Modelo!$I$18,IF(Y68=Modelo!$F$19,Modelo!$I$19,IF(Y68=Modelo!$F$20,Modelo!$I$20,IF(Y68=Modelo!$F$21,Modelo!$I$21,IF(Y68=Modelo!$F$22,Modelo!$I$22,0))))))))))))))))</f>
        <v>0.3</v>
      </c>
      <c r="AK68" s="429">
        <f>IF(Z68=Modelo!$F$23,Modelo!$H$23,IF(Z68=Modelo!$F$24,Modelo!$H$24,IF(Z68=Modelo!$F$25,Modelo!$H$25,0)))</f>
        <v>1</v>
      </c>
      <c r="AL68" s="429">
        <f>IF(AA68=Modelo!$F$26,Modelo!$H$26,IF(AA68=Modelo!$F$27,Modelo!$H$27,IF(AA68=Modelo!$F$28,Modelo!$H$28,0)))</f>
        <v>0.1</v>
      </c>
      <c r="AM68" s="429">
        <f>IF(AB68=Modelo!$F$30,Modelo!$H$30,IF(AB68=Modelo!$F$31,Modelo!$H$31,IF(AB68=Modelo!$F$32,Modelo!$H$32,0)))</f>
        <v>0.8</v>
      </c>
      <c r="AN68" s="429">
        <f>IF(AC68=Modelo!$F$33,Modelo!$H$33,IF(AC68=Modelo!$F$34,Modelo!$H$34,IF(AC68=Modelo!$F$35,Modelo!$H$35,0)))</f>
        <v>0.3</v>
      </c>
      <c r="AO68" s="429">
        <f>IF(AD68=Modelo!$F$37,Modelo!$H$37,IF(AD68=Modelo!$F$38,Modelo!$H$38,IF(AD68=Modelo!$F$39,Modelo!$H$39,0)))</f>
        <v>0.8</v>
      </c>
      <c r="AP68" s="429">
        <f>IF(AE68=Modelo!$F$40,Modelo!$H$40,IF(AE68=Modelo!$F$41,Modelo!$H$41,IF(AE68=Modelo!$F$42,Modelo!$H$42,0)))</f>
        <v>0.4</v>
      </c>
      <c r="AQ68" s="428">
        <f>IF(C68=Modelo!$F$44,Modelo!$H$44,IF(C68=Modelo!$F$45,Modelo!$H$45,IF(C68=Modelo!$F$46,Modelo!$H$46,IF(C68=Modelo!$F$47,Modelo!$H$47,IF(C68=Modelo!$F$48,Modelo!$H$48,IF(C68=Modelo!$F$49,Modelo!$H$49,IF(C68=Modelo!$F$50,Modelo!$H$50,IF(C68=Modelo!$F$51,Modelo!$H$51,IF(C68=Modelo!$F$52,Modelo!$H$52,IF(C68=Modelo!$F$53,Modelo!$H$53,0))))))))))</f>
        <v>1.7</v>
      </c>
      <c r="AR68" s="429">
        <f>IF(AF68=Modelo!$F$54,Modelo!$H$54,IF(AF68=Modelo!$F$55,Modelo!$H$55,IF(AF68=Modelo!$F$56,Modelo!$H$56,0)))</f>
        <v>1</v>
      </c>
      <c r="AS68" s="429">
        <f>IF(AG68=Modelo!$F$58,Modelo!$H$58,IF(AG68=Modelo!$F$59,Modelo!$H$59,IF(AG68=Modelo!$F$60,Modelo!$H$60,0)))</f>
        <v>0.9</v>
      </c>
      <c r="AT68" s="427"/>
      <c r="AU68" s="431">
        <f>Modelo!$H$2</f>
        <v>0.05</v>
      </c>
      <c r="AV68" s="432">
        <f>ROUNDUP(Modelo!$I$2*Modelo!$H$3*Modelo!$I$75,2)</f>
        <v>0.02</v>
      </c>
      <c r="AW68" s="433">
        <f>ROUNDUP(Modelo!$I$2*Modelo!$H$3*Modelo!$H$4*Modelo!$I$75,3)</f>
        <v>3.0000000000000001E-3</v>
      </c>
      <c r="AX68" s="431">
        <f>Modelo!$H$5</f>
        <v>0.04</v>
      </c>
      <c r="AY68" s="431">
        <f>ROUNDUP(SUM(AZ68,BB68,BD68,BF68)*Modelo!$H$6,1)</f>
        <v>0.9</v>
      </c>
      <c r="AZ68" s="431">
        <f>ROUNDUP((AI68*AK68+0.1)*Modelo!$I$75,1)</f>
        <v>1</v>
      </c>
      <c r="BA68" s="431">
        <f>ROUNDUP(AJ68*AK68*AL68*Modelo!$I$75,1)</f>
        <v>0.1</v>
      </c>
      <c r="BB68" s="431">
        <f>ROUNDUP(V68*Modelo!$H$29*AM68*Modelo!$I$75*2/3,1)</f>
        <v>1.1000000000000001</v>
      </c>
      <c r="BC68" s="431">
        <f>ROUNDUP(V68*Modelo!$H$29*AM68*AN68*Modelo!$I$75*2/3,1)</f>
        <v>0.4</v>
      </c>
      <c r="BD68" s="431">
        <f>ROUNDUP(V68*Modelo!$H$29*AM68*Modelo!$I$75/3,1)</f>
        <v>0.6</v>
      </c>
      <c r="BE68" s="431">
        <f>ROUNDUP(V68*Modelo!$H$29*AM68*AN68*Modelo!$I$75/3,1)</f>
        <v>0.2</v>
      </c>
      <c r="BF68" s="431">
        <f>ROUNDUP(W68*Modelo!$H$36*AO68*Modelo!$I$75,1)</f>
        <v>0</v>
      </c>
      <c r="BG68" s="431">
        <f>ROUNDUP(W68*Modelo!$H$36*AO68*AP68*Modelo!$I$75,1)</f>
        <v>0</v>
      </c>
      <c r="BH68" s="431">
        <f>Modelo!$H$43</f>
        <v>0.04</v>
      </c>
      <c r="BI68" s="431">
        <f>ROUNDUP(SUM(ROUNDUP(AI68*AK68+0.1,1),ROUNDUP(V68*Modelo!$H$29*AM68,1),ROUNDUP(W68*Modelo!$H$36*AO68,1))*AR68*AQ68*Modelo!$I$75,1)</f>
        <v>4.5</v>
      </c>
      <c r="BJ68" s="431">
        <f t="shared" si="314"/>
        <v>0</v>
      </c>
      <c r="BK68" s="431">
        <f t="shared" si="315"/>
        <v>0</v>
      </c>
      <c r="BL68" s="431">
        <f t="shared" si="316"/>
        <v>0</v>
      </c>
      <c r="BM68" s="431">
        <f t="shared" si="317"/>
        <v>0</v>
      </c>
      <c r="BN68" s="431">
        <f>ROUNDUP(SUM(ROUNDUP(AI68*AK68+0.1,1),ROUNDUP(V68*Modelo!$H$29*AM68,1),ROUNDUP(W68*Modelo!$H$36*AO68,1))*AQ68*AS68*Modelo!$H$57,1)</f>
        <v>1.8</v>
      </c>
      <c r="BO68" s="431">
        <f t="shared" si="318"/>
        <v>4.2750000000000004</v>
      </c>
      <c r="BP68" s="431">
        <f>Modelo!$H$61</f>
        <v>0.04</v>
      </c>
      <c r="BQ68" s="431">
        <f>ROUNDUP(SUM(ROUNDUP(AI68*AK68+0.1,1),ROUNDUP(V68*Modelo!$H$29*AM68,1),ROUNDUP(W68*Modelo!$H$36*AO68,1))*Modelo!$H$62*Modelo!$I$75,1)</f>
        <v>0.2</v>
      </c>
      <c r="BR68" s="431">
        <f>ROUNDUP(ROUNDUP(SUM(ROUNDUP(AI68*AK68+0.1,1),ROUNDUP(V68*Modelo!$H$29*AM68,1),ROUNDUP(W68*Modelo!$H$36*AO68,1))*Modelo!$H$62,1)*Modelo!$H$63*Modelo!$I$75,1)</f>
        <v>0.1</v>
      </c>
      <c r="BS68" s="431">
        <f>SUM(ROUNDUP(AI68*AK68+0.1,1),ROUNDUP(V68*Modelo!$H$29*AM68,1),ROUNDUP(W68*Modelo!$H$36*AO68,1))*Modelo!$H$64*Modelo!$I$75</f>
        <v>0.52</v>
      </c>
      <c r="BT68" s="431">
        <f>ROUNDUP(SUM(ROUNDUP(AI68*AK68+0.1,1),ROUNDUP(V68*Modelo!$H$29*AM68,1),ROUNDUP(W68*Modelo!$H$36*AO68,1))*Modelo!$H$64*Modelo!$H$65*Modelo!$I$75,1)</f>
        <v>0.30000000000000004</v>
      </c>
      <c r="BU68" s="431">
        <f>Modelo!$H$66</f>
        <v>0.04</v>
      </c>
      <c r="BV68" s="431">
        <f>ROUNDUP(SUM(ROUNDUP(AI68*AK68+0.1,1),ROUNDUP(V68*Modelo!$H$29*AM68,1),ROUNDUP(W68*Modelo!$H$36*AO68,1))*Modelo!$H$69,1)</f>
        <v>0.6</v>
      </c>
      <c r="BW68" s="431">
        <f>ROUNDUP(ROUNDUP(SUM(ROUNDUP(AI68*AK68+0.1,1),ROUNDUP(V68*Modelo!$H$29*AM68,1),ROUNDUP(W68*Modelo!$H$36*AO68,1))*Modelo!$H$62,1)*Modelo!$H$71,1)</f>
        <v>0.4</v>
      </c>
      <c r="BX68" s="430">
        <f t="shared" si="319"/>
        <v>17.227999999999998</v>
      </c>
      <c r="BZ68" s="426">
        <f t="shared" si="320"/>
        <v>5.3549999999999995</v>
      </c>
      <c r="CA68" s="425">
        <f t="shared" si="321"/>
        <v>6.3</v>
      </c>
      <c r="CB68" s="426">
        <f t="shared" si="322"/>
        <v>8.8199999999999985</v>
      </c>
      <c r="CD68" s="420">
        <v>0</v>
      </c>
      <c r="CF68" s="426">
        <f t="shared" si="323"/>
        <v>0</v>
      </c>
    </row>
    <row r="69" spans="3:84" s="426" customFormat="1" ht="15.75" thickBot="1" x14ac:dyDescent="0.25">
      <c r="C69" s="461" t="s">
        <v>106</v>
      </c>
      <c r="D69" s="440" t="s">
        <v>18</v>
      </c>
      <c r="E69" s="440" t="str">
        <f t="shared" si="297"/>
        <v>B</v>
      </c>
      <c r="F69" s="440" t="s">
        <v>459</v>
      </c>
      <c r="G69" s="440" t="s">
        <v>459</v>
      </c>
      <c r="H69" s="440" t="str">
        <f t="shared" si="298"/>
        <v>B</v>
      </c>
      <c r="I69" s="440" t="str">
        <f t="shared" si="299"/>
        <v>B</v>
      </c>
      <c r="J69" s="437">
        <f t="shared" si="300"/>
        <v>1</v>
      </c>
      <c r="K69" s="436" t="str">
        <f t="shared" si="301"/>
        <v>Chica 1</v>
      </c>
      <c r="L69" s="447" t="s">
        <v>587</v>
      </c>
      <c r="M69" s="434">
        <f t="shared" si="302"/>
        <v>3</v>
      </c>
      <c r="N69" s="434">
        <f>BN69</f>
        <v>1.3</v>
      </c>
      <c r="O69" s="442">
        <f t="shared" si="304"/>
        <v>4.3</v>
      </c>
      <c r="Q69" s="408"/>
      <c r="R69" s="408"/>
      <c r="S69" s="408"/>
      <c r="U69" s="441">
        <v>6</v>
      </c>
      <c r="V69" s="441">
        <v>1</v>
      </c>
      <c r="W69" s="441">
        <v>0</v>
      </c>
      <c r="X69" s="438"/>
      <c r="Y69" s="428" t="str">
        <f t="shared" si="305"/>
        <v>Chica 1</v>
      </c>
      <c r="Z69" s="428" t="str">
        <f t="shared" si="306"/>
        <v>Baja</v>
      </c>
      <c r="AA69" s="428" t="str">
        <f t="shared" si="307"/>
        <v>Baja</v>
      </c>
      <c r="AB69" s="428" t="str">
        <f t="shared" si="308"/>
        <v>Baja</v>
      </c>
      <c r="AC69" s="428" t="str">
        <f t="shared" si="309"/>
        <v>Baja</v>
      </c>
      <c r="AD69" s="428" t="str">
        <f t="shared" si="310"/>
        <v>Baja</v>
      </c>
      <c r="AE69" s="428" t="str">
        <f t="shared" si="311"/>
        <v>Baja</v>
      </c>
      <c r="AF69" s="428" t="str">
        <f t="shared" si="312"/>
        <v>Baja</v>
      </c>
      <c r="AG69" s="428" t="str">
        <f t="shared" si="313"/>
        <v>Baja</v>
      </c>
      <c r="AH69" s="427"/>
      <c r="AI69" s="429">
        <f>IF(Y69=Modelo!$F$7,Modelo!$H$7,IF(Y69=Modelo!$F$8,Modelo!$H$8,IF(Y69=Modelo!$F$9,Modelo!$H$9,IF(Y69=Modelo!$F$10,Modelo!$H$10,IF(Y69=Modelo!$F$11,Modelo!$H$11,IF(Y69=Modelo!$F$12,Modelo!$H$12,IF(Y69=Modelo!$F$13,Modelo!$H$13,IF(Y69=Modelo!$F$14,Modelo!$H$14,IF(Y69=Modelo!$F$15,Modelo!$H$15,IF(Y69=Modelo!$F$16,Modelo!$H$16,IF(Y69=Modelo!$F$17,Modelo!$H$17,IF(Y69=Modelo!$F$18,Modelo!$H$18,IF(Y69=Modelo!$F$19,Modelo!$H$19,IF(Y69=Modelo!$F$20,Modelo!$H$20,IF(Y69=Modelo!$F$21,Modelo!$H$21,IF(Y69=Modelo!$F$22,Modelo!$H$22,0))))))))))))))))</f>
        <v>0.30000000000000004</v>
      </c>
      <c r="AJ69" s="429">
        <f>IF(Y69=Modelo!$F$7,Modelo!$I$7,IF(Y69=Modelo!$F$8,Modelo!$I$8,IF(Y69=Modelo!$F$9,Modelo!$I$9,IF(Y69=Modelo!$F$10,Modelo!$I$10,IF(Y69=Modelo!$F$11,Modelo!$I$11,IF(Y69=Modelo!$F$12,Modelo!$I$12,IF(Y69=Modelo!$F$13,Modelo!$I$13,IF(Y69=Modelo!$F$14,Modelo!$I$14,IF(Y69=Modelo!$F$15,Modelo!$I$15,IF(Y69=Modelo!$F$16,Modelo!$I$16,IF(Y69=Modelo!$F$17,Modelo!$I$17,IF(Y69=Modelo!$F$18,Modelo!$I$18,IF(Y69=Modelo!$F$19,Modelo!$I$19,IF(Y69=Modelo!$F$20,Modelo!$I$20,IF(Y69=Modelo!$F$21,Modelo!$I$21,IF(Y69=Modelo!$F$22,Modelo!$I$22,0))))))))))))))))</f>
        <v>0.1</v>
      </c>
      <c r="AK69" s="429">
        <f>IF(Z69=Modelo!$F$23,Modelo!$H$23,IF(Z69=Modelo!$F$24,Modelo!$H$24,IF(Z69=Modelo!$F$25,Modelo!$H$25,0)))</f>
        <v>1</v>
      </c>
      <c r="AL69" s="429">
        <f>IF(AA69=Modelo!$F$26,Modelo!$H$26,IF(AA69=Modelo!$F$27,Modelo!$H$27,IF(AA69=Modelo!$F$28,Modelo!$H$28,0)))</f>
        <v>0.1</v>
      </c>
      <c r="AM69" s="429">
        <f>IF(AB69=Modelo!$F$30,Modelo!$H$30,IF(AB69=Modelo!$F$31,Modelo!$H$31,IF(AB69=Modelo!$F$32,Modelo!$H$32,0)))</f>
        <v>0.8</v>
      </c>
      <c r="AN69" s="429">
        <f>IF(AC69=Modelo!$F$33,Modelo!$H$33,IF(AC69=Modelo!$F$34,Modelo!$H$34,IF(AC69=Modelo!$F$35,Modelo!$H$35,0)))</f>
        <v>0.3</v>
      </c>
      <c r="AO69" s="429">
        <f>IF(AD69=Modelo!$F$37,Modelo!$H$37,IF(AD69=Modelo!$F$38,Modelo!$H$38,IF(AD69=Modelo!$F$39,Modelo!$H$39,0)))</f>
        <v>0.8</v>
      </c>
      <c r="AP69" s="429">
        <f>IF(AE69=Modelo!$F$40,Modelo!$H$40,IF(AE69=Modelo!$F$41,Modelo!$H$41,IF(AE69=Modelo!$F$42,Modelo!$H$42,0)))</f>
        <v>0.4</v>
      </c>
      <c r="AQ69" s="428">
        <f>IF(C69=Modelo!$F$44,Modelo!$H$44,IF(C69=Modelo!$F$45,Modelo!$H$45,IF(C69=Modelo!$F$46,Modelo!$H$46,IF(C69=Modelo!$F$47,Modelo!$H$47,IF(C69=Modelo!$F$48,Modelo!$H$48,IF(C69=Modelo!$F$49,Modelo!$H$49,IF(C69=Modelo!$F$50,Modelo!$H$50,IF(C69=Modelo!$F$51,Modelo!$H$51,IF(C69=Modelo!$F$52,Modelo!$H$52,IF(C69=Modelo!$F$53,Modelo!$H$53,0))))))))))</f>
        <v>2.5</v>
      </c>
      <c r="AR69" s="429">
        <f>IF(AF69=Modelo!$F$54,Modelo!$H$54,IF(AF69=Modelo!$F$55,Modelo!$H$55,IF(AF69=Modelo!$F$56,Modelo!$H$56,0)))</f>
        <v>1</v>
      </c>
      <c r="AS69" s="429">
        <f>IF(AG69=Modelo!$F$58,Modelo!$H$58,IF(AG69=Modelo!$F$59,Modelo!$H$59,IF(AG69=Modelo!$F$60,Modelo!$H$60,0)))</f>
        <v>0.9</v>
      </c>
      <c r="AT69" s="427"/>
      <c r="AU69" s="431">
        <f>Modelo!$H$2</f>
        <v>0.05</v>
      </c>
      <c r="AV69" s="432">
        <f>ROUNDUP(Modelo!$I$2*Modelo!$H$3*Modelo!$I$75,2)</f>
        <v>0.02</v>
      </c>
      <c r="AW69" s="433">
        <f>ROUNDUP(Modelo!$I$2*Modelo!$H$3*Modelo!$H$4*Modelo!$I$75,3)</f>
        <v>3.0000000000000001E-3</v>
      </c>
      <c r="AX69" s="431">
        <f>Modelo!$H$5</f>
        <v>0.04</v>
      </c>
      <c r="AY69" s="431">
        <f>ROUNDUP(SUM(AZ69,BB69,BD69,BF69)*Modelo!$H$6,1)</f>
        <v>0.5</v>
      </c>
      <c r="AZ69" s="431">
        <f>ROUNDUP((AI69*AK69+0.1)*Modelo!$I$75,1)</f>
        <v>0.4</v>
      </c>
      <c r="BA69" s="431">
        <f>ROUNDUP(AJ69*AK69*AL69*Modelo!$I$75,1)</f>
        <v>0.1</v>
      </c>
      <c r="BB69" s="431">
        <f>ROUNDUP(V69*Modelo!$H$29*AM69*Modelo!$I$75*2/3,1)</f>
        <v>0.6</v>
      </c>
      <c r="BC69" s="431">
        <f>ROUNDUP(V69*Modelo!$H$29*AM69*AN69*Modelo!$I$75*2/3,1)</f>
        <v>0.2</v>
      </c>
      <c r="BD69" s="431">
        <f>ROUNDUP(V69*Modelo!$H$29*AM69*Modelo!$I$75/3,1)</f>
        <v>0.30000000000000004</v>
      </c>
      <c r="BE69" s="431">
        <f>ROUNDUP(V69*Modelo!$H$29*AM69*AN69*Modelo!$I$75/3,1)</f>
        <v>0.1</v>
      </c>
      <c r="BF69" s="431">
        <f>ROUNDUP(W69*Modelo!$H$36*AO69*Modelo!$I$75,1)</f>
        <v>0</v>
      </c>
      <c r="BG69" s="431">
        <f>ROUNDUP(W69*Modelo!$H$36*AO69*AP69*Modelo!$I$75,1)</f>
        <v>0</v>
      </c>
      <c r="BH69" s="431">
        <f>Modelo!$H$43</f>
        <v>0.04</v>
      </c>
      <c r="BI69" s="431">
        <f>ROUNDUP(SUM(ROUNDUP(AI69*AK69+0.1,1),ROUNDUP(V69*Modelo!$H$29*AM69,1),ROUNDUP(W69*Modelo!$H$36*AO69,1))*AR69*AQ69*Modelo!$I$75,1)</f>
        <v>3</v>
      </c>
      <c r="BJ69" s="431">
        <f t="shared" si="314"/>
        <v>0</v>
      </c>
      <c r="BK69" s="431">
        <f t="shared" si="315"/>
        <v>0</v>
      </c>
      <c r="BL69" s="431">
        <f t="shared" si="316"/>
        <v>0</v>
      </c>
      <c r="BM69" s="431">
        <f t="shared" si="317"/>
        <v>0</v>
      </c>
      <c r="BN69" s="431">
        <f>ROUNDUP(SUM(ROUNDUP(AI69*AK69+0.1,1),ROUNDUP(V69*Modelo!$H$29*AM69,1),ROUNDUP(W69*Modelo!$H$36*AO69,1))*AQ69*AS69*Modelo!$H$57,1)</f>
        <v>1.3</v>
      </c>
      <c r="BO69" s="431">
        <f t="shared" si="318"/>
        <v>2.8500000000000005</v>
      </c>
      <c r="BP69" s="431">
        <f>Modelo!$H$61</f>
        <v>0.04</v>
      </c>
      <c r="BQ69" s="431">
        <f>ROUNDUP(SUM(ROUNDUP(AI69*AK69+0.1,1),ROUNDUP(V69*Modelo!$H$29*AM69,1),ROUNDUP(W69*Modelo!$H$36*AO69,1))*Modelo!$H$62*Modelo!$I$75,1)</f>
        <v>0.1</v>
      </c>
      <c r="BR69" s="431">
        <f>ROUNDUP(ROUNDUP(SUM(ROUNDUP(AI69*AK69+0.1,1),ROUNDUP(V69*Modelo!$H$29*AM69,1),ROUNDUP(W69*Modelo!$H$36*AO69,1))*Modelo!$H$62,1)*Modelo!$H$63*Modelo!$I$75,1)</f>
        <v>0.1</v>
      </c>
      <c r="BS69" s="431">
        <f>SUM(ROUNDUP(AI69*AK69+0.1,1),ROUNDUP(V69*Modelo!$H$29*AM69,1),ROUNDUP(W69*Modelo!$H$36*AO69,1))*Modelo!$H$64*Modelo!$I$75</f>
        <v>0.24000000000000005</v>
      </c>
      <c r="BT69" s="431">
        <f>ROUNDUP(SUM(ROUNDUP(AI69*AK69+0.1,1),ROUNDUP(V69*Modelo!$H$29*AM69,1),ROUNDUP(W69*Modelo!$H$36*AO69,1))*Modelo!$H$64*Modelo!$H$65*Modelo!$I$75,1)</f>
        <v>0.2</v>
      </c>
      <c r="BU69" s="431">
        <f>Modelo!$H$66</f>
        <v>0.04</v>
      </c>
      <c r="BV69" s="431">
        <f>ROUNDUP(SUM(ROUNDUP(AI69*AK69+0.1,1),ROUNDUP(V69*Modelo!$H$29*AM69,1),ROUNDUP(W69*Modelo!$H$36*AO69,1))*Modelo!$H$69,1)</f>
        <v>0.30000000000000004</v>
      </c>
      <c r="BW69" s="431">
        <f>ROUNDUP(ROUNDUP(SUM(ROUNDUP(AI69*AK69+0.1,1),ROUNDUP(V69*Modelo!$H$29*AM69,1),ROUNDUP(W69*Modelo!$H$36*AO69,1))*Modelo!$H$62,1)*Modelo!$H$71,1)</f>
        <v>0.2</v>
      </c>
      <c r="BX69" s="430">
        <f t="shared" si="319"/>
        <v>10.722999999999997</v>
      </c>
      <c r="BZ69" s="426">
        <f t="shared" si="320"/>
        <v>3.6549999999999998</v>
      </c>
      <c r="CA69" s="425">
        <f t="shared" si="321"/>
        <v>4.3</v>
      </c>
      <c r="CB69" s="426">
        <f t="shared" si="322"/>
        <v>6.02</v>
      </c>
      <c r="CD69" s="420">
        <v>0</v>
      </c>
      <c r="CF69" s="426">
        <f t="shared" si="323"/>
        <v>0</v>
      </c>
    </row>
    <row r="70" spans="3:84" s="426" customFormat="1" ht="64.5" thickBot="1" x14ac:dyDescent="0.25">
      <c r="C70" s="461" t="s">
        <v>94</v>
      </c>
      <c r="D70" s="440" t="s">
        <v>18</v>
      </c>
      <c r="E70" s="440" t="str">
        <f t="shared" ref="E70:E73" si="324">IF(U70&gt;50,"A",IF(U70&gt;15,"M","B"))</f>
        <v>B</v>
      </c>
      <c r="F70" s="440" t="s">
        <v>459</v>
      </c>
      <c r="G70" s="440" t="s">
        <v>459</v>
      </c>
      <c r="H70" s="440" t="str">
        <f t="shared" ref="H70:H73" si="325">IF(V70+W70&gt;20,"A",IF(V70+W70&gt;5,"M","B"))</f>
        <v>B</v>
      </c>
      <c r="I70" s="440" t="str">
        <f t="shared" ref="I70:I73" si="326">IF(V70+W70&gt;15,"A",IF(V70+W70&gt;4,"M","B"))</f>
        <v>B</v>
      </c>
      <c r="J70" s="437">
        <f t="shared" ref="J70:J73" si="327">V70+W70</f>
        <v>1</v>
      </c>
      <c r="K70" s="436" t="str">
        <f t="shared" ref="K70:K73" si="328">Y70</f>
        <v>Chica 3</v>
      </c>
      <c r="L70" s="161" t="s">
        <v>588</v>
      </c>
      <c r="M70" s="434">
        <f t="shared" ref="M70:M73" si="329">BI70+BJ70+BK70+BL70+BM70</f>
        <v>3.1</v>
      </c>
      <c r="N70" s="434">
        <f t="shared" ref="N70:N71" si="330">BN70</f>
        <v>1.3</v>
      </c>
      <c r="O70" s="442">
        <f t="shared" ref="O70:O73" si="331">SUM(M70,N70)</f>
        <v>4.4000000000000004</v>
      </c>
      <c r="Q70" s="408"/>
      <c r="R70" s="408"/>
      <c r="S70" s="408"/>
      <c r="T70" s="425"/>
      <c r="U70" s="441">
        <v>15</v>
      </c>
      <c r="V70" s="441">
        <v>1</v>
      </c>
      <c r="W70" s="441">
        <v>0</v>
      </c>
      <c r="X70" s="438"/>
      <c r="Y70" s="428" t="str">
        <f t="shared" ref="Y70:Y73" si="332">IF(AND(U70&gt;=0,U70&lt;=6),"Chica 1",IF(AND(U70&gt;=7,U70&lt;=12),"Chica 2",IF(AND(U70&gt;=13,U70&lt;=18),"Chica 3",IF(AND(U70&gt;=19,U70&lt;=24),"Chica 4",IF(AND(U70&gt;=25,U70&lt;=30),"Mediana 1",IF(AND(U70&gt;=31,U70&lt;=36),"Mediana 2",IF(AND(U70&gt;=37,U70&lt;=42),"Mediana 3",IF(AND(U70&gt;=43,U70&lt;=48),"Mediana 4",IF(AND(U70&gt;=49,U70&lt;=54),"Grande 1",IF(AND(U70&gt;=55,U70&lt;=60),"Grande 2",IF(AND(U70&gt;=61,U70&lt;=66),"Grande 3",IF(AND(U70&gt;=67,U70&lt;=72),"Grande 4",IF(AND(U70&gt;=73,U70&lt;=78),"M. grande 1",IF(AND(U70&gt;=79,U70&lt;=84),"M. grande 2",IF(AND(U70&gt;=85,U70&lt;=90),"M. grande 3",IF(AND(U70&gt;=91,U70&lt;=96),"M. grande 4","NO DEF"))))))))))))))))</f>
        <v>Chica 3</v>
      </c>
      <c r="Z70" s="428" t="str">
        <f t="shared" ref="Z70:Z73" si="333">IF(E70="A","Alta",IF(E70="M","Media","Baja"))</f>
        <v>Baja</v>
      </c>
      <c r="AA70" s="428" t="str">
        <f t="shared" ref="AA70:AA73" si="334">IF(E70="A","Alta",IF(E70="M","Media","Baja"))</f>
        <v>Baja</v>
      </c>
      <c r="AB70" s="428" t="str">
        <f t="shared" ref="AB70:AB73" si="335">IF(F70="A","Alta",IF(F70="M","Media","Baja"))</f>
        <v>Baja</v>
      </c>
      <c r="AC70" s="428" t="str">
        <f t="shared" ref="AC70:AC73" si="336">IF(F70="A","Alta",IF(F70="M","Media","Baja"))</f>
        <v>Baja</v>
      </c>
      <c r="AD70" s="428" t="str">
        <f t="shared" ref="AD70:AD73" si="337">IF(G70="A","Alta",IF(G70="M","Media","Baja"))</f>
        <v>Baja</v>
      </c>
      <c r="AE70" s="428" t="str">
        <f t="shared" ref="AE70:AE73" si="338">IF(G70="A","Alta",IF(G70="M","Media","Baja"))</f>
        <v>Baja</v>
      </c>
      <c r="AF70" s="428" t="str">
        <f t="shared" ref="AF70:AF73" si="339">IF(H70="A","Alta",IF(H70="M","Media","Baja"))</f>
        <v>Baja</v>
      </c>
      <c r="AG70" s="428" t="str">
        <f t="shared" ref="AG70:AG73" si="340">IF(I70="A","Alta",IF(I70="M","Media","Baja"))</f>
        <v>Baja</v>
      </c>
      <c r="AH70" s="427"/>
      <c r="AI70" s="429">
        <f>IF(Y70=Modelo!$F$7,Modelo!$H$7,IF(Y70=Modelo!$F$8,Modelo!$H$8,IF(Y70=Modelo!$F$9,Modelo!$H$9,IF(Y70=Modelo!$F$10,Modelo!$H$10,IF(Y70=Modelo!$F$11,Modelo!$H$11,IF(Y70=Modelo!$F$12,Modelo!$H$12,IF(Y70=Modelo!$F$13,Modelo!$H$13,IF(Y70=Modelo!$F$14,Modelo!$H$14,IF(Y70=Modelo!$F$15,Modelo!$H$15,IF(Y70=Modelo!$F$16,Modelo!$H$16,IF(Y70=Modelo!$F$17,Modelo!$H$17,IF(Y70=Modelo!$F$18,Modelo!$H$18,IF(Y70=Modelo!$F$19,Modelo!$H$19,IF(Y70=Modelo!$F$20,Modelo!$H$20,IF(Y70=Modelo!$F$21,Modelo!$H$21,IF(Y70=Modelo!$F$22,Modelo!$H$22,0))))))))))))))))</f>
        <v>0.9</v>
      </c>
      <c r="AJ70" s="429">
        <f>IF(Y70=Modelo!$F$7,Modelo!$I$7,IF(Y70=Modelo!$F$8,Modelo!$I$8,IF(Y70=Modelo!$F$9,Modelo!$I$9,IF(Y70=Modelo!$F$10,Modelo!$I$10,IF(Y70=Modelo!$F$11,Modelo!$I$11,IF(Y70=Modelo!$F$12,Modelo!$I$12,IF(Y70=Modelo!$F$13,Modelo!$I$13,IF(Y70=Modelo!$F$14,Modelo!$I$14,IF(Y70=Modelo!$F$15,Modelo!$I$15,IF(Y70=Modelo!$F$16,Modelo!$I$16,IF(Y70=Modelo!$F$17,Modelo!$I$17,IF(Y70=Modelo!$F$18,Modelo!$I$18,IF(Y70=Modelo!$F$19,Modelo!$I$19,IF(Y70=Modelo!$F$20,Modelo!$I$20,IF(Y70=Modelo!$F$21,Modelo!$I$21,IF(Y70=Modelo!$F$22,Modelo!$I$22,0))))))))))))))))</f>
        <v>0.3</v>
      </c>
      <c r="AK70" s="429">
        <f>IF(Z70=Modelo!$F$23,Modelo!$H$23,IF(Z70=Modelo!$F$24,Modelo!$H$24,IF(Z70=Modelo!$F$25,Modelo!$H$25,0)))</f>
        <v>1</v>
      </c>
      <c r="AL70" s="429">
        <f>IF(AA70=Modelo!$F$26,Modelo!$H$26,IF(AA70=Modelo!$F$27,Modelo!$H$27,IF(AA70=Modelo!$F$28,Modelo!$H$28,0)))</f>
        <v>0.1</v>
      </c>
      <c r="AM70" s="429">
        <f>IF(AB70=Modelo!$F$30,Modelo!$H$30,IF(AB70=Modelo!$F$31,Modelo!$H$31,IF(AB70=Modelo!$F$32,Modelo!$H$32,0)))</f>
        <v>0.8</v>
      </c>
      <c r="AN70" s="429">
        <f>IF(AC70=Modelo!$F$33,Modelo!$H$33,IF(AC70=Modelo!$F$34,Modelo!$H$34,IF(AC70=Modelo!$F$35,Modelo!$H$35,0)))</f>
        <v>0.3</v>
      </c>
      <c r="AO70" s="429">
        <f>IF(AD70=Modelo!$F$37,Modelo!$H$37,IF(AD70=Modelo!$F$38,Modelo!$H$38,IF(AD70=Modelo!$F$39,Modelo!$H$39,0)))</f>
        <v>0.8</v>
      </c>
      <c r="AP70" s="429">
        <f>IF(AE70=Modelo!$F$40,Modelo!$H$40,IF(AE70=Modelo!$F$41,Modelo!$H$41,IF(AE70=Modelo!$F$42,Modelo!$H$42,0)))</f>
        <v>0.4</v>
      </c>
      <c r="AQ70" s="428">
        <f>IF(C70=Modelo!$F$44,Modelo!$H$44,IF(C70=Modelo!$F$45,Modelo!$H$45,IF(C70=Modelo!$F$46,Modelo!$H$46,IF(C70=Modelo!$F$47,Modelo!$H$47,IF(C70=Modelo!$F$48,Modelo!$H$48,IF(C70=Modelo!$F$49,Modelo!$H$49,IF(C70=Modelo!$F$50,Modelo!$H$50,IF(C70=Modelo!$F$51,Modelo!$H$51,IF(C70=Modelo!$F$52,Modelo!$H$52,IF(C70=Modelo!$F$53,Modelo!$H$53,0))))))))))</f>
        <v>1.7</v>
      </c>
      <c r="AR70" s="429">
        <f>IF(AF70=Modelo!$F$54,Modelo!$H$54,IF(AF70=Modelo!$F$55,Modelo!$H$55,IF(AF70=Modelo!$F$56,Modelo!$H$56,0)))</f>
        <v>1</v>
      </c>
      <c r="AS70" s="429">
        <f>IF(AG70=Modelo!$F$58,Modelo!$H$58,IF(AG70=Modelo!$F$59,Modelo!$H$59,IF(AG70=Modelo!$F$60,Modelo!$H$60,0)))</f>
        <v>0.9</v>
      </c>
      <c r="AT70" s="427"/>
      <c r="AU70" s="431">
        <f>Modelo!$H$2</f>
        <v>0.05</v>
      </c>
      <c r="AV70" s="432">
        <f>ROUNDUP(Modelo!$I$2*Modelo!$H$3*Modelo!$I$75,2)</f>
        <v>0.02</v>
      </c>
      <c r="AW70" s="433">
        <f>ROUNDUP(Modelo!$I$2*Modelo!$H$3*Modelo!$H$4*Modelo!$I$75,3)</f>
        <v>3.0000000000000001E-3</v>
      </c>
      <c r="AX70" s="431">
        <f>Modelo!$H$5</f>
        <v>0.04</v>
      </c>
      <c r="AY70" s="431">
        <f>ROUNDUP(SUM(AZ70,BB70,BD70,BF70)*Modelo!$H$6,1)</f>
        <v>0.7</v>
      </c>
      <c r="AZ70" s="431">
        <f>ROUNDUP((AI70*AK70+0.1)*Modelo!$I$75,1)</f>
        <v>1</v>
      </c>
      <c r="BA70" s="431">
        <f>ROUNDUP(AJ70*AK70*AL70*Modelo!$I$75,1)</f>
        <v>0.1</v>
      </c>
      <c r="BB70" s="431">
        <f>ROUNDUP(V70*Modelo!$H$29*AM70*Modelo!$I$75*2/3,1)</f>
        <v>0.6</v>
      </c>
      <c r="BC70" s="431">
        <f>ROUNDUP(V70*Modelo!$H$29*AM70*AN70*Modelo!$I$75*2/3,1)</f>
        <v>0.2</v>
      </c>
      <c r="BD70" s="431">
        <f>ROUNDUP(V70*Modelo!$H$29*AM70*Modelo!$I$75/3,1)</f>
        <v>0.30000000000000004</v>
      </c>
      <c r="BE70" s="431">
        <f>ROUNDUP(V70*Modelo!$H$29*AM70*AN70*Modelo!$I$75/3,1)</f>
        <v>0.1</v>
      </c>
      <c r="BF70" s="431">
        <f>ROUNDUP(W70*Modelo!$H$36*AO70*Modelo!$I$75,1)</f>
        <v>0</v>
      </c>
      <c r="BG70" s="431">
        <f>ROUNDUP(W70*Modelo!$H$36*AO70*AP70*Modelo!$I$75,1)</f>
        <v>0</v>
      </c>
      <c r="BH70" s="431">
        <f>Modelo!$H$43</f>
        <v>0.04</v>
      </c>
      <c r="BI70" s="431">
        <f>ROUNDUP(SUM(ROUNDUP(AI70*AK70+0.1,1),ROUNDUP(V70*Modelo!$H$29*AM70,1),ROUNDUP(W70*Modelo!$H$36*AO70,1))*AR70*AQ70*Modelo!$I$75,1)</f>
        <v>3.1</v>
      </c>
      <c r="BJ70" s="431">
        <f t="shared" ref="BJ70:BJ73" si="341">IF(K$31="x",0, BI70*0.1*1.25)</f>
        <v>0</v>
      </c>
      <c r="BK70" s="431">
        <f t="shared" ref="BK70:BK73" si="342">IF(Q70="x",(BI70)*0.1,0)</f>
        <v>0</v>
      </c>
      <c r="BL70" s="431">
        <f t="shared" ref="BL70:BL73" si="343">IF(R70="x",(BI70)*0.12,0)</f>
        <v>0</v>
      </c>
      <c r="BM70" s="431">
        <f t="shared" ref="BM70:BM73" si="344">IF(S70="x",(BI70)*0.12,0)*4</f>
        <v>0</v>
      </c>
      <c r="BN70" s="431">
        <f>ROUNDUP(SUM(ROUNDUP(AI70*AK70+0.1,1),ROUNDUP(V70*Modelo!$H$29*AM70,1),ROUNDUP(W70*Modelo!$H$36*AO70,1))*AQ70*AS70*Modelo!$H$57,1)</f>
        <v>1.3</v>
      </c>
      <c r="BO70" s="431">
        <f t="shared" ref="BO70:BO73" si="345">BI70*0.1
+IF(K$15="x",0,BI70*0.05)
+IF(K$27="x",0,BI70*0.2)
+IF(K$28="x",0,BI70*0.5)
+IF(OR(K$29="x",K$30="x"),0,BI70*0.05)
+IF(K$31="x",0,BI70*0.3)
+IF(Q70="x",0,BI70*0.5)
+IF(OR(R70="x",S70="x"),0,BI70*0.15)</f>
        <v>2.9450000000000003</v>
      </c>
      <c r="BP70" s="431">
        <f>Modelo!$H$61</f>
        <v>0.04</v>
      </c>
      <c r="BQ70" s="431">
        <f>ROUNDUP(SUM(ROUNDUP(AI70*AK70+0.1,1),ROUNDUP(V70*Modelo!$H$29*AM70,1),ROUNDUP(W70*Modelo!$H$36*AO70,1))*Modelo!$H$62*Modelo!$I$75,1)</f>
        <v>0.2</v>
      </c>
      <c r="BR70" s="431">
        <f>ROUNDUP(ROUNDUP(SUM(ROUNDUP(AI70*AK70+0.1,1),ROUNDUP(V70*Modelo!$H$29*AM70,1),ROUNDUP(W70*Modelo!$H$36*AO70,1))*Modelo!$H$62,1)*Modelo!$H$63*Modelo!$I$75,1)</f>
        <v>0.1</v>
      </c>
      <c r="BS70" s="431">
        <f>SUM(ROUNDUP(AI70*AK70+0.1,1),ROUNDUP(V70*Modelo!$H$29*AM70,1),ROUNDUP(W70*Modelo!$H$36*AO70,1))*Modelo!$H$64*Modelo!$I$75</f>
        <v>0.36000000000000004</v>
      </c>
      <c r="BT70" s="431">
        <f>ROUNDUP(SUM(ROUNDUP(AI70*AK70+0.1,1),ROUNDUP(V70*Modelo!$H$29*AM70,1),ROUNDUP(W70*Modelo!$H$36*AO70,1))*Modelo!$H$64*Modelo!$H$65*Modelo!$I$75,1)</f>
        <v>0.2</v>
      </c>
      <c r="BU70" s="431">
        <f>Modelo!$H$66</f>
        <v>0.04</v>
      </c>
      <c r="BV70" s="431">
        <f>ROUNDUP(SUM(ROUNDUP(AI70*AK70+0.1,1),ROUNDUP(V70*Modelo!$H$29*AM70,1),ROUNDUP(W70*Modelo!$H$36*AO70,1))*Modelo!$H$69,1)</f>
        <v>0.4</v>
      </c>
      <c r="BW70" s="431">
        <f>ROUNDUP(ROUNDUP(SUM(ROUNDUP(AI70*AK70+0.1,1),ROUNDUP(V70*Modelo!$H$29*AM70,1),ROUNDUP(W70*Modelo!$H$36*AO70,1))*Modelo!$H$62,1)*Modelo!$H$71,1)</f>
        <v>0.4</v>
      </c>
      <c r="BX70" s="430">
        <f t="shared" ref="BX70:BX73" si="346">SUM(AU70:BW70)</f>
        <v>12.237999999999998</v>
      </c>
      <c r="BZ70" s="426">
        <f t="shared" ref="BZ70:BZ73" si="347">CA70*0.85</f>
        <v>3.74</v>
      </c>
      <c r="CA70" s="425">
        <f t="shared" ref="CA70:CA73" si="348">O70</f>
        <v>4.4000000000000004</v>
      </c>
      <c r="CB70" s="426">
        <f t="shared" ref="CB70:CB73" si="349">IF(CA70=0,1,CA70*1.4)</f>
        <v>6.16</v>
      </c>
      <c r="CD70" s="420">
        <v>0</v>
      </c>
      <c r="CF70" s="426">
        <f t="shared" ref="CF70:CF73" si="350">IF(CC70&lt;&gt;"",CC70,CD70)</f>
        <v>0</v>
      </c>
    </row>
    <row r="71" spans="3:84" s="426" customFormat="1" ht="51.75" thickBot="1" x14ac:dyDescent="0.25">
      <c r="C71" s="461" t="s">
        <v>94</v>
      </c>
      <c r="D71" s="440" t="s">
        <v>18</v>
      </c>
      <c r="E71" s="440" t="str">
        <f t="shared" si="324"/>
        <v>B</v>
      </c>
      <c r="F71" s="440" t="s">
        <v>459</v>
      </c>
      <c r="G71" s="440" t="s">
        <v>459</v>
      </c>
      <c r="H71" s="440" t="str">
        <f t="shared" si="325"/>
        <v>B</v>
      </c>
      <c r="I71" s="440" t="str">
        <f t="shared" si="326"/>
        <v>B</v>
      </c>
      <c r="J71" s="437">
        <f t="shared" si="327"/>
        <v>1</v>
      </c>
      <c r="K71" s="436" t="str">
        <f t="shared" si="328"/>
        <v>Chica 3</v>
      </c>
      <c r="L71" s="447" t="s">
        <v>619</v>
      </c>
      <c r="M71" s="434">
        <f t="shared" si="329"/>
        <v>3.1</v>
      </c>
      <c r="N71" s="434">
        <f t="shared" si="330"/>
        <v>1.3</v>
      </c>
      <c r="O71" s="442">
        <f t="shared" si="331"/>
        <v>4.4000000000000004</v>
      </c>
      <c r="Q71" s="408"/>
      <c r="R71" s="408"/>
      <c r="S71" s="408"/>
      <c r="T71" s="425"/>
      <c r="U71" s="441">
        <v>15</v>
      </c>
      <c r="V71" s="441">
        <v>1</v>
      </c>
      <c r="W71" s="441">
        <v>0</v>
      </c>
      <c r="X71" s="438"/>
      <c r="Y71" s="428" t="str">
        <f t="shared" si="332"/>
        <v>Chica 3</v>
      </c>
      <c r="Z71" s="428" t="str">
        <f t="shared" si="333"/>
        <v>Baja</v>
      </c>
      <c r="AA71" s="428" t="str">
        <f t="shared" si="334"/>
        <v>Baja</v>
      </c>
      <c r="AB71" s="428" t="str">
        <f t="shared" si="335"/>
        <v>Baja</v>
      </c>
      <c r="AC71" s="428" t="str">
        <f t="shared" si="336"/>
        <v>Baja</v>
      </c>
      <c r="AD71" s="428" t="str">
        <f t="shared" si="337"/>
        <v>Baja</v>
      </c>
      <c r="AE71" s="428" t="str">
        <f t="shared" si="338"/>
        <v>Baja</v>
      </c>
      <c r="AF71" s="428" t="str">
        <f t="shared" si="339"/>
        <v>Baja</v>
      </c>
      <c r="AG71" s="428" t="str">
        <f t="shared" si="340"/>
        <v>Baja</v>
      </c>
      <c r="AH71" s="427"/>
      <c r="AI71" s="429">
        <f>IF(Y71=Modelo!$F$7,Modelo!$H$7,IF(Y71=Modelo!$F$8,Modelo!$H$8,IF(Y71=Modelo!$F$9,Modelo!$H$9,IF(Y71=Modelo!$F$10,Modelo!$H$10,IF(Y71=Modelo!$F$11,Modelo!$H$11,IF(Y71=Modelo!$F$12,Modelo!$H$12,IF(Y71=Modelo!$F$13,Modelo!$H$13,IF(Y71=Modelo!$F$14,Modelo!$H$14,IF(Y71=Modelo!$F$15,Modelo!$H$15,IF(Y71=Modelo!$F$16,Modelo!$H$16,IF(Y71=Modelo!$F$17,Modelo!$H$17,IF(Y71=Modelo!$F$18,Modelo!$H$18,IF(Y71=Modelo!$F$19,Modelo!$H$19,IF(Y71=Modelo!$F$20,Modelo!$H$20,IF(Y71=Modelo!$F$21,Modelo!$H$21,IF(Y71=Modelo!$F$22,Modelo!$H$22,0))))))))))))))))</f>
        <v>0.9</v>
      </c>
      <c r="AJ71" s="429">
        <f>IF(Y71=Modelo!$F$7,Modelo!$I$7,IF(Y71=Modelo!$F$8,Modelo!$I$8,IF(Y71=Modelo!$F$9,Modelo!$I$9,IF(Y71=Modelo!$F$10,Modelo!$I$10,IF(Y71=Modelo!$F$11,Modelo!$I$11,IF(Y71=Modelo!$F$12,Modelo!$I$12,IF(Y71=Modelo!$F$13,Modelo!$I$13,IF(Y71=Modelo!$F$14,Modelo!$I$14,IF(Y71=Modelo!$F$15,Modelo!$I$15,IF(Y71=Modelo!$F$16,Modelo!$I$16,IF(Y71=Modelo!$F$17,Modelo!$I$17,IF(Y71=Modelo!$F$18,Modelo!$I$18,IF(Y71=Modelo!$F$19,Modelo!$I$19,IF(Y71=Modelo!$F$20,Modelo!$I$20,IF(Y71=Modelo!$F$21,Modelo!$I$21,IF(Y71=Modelo!$F$22,Modelo!$I$22,0))))))))))))))))</f>
        <v>0.3</v>
      </c>
      <c r="AK71" s="429">
        <f>IF(Z71=Modelo!$F$23,Modelo!$H$23,IF(Z71=Modelo!$F$24,Modelo!$H$24,IF(Z71=Modelo!$F$25,Modelo!$H$25,0)))</f>
        <v>1</v>
      </c>
      <c r="AL71" s="429">
        <f>IF(AA71=Modelo!$F$26,Modelo!$H$26,IF(AA71=Modelo!$F$27,Modelo!$H$27,IF(AA71=Modelo!$F$28,Modelo!$H$28,0)))</f>
        <v>0.1</v>
      </c>
      <c r="AM71" s="429">
        <f>IF(AB71=Modelo!$F$30,Modelo!$H$30,IF(AB71=Modelo!$F$31,Modelo!$H$31,IF(AB71=Modelo!$F$32,Modelo!$H$32,0)))</f>
        <v>0.8</v>
      </c>
      <c r="AN71" s="429">
        <f>IF(AC71=Modelo!$F$33,Modelo!$H$33,IF(AC71=Modelo!$F$34,Modelo!$H$34,IF(AC71=Modelo!$F$35,Modelo!$H$35,0)))</f>
        <v>0.3</v>
      </c>
      <c r="AO71" s="429">
        <f>IF(AD71=Modelo!$F$37,Modelo!$H$37,IF(AD71=Modelo!$F$38,Modelo!$H$38,IF(AD71=Modelo!$F$39,Modelo!$H$39,0)))</f>
        <v>0.8</v>
      </c>
      <c r="AP71" s="429">
        <f>IF(AE71=Modelo!$F$40,Modelo!$H$40,IF(AE71=Modelo!$F$41,Modelo!$H$41,IF(AE71=Modelo!$F$42,Modelo!$H$42,0)))</f>
        <v>0.4</v>
      </c>
      <c r="AQ71" s="428">
        <f>IF(C71=Modelo!$F$44,Modelo!$H$44,IF(C71=Modelo!$F$45,Modelo!$H$45,IF(C71=Modelo!$F$46,Modelo!$H$46,IF(C71=Modelo!$F$47,Modelo!$H$47,IF(C71=Modelo!$F$48,Modelo!$H$48,IF(C71=Modelo!$F$49,Modelo!$H$49,IF(C71=Modelo!$F$50,Modelo!$H$50,IF(C71=Modelo!$F$51,Modelo!$H$51,IF(C71=Modelo!$F$52,Modelo!$H$52,IF(C71=Modelo!$F$53,Modelo!$H$53,0))))))))))</f>
        <v>1.7</v>
      </c>
      <c r="AR71" s="429">
        <f>IF(AF71=Modelo!$F$54,Modelo!$H$54,IF(AF71=Modelo!$F$55,Modelo!$H$55,IF(AF71=Modelo!$F$56,Modelo!$H$56,0)))</f>
        <v>1</v>
      </c>
      <c r="AS71" s="429">
        <f>IF(AG71=Modelo!$F$58,Modelo!$H$58,IF(AG71=Modelo!$F$59,Modelo!$H$59,IF(AG71=Modelo!$F$60,Modelo!$H$60,0)))</f>
        <v>0.9</v>
      </c>
      <c r="AT71" s="427"/>
      <c r="AU71" s="431">
        <f>Modelo!$H$2</f>
        <v>0.05</v>
      </c>
      <c r="AV71" s="432">
        <f>ROUNDUP(Modelo!$I$2*Modelo!$H$3*Modelo!$I$75,2)</f>
        <v>0.02</v>
      </c>
      <c r="AW71" s="433">
        <f>ROUNDUP(Modelo!$I$2*Modelo!$H$3*Modelo!$H$4*Modelo!$I$75,3)</f>
        <v>3.0000000000000001E-3</v>
      </c>
      <c r="AX71" s="431">
        <f>Modelo!$H$5</f>
        <v>0.04</v>
      </c>
      <c r="AY71" s="431">
        <f>ROUNDUP(SUM(AZ71,BB71,BD71,BF71)*Modelo!$H$6,1)</f>
        <v>0.7</v>
      </c>
      <c r="AZ71" s="431">
        <f>ROUNDUP((AI71*AK71+0.1)*Modelo!$I$75,1)</f>
        <v>1</v>
      </c>
      <c r="BA71" s="431">
        <f>ROUNDUP(AJ71*AK71*AL71*Modelo!$I$75,1)</f>
        <v>0.1</v>
      </c>
      <c r="BB71" s="431">
        <f>ROUNDUP(V71*Modelo!$H$29*AM71*Modelo!$I$75*2/3,1)</f>
        <v>0.6</v>
      </c>
      <c r="BC71" s="431">
        <f>ROUNDUP(V71*Modelo!$H$29*AM71*AN71*Modelo!$I$75*2/3,1)</f>
        <v>0.2</v>
      </c>
      <c r="BD71" s="431">
        <f>ROUNDUP(V71*Modelo!$H$29*AM71*Modelo!$I$75/3,1)</f>
        <v>0.30000000000000004</v>
      </c>
      <c r="BE71" s="431">
        <f>ROUNDUP(V71*Modelo!$H$29*AM71*AN71*Modelo!$I$75/3,1)</f>
        <v>0.1</v>
      </c>
      <c r="BF71" s="431">
        <f>ROUNDUP(W71*Modelo!$H$36*AO71*Modelo!$I$75,1)</f>
        <v>0</v>
      </c>
      <c r="BG71" s="431">
        <f>ROUNDUP(W71*Modelo!$H$36*AO71*AP71*Modelo!$I$75,1)</f>
        <v>0</v>
      </c>
      <c r="BH71" s="431">
        <f>Modelo!$H$43</f>
        <v>0.04</v>
      </c>
      <c r="BI71" s="431">
        <f>ROUNDUP(SUM(ROUNDUP(AI71*AK71+0.1,1),ROUNDUP(V71*Modelo!$H$29*AM71,1),ROUNDUP(W71*Modelo!$H$36*AO71,1))*AR71*AQ71*Modelo!$I$75,1)</f>
        <v>3.1</v>
      </c>
      <c r="BJ71" s="431">
        <f t="shared" si="341"/>
        <v>0</v>
      </c>
      <c r="BK71" s="431">
        <f t="shared" si="342"/>
        <v>0</v>
      </c>
      <c r="BL71" s="431">
        <f t="shared" si="343"/>
        <v>0</v>
      </c>
      <c r="BM71" s="431">
        <f t="shared" si="344"/>
        <v>0</v>
      </c>
      <c r="BN71" s="431">
        <f>ROUNDUP(SUM(ROUNDUP(AI71*AK71+0.1,1),ROUNDUP(V71*Modelo!$H$29*AM71,1),ROUNDUP(W71*Modelo!$H$36*AO71,1))*AQ71*AS71*Modelo!$H$57,1)</f>
        <v>1.3</v>
      </c>
      <c r="BO71" s="431">
        <f t="shared" si="345"/>
        <v>2.9450000000000003</v>
      </c>
      <c r="BP71" s="431">
        <f>Modelo!$H$61</f>
        <v>0.04</v>
      </c>
      <c r="BQ71" s="431">
        <f>ROUNDUP(SUM(ROUNDUP(AI71*AK71+0.1,1),ROUNDUP(V71*Modelo!$H$29*AM71,1),ROUNDUP(W71*Modelo!$H$36*AO71,1))*Modelo!$H$62*Modelo!$I$75,1)</f>
        <v>0.2</v>
      </c>
      <c r="BR71" s="431">
        <f>ROUNDUP(ROUNDUP(SUM(ROUNDUP(AI71*AK71+0.1,1),ROUNDUP(V71*Modelo!$H$29*AM71,1),ROUNDUP(W71*Modelo!$H$36*AO71,1))*Modelo!$H$62,1)*Modelo!$H$63*Modelo!$I$75,1)</f>
        <v>0.1</v>
      </c>
      <c r="BS71" s="431">
        <f>SUM(ROUNDUP(AI71*AK71+0.1,1),ROUNDUP(V71*Modelo!$H$29*AM71,1),ROUNDUP(W71*Modelo!$H$36*AO71,1))*Modelo!$H$64*Modelo!$I$75</f>
        <v>0.36000000000000004</v>
      </c>
      <c r="BT71" s="431">
        <f>ROUNDUP(SUM(ROUNDUP(AI71*AK71+0.1,1),ROUNDUP(V71*Modelo!$H$29*AM71,1),ROUNDUP(W71*Modelo!$H$36*AO71,1))*Modelo!$H$64*Modelo!$H$65*Modelo!$I$75,1)</f>
        <v>0.2</v>
      </c>
      <c r="BU71" s="431">
        <f>Modelo!$H$66</f>
        <v>0.04</v>
      </c>
      <c r="BV71" s="431">
        <f>ROUNDUP(SUM(ROUNDUP(AI71*AK71+0.1,1),ROUNDUP(V71*Modelo!$H$29*AM71,1),ROUNDUP(W71*Modelo!$H$36*AO71,1))*Modelo!$H$69,1)</f>
        <v>0.4</v>
      </c>
      <c r="BW71" s="431">
        <f>ROUNDUP(ROUNDUP(SUM(ROUNDUP(AI71*AK71+0.1,1),ROUNDUP(V71*Modelo!$H$29*AM71,1),ROUNDUP(W71*Modelo!$H$36*AO71,1))*Modelo!$H$62,1)*Modelo!$H$71,1)</f>
        <v>0.4</v>
      </c>
      <c r="BX71" s="430">
        <f t="shared" si="346"/>
        <v>12.237999999999998</v>
      </c>
      <c r="BZ71" s="426">
        <f t="shared" si="347"/>
        <v>3.74</v>
      </c>
      <c r="CA71" s="425">
        <f t="shared" si="348"/>
        <v>4.4000000000000004</v>
      </c>
      <c r="CB71" s="426">
        <f t="shared" si="349"/>
        <v>6.16</v>
      </c>
      <c r="CD71" s="420">
        <v>0</v>
      </c>
      <c r="CF71" s="426">
        <f t="shared" si="350"/>
        <v>0</v>
      </c>
    </row>
    <row r="72" spans="3:84" s="426" customFormat="1" ht="39" thickBot="1" x14ac:dyDescent="0.25">
      <c r="C72" s="461" t="s">
        <v>98</v>
      </c>
      <c r="D72" s="440" t="s">
        <v>18</v>
      </c>
      <c r="E72" s="440" t="str">
        <f t="shared" si="324"/>
        <v>M</v>
      </c>
      <c r="F72" s="440" t="s">
        <v>459</v>
      </c>
      <c r="G72" s="440" t="s">
        <v>459</v>
      </c>
      <c r="H72" s="440" t="str">
        <f t="shared" si="325"/>
        <v>B</v>
      </c>
      <c r="I72" s="440" t="str">
        <f t="shared" si="326"/>
        <v>B</v>
      </c>
      <c r="J72" s="437">
        <f t="shared" si="327"/>
        <v>1</v>
      </c>
      <c r="K72" s="436" t="str">
        <f t="shared" si="328"/>
        <v>Mediana 1</v>
      </c>
      <c r="L72" s="161" t="s">
        <v>589</v>
      </c>
      <c r="M72" s="434">
        <f t="shared" si="329"/>
        <v>6</v>
      </c>
      <c r="N72" s="434">
        <f>BN72</f>
        <v>2.5</v>
      </c>
      <c r="O72" s="442">
        <f t="shared" si="331"/>
        <v>8.5</v>
      </c>
      <c r="Q72" s="408"/>
      <c r="R72" s="408"/>
      <c r="S72" s="408"/>
      <c r="U72" s="441">
        <v>30</v>
      </c>
      <c r="V72" s="441">
        <v>1</v>
      </c>
      <c r="W72" s="441">
        <v>0</v>
      </c>
      <c r="X72" s="438"/>
      <c r="Y72" s="428" t="str">
        <f t="shared" si="332"/>
        <v>Mediana 1</v>
      </c>
      <c r="Z72" s="428" t="str">
        <f t="shared" si="333"/>
        <v>Media</v>
      </c>
      <c r="AA72" s="428" t="str">
        <f t="shared" si="334"/>
        <v>Media</v>
      </c>
      <c r="AB72" s="428" t="str">
        <f t="shared" si="335"/>
        <v>Baja</v>
      </c>
      <c r="AC72" s="428" t="str">
        <f t="shared" si="336"/>
        <v>Baja</v>
      </c>
      <c r="AD72" s="428" t="str">
        <f t="shared" si="337"/>
        <v>Baja</v>
      </c>
      <c r="AE72" s="428" t="str">
        <f t="shared" si="338"/>
        <v>Baja</v>
      </c>
      <c r="AF72" s="428" t="str">
        <f t="shared" si="339"/>
        <v>Baja</v>
      </c>
      <c r="AG72" s="428" t="str">
        <f t="shared" si="340"/>
        <v>Baja</v>
      </c>
      <c r="AH72" s="427"/>
      <c r="AI72" s="429">
        <f>IF(Y72=Modelo!$F$7,Modelo!$H$7,IF(Y72=Modelo!$F$8,Modelo!$H$8,IF(Y72=Modelo!$F$9,Modelo!$H$9,IF(Y72=Modelo!$F$10,Modelo!$H$10,IF(Y72=Modelo!$F$11,Modelo!$H$11,IF(Y72=Modelo!$F$12,Modelo!$H$12,IF(Y72=Modelo!$F$13,Modelo!$H$13,IF(Y72=Modelo!$F$14,Modelo!$H$14,IF(Y72=Modelo!$F$15,Modelo!$H$15,IF(Y72=Modelo!$F$16,Modelo!$H$16,IF(Y72=Modelo!$F$17,Modelo!$H$17,IF(Y72=Modelo!$F$18,Modelo!$H$18,IF(Y72=Modelo!$F$19,Modelo!$H$19,IF(Y72=Modelo!$F$20,Modelo!$H$20,IF(Y72=Modelo!$F$21,Modelo!$H$21,IF(Y72=Modelo!$F$22,Modelo!$H$22,0))))))))))))))))</f>
        <v>1.5</v>
      </c>
      <c r="AJ72" s="429">
        <f>IF(Y72=Modelo!$F$7,Modelo!$I$7,IF(Y72=Modelo!$F$8,Modelo!$I$8,IF(Y72=Modelo!$F$9,Modelo!$I$9,IF(Y72=Modelo!$F$10,Modelo!$I$10,IF(Y72=Modelo!$F$11,Modelo!$I$11,IF(Y72=Modelo!$F$12,Modelo!$I$12,IF(Y72=Modelo!$F$13,Modelo!$I$13,IF(Y72=Modelo!$F$14,Modelo!$I$14,IF(Y72=Modelo!$F$15,Modelo!$I$15,IF(Y72=Modelo!$F$16,Modelo!$I$16,IF(Y72=Modelo!$F$17,Modelo!$I$17,IF(Y72=Modelo!$F$18,Modelo!$I$18,IF(Y72=Modelo!$F$19,Modelo!$I$19,IF(Y72=Modelo!$F$20,Modelo!$I$20,IF(Y72=Modelo!$F$21,Modelo!$I$21,IF(Y72=Modelo!$F$22,Modelo!$I$22,0))))))))))))))))</f>
        <v>0.5</v>
      </c>
      <c r="AK72" s="429">
        <f>IF(Z72=Modelo!$F$23,Modelo!$H$23,IF(Z72=Modelo!$F$24,Modelo!$H$24,IF(Z72=Modelo!$F$25,Modelo!$H$25,0)))</f>
        <v>1.2</v>
      </c>
      <c r="AL72" s="429">
        <f>IF(AA72=Modelo!$F$26,Modelo!$H$26,IF(AA72=Modelo!$F$27,Modelo!$H$27,IF(AA72=Modelo!$F$28,Modelo!$H$28,0)))</f>
        <v>0.2</v>
      </c>
      <c r="AM72" s="429">
        <f>IF(AB72=Modelo!$F$30,Modelo!$H$30,IF(AB72=Modelo!$F$31,Modelo!$H$31,IF(AB72=Modelo!$F$32,Modelo!$H$32,0)))</f>
        <v>0.8</v>
      </c>
      <c r="AN72" s="429">
        <f>IF(AC72=Modelo!$F$33,Modelo!$H$33,IF(AC72=Modelo!$F$34,Modelo!$H$34,IF(AC72=Modelo!$F$35,Modelo!$H$35,0)))</f>
        <v>0.3</v>
      </c>
      <c r="AO72" s="429">
        <f>IF(AD72=Modelo!$F$37,Modelo!$H$37,IF(AD72=Modelo!$F$38,Modelo!$H$38,IF(AD72=Modelo!$F$39,Modelo!$H$39,0)))</f>
        <v>0.8</v>
      </c>
      <c r="AP72" s="429">
        <f>IF(AE72=Modelo!$F$40,Modelo!$H$40,IF(AE72=Modelo!$F$41,Modelo!$H$41,IF(AE72=Modelo!$F$42,Modelo!$H$42,0)))</f>
        <v>0.4</v>
      </c>
      <c r="AQ72" s="428">
        <f>IF(C72=Modelo!$F$44,Modelo!$H$44,IF(C72=Modelo!$F$45,Modelo!$H$45,IF(C72=Modelo!$F$46,Modelo!$H$46,IF(C72=Modelo!$F$47,Modelo!$H$47,IF(C72=Modelo!$F$48,Modelo!$H$48,IF(C72=Modelo!$F$49,Modelo!$H$49,IF(C72=Modelo!$F$50,Modelo!$H$50,IF(C72=Modelo!$F$51,Modelo!$H$51,IF(C72=Modelo!$F$52,Modelo!$H$52,IF(C72=Modelo!$F$53,Modelo!$H$53,0))))))))))</f>
        <v>2.2000000000000002</v>
      </c>
      <c r="AR72" s="429">
        <f>IF(AF72=Modelo!$F$54,Modelo!$H$54,IF(AF72=Modelo!$F$55,Modelo!$H$55,IF(AF72=Modelo!$F$56,Modelo!$H$56,0)))</f>
        <v>1</v>
      </c>
      <c r="AS72" s="429">
        <f>IF(AG72=Modelo!$F$58,Modelo!$H$58,IF(AG72=Modelo!$F$59,Modelo!$H$59,IF(AG72=Modelo!$F$60,Modelo!$H$60,0)))</f>
        <v>0.9</v>
      </c>
      <c r="AT72" s="427"/>
      <c r="AU72" s="431">
        <f>Modelo!$H$2</f>
        <v>0.05</v>
      </c>
      <c r="AV72" s="432">
        <f>ROUNDUP(Modelo!$I$2*Modelo!$H$3*Modelo!$I$75,2)</f>
        <v>0.02</v>
      </c>
      <c r="AW72" s="433">
        <f>ROUNDUP(Modelo!$I$2*Modelo!$H$3*Modelo!$H$4*Modelo!$I$75,3)</f>
        <v>3.0000000000000001E-3</v>
      </c>
      <c r="AX72" s="431">
        <f>Modelo!$H$5</f>
        <v>0.04</v>
      </c>
      <c r="AY72" s="431">
        <f>ROUNDUP(SUM(AZ72,BB72,BD72,BF72)*Modelo!$H$6,1)</f>
        <v>1</v>
      </c>
      <c r="AZ72" s="431">
        <f>ROUNDUP((AI72*AK72+0.1)*Modelo!$I$75,1)</f>
        <v>1.9</v>
      </c>
      <c r="BA72" s="431">
        <f>ROUNDUP(AJ72*AK72*AL72*Modelo!$I$75,1)</f>
        <v>0.2</v>
      </c>
      <c r="BB72" s="431">
        <f>ROUNDUP(V72*Modelo!$H$29*AM72*Modelo!$I$75*2/3,1)</f>
        <v>0.6</v>
      </c>
      <c r="BC72" s="431">
        <f>ROUNDUP(V72*Modelo!$H$29*AM72*AN72*Modelo!$I$75*2/3,1)</f>
        <v>0.2</v>
      </c>
      <c r="BD72" s="431">
        <f>ROUNDUP(V72*Modelo!$H$29*AM72*Modelo!$I$75/3,1)</f>
        <v>0.30000000000000004</v>
      </c>
      <c r="BE72" s="431">
        <f>ROUNDUP(V72*Modelo!$H$29*AM72*AN72*Modelo!$I$75/3,1)</f>
        <v>0.1</v>
      </c>
      <c r="BF72" s="431">
        <f>ROUNDUP(W72*Modelo!$H$36*AO72*Modelo!$I$75,1)</f>
        <v>0</v>
      </c>
      <c r="BG72" s="431">
        <f>ROUNDUP(W72*Modelo!$H$36*AO72*AP72*Modelo!$I$75,1)</f>
        <v>0</v>
      </c>
      <c r="BH72" s="431">
        <f>Modelo!$H$43</f>
        <v>0.04</v>
      </c>
      <c r="BI72" s="431">
        <f>ROUNDUP(SUM(ROUNDUP(AI72*AK72+0.1,1),ROUNDUP(V72*Modelo!$H$29*AM72,1),ROUNDUP(W72*Modelo!$H$36*AO72,1))*AR72*AQ72*Modelo!$I$75,1)</f>
        <v>6</v>
      </c>
      <c r="BJ72" s="431">
        <f t="shared" si="341"/>
        <v>0</v>
      </c>
      <c r="BK72" s="431">
        <f t="shared" si="342"/>
        <v>0</v>
      </c>
      <c r="BL72" s="431">
        <f t="shared" si="343"/>
        <v>0</v>
      </c>
      <c r="BM72" s="431">
        <f t="shared" si="344"/>
        <v>0</v>
      </c>
      <c r="BN72" s="431">
        <f>ROUNDUP(SUM(ROUNDUP(AI72*AK72+0.1,1),ROUNDUP(V72*Modelo!$H$29*AM72,1),ROUNDUP(W72*Modelo!$H$36*AO72,1))*AQ72*AS72*Modelo!$H$57,1)</f>
        <v>2.5</v>
      </c>
      <c r="BO72" s="431">
        <f t="shared" si="345"/>
        <v>5.7000000000000011</v>
      </c>
      <c r="BP72" s="431">
        <f>Modelo!$H$61</f>
        <v>0.04</v>
      </c>
      <c r="BQ72" s="431">
        <f>ROUNDUP(SUM(ROUNDUP(AI72*AK72+0.1,1),ROUNDUP(V72*Modelo!$H$29*AM72,1),ROUNDUP(W72*Modelo!$H$36*AO72,1))*Modelo!$H$62*Modelo!$I$75,1)</f>
        <v>0.2</v>
      </c>
      <c r="BR72" s="431">
        <f>ROUNDUP(ROUNDUP(SUM(ROUNDUP(AI72*AK72+0.1,1),ROUNDUP(V72*Modelo!$H$29*AM72,1),ROUNDUP(W72*Modelo!$H$36*AO72,1))*Modelo!$H$62,1)*Modelo!$H$63*Modelo!$I$75,1)</f>
        <v>0.1</v>
      </c>
      <c r="BS72" s="431">
        <f>SUM(ROUNDUP(AI72*AK72+0.1,1),ROUNDUP(V72*Modelo!$H$29*AM72,1),ROUNDUP(W72*Modelo!$H$36*AO72,1))*Modelo!$H$64*Modelo!$I$75</f>
        <v>0.54</v>
      </c>
      <c r="BT72" s="431">
        <f>ROUNDUP(SUM(ROUNDUP(AI72*AK72+0.1,1),ROUNDUP(V72*Modelo!$H$29*AM72,1),ROUNDUP(W72*Modelo!$H$36*AO72,1))*Modelo!$H$64*Modelo!$H$65*Modelo!$I$75,1)</f>
        <v>0.30000000000000004</v>
      </c>
      <c r="BU72" s="431">
        <f>Modelo!$H$66</f>
        <v>0.04</v>
      </c>
      <c r="BV72" s="431">
        <f>ROUNDUP(SUM(ROUNDUP(AI72*AK72+0.1,1),ROUNDUP(V72*Modelo!$H$29*AM72,1),ROUNDUP(W72*Modelo!$H$36*AO72,1))*Modelo!$H$69,1)</f>
        <v>0.6</v>
      </c>
      <c r="BW72" s="431">
        <f>ROUNDUP(ROUNDUP(SUM(ROUNDUP(AI72*AK72+0.1,1),ROUNDUP(V72*Modelo!$H$29*AM72,1),ROUNDUP(W72*Modelo!$H$36*AO72,1))*Modelo!$H$62,1)*Modelo!$H$71,1)</f>
        <v>0.4</v>
      </c>
      <c r="BX72" s="430">
        <f t="shared" si="346"/>
        <v>20.872999999999998</v>
      </c>
      <c r="BZ72" s="426">
        <f t="shared" si="347"/>
        <v>7.2249999999999996</v>
      </c>
      <c r="CA72" s="425">
        <f t="shared" si="348"/>
        <v>8.5</v>
      </c>
      <c r="CB72" s="426">
        <f t="shared" si="349"/>
        <v>11.899999999999999</v>
      </c>
      <c r="CD72" s="420">
        <v>0</v>
      </c>
      <c r="CF72" s="426">
        <f t="shared" si="350"/>
        <v>0</v>
      </c>
    </row>
    <row r="73" spans="3:84" s="426" customFormat="1" ht="26.25" thickBot="1" x14ac:dyDescent="0.25">
      <c r="C73" s="461" t="s">
        <v>98</v>
      </c>
      <c r="D73" s="440" t="s">
        <v>520</v>
      </c>
      <c r="E73" s="440" t="str">
        <f t="shared" si="324"/>
        <v>B</v>
      </c>
      <c r="F73" s="440" t="s">
        <v>459</v>
      </c>
      <c r="G73" s="440" t="s">
        <v>459</v>
      </c>
      <c r="H73" s="440" t="str">
        <f t="shared" si="325"/>
        <v>B</v>
      </c>
      <c r="I73" s="440" t="str">
        <f t="shared" si="326"/>
        <v>B</v>
      </c>
      <c r="J73" s="437">
        <f t="shared" si="327"/>
        <v>0</v>
      </c>
      <c r="K73" s="436" t="str">
        <f t="shared" si="328"/>
        <v>Chica 1</v>
      </c>
      <c r="L73" s="447" t="s">
        <v>620</v>
      </c>
      <c r="M73" s="434">
        <f t="shared" si="329"/>
        <v>0.9</v>
      </c>
      <c r="N73" s="434">
        <f t="shared" ref="N73" si="351">BN73</f>
        <v>0.4</v>
      </c>
      <c r="O73" s="442">
        <f t="shared" si="331"/>
        <v>1.3</v>
      </c>
      <c r="Q73" s="408"/>
      <c r="R73" s="408"/>
      <c r="S73" s="408"/>
      <c r="T73" s="425"/>
      <c r="U73" s="441">
        <v>6</v>
      </c>
      <c r="V73" s="441">
        <v>0</v>
      </c>
      <c r="W73" s="441">
        <v>0</v>
      </c>
      <c r="X73" s="438"/>
      <c r="Y73" s="428" t="str">
        <f t="shared" si="332"/>
        <v>Chica 1</v>
      </c>
      <c r="Z73" s="428" t="str">
        <f t="shared" si="333"/>
        <v>Baja</v>
      </c>
      <c r="AA73" s="428" t="str">
        <f t="shared" si="334"/>
        <v>Baja</v>
      </c>
      <c r="AB73" s="428" t="str">
        <f t="shared" si="335"/>
        <v>Baja</v>
      </c>
      <c r="AC73" s="428" t="str">
        <f t="shared" si="336"/>
        <v>Baja</v>
      </c>
      <c r="AD73" s="428" t="str">
        <f t="shared" si="337"/>
        <v>Baja</v>
      </c>
      <c r="AE73" s="428" t="str">
        <f t="shared" si="338"/>
        <v>Baja</v>
      </c>
      <c r="AF73" s="428" t="str">
        <f t="shared" si="339"/>
        <v>Baja</v>
      </c>
      <c r="AG73" s="428" t="str">
        <f t="shared" si="340"/>
        <v>Baja</v>
      </c>
      <c r="AH73" s="427"/>
      <c r="AI73" s="429">
        <f>IF(Y73=Modelo!$F$7,Modelo!$H$7,IF(Y73=Modelo!$F$8,Modelo!$H$8,IF(Y73=Modelo!$F$9,Modelo!$H$9,IF(Y73=Modelo!$F$10,Modelo!$H$10,IF(Y73=Modelo!$F$11,Modelo!$H$11,IF(Y73=Modelo!$F$12,Modelo!$H$12,IF(Y73=Modelo!$F$13,Modelo!$H$13,IF(Y73=Modelo!$F$14,Modelo!$H$14,IF(Y73=Modelo!$F$15,Modelo!$H$15,IF(Y73=Modelo!$F$16,Modelo!$H$16,IF(Y73=Modelo!$F$17,Modelo!$H$17,IF(Y73=Modelo!$F$18,Modelo!$H$18,IF(Y73=Modelo!$F$19,Modelo!$H$19,IF(Y73=Modelo!$F$20,Modelo!$H$20,IF(Y73=Modelo!$F$21,Modelo!$H$21,IF(Y73=Modelo!$F$22,Modelo!$H$22,0))))))))))))))))</f>
        <v>0.30000000000000004</v>
      </c>
      <c r="AJ73" s="429">
        <f>IF(Y73=Modelo!$F$7,Modelo!$I$7,IF(Y73=Modelo!$F$8,Modelo!$I$8,IF(Y73=Modelo!$F$9,Modelo!$I$9,IF(Y73=Modelo!$F$10,Modelo!$I$10,IF(Y73=Modelo!$F$11,Modelo!$I$11,IF(Y73=Modelo!$F$12,Modelo!$I$12,IF(Y73=Modelo!$F$13,Modelo!$I$13,IF(Y73=Modelo!$F$14,Modelo!$I$14,IF(Y73=Modelo!$F$15,Modelo!$I$15,IF(Y73=Modelo!$F$16,Modelo!$I$16,IF(Y73=Modelo!$F$17,Modelo!$I$17,IF(Y73=Modelo!$F$18,Modelo!$I$18,IF(Y73=Modelo!$F$19,Modelo!$I$19,IF(Y73=Modelo!$F$20,Modelo!$I$20,IF(Y73=Modelo!$F$21,Modelo!$I$21,IF(Y73=Modelo!$F$22,Modelo!$I$22,0))))))))))))))))</f>
        <v>0.1</v>
      </c>
      <c r="AK73" s="429">
        <f>IF(Z73=Modelo!$F$23,Modelo!$H$23,IF(Z73=Modelo!$F$24,Modelo!$H$24,IF(Z73=Modelo!$F$25,Modelo!$H$25,0)))</f>
        <v>1</v>
      </c>
      <c r="AL73" s="429">
        <f>IF(AA73=Modelo!$F$26,Modelo!$H$26,IF(AA73=Modelo!$F$27,Modelo!$H$27,IF(AA73=Modelo!$F$28,Modelo!$H$28,0)))</f>
        <v>0.1</v>
      </c>
      <c r="AM73" s="429">
        <f>IF(AB73=Modelo!$F$30,Modelo!$H$30,IF(AB73=Modelo!$F$31,Modelo!$H$31,IF(AB73=Modelo!$F$32,Modelo!$H$32,0)))</f>
        <v>0.8</v>
      </c>
      <c r="AN73" s="429">
        <f>IF(AC73=Modelo!$F$33,Modelo!$H$33,IF(AC73=Modelo!$F$34,Modelo!$H$34,IF(AC73=Modelo!$F$35,Modelo!$H$35,0)))</f>
        <v>0.3</v>
      </c>
      <c r="AO73" s="429">
        <f>IF(AD73=Modelo!$F$37,Modelo!$H$37,IF(AD73=Modelo!$F$38,Modelo!$H$38,IF(AD73=Modelo!$F$39,Modelo!$H$39,0)))</f>
        <v>0.8</v>
      </c>
      <c r="AP73" s="429">
        <f>IF(AE73=Modelo!$F$40,Modelo!$H$40,IF(AE73=Modelo!$F$41,Modelo!$H$41,IF(AE73=Modelo!$F$42,Modelo!$H$42,0)))</f>
        <v>0.4</v>
      </c>
      <c r="AQ73" s="428">
        <f>IF(C73=Modelo!$F$44,Modelo!$H$44,IF(C73=Modelo!$F$45,Modelo!$H$45,IF(C73=Modelo!$F$46,Modelo!$H$46,IF(C73=Modelo!$F$47,Modelo!$H$47,IF(C73=Modelo!$F$48,Modelo!$H$48,IF(C73=Modelo!$F$49,Modelo!$H$49,IF(C73=Modelo!$F$50,Modelo!$H$50,IF(C73=Modelo!$F$51,Modelo!$H$51,IF(C73=Modelo!$F$52,Modelo!$H$52,IF(C73=Modelo!$F$53,Modelo!$H$53,0))))))))))</f>
        <v>2.2000000000000002</v>
      </c>
      <c r="AR73" s="429">
        <f>IF(AF73=Modelo!$F$54,Modelo!$H$54,IF(AF73=Modelo!$F$55,Modelo!$H$55,IF(AF73=Modelo!$F$56,Modelo!$H$56,0)))</f>
        <v>1</v>
      </c>
      <c r="AS73" s="429">
        <f>IF(AG73=Modelo!$F$58,Modelo!$H$58,IF(AG73=Modelo!$F$59,Modelo!$H$59,IF(AG73=Modelo!$F$60,Modelo!$H$60,0)))</f>
        <v>0.9</v>
      </c>
      <c r="AT73" s="427"/>
      <c r="AU73" s="431">
        <f>Modelo!$H$2</f>
        <v>0.05</v>
      </c>
      <c r="AV73" s="432">
        <f>ROUNDUP(Modelo!$I$2*Modelo!$H$3*Modelo!$I$75,2)</f>
        <v>0.02</v>
      </c>
      <c r="AW73" s="433">
        <f>ROUNDUP(Modelo!$I$2*Modelo!$H$3*Modelo!$H$4*Modelo!$I$75,3)</f>
        <v>3.0000000000000001E-3</v>
      </c>
      <c r="AX73" s="431">
        <f>Modelo!$H$5</f>
        <v>0.04</v>
      </c>
      <c r="AY73" s="431">
        <f>ROUNDUP(SUM(AZ73,BB73,BD73,BF73)*Modelo!$H$6,1)</f>
        <v>0.2</v>
      </c>
      <c r="AZ73" s="431">
        <f>ROUNDUP((AI73*AK73+0.1)*Modelo!$I$75,1)</f>
        <v>0.4</v>
      </c>
      <c r="BA73" s="431">
        <f>ROUNDUP(AJ73*AK73*AL73*Modelo!$I$75,1)</f>
        <v>0.1</v>
      </c>
      <c r="BB73" s="431">
        <f>ROUNDUP(V73*Modelo!$H$29*AM73*Modelo!$I$75*2/3,1)</f>
        <v>0</v>
      </c>
      <c r="BC73" s="431">
        <f>ROUNDUP(V73*Modelo!$H$29*AM73*AN73*Modelo!$I$75*2/3,1)</f>
        <v>0</v>
      </c>
      <c r="BD73" s="431">
        <f>ROUNDUP(V73*Modelo!$H$29*AM73*Modelo!$I$75/3,1)</f>
        <v>0</v>
      </c>
      <c r="BE73" s="431">
        <f>ROUNDUP(V73*Modelo!$H$29*AM73*AN73*Modelo!$I$75/3,1)</f>
        <v>0</v>
      </c>
      <c r="BF73" s="431">
        <f>ROUNDUP(W73*Modelo!$H$36*AO73*Modelo!$I$75,1)</f>
        <v>0</v>
      </c>
      <c r="BG73" s="431">
        <f>ROUNDUP(W73*Modelo!$H$36*AO73*AP73*Modelo!$I$75,1)</f>
        <v>0</v>
      </c>
      <c r="BH73" s="431">
        <f>Modelo!$H$43</f>
        <v>0.04</v>
      </c>
      <c r="BI73" s="431">
        <f>ROUNDUP(SUM(ROUNDUP(AI73*AK73+0.1,1),ROUNDUP(V73*Modelo!$H$29*AM73,1),ROUNDUP(W73*Modelo!$H$36*AO73,1))*AR73*AQ73*Modelo!$I$75,1)</f>
        <v>0.9</v>
      </c>
      <c r="BJ73" s="431">
        <f t="shared" si="341"/>
        <v>0</v>
      </c>
      <c r="BK73" s="431">
        <f t="shared" si="342"/>
        <v>0</v>
      </c>
      <c r="BL73" s="431">
        <f t="shared" si="343"/>
        <v>0</v>
      </c>
      <c r="BM73" s="431">
        <f t="shared" si="344"/>
        <v>0</v>
      </c>
      <c r="BN73" s="431">
        <f>ROUNDUP(SUM(ROUNDUP(AI73*AK73+0.1,1),ROUNDUP(V73*Modelo!$H$29*AM73,1),ROUNDUP(W73*Modelo!$H$36*AO73,1))*AQ73*AS73*Modelo!$H$57,1)</f>
        <v>0.4</v>
      </c>
      <c r="BO73" s="431">
        <f t="shared" si="345"/>
        <v>0.85499999999999998</v>
      </c>
      <c r="BP73" s="431">
        <f>Modelo!$H$61</f>
        <v>0.04</v>
      </c>
      <c r="BQ73" s="431">
        <f>ROUNDUP(SUM(ROUNDUP(AI73*AK73+0.1,1),ROUNDUP(V73*Modelo!$H$29*AM73,1),ROUNDUP(W73*Modelo!$H$36*AO73,1))*Modelo!$H$62*Modelo!$I$75,1)</f>
        <v>0.1</v>
      </c>
      <c r="BR73" s="431">
        <f>ROUNDUP(ROUNDUP(SUM(ROUNDUP(AI73*AK73+0.1,1),ROUNDUP(V73*Modelo!$H$29*AM73,1),ROUNDUP(W73*Modelo!$H$36*AO73,1))*Modelo!$H$62,1)*Modelo!$H$63*Modelo!$I$75,1)</f>
        <v>0.1</v>
      </c>
      <c r="BS73" s="431">
        <f>SUM(ROUNDUP(AI73*AK73+0.1,1),ROUNDUP(V73*Modelo!$H$29*AM73,1),ROUNDUP(W73*Modelo!$H$36*AO73,1))*Modelo!$H$64*Modelo!$I$75</f>
        <v>8.0000000000000016E-2</v>
      </c>
      <c r="BT73" s="431">
        <f>ROUNDUP(SUM(ROUNDUP(AI73*AK73+0.1,1),ROUNDUP(V73*Modelo!$H$29*AM73,1),ROUNDUP(W73*Modelo!$H$36*AO73,1))*Modelo!$H$64*Modelo!$H$65*Modelo!$I$75,1)</f>
        <v>0.1</v>
      </c>
      <c r="BU73" s="431">
        <f>Modelo!$H$66</f>
        <v>0.04</v>
      </c>
      <c r="BV73" s="431">
        <f>ROUNDUP(SUM(ROUNDUP(AI73*AK73+0.1,1),ROUNDUP(V73*Modelo!$H$29*AM73,1),ROUNDUP(W73*Modelo!$H$36*AO73,1))*Modelo!$H$69,1)</f>
        <v>0.1</v>
      </c>
      <c r="BW73" s="431">
        <f>ROUNDUP(ROUNDUP(SUM(ROUNDUP(AI73*AK73+0.1,1),ROUNDUP(V73*Modelo!$H$29*AM73,1),ROUNDUP(W73*Modelo!$H$36*AO73,1))*Modelo!$H$62,1)*Modelo!$H$71,1)</f>
        <v>0.2</v>
      </c>
      <c r="BX73" s="430">
        <f t="shared" si="346"/>
        <v>3.7680000000000007</v>
      </c>
      <c r="BZ73" s="426">
        <f t="shared" si="347"/>
        <v>1.105</v>
      </c>
      <c r="CA73" s="425">
        <f t="shared" si="348"/>
        <v>1.3</v>
      </c>
      <c r="CB73" s="426">
        <f t="shared" si="349"/>
        <v>1.8199999999999998</v>
      </c>
      <c r="CD73" s="420">
        <v>0</v>
      </c>
      <c r="CF73" s="426">
        <f t="shared" si="350"/>
        <v>0</v>
      </c>
    </row>
    <row r="74" spans="3:84" s="426" customFormat="1" ht="15.75" thickBot="1" x14ac:dyDescent="0.25">
      <c r="C74" s="461" t="s">
        <v>98</v>
      </c>
      <c r="D74" s="440" t="s">
        <v>520</v>
      </c>
      <c r="E74" s="440" t="str">
        <f t="shared" ref="E74:E77" si="352">IF(U74&gt;50,"A",IF(U74&gt;15,"M","B"))</f>
        <v>B</v>
      </c>
      <c r="F74" s="440" t="s">
        <v>459</v>
      </c>
      <c r="G74" s="440" t="s">
        <v>459</v>
      </c>
      <c r="H74" s="440" t="str">
        <f t="shared" ref="H74:H77" si="353">IF(V74+W74&gt;20,"A",IF(V74+W74&gt;5,"M","B"))</f>
        <v>B</v>
      </c>
      <c r="I74" s="440" t="str">
        <f t="shared" ref="I74:I77" si="354">IF(V74+W74&gt;15,"A",IF(V74+W74&gt;4,"M","B"))</f>
        <v>B</v>
      </c>
      <c r="J74" s="437">
        <f t="shared" ref="J74:J77" si="355">V74+W74</f>
        <v>1</v>
      </c>
      <c r="K74" s="436" t="str">
        <f t="shared" ref="K74:K77" si="356">Y74</f>
        <v>Chica 1</v>
      </c>
      <c r="L74" s="447" t="s">
        <v>590</v>
      </c>
      <c r="M74" s="434">
        <f t="shared" ref="M74:M77" si="357">BI74+BJ74+BK74+BL74+BM74</f>
        <v>2.7</v>
      </c>
      <c r="N74" s="434">
        <f t="shared" ref="N74:N76" si="358">BN74</f>
        <v>1.1000000000000001</v>
      </c>
      <c r="O74" s="442">
        <f t="shared" ref="O74:O77" si="359">SUM(M74,N74)</f>
        <v>3.8000000000000003</v>
      </c>
      <c r="Q74" s="408"/>
      <c r="R74" s="408"/>
      <c r="S74" s="408"/>
      <c r="T74" s="425"/>
      <c r="U74" s="441">
        <v>6</v>
      </c>
      <c r="V74" s="441">
        <v>1</v>
      </c>
      <c r="W74" s="441">
        <v>0</v>
      </c>
      <c r="X74" s="438"/>
      <c r="Y74" s="428" t="str">
        <f t="shared" ref="Y74:Y77" si="360">IF(AND(U74&gt;=0,U74&lt;=6),"Chica 1",IF(AND(U74&gt;=7,U74&lt;=12),"Chica 2",IF(AND(U74&gt;=13,U74&lt;=18),"Chica 3",IF(AND(U74&gt;=19,U74&lt;=24),"Chica 4",IF(AND(U74&gt;=25,U74&lt;=30),"Mediana 1",IF(AND(U74&gt;=31,U74&lt;=36),"Mediana 2",IF(AND(U74&gt;=37,U74&lt;=42),"Mediana 3",IF(AND(U74&gt;=43,U74&lt;=48),"Mediana 4",IF(AND(U74&gt;=49,U74&lt;=54),"Grande 1",IF(AND(U74&gt;=55,U74&lt;=60),"Grande 2",IF(AND(U74&gt;=61,U74&lt;=66),"Grande 3",IF(AND(U74&gt;=67,U74&lt;=72),"Grande 4",IF(AND(U74&gt;=73,U74&lt;=78),"M. grande 1",IF(AND(U74&gt;=79,U74&lt;=84),"M. grande 2",IF(AND(U74&gt;=85,U74&lt;=90),"M. grande 3",IF(AND(U74&gt;=91,U74&lt;=96),"M. grande 4","NO DEF"))))))))))))))))</f>
        <v>Chica 1</v>
      </c>
      <c r="Z74" s="428" t="str">
        <f t="shared" ref="Z74:Z77" si="361">IF(E74="A","Alta",IF(E74="M","Media","Baja"))</f>
        <v>Baja</v>
      </c>
      <c r="AA74" s="428" t="str">
        <f t="shared" ref="AA74:AA77" si="362">IF(E74="A","Alta",IF(E74="M","Media","Baja"))</f>
        <v>Baja</v>
      </c>
      <c r="AB74" s="428" t="str">
        <f t="shared" ref="AB74:AB77" si="363">IF(F74="A","Alta",IF(F74="M","Media","Baja"))</f>
        <v>Baja</v>
      </c>
      <c r="AC74" s="428" t="str">
        <f t="shared" ref="AC74:AC77" si="364">IF(F74="A","Alta",IF(F74="M","Media","Baja"))</f>
        <v>Baja</v>
      </c>
      <c r="AD74" s="428" t="str">
        <f t="shared" ref="AD74:AD77" si="365">IF(G74="A","Alta",IF(G74="M","Media","Baja"))</f>
        <v>Baja</v>
      </c>
      <c r="AE74" s="428" t="str">
        <f t="shared" ref="AE74:AE77" si="366">IF(G74="A","Alta",IF(G74="M","Media","Baja"))</f>
        <v>Baja</v>
      </c>
      <c r="AF74" s="428" t="str">
        <f t="shared" ref="AF74:AF77" si="367">IF(H74="A","Alta",IF(H74="M","Media","Baja"))</f>
        <v>Baja</v>
      </c>
      <c r="AG74" s="428" t="str">
        <f t="shared" ref="AG74:AG77" si="368">IF(I74="A","Alta",IF(I74="M","Media","Baja"))</f>
        <v>Baja</v>
      </c>
      <c r="AH74" s="427"/>
      <c r="AI74" s="429">
        <f>IF(Y74=Modelo!$F$7,Modelo!$H$7,IF(Y74=Modelo!$F$8,Modelo!$H$8,IF(Y74=Modelo!$F$9,Modelo!$H$9,IF(Y74=Modelo!$F$10,Modelo!$H$10,IF(Y74=Modelo!$F$11,Modelo!$H$11,IF(Y74=Modelo!$F$12,Modelo!$H$12,IF(Y74=Modelo!$F$13,Modelo!$H$13,IF(Y74=Modelo!$F$14,Modelo!$H$14,IF(Y74=Modelo!$F$15,Modelo!$H$15,IF(Y74=Modelo!$F$16,Modelo!$H$16,IF(Y74=Modelo!$F$17,Modelo!$H$17,IF(Y74=Modelo!$F$18,Modelo!$H$18,IF(Y74=Modelo!$F$19,Modelo!$H$19,IF(Y74=Modelo!$F$20,Modelo!$H$20,IF(Y74=Modelo!$F$21,Modelo!$H$21,IF(Y74=Modelo!$F$22,Modelo!$H$22,0))))))))))))))))</f>
        <v>0.30000000000000004</v>
      </c>
      <c r="AJ74" s="429">
        <f>IF(Y74=Modelo!$F$7,Modelo!$I$7,IF(Y74=Modelo!$F$8,Modelo!$I$8,IF(Y74=Modelo!$F$9,Modelo!$I$9,IF(Y74=Modelo!$F$10,Modelo!$I$10,IF(Y74=Modelo!$F$11,Modelo!$I$11,IF(Y74=Modelo!$F$12,Modelo!$I$12,IF(Y74=Modelo!$F$13,Modelo!$I$13,IF(Y74=Modelo!$F$14,Modelo!$I$14,IF(Y74=Modelo!$F$15,Modelo!$I$15,IF(Y74=Modelo!$F$16,Modelo!$I$16,IF(Y74=Modelo!$F$17,Modelo!$I$17,IF(Y74=Modelo!$F$18,Modelo!$I$18,IF(Y74=Modelo!$F$19,Modelo!$I$19,IF(Y74=Modelo!$F$20,Modelo!$I$20,IF(Y74=Modelo!$F$21,Modelo!$I$21,IF(Y74=Modelo!$F$22,Modelo!$I$22,0))))))))))))))))</f>
        <v>0.1</v>
      </c>
      <c r="AK74" s="429">
        <f>IF(Z74=Modelo!$F$23,Modelo!$H$23,IF(Z74=Modelo!$F$24,Modelo!$H$24,IF(Z74=Modelo!$F$25,Modelo!$H$25,0)))</f>
        <v>1</v>
      </c>
      <c r="AL74" s="429">
        <f>IF(AA74=Modelo!$F$26,Modelo!$H$26,IF(AA74=Modelo!$F$27,Modelo!$H$27,IF(AA74=Modelo!$F$28,Modelo!$H$28,0)))</f>
        <v>0.1</v>
      </c>
      <c r="AM74" s="429">
        <f>IF(AB74=Modelo!$F$30,Modelo!$H$30,IF(AB74=Modelo!$F$31,Modelo!$H$31,IF(AB74=Modelo!$F$32,Modelo!$H$32,0)))</f>
        <v>0.8</v>
      </c>
      <c r="AN74" s="429">
        <f>IF(AC74=Modelo!$F$33,Modelo!$H$33,IF(AC74=Modelo!$F$34,Modelo!$H$34,IF(AC74=Modelo!$F$35,Modelo!$H$35,0)))</f>
        <v>0.3</v>
      </c>
      <c r="AO74" s="429">
        <f>IF(AD74=Modelo!$F$37,Modelo!$H$37,IF(AD74=Modelo!$F$38,Modelo!$H$38,IF(AD74=Modelo!$F$39,Modelo!$H$39,0)))</f>
        <v>0.8</v>
      </c>
      <c r="AP74" s="429">
        <f>IF(AE74=Modelo!$F$40,Modelo!$H$40,IF(AE74=Modelo!$F$41,Modelo!$H$41,IF(AE74=Modelo!$F$42,Modelo!$H$42,0)))</f>
        <v>0.4</v>
      </c>
      <c r="AQ74" s="428">
        <f>IF(C74=Modelo!$F$44,Modelo!$H$44,IF(C74=Modelo!$F$45,Modelo!$H$45,IF(C74=Modelo!$F$46,Modelo!$H$46,IF(C74=Modelo!$F$47,Modelo!$H$47,IF(C74=Modelo!$F$48,Modelo!$H$48,IF(C74=Modelo!$F$49,Modelo!$H$49,IF(C74=Modelo!$F$50,Modelo!$H$50,IF(C74=Modelo!$F$51,Modelo!$H$51,IF(C74=Modelo!$F$52,Modelo!$H$52,IF(C74=Modelo!$F$53,Modelo!$H$53,0))))))))))</f>
        <v>2.2000000000000002</v>
      </c>
      <c r="AR74" s="429">
        <f>IF(AF74=Modelo!$F$54,Modelo!$H$54,IF(AF74=Modelo!$F$55,Modelo!$H$55,IF(AF74=Modelo!$F$56,Modelo!$H$56,0)))</f>
        <v>1</v>
      </c>
      <c r="AS74" s="429">
        <f>IF(AG74=Modelo!$F$58,Modelo!$H$58,IF(AG74=Modelo!$F$59,Modelo!$H$59,IF(AG74=Modelo!$F$60,Modelo!$H$60,0)))</f>
        <v>0.9</v>
      </c>
      <c r="AT74" s="427"/>
      <c r="AU74" s="431">
        <f>Modelo!$H$2</f>
        <v>0.05</v>
      </c>
      <c r="AV74" s="432">
        <f>ROUNDUP(Modelo!$I$2*Modelo!$H$3*Modelo!$I$75,2)</f>
        <v>0.02</v>
      </c>
      <c r="AW74" s="433">
        <f>ROUNDUP(Modelo!$I$2*Modelo!$H$3*Modelo!$H$4*Modelo!$I$75,3)</f>
        <v>3.0000000000000001E-3</v>
      </c>
      <c r="AX74" s="431">
        <f>Modelo!$H$5</f>
        <v>0.04</v>
      </c>
      <c r="AY74" s="431">
        <f>ROUNDUP(SUM(AZ74,BB74,BD74,BF74)*Modelo!$H$6,1)</f>
        <v>0.5</v>
      </c>
      <c r="AZ74" s="431">
        <f>ROUNDUP((AI74*AK74+0.1)*Modelo!$I$75,1)</f>
        <v>0.4</v>
      </c>
      <c r="BA74" s="431">
        <f>ROUNDUP(AJ74*AK74*AL74*Modelo!$I$75,1)</f>
        <v>0.1</v>
      </c>
      <c r="BB74" s="431">
        <f>ROUNDUP(V74*Modelo!$H$29*AM74*Modelo!$I$75*2/3,1)</f>
        <v>0.6</v>
      </c>
      <c r="BC74" s="431">
        <f>ROUNDUP(V74*Modelo!$H$29*AM74*AN74*Modelo!$I$75*2/3,1)</f>
        <v>0.2</v>
      </c>
      <c r="BD74" s="431">
        <f>ROUNDUP(V74*Modelo!$H$29*AM74*Modelo!$I$75/3,1)</f>
        <v>0.30000000000000004</v>
      </c>
      <c r="BE74" s="431">
        <f>ROUNDUP(V74*Modelo!$H$29*AM74*AN74*Modelo!$I$75/3,1)</f>
        <v>0.1</v>
      </c>
      <c r="BF74" s="431">
        <f>ROUNDUP(W74*Modelo!$H$36*AO74*Modelo!$I$75,1)</f>
        <v>0</v>
      </c>
      <c r="BG74" s="431">
        <f>ROUNDUP(W74*Modelo!$H$36*AO74*AP74*Modelo!$I$75,1)</f>
        <v>0</v>
      </c>
      <c r="BH74" s="431">
        <f>Modelo!$H$43</f>
        <v>0.04</v>
      </c>
      <c r="BI74" s="431">
        <f>ROUNDUP(SUM(ROUNDUP(AI74*AK74+0.1,1),ROUNDUP(V74*Modelo!$H$29*AM74,1),ROUNDUP(W74*Modelo!$H$36*AO74,1))*AR74*AQ74*Modelo!$I$75,1)</f>
        <v>2.7</v>
      </c>
      <c r="BJ74" s="431">
        <f t="shared" ref="BJ74:BJ77" si="369">IF(K$31="x",0, BI74*0.1*1.25)</f>
        <v>0</v>
      </c>
      <c r="BK74" s="431">
        <f t="shared" ref="BK74:BK77" si="370">IF(Q74="x",(BI74)*0.1,0)</f>
        <v>0</v>
      </c>
      <c r="BL74" s="431">
        <f t="shared" ref="BL74:BL77" si="371">IF(R74="x",(BI74)*0.12,0)</f>
        <v>0</v>
      </c>
      <c r="BM74" s="431">
        <f t="shared" ref="BM74:BM77" si="372">IF(S74="x",(BI74)*0.12,0)*4</f>
        <v>0</v>
      </c>
      <c r="BN74" s="431">
        <f>ROUNDUP(SUM(ROUNDUP(AI74*AK74+0.1,1),ROUNDUP(V74*Modelo!$H$29*AM74,1),ROUNDUP(W74*Modelo!$H$36*AO74,1))*AQ74*AS74*Modelo!$H$57,1)</f>
        <v>1.1000000000000001</v>
      </c>
      <c r="BO74" s="431">
        <f t="shared" ref="BO74:BO77" si="373">BI74*0.1
+IF(K$15="x",0,BI74*0.05)
+IF(K$27="x",0,BI74*0.2)
+IF(K$28="x",0,BI74*0.5)
+IF(OR(K$29="x",K$30="x"),0,BI74*0.05)
+IF(K$31="x",0,BI74*0.3)
+IF(Q74="x",0,BI74*0.5)
+IF(OR(R74="x",S74="x"),0,BI74*0.15)</f>
        <v>2.5650000000000004</v>
      </c>
      <c r="BP74" s="431">
        <f>Modelo!$H$61</f>
        <v>0.04</v>
      </c>
      <c r="BQ74" s="431">
        <f>ROUNDUP(SUM(ROUNDUP(AI74*AK74+0.1,1),ROUNDUP(V74*Modelo!$H$29*AM74,1),ROUNDUP(W74*Modelo!$H$36*AO74,1))*Modelo!$H$62*Modelo!$I$75,1)</f>
        <v>0.1</v>
      </c>
      <c r="BR74" s="431">
        <f>ROUNDUP(ROUNDUP(SUM(ROUNDUP(AI74*AK74+0.1,1),ROUNDUP(V74*Modelo!$H$29*AM74,1),ROUNDUP(W74*Modelo!$H$36*AO74,1))*Modelo!$H$62,1)*Modelo!$H$63*Modelo!$I$75,1)</f>
        <v>0.1</v>
      </c>
      <c r="BS74" s="431">
        <f>SUM(ROUNDUP(AI74*AK74+0.1,1),ROUNDUP(V74*Modelo!$H$29*AM74,1),ROUNDUP(W74*Modelo!$H$36*AO74,1))*Modelo!$H$64*Modelo!$I$75</f>
        <v>0.24000000000000005</v>
      </c>
      <c r="BT74" s="431">
        <f>ROUNDUP(SUM(ROUNDUP(AI74*AK74+0.1,1),ROUNDUP(V74*Modelo!$H$29*AM74,1),ROUNDUP(W74*Modelo!$H$36*AO74,1))*Modelo!$H$64*Modelo!$H$65*Modelo!$I$75,1)</f>
        <v>0.2</v>
      </c>
      <c r="BU74" s="431">
        <f>Modelo!$H$66</f>
        <v>0.04</v>
      </c>
      <c r="BV74" s="431">
        <f>ROUNDUP(SUM(ROUNDUP(AI74*AK74+0.1,1),ROUNDUP(V74*Modelo!$H$29*AM74,1),ROUNDUP(W74*Modelo!$H$36*AO74,1))*Modelo!$H$69,1)</f>
        <v>0.30000000000000004</v>
      </c>
      <c r="BW74" s="431">
        <f>ROUNDUP(ROUNDUP(SUM(ROUNDUP(AI74*AK74+0.1,1),ROUNDUP(V74*Modelo!$H$29*AM74,1),ROUNDUP(W74*Modelo!$H$36*AO74,1))*Modelo!$H$62,1)*Modelo!$H$71,1)</f>
        <v>0.2</v>
      </c>
      <c r="BX74" s="430">
        <f t="shared" ref="BX74:BX77" si="374">SUM(AU74:BW74)</f>
        <v>9.9379999999999971</v>
      </c>
      <c r="BZ74" s="426">
        <f t="shared" ref="BZ74:BZ77" si="375">CA74*0.85</f>
        <v>3.23</v>
      </c>
      <c r="CA74" s="425">
        <f t="shared" ref="CA74:CA77" si="376">O74</f>
        <v>3.8000000000000003</v>
      </c>
      <c r="CB74" s="426">
        <f t="shared" ref="CB74:CB77" si="377">IF(CA74=0,1,CA74*1.4)</f>
        <v>5.32</v>
      </c>
      <c r="CD74" s="420">
        <v>0</v>
      </c>
      <c r="CF74" s="426">
        <f t="shared" ref="CF74:CF77" si="378">IF(CC74&lt;&gt;"",CC74,CD74)</f>
        <v>0</v>
      </c>
    </row>
    <row r="75" spans="3:84" s="426" customFormat="1" ht="15.75" thickBot="1" x14ac:dyDescent="0.25">
      <c r="C75" s="461" t="s">
        <v>100</v>
      </c>
      <c r="D75" s="440" t="s">
        <v>18</v>
      </c>
      <c r="E75" s="440" t="str">
        <f t="shared" ref="E75" si="379">IF(U75&gt;50,"A",IF(U75&gt;15,"M","B"))</f>
        <v>A</v>
      </c>
      <c r="F75" s="440" t="s">
        <v>459</v>
      </c>
      <c r="G75" s="440" t="s">
        <v>459</v>
      </c>
      <c r="H75" s="440" t="str">
        <f t="shared" ref="H75" si="380">IF(V75+W75&gt;20,"A",IF(V75+W75&gt;5,"M","B"))</f>
        <v>B</v>
      </c>
      <c r="I75" s="440" t="str">
        <f t="shared" ref="I75" si="381">IF(V75+W75&gt;15,"A",IF(V75+W75&gt;4,"M","B"))</f>
        <v>B</v>
      </c>
      <c r="J75" s="437">
        <f t="shared" ref="J75" si="382">V75+W75</f>
        <v>3</v>
      </c>
      <c r="K75" s="436" t="str">
        <f t="shared" ref="K75" si="383">Y75</f>
        <v>Grande 2</v>
      </c>
      <c r="L75" s="447" t="s">
        <v>591</v>
      </c>
      <c r="M75" s="434">
        <f t="shared" ref="M75" si="384">BI75+BJ75+BK75+BL75+BM75</f>
        <v>10.5</v>
      </c>
      <c r="N75" s="434">
        <f t="shared" ref="N75" si="385">BN75</f>
        <v>4.3</v>
      </c>
      <c r="O75" s="442">
        <f t="shared" ref="O75" si="386">SUM(M75,N75)</f>
        <v>14.8</v>
      </c>
      <c r="Q75" s="408"/>
      <c r="R75" s="408"/>
      <c r="S75" s="408"/>
      <c r="T75" s="425"/>
      <c r="U75" s="441">
        <v>60</v>
      </c>
      <c r="V75" s="441">
        <v>2</v>
      </c>
      <c r="W75" s="441">
        <v>1</v>
      </c>
      <c r="X75" s="438"/>
      <c r="Y75" s="428" t="str">
        <f t="shared" ref="Y75" si="387">IF(AND(U75&gt;=0,U75&lt;=6),"Chica 1",IF(AND(U75&gt;=7,U75&lt;=12),"Chica 2",IF(AND(U75&gt;=13,U75&lt;=18),"Chica 3",IF(AND(U75&gt;=19,U75&lt;=24),"Chica 4",IF(AND(U75&gt;=25,U75&lt;=30),"Mediana 1",IF(AND(U75&gt;=31,U75&lt;=36),"Mediana 2",IF(AND(U75&gt;=37,U75&lt;=42),"Mediana 3",IF(AND(U75&gt;=43,U75&lt;=48),"Mediana 4",IF(AND(U75&gt;=49,U75&lt;=54),"Grande 1",IF(AND(U75&gt;=55,U75&lt;=60),"Grande 2",IF(AND(U75&gt;=61,U75&lt;=66),"Grande 3",IF(AND(U75&gt;=67,U75&lt;=72),"Grande 4",IF(AND(U75&gt;=73,U75&lt;=78),"M. grande 1",IF(AND(U75&gt;=79,U75&lt;=84),"M. grande 2",IF(AND(U75&gt;=85,U75&lt;=90),"M. grande 3",IF(AND(U75&gt;=91,U75&lt;=96),"M. grande 4","NO DEF"))))))))))))))))</f>
        <v>Grande 2</v>
      </c>
      <c r="Z75" s="428" t="str">
        <f t="shared" ref="Z75" si="388">IF(E75="A","Alta",IF(E75="M","Media","Baja"))</f>
        <v>Alta</v>
      </c>
      <c r="AA75" s="428" t="str">
        <f t="shared" ref="AA75" si="389">IF(E75="A","Alta",IF(E75="M","Media","Baja"))</f>
        <v>Alta</v>
      </c>
      <c r="AB75" s="428" t="str">
        <f t="shared" ref="AB75" si="390">IF(F75="A","Alta",IF(F75="M","Media","Baja"))</f>
        <v>Baja</v>
      </c>
      <c r="AC75" s="428" t="str">
        <f t="shared" ref="AC75" si="391">IF(F75="A","Alta",IF(F75="M","Media","Baja"))</f>
        <v>Baja</v>
      </c>
      <c r="AD75" s="428" t="str">
        <f t="shared" ref="AD75" si="392">IF(G75="A","Alta",IF(G75="M","Media","Baja"))</f>
        <v>Baja</v>
      </c>
      <c r="AE75" s="428" t="str">
        <f t="shared" ref="AE75" si="393">IF(G75="A","Alta",IF(G75="M","Media","Baja"))</f>
        <v>Baja</v>
      </c>
      <c r="AF75" s="428" t="str">
        <f t="shared" ref="AF75" si="394">IF(H75="A","Alta",IF(H75="M","Media","Baja"))</f>
        <v>Baja</v>
      </c>
      <c r="AG75" s="428" t="str">
        <f t="shared" ref="AG75" si="395">IF(I75="A","Alta",IF(I75="M","Media","Baja"))</f>
        <v>Baja</v>
      </c>
      <c r="AH75" s="427"/>
      <c r="AI75" s="429">
        <f>IF(Y75=Modelo!$F$7,Modelo!$H$7,IF(Y75=Modelo!$F$8,Modelo!$H$8,IF(Y75=Modelo!$F$9,Modelo!$H$9,IF(Y75=Modelo!$F$10,Modelo!$H$10,IF(Y75=Modelo!$F$11,Modelo!$H$11,IF(Y75=Modelo!$F$12,Modelo!$H$12,IF(Y75=Modelo!$F$13,Modelo!$H$13,IF(Y75=Modelo!$F$14,Modelo!$H$14,IF(Y75=Modelo!$F$15,Modelo!$H$15,IF(Y75=Modelo!$F$16,Modelo!$H$16,IF(Y75=Modelo!$F$17,Modelo!$H$17,IF(Y75=Modelo!$F$18,Modelo!$H$18,IF(Y75=Modelo!$F$19,Modelo!$H$19,IF(Y75=Modelo!$F$20,Modelo!$H$20,IF(Y75=Modelo!$F$21,Modelo!$H$21,IF(Y75=Modelo!$F$22,Modelo!$H$22,0))))))))))))))))</f>
        <v>3</v>
      </c>
      <c r="AJ75" s="429">
        <f>IF(Y75=Modelo!$F$7,Modelo!$I$7,IF(Y75=Modelo!$F$8,Modelo!$I$8,IF(Y75=Modelo!$F$9,Modelo!$I$9,IF(Y75=Modelo!$F$10,Modelo!$I$10,IF(Y75=Modelo!$F$11,Modelo!$I$11,IF(Y75=Modelo!$F$12,Modelo!$I$12,IF(Y75=Modelo!$F$13,Modelo!$I$13,IF(Y75=Modelo!$F$14,Modelo!$I$14,IF(Y75=Modelo!$F$15,Modelo!$I$15,IF(Y75=Modelo!$F$16,Modelo!$I$16,IF(Y75=Modelo!$F$17,Modelo!$I$17,IF(Y75=Modelo!$F$18,Modelo!$I$18,IF(Y75=Modelo!$F$19,Modelo!$I$19,IF(Y75=Modelo!$F$20,Modelo!$I$20,IF(Y75=Modelo!$F$21,Modelo!$I$21,IF(Y75=Modelo!$F$22,Modelo!$I$22,0))))))))))))))))</f>
        <v>1</v>
      </c>
      <c r="AK75" s="429">
        <f>IF(Z75=Modelo!$F$23,Modelo!$H$23,IF(Z75=Modelo!$F$24,Modelo!$H$24,IF(Z75=Modelo!$F$25,Modelo!$H$25,0)))</f>
        <v>1.4</v>
      </c>
      <c r="AL75" s="429">
        <f>IF(AA75=Modelo!$F$26,Modelo!$H$26,IF(AA75=Modelo!$F$27,Modelo!$H$27,IF(AA75=Modelo!$F$28,Modelo!$H$28,0)))</f>
        <v>0.3</v>
      </c>
      <c r="AM75" s="429">
        <f>IF(AB75=Modelo!$F$30,Modelo!$H$30,IF(AB75=Modelo!$F$31,Modelo!$H$31,IF(AB75=Modelo!$F$32,Modelo!$H$32,0)))</f>
        <v>0.8</v>
      </c>
      <c r="AN75" s="429">
        <f>IF(AC75=Modelo!$F$33,Modelo!$H$33,IF(AC75=Modelo!$F$34,Modelo!$H$34,IF(AC75=Modelo!$F$35,Modelo!$H$35,0)))</f>
        <v>0.3</v>
      </c>
      <c r="AO75" s="429">
        <f>IF(AD75=Modelo!$F$37,Modelo!$H$37,IF(AD75=Modelo!$F$38,Modelo!$H$38,IF(AD75=Modelo!$F$39,Modelo!$H$39,0)))</f>
        <v>0.8</v>
      </c>
      <c r="AP75" s="429">
        <f>IF(AE75=Modelo!$F$40,Modelo!$H$40,IF(AE75=Modelo!$F$41,Modelo!$H$41,IF(AE75=Modelo!$F$42,Modelo!$H$42,0)))</f>
        <v>0.4</v>
      </c>
      <c r="AQ75" s="428">
        <f>IF(C75=Modelo!$F$44,Modelo!$H$44,IF(C75=Modelo!$F$45,Modelo!$H$45,IF(C75=Modelo!$F$46,Modelo!$H$46,IF(C75=Modelo!$F$47,Modelo!$H$47,IF(C75=Modelo!$F$48,Modelo!$H$48,IF(C75=Modelo!$F$49,Modelo!$H$49,IF(C75=Modelo!$F$50,Modelo!$H$50,IF(C75=Modelo!$F$51,Modelo!$H$51,IF(C75=Modelo!$F$52,Modelo!$H$52,IF(C75=Modelo!$F$53,Modelo!$H$53,0))))))))))</f>
        <v>1.4</v>
      </c>
      <c r="AR75" s="429">
        <f>IF(AF75=Modelo!$F$54,Modelo!$H$54,IF(AF75=Modelo!$F$55,Modelo!$H$55,IF(AF75=Modelo!$F$56,Modelo!$H$56,0)))</f>
        <v>1</v>
      </c>
      <c r="AS75" s="429">
        <f>IF(AG75=Modelo!$F$58,Modelo!$H$58,IF(AG75=Modelo!$F$59,Modelo!$H$59,IF(AG75=Modelo!$F$60,Modelo!$H$60,0)))</f>
        <v>0.9</v>
      </c>
      <c r="AT75" s="427"/>
      <c r="AU75" s="431">
        <f>Modelo!$H$2</f>
        <v>0.05</v>
      </c>
      <c r="AV75" s="432">
        <f>ROUNDUP(Modelo!$I$2*Modelo!$H$3*Modelo!$I$75,2)</f>
        <v>0.02</v>
      </c>
      <c r="AW75" s="433">
        <f>ROUNDUP(Modelo!$I$2*Modelo!$H$3*Modelo!$H$4*Modelo!$I$75,3)</f>
        <v>3.0000000000000001E-3</v>
      </c>
      <c r="AX75" s="431">
        <f>Modelo!$H$5</f>
        <v>0.04</v>
      </c>
      <c r="AY75" s="431">
        <f>ROUNDUP(SUM(AZ75,BB75,BD75,BF75)*Modelo!$H$6,1)</f>
        <v>2.6</v>
      </c>
      <c r="AZ75" s="431">
        <f>ROUNDUP((AI75*AK75+0.1)*Modelo!$I$75,1)</f>
        <v>4.3</v>
      </c>
      <c r="BA75" s="431">
        <f>ROUNDUP(AJ75*AK75*AL75*Modelo!$I$75,1)</f>
        <v>0.5</v>
      </c>
      <c r="BB75" s="431">
        <f>ROUNDUP(V75*Modelo!$H$29*AM75*Modelo!$I$75*2/3,1)</f>
        <v>1.1000000000000001</v>
      </c>
      <c r="BC75" s="431">
        <f>ROUNDUP(V75*Modelo!$H$29*AM75*AN75*Modelo!$I$75*2/3,1)</f>
        <v>0.4</v>
      </c>
      <c r="BD75" s="431">
        <f>ROUNDUP(V75*Modelo!$H$29*AM75*Modelo!$I$75/3,1)</f>
        <v>0.6</v>
      </c>
      <c r="BE75" s="431">
        <f>ROUNDUP(V75*Modelo!$H$29*AM75*AN75*Modelo!$I$75/3,1)</f>
        <v>0.2</v>
      </c>
      <c r="BF75" s="431">
        <f>ROUNDUP(W75*Modelo!$H$36*AO75*Modelo!$I$75,1)</f>
        <v>1.6</v>
      </c>
      <c r="BG75" s="431">
        <f>ROUNDUP(W75*Modelo!$H$36*AO75*AP75*Modelo!$I$75,1)</f>
        <v>0.7</v>
      </c>
      <c r="BH75" s="431">
        <f>Modelo!$H$43</f>
        <v>0.04</v>
      </c>
      <c r="BI75" s="431">
        <f>ROUNDUP(SUM(ROUNDUP(AI75*AK75+0.1,1),ROUNDUP(V75*Modelo!$H$29*AM75,1),ROUNDUP(W75*Modelo!$H$36*AO75,1))*AR75*AQ75*Modelo!$I$75,1)</f>
        <v>10.5</v>
      </c>
      <c r="BJ75" s="431">
        <f t="shared" ref="BJ75" si="396">IF(K$31="x",0, BI75*0.1*1.25)</f>
        <v>0</v>
      </c>
      <c r="BK75" s="431">
        <f t="shared" ref="BK75" si="397">IF(Q75="x",(BI75)*0.1,0)</f>
        <v>0</v>
      </c>
      <c r="BL75" s="431">
        <f t="shared" ref="BL75" si="398">IF(R75="x",(BI75)*0.12,0)</f>
        <v>0</v>
      </c>
      <c r="BM75" s="431">
        <f t="shared" ref="BM75" si="399">IF(S75="x",(BI75)*0.12,0)*4</f>
        <v>0</v>
      </c>
      <c r="BN75" s="431">
        <f>ROUNDUP(SUM(ROUNDUP(AI75*AK75+0.1,1),ROUNDUP(V75*Modelo!$H$29*AM75,1),ROUNDUP(W75*Modelo!$H$36*AO75,1))*AQ75*AS75*Modelo!$H$57,1)</f>
        <v>4.3</v>
      </c>
      <c r="BO75" s="431">
        <f t="shared" ref="BO75" si="400">BI75*0.1
+IF(K$15="x",0,BI75*0.05)
+IF(K$27="x",0,BI75*0.2)
+IF(K$28="x",0,BI75*0.5)
+IF(OR(K$29="x",K$30="x"),0,BI75*0.05)
+IF(K$31="x",0,BI75*0.3)
+IF(Q75="x",0,BI75*0.5)
+IF(OR(R75="x",S75="x"),0,BI75*0.15)</f>
        <v>9.9749999999999996</v>
      </c>
      <c r="BP75" s="431">
        <f>Modelo!$H$61</f>
        <v>0.04</v>
      </c>
      <c r="BQ75" s="431">
        <f>ROUNDUP(SUM(ROUNDUP(AI75*AK75+0.1,1),ROUNDUP(V75*Modelo!$H$29*AM75,1),ROUNDUP(W75*Modelo!$H$36*AO75,1))*Modelo!$H$62*Modelo!$I$75,1)</f>
        <v>0.5</v>
      </c>
      <c r="BR75" s="431">
        <f>ROUNDUP(ROUNDUP(SUM(ROUNDUP(AI75*AK75+0.1,1),ROUNDUP(V75*Modelo!$H$29*AM75,1),ROUNDUP(W75*Modelo!$H$36*AO75,1))*Modelo!$H$62,1)*Modelo!$H$63*Modelo!$I$75,1)</f>
        <v>0.2</v>
      </c>
      <c r="BS75" s="431">
        <f>SUM(ROUNDUP(AI75*AK75+0.1,1),ROUNDUP(V75*Modelo!$H$29*AM75,1),ROUNDUP(W75*Modelo!$H$36*AO75,1))*Modelo!$H$64*Modelo!$I$75</f>
        <v>1.5</v>
      </c>
      <c r="BT75" s="431">
        <f>ROUNDUP(SUM(ROUNDUP(AI75*AK75+0.1,1),ROUNDUP(V75*Modelo!$H$29*AM75,1),ROUNDUP(W75*Modelo!$H$36*AO75,1))*Modelo!$H$64*Modelo!$H$65*Modelo!$I$75,1)</f>
        <v>0.79999999999999993</v>
      </c>
      <c r="BU75" s="431">
        <f>Modelo!$H$66</f>
        <v>0.04</v>
      </c>
      <c r="BV75" s="431">
        <f>ROUNDUP(SUM(ROUNDUP(AI75*AK75+0.1,1),ROUNDUP(V75*Modelo!$H$29*AM75,1),ROUNDUP(W75*Modelo!$H$36*AO75,1))*Modelo!$H$69,1)</f>
        <v>1.7000000000000002</v>
      </c>
      <c r="BW75" s="431">
        <f>ROUNDUP(ROUNDUP(SUM(ROUNDUP(AI75*AK75+0.1,1),ROUNDUP(V75*Modelo!$H$29*AM75,1),ROUNDUP(W75*Modelo!$H$36*AO75,1))*Modelo!$H$62,1)*Modelo!$H$71,1)</f>
        <v>1</v>
      </c>
      <c r="BX75" s="430">
        <f t="shared" ref="BX75" si="401">SUM(AU75:BW75)</f>
        <v>42.707999999999998</v>
      </c>
      <c r="BZ75" s="426">
        <f t="shared" ref="BZ75" si="402">CA75*0.85</f>
        <v>12.58</v>
      </c>
      <c r="CA75" s="425">
        <f t="shared" ref="CA75" si="403">O75</f>
        <v>14.8</v>
      </c>
      <c r="CB75" s="426">
        <f t="shared" ref="CB75" si="404">IF(CA75=0,1,CA75*1.4)</f>
        <v>20.72</v>
      </c>
      <c r="CD75" s="420">
        <v>0</v>
      </c>
      <c r="CF75" s="426">
        <f t="shared" ref="CF75" si="405">IF(CC75&lt;&gt;"",CC75,CD75)</f>
        <v>0</v>
      </c>
    </row>
    <row r="76" spans="3:84" s="426" customFormat="1" ht="15.75" thickBot="1" x14ac:dyDescent="0.25">
      <c r="C76" s="461" t="s">
        <v>100</v>
      </c>
      <c r="D76" s="440" t="s">
        <v>520</v>
      </c>
      <c r="E76" s="440" t="str">
        <f t="shared" si="352"/>
        <v>A</v>
      </c>
      <c r="F76" s="440" t="s">
        <v>459</v>
      </c>
      <c r="G76" s="440" t="s">
        <v>459</v>
      </c>
      <c r="H76" s="440" t="str">
        <f t="shared" si="353"/>
        <v>B</v>
      </c>
      <c r="I76" s="440" t="str">
        <f t="shared" si="354"/>
        <v>B</v>
      </c>
      <c r="J76" s="437">
        <f t="shared" si="355"/>
        <v>3</v>
      </c>
      <c r="K76" s="436" t="str">
        <f t="shared" si="356"/>
        <v>M. grande 1</v>
      </c>
      <c r="L76" s="447" t="s">
        <v>592</v>
      </c>
      <c r="M76" s="434">
        <f t="shared" si="357"/>
        <v>12.4</v>
      </c>
      <c r="N76" s="434">
        <f t="shared" si="358"/>
        <v>5</v>
      </c>
      <c r="O76" s="442">
        <f t="shared" si="359"/>
        <v>17.399999999999999</v>
      </c>
      <c r="Q76" s="408"/>
      <c r="R76" s="408"/>
      <c r="S76" s="408"/>
      <c r="T76" s="425"/>
      <c r="U76" s="441">
        <v>75</v>
      </c>
      <c r="V76" s="441">
        <v>2</v>
      </c>
      <c r="W76" s="441">
        <v>1</v>
      </c>
      <c r="X76" s="438"/>
      <c r="Y76" s="428" t="str">
        <f t="shared" si="360"/>
        <v>M. grande 1</v>
      </c>
      <c r="Z76" s="428" t="str">
        <f t="shared" si="361"/>
        <v>Alta</v>
      </c>
      <c r="AA76" s="428" t="str">
        <f t="shared" si="362"/>
        <v>Alta</v>
      </c>
      <c r="AB76" s="428" t="str">
        <f t="shared" si="363"/>
        <v>Baja</v>
      </c>
      <c r="AC76" s="428" t="str">
        <f t="shared" si="364"/>
        <v>Baja</v>
      </c>
      <c r="AD76" s="428" t="str">
        <f t="shared" si="365"/>
        <v>Baja</v>
      </c>
      <c r="AE76" s="428" t="str">
        <f t="shared" si="366"/>
        <v>Baja</v>
      </c>
      <c r="AF76" s="428" t="str">
        <f t="shared" si="367"/>
        <v>Baja</v>
      </c>
      <c r="AG76" s="428" t="str">
        <f t="shared" si="368"/>
        <v>Baja</v>
      </c>
      <c r="AH76" s="427"/>
      <c r="AI76" s="429">
        <f>IF(Y76=Modelo!$F$7,Modelo!$H$7,IF(Y76=Modelo!$F$8,Modelo!$H$8,IF(Y76=Modelo!$F$9,Modelo!$H$9,IF(Y76=Modelo!$F$10,Modelo!$H$10,IF(Y76=Modelo!$F$11,Modelo!$H$11,IF(Y76=Modelo!$F$12,Modelo!$H$12,IF(Y76=Modelo!$F$13,Modelo!$H$13,IF(Y76=Modelo!$F$14,Modelo!$H$14,IF(Y76=Modelo!$F$15,Modelo!$H$15,IF(Y76=Modelo!$F$16,Modelo!$H$16,IF(Y76=Modelo!$F$17,Modelo!$H$17,IF(Y76=Modelo!$F$18,Modelo!$H$18,IF(Y76=Modelo!$F$19,Modelo!$H$19,IF(Y76=Modelo!$F$20,Modelo!$H$20,IF(Y76=Modelo!$F$21,Modelo!$H$21,IF(Y76=Modelo!$F$22,Modelo!$H$22,0))))))))))))))))</f>
        <v>3.9000000000000004</v>
      </c>
      <c r="AJ76" s="429">
        <f>IF(Y76=Modelo!$F$7,Modelo!$I$7,IF(Y76=Modelo!$F$8,Modelo!$I$8,IF(Y76=Modelo!$F$9,Modelo!$I$9,IF(Y76=Modelo!$F$10,Modelo!$I$10,IF(Y76=Modelo!$F$11,Modelo!$I$11,IF(Y76=Modelo!$F$12,Modelo!$I$12,IF(Y76=Modelo!$F$13,Modelo!$I$13,IF(Y76=Modelo!$F$14,Modelo!$I$14,IF(Y76=Modelo!$F$15,Modelo!$I$15,IF(Y76=Modelo!$F$16,Modelo!$I$16,IF(Y76=Modelo!$F$17,Modelo!$I$17,IF(Y76=Modelo!$F$18,Modelo!$I$18,IF(Y76=Modelo!$F$19,Modelo!$I$19,IF(Y76=Modelo!$F$20,Modelo!$I$20,IF(Y76=Modelo!$F$21,Modelo!$I$21,IF(Y76=Modelo!$F$22,Modelo!$I$22,0))))))))))))))))</f>
        <v>1.3</v>
      </c>
      <c r="AK76" s="429">
        <f>IF(Z76=Modelo!$F$23,Modelo!$H$23,IF(Z76=Modelo!$F$24,Modelo!$H$24,IF(Z76=Modelo!$F$25,Modelo!$H$25,0)))</f>
        <v>1.4</v>
      </c>
      <c r="AL76" s="429">
        <f>IF(AA76=Modelo!$F$26,Modelo!$H$26,IF(AA76=Modelo!$F$27,Modelo!$H$27,IF(AA76=Modelo!$F$28,Modelo!$H$28,0)))</f>
        <v>0.3</v>
      </c>
      <c r="AM76" s="429">
        <f>IF(AB76=Modelo!$F$30,Modelo!$H$30,IF(AB76=Modelo!$F$31,Modelo!$H$31,IF(AB76=Modelo!$F$32,Modelo!$H$32,0)))</f>
        <v>0.8</v>
      </c>
      <c r="AN76" s="429">
        <f>IF(AC76=Modelo!$F$33,Modelo!$H$33,IF(AC76=Modelo!$F$34,Modelo!$H$34,IF(AC76=Modelo!$F$35,Modelo!$H$35,0)))</f>
        <v>0.3</v>
      </c>
      <c r="AO76" s="429">
        <f>IF(AD76=Modelo!$F$37,Modelo!$H$37,IF(AD76=Modelo!$F$38,Modelo!$H$38,IF(AD76=Modelo!$F$39,Modelo!$H$39,0)))</f>
        <v>0.8</v>
      </c>
      <c r="AP76" s="429">
        <f>IF(AE76=Modelo!$F$40,Modelo!$H$40,IF(AE76=Modelo!$F$41,Modelo!$H$41,IF(AE76=Modelo!$F$42,Modelo!$H$42,0)))</f>
        <v>0.4</v>
      </c>
      <c r="AQ76" s="428">
        <f>IF(C76=Modelo!$F$44,Modelo!$H$44,IF(C76=Modelo!$F$45,Modelo!$H$45,IF(C76=Modelo!$F$46,Modelo!$H$46,IF(C76=Modelo!$F$47,Modelo!$H$47,IF(C76=Modelo!$F$48,Modelo!$H$48,IF(C76=Modelo!$F$49,Modelo!$H$49,IF(C76=Modelo!$F$50,Modelo!$H$50,IF(C76=Modelo!$F$51,Modelo!$H$51,IF(C76=Modelo!$F$52,Modelo!$H$52,IF(C76=Modelo!$F$53,Modelo!$H$53,0))))))))))</f>
        <v>1.4</v>
      </c>
      <c r="AR76" s="429">
        <f>IF(AF76=Modelo!$F$54,Modelo!$H$54,IF(AF76=Modelo!$F$55,Modelo!$H$55,IF(AF76=Modelo!$F$56,Modelo!$H$56,0)))</f>
        <v>1</v>
      </c>
      <c r="AS76" s="429">
        <f>IF(AG76=Modelo!$F$58,Modelo!$H$58,IF(AG76=Modelo!$F$59,Modelo!$H$59,IF(AG76=Modelo!$F$60,Modelo!$H$60,0)))</f>
        <v>0.9</v>
      </c>
      <c r="AT76" s="427"/>
      <c r="AU76" s="431">
        <f>Modelo!$H$2</f>
        <v>0.05</v>
      </c>
      <c r="AV76" s="432">
        <f>ROUNDUP(Modelo!$I$2*Modelo!$H$3*Modelo!$I$75,2)</f>
        <v>0.02</v>
      </c>
      <c r="AW76" s="433">
        <f>ROUNDUP(Modelo!$I$2*Modelo!$H$3*Modelo!$H$4*Modelo!$I$75,3)</f>
        <v>3.0000000000000001E-3</v>
      </c>
      <c r="AX76" s="431">
        <f>Modelo!$H$5</f>
        <v>0.04</v>
      </c>
      <c r="AY76" s="431">
        <f>ROUNDUP(SUM(AZ76,BB76,BD76,BF76)*Modelo!$H$6,1)</f>
        <v>3</v>
      </c>
      <c r="AZ76" s="431">
        <f>ROUNDUP((AI76*AK76+0.1)*Modelo!$I$75,1)</f>
        <v>5.6</v>
      </c>
      <c r="BA76" s="431">
        <f>ROUNDUP(AJ76*AK76*AL76*Modelo!$I$75,1)</f>
        <v>0.6</v>
      </c>
      <c r="BB76" s="431">
        <f>ROUNDUP(V76*Modelo!$H$29*AM76*Modelo!$I$75*2/3,1)</f>
        <v>1.1000000000000001</v>
      </c>
      <c r="BC76" s="431">
        <f>ROUNDUP(V76*Modelo!$H$29*AM76*AN76*Modelo!$I$75*2/3,1)</f>
        <v>0.4</v>
      </c>
      <c r="BD76" s="431">
        <f>ROUNDUP(V76*Modelo!$H$29*AM76*Modelo!$I$75/3,1)</f>
        <v>0.6</v>
      </c>
      <c r="BE76" s="431">
        <f>ROUNDUP(V76*Modelo!$H$29*AM76*AN76*Modelo!$I$75/3,1)</f>
        <v>0.2</v>
      </c>
      <c r="BF76" s="431">
        <f>ROUNDUP(W76*Modelo!$H$36*AO76*Modelo!$I$75,1)</f>
        <v>1.6</v>
      </c>
      <c r="BG76" s="431">
        <f>ROUNDUP(W76*Modelo!$H$36*AO76*AP76*Modelo!$I$75,1)</f>
        <v>0.7</v>
      </c>
      <c r="BH76" s="431">
        <f>Modelo!$H$43</f>
        <v>0.04</v>
      </c>
      <c r="BI76" s="431">
        <f>ROUNDUP(SUM(ROUNDUP(AI76*AK76+0.1,1),ROUNDUP(V76*Modelo!$H$29*AM76,1),ROUNDUP(W76*Modelo!$H$36*AO76,1))*AR76*AQ76*Modelo!$I$75,1)</f>
        <v>12.4</v>
      </c>
      <c r="BJ76" s="431">
        <f t="shared" si="369"/>
        <v>0</v>
      </c>
      <c r="BK76" s="431">
        <f t="shared" si="370"/>
        <v>0</v>
      </c>
      <c r="BL76" s="431">
        <f t="shared" si="371"/>
        <v>0</v>
      </c>
      <c r="BM76" s="431">
        <f t="shared" si="372"/>
        <v>0</v>
      </c>
      <c r="BN76" s="431">
        <f>ROUNDUP(SUM(ROUNDUP(AI76*AK76+0.1,1),ROUNDUP(V76*Modelo!$H$29*AM76,1),ROUNDUP(W76*Modelo!$H$36*AO76,1))*AQ76*AS76*Modelo!$H$57,1)</f>
        <v>5</v>
      </c>
      <c r="BO76" s="431">
        <f t="shared" si="373"/>
        <v>11.780000000000001</v>
      </c>
      <c r="BP76" s="431">
        <f>Modelo!$H$61</f>
        <v>0.04</v>
      </c>
      <c r="BQ76" s="431">
        <f>ROUNDUP(SUM(ROUNDUP(AI76*AK76+0.1,1),ROUNDUP(V76*Modelo!$H$29*AM76,1),ROUNDUP(W76*Modelo!$H$36*AO76,1))*Modelo!$H$62*Modelo!$I$75,1)</f>
        <v>0.6</v>
      </c>
      <c r="BR76" s="431">
        <f>ROUNDUP(ROUNDUP(SUM(ROUNDUP(AI76*AK76+0.1,1),ROUNDUP(V76*Modelo!$H$29*AM76,1),ROUNDUP(W76*Modelo!$H$36*AO76,1))*Modelo!$H$62,1)*Modelo!$H$63*Modelo!$I$75,1)</f>
        <v>0.2</v>
      </c>
      <c r="BS76" s="431">
        <f>SUM(ROUNDUP(AI76*AK76+0.1,1),ROUNDUP(V76*Modelo!$H$29*AM76,1),ROUNDUP(W76*Modelo!$H$36*AO76,1))*Modelo!$H$64*Modelo!$I$75</f>
        <v>1.7599999999999998</v>
      </c>
      <c r="BT76" s="431">
        <f>ROUNDUP(SUM(ROUNDUP(AI76*AK76+0.1,1),ROUNDUP(V76*Modelo!$H$29*AM76,1),ROUNDUP(W76*Modelo!$H$36*AO76,1))*Modelo!$H$64*Modelo!$H$65*Modelo!$I$75,1)</f>
        <v>0.9</v>
      </c>
      <c r="BU76" s="431">
        <f>Modelo!$H$66</f>
        <v>0.04</v>
      </c>
      <c r="BV76" s="431">
        <f>ROUNDUP(SUM(ROUNDUP(AI76*AK76+0.1,1),ROUNDUP(V76*Modelo!$H$29*AM76,1),ROUNDUP(W76*Modelo!$H$36*AO76,1))*Modelo!$H$69,1)</f>
        <v>2</v>
      </c>
      <c r="BW76" s="431">
        <f>ROUNDUP(ROUNDUP(SUM(ROUNDUP(AI76*AK76+0.1,1),ROUNDUP(V76*Modelo!$H$29*AM76,1),ROUNDUP(W76*Modelo!$H$36*AO76,1))*Modelo!$H$62,1)*Modelo!$H$71,1)</f>
        <v>1.2</v>
      </c>
      <c r="BX76" s="430">
        <f t="shared" si="374"/>
        <v>49.872999999999998</v>
      </c>
      <c r="BZ76" s="426">
        <f t="shared" si="375"/>
        <v>14.79</v>
      </c>
      <c r="CA76" s="425">
        <f t="shared" si="376"/>
        <v>17.399999999999999</v>
      </c>
      <c r="CB76" s="426">
        <f t="shared" si="377"/>
        <v>24.359999999999996</v>
      </c>
      <c r="CD76" s="420">
        <v>0</v>
      </c>
      <c r="CF76" s="426">
        <f t="shared" si="378"/>
        <v>0</v>
      </c>
    </row>
    <row r="77" spans="3:84" s="426" customFormat="1" ht="21" customHeight="1" thickBot="1" x14ac:dyDescent="0.25">
      <c r="C77" s="461" t="s">
        <v>106</v>
      </c>
      <c r="D77" s="440" t="s">
        <v>18</v>
      </c>
      <c r="E77" s="440" t="str">
        <f t="shared" si="352"/>
        <v>B</v>
      </c>
      <c r="F77" s="440" t="s">
        <v>459</v>
      </c>
      <c r="G77" s="440" t="s">
        <v>459</v>
      </c>
      <c r="H77" s="440" t="str">
        <f t="shared" si="353"/>
        <v>B</v>
      </c>
      <c r="I77" s="440" t="str">
        <f t="shared" si="354"/>
        <v>B</v>
      </c>
      <c r="J77" s="437">
        <f t="shared" si="355"/>
        <v>1</v>
      </c>
      <c r="K77" s="436" t="str">
        <f t="shared" si="356"/>
        <v>Chica 1</v>
      </c>
      <c r="L77" s="161" t="s">
        <v>621</v>
      </c>
      <c r="M77" s="434">
        <f t="shared" si="357"/>
        <v>3</v>
      </c>
      <c r="N77" s="434">
        <f>BN77</f>
        <v>1.3</v>
      </c>
      <c r="O77" s="442">
        <f t="shared" si="359"/>
        <v>4.3</v>
      </c>
      <c r="Q77" s="408"/>
      <c r="R77" s="408"/>
      <c r="S77" s="408"/>
      <c r="U77" s="441">
        <v>6</v>
      </c>
      <c r="V77" s="441">
        <v>1</v>
      </c>
      <c r="W77" s="441">
        <v>0</v>
      </c>
      <c r="X77" s="438"/>
      <c r="Y77" s="428" t="str">
        <f t="shared" si="360"/>
        <v>Chica 1</v>
      </c>
      <c r="Z77" s="428" t="str">
        <f t="shared" si="361"/>
        <v>Baja</v>
      </c>
      <c r="AA77" s="428" t="str">
        <f t="shared" si="362"/>
        <v>Baja</v>
      </c>
      <c r="AB77" s="428" t="str">
        <f t="shared" si="363"/>
        <v>Baja</v>
      </c>
      <c r="AC77" s="428" t="str">
        <f t="shared" si="364"/>
        <v>Baja</v>
      </c>
      <c r="AD77" s="428" t="str">
        <f t="shared" si="365"/>
        <v>Baja</v>
      </c>
      <c r="AE77" s="428" t="str">
        <f t="shared" si="366"/>
        <v>Baja</v>
      </c>
      <c r="AF77" s="428" t="str">
        <f t="shared" si="367"/>
        <v>Baja</v>
      </c>
      <c r="AG77" s="428" t="str">
        <f t="shared" si="368"/>
        <v>Baja</v>
      </c>
      <c r="AH77" s="427"/>
      <c r="AI77" s="429">
        <f>IF(Y77=Modelo!$F$7,Modelo!$H$7,IF(Y77=Modelo!$F$8,Modelo!$H$8,IF(Y77=Modelo!$F$9,Modelo!$H$9,IF(Y77=Modelo!$F$10,Modelo!$H$10,IF(Y77=Modelo!$F$11,Modelo!$H$11,IF(Y77=Modelo!$F$12,Modelo!$H$12,IF(Y77=Modelo!$F$13,Modelo!$H$13,IF(Y77=Modelo!$F$14,Modelo!$H$14,IF(Y77=Modelo!$F$15,Modelo!$H$15,IF(Y77=Modelo!$F$16,Modelo!$H$16,IF(Y77=Modelo!$F$17,Modelo!$H$17,IF(Y77=Modelo!$F$18,Modelo!$H$18,IF(Y77=Modelo!$F$19,Modelo!$H$19,IF(Y77=Modelo!$F$20,Modelo!$H$20,IF(Y77=Modelo!$F$21,Modelo!$H$21,IF(Y77=Modelo!$F$22,Modelo!$H$22,0))))))))))))))))</f>
        <v>0.30000000000000004</v>
      </c>
      <c r="AJ77" s="429">
        <f>IF(Y77=Modelo!$F$7,Modelo!$I$7,IF(Y77=Modelo!$F$8,Modelo!$I$8,IF(Y77=Modelo!$F$9,Modelo!$I$9,IF(Y77=Modelo!$F$10,Modelo!$I$10,IF(Y77=Modelo!$F$11,Modelo!$I$11,IF(Y77=Modelo!$F$12,Modelo!$I$12,IF(Y77=Modelo!$F$13,Modelo!$I$13,IF(Y77=Modelo!$F$14,Modelo!$I$14,IF(Y77=Modelo!$F$15,Modelo!$I$15,IF(Y77=Modelo!$F$16,Modelo!$I$16,IF(Y77=Modelo!$F$17,Modelo!$I$17,IF(Y77=Modelo!$F$18,Modelo!$I$18,IF(Y77=Modelo!$F$19,Modelo!$I$19,IF(Y77=Modelo!$F$20,Modelo!$I$20,IF(Y77=Modelo!$F$21,Modelo!$I$21,IF(Y77=Modelo!$F$22,Modelo!$I$22,0))))))))))))))))</f>
        <v>0.1</v>
      </c>
      <c r="AK77" s="429">
        <f>IF(Z77=Modelo!$F$23,Modelo!$H$23,IF(Z77=Modelo!$F$24,Modelo!$H$24,IF(Z77=Modelo!$F$25,Modelo!$H$25,0)))</f>
        <v>1</v>
      </c>
      <c r="AL77" s="429">
        <f>IF(AA77=Modelo!$F$26,Modelo!$H$26,IF(AA77=Modelo!$F$27,Modelo!$H$27,IF(AA77=Modelo!$F$28,Modelo!$H$28,0)))</f>
        <v>0.1</v>
      </c>
      <c r="AM77" s="429">
        <f>IF(AB77=Modelo!$F$30,Modelo!$H$30,IF(AB77=Modelo!$F$31,Modelo!$H$31,IF(AB77=Modelo!$F$32,Modelo!$H$32,0)))</f>
        <v>0.8</v>
      </c>
      <c r="AN77" s="429">
        <f>IF(AC77=Modelo!$F$33,Modelo!$H$33,IF(AC77=Modelo!$F$34,Modelo!$H$34,IF(AC77=Modelo!$F$35,Modelo!$H$35,0)))</f>
        <v>0.3</v>
      </c>
      <c r="AO77" s="429">
        <f>IF(AD77=Modelo!$F$37,Modelo!$H$37,IF(AD77=Modelo!$F$38,Modelo!$H$38,IF(AD77=Modelo!$F$39,Modelo!$H$39,0)))</f>
        <v>0.8</v>
      </c>
      <c r="AP77" s="429">
        <f>IF(AE77=Modelo!$F$40,Modelo!$H$40,IF(AE77=Modelo!$F$41,Modelo!$H$41,IF(AE77=Modelo!$F$42,Modelo!$H$42,0)))</f>
        <v>0.4</v>
      </c>
      <c r="AQ77" s="428">
        <f>IF(C77=Modelo!$F$44,Modelo!$H$44,IF(C77=Modelo!$F$45,Modelo!$H$45,IF(C77=Modelo!$F$46,Modelo!$H$46,IF(C77=Modelo!$F$47,Modelo!$H$47,IF(C77=Modelo!$F$48,Modelo!$H$48,IF(C77=Modelo!$F$49,Modelo!$H$49,IF(C77=Modelo!$F$50,Modelo!$H$50,IF(C77=Modelo!$F$51,Modelo!$H$51,IF(C77=Modelo!$F$52,Modelo!$H$52,IF(C77=Modelo!$F$53,Modelo!$H$53,0))))))))))</f>
        <v>2.5</v>
      </c>
      <c r="AR77" s="429">
        <f>IF(AF77=Modelo!$F$54,Modelo!$H$54,IF(AF77=Modelo!$F$55,Modelo!$H$55,IF(AF77=Modelo!$F$56,Modelo!$H$56,0)))</f>
        <v>1</v>
      </c>
      <c r="AS77" s="429">
        <f>IF(AG77=Modelo!$F$58,Modelo!$H$58,IF(AG77=Modelo!$F$59,Modelo!$H$59,IF(AG77=Modelo!$F$60,Modelo!$H$60,0)))</f>
        <v>0.9</v>
      </c>
      <c r="AT77" s="427"/>
      <c r="AU77" s="431">
        <f>Modelo!$H$2</f>
        <v>0.05</v>
      </c>
      <c r="AV77" s="432">
        <f>ROUNDUP(Modelo!$I$2*Modelo!$H$3*Modelo!$I$75,2)</f>
        <v>0.02</v>
      </c>
      <c r="AW77" s="433">
        <f>ROUNDUP(Modelo!$I$2*Modelo!$H$3*Modelo!$H$4*Modelo!$I$75,3)</f>
        <v>3.0000000000000001E-3</v>
      </c>
      <c r="AX77" s="431">
        <f>Modelo!$H$5</f>
        <v>0.04</v>
      </c>
      <c r="AY77" s="431">
        <f>ROUNDUP(SUM(AZ77,BB77,BD77,BF77)*Modelo!$H$6,1)</f>
        <v>0.5</v>
      </c>
      <c r="AZ77" s="431">
        <f>ROUNDUP((AI77*AK77+0.1)*Modelo!$I$75,1)</f>
        <v>0.4</v>
      </c>
      <c r="BA77" s="431">
        <f>ROUNDUP(AJ77*AK77*AL77*Modelo!$I$75,1)</f>
        <v>0.1</v>
      </c>
      <c r="BB77" s="431">
        <f>ROUNDUP(V77*Modelo!$H$29*AM77*Modelo!$I$75*2/3,1)</f>
        <v>0.6</v>
      </c>
      <c r="BC77" s="431">
        <f>ROUNDUP(V77*Modelo!$H$29*AM77*AN77*Modelo!$I$75*2/3,1)</f>
        <v>0.2</v>
      </c>
      <c r="BD77" s="431">
        <f>ROUNDUP(V77*Modelo!$H$29*AM77*Modelo!$I$75/3,1)</f>
        <v>0.30000000000000004</v>
      </c>
      <c r="BE77" s="431">
        <f>ROUNDUP(V77*Modelo!$H$29*AM77*AN77*Modelo!$I$75/3,1)</f>
        <v>0.1</v>
      </c>
      <c r="BF77" s="431">
        <f>ROUNDUP(W77*Modelo!$H$36*AO77*Modelo!$I$75,1)</f>
        <v>0</v>
      </c>
      <c r="BG77" s="431">
        <f>ROUNDUP(W77*Modelo!$H$36*AO77*AP77*Modelo!$I$75,1)</f>
        <v>0</v>
      </c>
      <c r="BH77" s="431">
        <f>Modelo!$H$43</f>
        <v>0.04</v>
      </c>
      <c r="BI77" s="431">
        <f>ROUNDUP(SUM(ROUNDUP(AI77*AK77+0.1,1),ROUNDUP(V77*Modelo!$H$29*AM77,1),ROUNDUP(W77*Modelo!$H$36*AO77,1))*AR77*AQ77*Modelo!$I$75,1)</f>
        <v>3</v>
      </c>
      <c r="BJ77" s="431">
        <f t="shared" si="369"/>
        <v>0</v>
      </c>
      <c r="BK77" s="431">
        <f t="shared" si="370"/>
        <v>0</v>
      </c>
      <c r="BL77" s="431">
        <f t="shared" si="371"/>
        <v>0</v>
      </c>
      <c r="BM77" s="431">
        <f t="shared" si="372"/>
        <v>0</v>
      </c>
      <c r="BN77" s="431">
        <f>ROUNDUP(SUM(ROUNDUP(AI77*AK77+0.1,1),ROUNDUP(V77*Modelo!$H$29*AM77,1),ROUNDUP(W77*Modelo!$H$36*AO77,1))*AQ77*AS77*Modelo!$H$57,1)</f>
        <v>1.3</v>
      </c>
      <c r="BO77" s="431">
        <f t="shared" si="373"/>
        <v>2.8500000000000005</v>
      </c>
      <c r="BP77" s="431">
        <f>Modelo!$H$61</f>
        <v>0.04</v>
      </c>
      <c r="BQ77" s="431">
        <f>ROUNDUP(SUM(ROUNDUP(AI77*AK77+0.1,1),ROUNDUP(V77*Modelo!$H$29*AM77,1),ROUNDUP(W77*Modelo!$H$36*AO77,1))*Modelo!$H$62*Modelo!$I$75,1)</f>
        <v>0.1</v>
      </c>
      <c r="BR77" s="431">
        <f>ROUNDUP(ROUNDUP(SUM(ROUNDUP(AI77*AK77+0.1,1),ROUNDUP(V77*Modelo!$H$29*AM77,1),ROUNDUP(W77*Modelo!$H$36*AO77,1))*Modelo!$H$62,1)*Modelo!$H$63*Modelo!$I$75,1)</f>
        <v>0.1</v>
      </c>
      <c r="BS77" s="431">
        <f>SUM(ROUNDUP(AI77*AK77+0.1,1),ROUNDUP(V77*Modelo!$H$29*AM77,1),ROUNDUP(W77*Modelo!$H$36*AO77,1))*Modelo!$H$64*Modelo!$I$75</f>
        <v>0.24000000000000005</v>
      </c>
      <c r="BT77" s="431">
        <f>ROUNDUP(SUM(ROUNDUP(AI77*AK77+0.1,1),ROUNDUP(V77*Modelo!$H$29*AM77,1),ROUNDUP(W77*Modelo!$H$36*AO77,1))*Modelo!$H$64*Modelo!$H$65*Modelo!$I$75,1)</f>
        <v>0.2</v>
      </c>
      <c r="BU77" s="431">
        <f>Modelo!$H$66</f>
        <v>0.04</v>
      </c>
      <c r="BV77" s="431">
        <f>ROUNDUP(SUM(ROUNDUP(AI77*AK77+0.1,1),ROUNDUP(V77*Modelo!$H$29*AM77,1),ROUNDUP(W77*Modelo!$H$36*AO77,1))*Modelo!$H$69,1)</f>
        <v>0.30000000000000004</v>
      </c>
      <c r="BW77" s="431">
        <f>ROUNDUP(ROUNDUP(SUM(ROUNDUP(AI77*AK77+0.1,1),ROUNDUP(V77*Modelo!$H$29*AM77,1),ROUNDUP(W77*Modelo!$H$36*AO77,1))*Modelo!$H$62,1)*Modelo!$H$71,1)</f>
        <v>0.2</v>
      </c>
      <c r="BX77" s="430">
        <f t="shared" si="374"/>
        <v>10.722999999999997</v>
      </c>
      <c r="BZ77" s="426">
        <f t="shared" si="375"/>
        <v>3.6549999999999998</v>
      </c>
      <c r="CA77" s="425">
        <f t="shared" si="376"/>
        <v>4.3</v>
      </c>
      <c r="CB77" s="426">
        <f t="shared" si="377"/>
        <v>6.02</v>
      </c>
      <c r="CD77" s="420">
        <v>0</v>
      </c>
      <c r="CF77" s="426">
        <f t="shared" si="378"/>
        <v>0</v>
      </c>
    </row>
    <row r="78" spans="3:84" s="426" customFormat="1" ht="16.5" thickBot="1" x14ac:dyDescent="0.25">
      <c r="C78" s="461"/>
      <c r="D78" s="440" t="s">
        <v>17</v>
      </c>
      <c r="E78" s="440"/>
      <c r="F78" s="440"/>
      <c r="G78" s="440"/>
      <c r="H78" s="440"/>
      <c r="I78" s="440"/>
      <c r="J78" s="437"/>
      <c r="K78" s="436"/>
      <c r="L78" s="443" t="s">
        <v>605</v>
      </c>
      <c r="M78" s="434"/>
      <c r="N78" s="434"/>
      <c r="O78" s="442"/>
      <c r="Q78" s="408"/>
      <c r="R78" s="408"/>
      <c r="S78" s="408"/>
      <c r="T78" s="425"/>
      <c r="U78" s="441"/>
      <c r="V78" s="441"/>
      <c r="W78" s="441"/>
      <c r="X78" s="438"/>
      <c r="Y78" s="428"/>
      <c r="Z78" s="428"/>
      <c r="AA78" s="428"/>
      <c r="AB78" s="428"/>
      <c r="AC78" s="428"/>
      <c r="AD78" s="428"/>
      <c r="AE78" s="428"/>
      <c r="AF78" s="428"/>
      <c r="AG78" s="428"/>
      <c r="AH78" s="427"/>
      <c r="AI78" s="429"/>
      <c r="AJ78" s="429"/>
      <c r="AK78" s="429"/>
      <c r="AL78" s="429"/>
      <c r="AM78" s="429"/>
      <c r="AN78" s="429"/>
      <c r="AO78" s="429"/>
      <c r="AP78" s="429"/>
      <c r="AQ78" s="428"/>
      <c r="AR78" s="429"/>
      <c r="AS78" s="429"/>
      <c r="AT78" s="427"/>
      <c r="AU78" s="431"/>
      <c r="AV78" s="432"/>
      <c r="AW78" s="433"/>
      <c r="AX78" s="431"/>
      <c r="AY78" s="431"/>
      <c r="AZ78" s="431"/>
      <c r="BA78" s="431"/>
      <c r="BB78" s="431"/>
      <c r="BC78" s="431"/>
      <c r="BD78" s="431"/>
      <c r="BE78" s="431"/>
      <c r="BF78" s="431"/>
      <c r="BG78" s="431"/>
      <c r="BH78" s="431"/>
      <c r="BI78" s="431"/>
      <c r="BJ78" s="431"/>
      <c r="BK78" s="431"/>
      <c r="BL78" s="431"/>
      <c r="BM78" s="431"/>
      <c r="BN78" s="431"/>
      <c r="BO78" s="431"/>
      <c r="BP78" s="431"/>
      <c r="BQ78" s="431"/>
      <c r="BR78" s="431"/>
      <c r="BS78" s="431"/>
      <c r="BT78" s="431"/>
      <c r="BU78" s="431"/>
      <c r="BV78" s="431"/>
      <c r="BW78" s="431"/>
      <c r="BX78" s="430"/>
      <c r="CA78" s="425"/>
      <c r="CD78" s="420"/>
    </row>
    <row r="79" spans="3:84" s="426" customFormat="1" ht="51.75" thickBot="1" x14ac:dyDescent="0.25">
      <c r="C79" s="461" t="s">
        <v>94</v>
      </c>
      <c r="D79" s="440" t="s">
        <v>18</v>
      </c>
      <c r="E79" s="440" t="str">
        <f t="shared" ref="E79:E80" si="406">IF(U79&gt;50,"A",IF(U79&gt;15,"M","B"))</f>
        <v>B</v>
      </c>
      <c r="F79" s="440" t="s">
        <v>459</v>
      </c>
      <c r="G79" s="440" t="s">
        <v>459</v>
      </c>
      <c r="H79" s="440" t="str">
        <f t="shared" ref="H79:H80" si="407">IF(V79+W79&gt;20,"A",IF(V79+W79&gt;5,"M","B"))</f>
        <v>B</v>
      </c>
      <c r="I79" s="440" t="str">
        <f t="shared" ref="I79:I80" si="408">IF(V79+W79&gt;15,"A",IF(V79+W79&gt;4,"M","B"))</f>
        <v>B</v>
      </c>
      <c r="J79" s="437">
        <f t="shared" ref="J79:J80" si="409">V79+W79</f>
        <v>1</v>
      </c>
      <c r="K79" s="436" t="str">
        <f t="shared" ref="K79:K80" si="410">Y79</f>
        <v>Chica 3</v>
      </c>
      <c r="L79" s="161" t="s">
        <v>606</v>
      </c>
      <c r="M79" s="434">
        <f t="shared" ref="M79:M80" si="411">BI79+BJ79+BK79+BL79+BM79</f>
        <v>3.1</v>
      </c>
      <c r="N79" s="434">
        <f t="shared" ref="N79:N80" si="412">BN79</f>
        <v>1.3</v>
      </c>
      <c r="O79" s="442">
        <f t="shared" ref="O79:O80" si="413">SUM(M79,N79)</f>
        <v>4.4000000000000004</v>
      </c>
      <c r="Q79" s="408"/>
      <c r="R79" s="408"/>
      <c r="S79" s="408"/>
      <c r="T79" s="425"/>
      <c r="U79" s="441">
        <v>15</v>
      </c>
      <c r="V79" s="441">
        <v>1</v>
      </c>
      <c r="W79" s="441">
        <v>0</v>
      </c>
      <c r="X79" s="438"/>
      <c r="Y79" s="428" t="str">
        <f t="shared" ref="Y79:Y80" si="414">IF(AND(U79&gt;=0,U79&lt;=6),"Chica 1",IF(AND(U79&gt;=7,U79&lt;=12),"Chica 2",IF(AND(U79&gt;=13,U79&lt;=18),"Chica 3",IF(AND(U79&gt;=19,U79&lt;=24),"Chica 4",IF(AND(U79&gt;=25,U79&lt;=30),"Mediana 1",IF(AND(U79&gt;=31,U79&lt;=36),"Mediana 2",IF(AND(U79&gt;=37,U79&lt;=42),"Mediana 3",IF(AND(U79&gt;=43,U79&lt;=48),"Mediana 4",IF(AND(U79&gt;=49,U79&lt;=54),"Grande 1",IF(AND(U79&gt;=55,U79&lt;=60),"Grande 2",IF(AND(U79&gt;=61,U79&lt;=66),"Grande 3",IF(AND(U79&gt;=67,U79&lt;=72),"Grande 4",IF(AND(U79&gt;=73,U79&lt;=78),"M. grande 1",IF(AND(U79&gt;=79,U79&lt;=84),"M. grande 2",IF(AND(U79&gt;=85,U79&lt;=90),"M. grande 3",IF(AND(U79&gt;=91,U79&lt;=96),"M. grande 4","NO DEF"))))))))))))))))</f>
        <v>Chica 3</v>
      </c>
      <c r="Z79" s="428" t="str">
        <f t="shared" ref="Z79:Z80" si="415">IF(E79="A","Alta",IF(E79="M","Media","Baja"))</f>
        <v>Baja</v>
      </c>
      <c r="AA79" s="428" t="str">
        <f t="shared" ref="AA79:AA80" si="416">IF(E79="A","Alta",IF(E79="M","Media","Baja"))</f>
        <v>Baja</v>
      </c>
      <c r="AB79" s="428" t="str">
        <f t="shared" ref="AB79:AB80" si="417">IF(F79="A","Alta",IF(F79="M","Media","Baja"))</f>
        <v>Baja</v>
      </c>
      <c r="AC79" s="428" t="str">
        <f t="shared" ref="AC79:AC80" si="418">IF(F79="A","Alta",IF(F79="M","Media","Baja"))</f>
        <v>Baja</v>
      </c>
      <c r="AD79" s="428" t="str">
        <f t="shared" ref="AD79:AD80" si="419">IF(G79="A","Alta",IF(G79="M","Media","Baja"))</f>
        <v>Baja</v>
      </c>
      <c r="AE79" s="428" t="str">
        <f t="shared" ref="AE79:AE80" si="420">IF(G79="A","Alta",IF(G79="M","Media","Baja"))</f>
        <v>Baja</v>
      </c>
      <c r="AF79" s="428" t="str">
        <f t="shared" ref="AF79:AF80" si="421">IF(H79="A","Alta",IF(H79="M","Media","Baja"))</f>
        <v>Baja</v>
      </c>
      <c r="AG79" s="428" t="str">
        <f t="shared" ref="AG79:AG80" si="422">IF(I79="A","Alta",IF(I79="M","Media","Baja"))</f>
        <v>Baja</v>
      </c>
      <c r="AH79" s="427"/>
      <c r="AI79" s="429">
        <f>IF(Y79=Modelo!$F$7,Modelo!$H$7,IF(Y79=Modelo!$F$8,Modelo!$H$8,IF(Y79=Modelo!$F$9,Modelo!$H$9,IF(Y79=Modelo!$F$10,Modelo!$H$10,IF(Y79=Modelo!$F$11,Modelo!$H$11,IF(Y79=Modelo!$F$12,Modelo!$H$12,IF(Y79=Modelo!$F$13,Modelo!$H$13,IF(Y79=Modelo!$F$14,Modelo!$H$14,IF(Y79=Modelo!$F$15,Modelo!$H$15,IF(Y79=Modelo!$F$16,Modelo!$H$16,IF(Y79=Modelo!$F$17,Modelo!$H$17,IF(Y79=Modelo!$F$18,Modelo!$H$18,IF(Y79=Modelo!$F$19,Modelo!$H$19,IF(Y79=Modelo!$F$20,Modelo!$H$20,IF(Y79=Modelo!$F$21,Modelo!$H$21,IF(Y79=Modelo!$F$22,Modelo!$H$22,0))))))))))))))))</f>
        <v>0.9</v>
      </c>
      <c r="AJ79" s="429">
        <f>IF(Y79=Modelo!$F$7,Modelo!$I$7,IF(Y79=Modelo!$F$8,Modelo!$I$8,IF(Y79=Modelo!$F$9,Modelo!$I$9,IF(Y79=Modelo!$F$10,Modelo!$I$10,IF(Y79=Modelo!$F$11,Modelo!$I$11,IF(Y79=Modelo!$F$12,Modelo!$I$12,IF(Y79=Modelo!$F$13,Modelo!$I$13,IF(Y79=Modelo!$F$14,Modelo!$I$14,IF(Y79=Modelo!$F$15,Modelo!$I$15,IF(Y79=Modelo!$F$16,Modelo!$I$16,IF(Y79=Modelo!$F$17,Modelo!$I$17,IF(Y79=Modelo!$F$18,Modelo!$I$18,IF(Y79=Modelo!$F$19,Modelo!$I$19,IF(Y79=Modelo!$F$20,Modelo!$I$20,IF(Y79=Modelo!$F$21,Modelo!$I$21,IF(Y79=Modelo!$F$22,Modelo!$I$22,0))))))))))))))))</f>
        <v>0.3</v>
      </c>
      <c r="AK79" s="429">
        <f>IF(Z79=Modelo!$F$23,Modelo!$H$23,IF(Z79=Modelo!$F$24,Modelo!$H$24,IF(Z79=Modelo!$F$25,Modelo!$H$25,0)))</f>
        <v>1</v>
      </c>
      <c r="AL79" s="429">
        <f>IF(AA79=Modelo!$F$26,Modelo!$H$26,IF(AA79=Modelo!$F$27,Modelo!$H$27,IF(AA79=Modelo!$F$28,Modelo!$H$28,0)))</f>
        <v>0.1</v>
      </c>
      <c r="AM79" s="429">
        <f>IF(AB79=Modelo!$F$30,Modelo!$H$30,IF(AB79=Modelo!$F$31,Modelo!$H$31,IF(AB79=Modelo!$F$32,Modelo!$H$32,0)))</f>
        <v>0.8</v>
      </c>
      <c r="AN79" s="429">
        <f>IF(AC79=Modelo!$F$33,Modelo!$H$33,IF(AC79=Modelo!$F$34,Modelo!$H$34,IF(AC79=Modelo!$F$35,Modelo!$H$35,0)))</f>
        <v>0.3</v>
      </c>
      <c r="AO79" s="429">
        <f>IF(AD79=Modelo!$F$37,Modelo!$H$37,IF(AD79=Modelo!$F$38,Modelo!$H$38,IF(AD79=Modelo!$F$39,Modelo!$H$39,0)))</f>
        <v>0.8</v>
      </c>
      <c r="AP79" s="429">
        <f>IF(AE79=Modelo!$F$40,Modelo!$H$40,IF(AE79=Modelo!$F$41,Modelo!$H$41,IF(AE79=Modelo!$F$42,Modelo!$H$42,0)))</f>
        <v>0.4</v>
      </c>
      <c r="AQ79" s="428">
        <f>IF(C79=Modelo!$F$44,Modelo!$H$44,IF(C79=Modelo!$F$45,Modelo!$H$45,IF(C79=Modelo!$F$46,Modelo!$H$46,IF(C79=Modelo!$F$47,Modelo!$H$47,IF(C79=Modelo!$F$48,Modelo!$H$48,IF(C79=Modelo!$F$49,Modelo!$H$49,IF(C79=Modelo!$F$50,Modelo!$H$50,IF(C79=Modelo!$F$51,Modelo!$H$51,IF(C79=Modelo!$F$52,Modelo!$H$52,IF(C79=Modelo!$F$53,Modelo!$H$53,0))))))))))</f>
        <v>1.7</v>
      </c>
      <c r="AR79" s="429">
        <f>IF(AF79=Modelo!$F$54,Modelo!$H$54,IF(AF79=Modelo!$F$55,Modelo!$H$55,IF(AF79=Modelo!$F$56,Modelo!$H$56,0)))</f>
        <v>1</v>
      </c>
      <c r="AS79" s="429">
        <f>IF(AG79=Modelo!$F$58,Modelo!$H$58,IF(AG79=Modelo!$F$59,Modelo!$H$59,IF(AG79=Modelo!$F$60,Modelo!$H$60,0)))</f>
        <v>0.9</v>
      </c>
      <c r="AT79" s="427"/>
      <c r="AU79" s="431">
        <f>Modelo!$H$2</f>
        <v>0.05</v>
      </c>
      <c r="AV79" s="432">
        <f>ROUNDUP(Modelo!$I$2*Modelo!$H$3*Modelo!$I$75,2)</f>
        <v>0.02</v>
      </c>
      <c r="AW79" s="433">
        <f>ROUNDUP(Modelo!$I$2*Modelo!$H$3*Modelo!$H$4*Modelo!$I$75,3)</f>
        <v>3.0000000000000001E-3</v>
      </c>
      <c r="AX79" s="431">
        <f>Modelo!$H$5</f>
        <v>0.04</v>
      </c>
      <c r="AY79" s="431">
        <f>ROUNDUP(SUM(AZ79,BB79,BD79,BF79)*Modelo!$H$6,1)</f>
        <v>0.7</v>
      </c>
      <c r="AZ79" s="431">
        <f>ROUNDUP((AI79*AK79+0.1)*Modelo!$I$75,1)</f>
        <v>1</v>
      </c>
      <c r="BA79" s="431">
        <f>ROUNDUP(AJ79*AK79*AL79*Modelo!$I$75,1)</f>
        <v>0.1</v>
      </c>
      <c r="BB79" s="431">
        <f>ROUNDUP(V79*Modelo!$H$29*AM79*Modelo!$I$75*2/3,1)</f>
        <v>0.6</v>
      </c>
      <c r="BC79" s="431">
        <f>ROUNDUP(V79*Modelo!$H$29*AM79*AN79*Modelo!$I$75*2/3,1)</f>
        <v>0.2</v>
      </c>
      <c r="BD79" s="431">
        <f>ROUNDUP(V79*Modelo!$H$29*AM79*Modelo!$I$75/3,1)</f>
        <v>0.30000000000000004</v>
      </c>
      <c r="BE79" s="431">
        <f>ROUNDUP(V79*Modelo!$H$29*AM79*AN79*Modelo!$I$75/3,1)</f>
        <v>0.1</v>
      </c>
      <c r="BF79" s="431">
        <f>ROUNDUP(W79*Modelo!$H$36*AO79*Modelo!$I$75,1)</f>
        <v>0</v>
      </c>
      <c r="BG79" s="431">
        <f>ROUNDUP(W79*Modelo!$H$36*AO79*AP79*Modelo!$I$75,1)</f>
        <v>0</v>
      </c>
      <c r="BH79" s="431">
        <f>Modelo!$H$43</f>
        <v>0.04</v>
      </c>
      <c r="BI79" s="431">
        <f>ROUNDUP(SUM(ROUNDUP(AI79*AK79+0.1,1),ROUNDUP(V79*Modelo!$H$29*AM79,1),ROUNDUP(W79*Modelo!$H$36*AO79,1))*AR79*AQ79*Modelo!$I$75,1)</f>
        <v>3.1</v>
      </c>
      <c r="BJ79" s="431">
        <f t="shared" ref="BJ79:BJ80" si="423">IF(K$31="x",0, BI79*0.1*1.25)</f>
        <v>0</v>
      </c>
      <c r="BK79" s="431">
        <f t="shared" ref="BK79:BK80" si="424">IF(Q79="x",(BI79)*0.1,0)</f>
        <v>0</v>
      </c>
      <c r="BL79" s="431">
        <f t="shared" ref="BL79:BL80" si="425">IF(R79="x",(BI79)*0.12,0)</f>
        <v>0</v>
      </c>
      <c r="BM79" s="431">
        <f t="shared" ref="BM79:BM80" si="426">IF(S79="x",(BI79)*0.12,0)*4</f>
        <v>0</v>
      </c>
      <c r="BN79" s="431">
        <f>ROUNDUP(SUM(ROUNDUP(AI79*AK79+0.1,1),ROUNDUP(V79*Modelo!$H$29*AM79,1),ROUNDUP(W79*Modelo!$H$36*AO79,1))*AQ79*AS79*Modelo!$H$57,1)</f>
        <v>1.3</v>
      </c>
      <c r="BO79" s="431">
        <f t="shared" ref="BO79:BO80" si="427">BI79*0.1
+IF(K$15="x",0,BI79*0.05)
+IF(K$27="x",0,BI79*0.2)
+IF(K$28="x",0,BI79*0.5)
+IF(OR(K$29="x",K$30="x"),0,BI79*0.05)
+IF(K$31="x",0,BI79*0.3)
+IF(Q79="x",0,BI79*0.5)
+IF(OR(R79="x",S79="x"),0,BI79*0.15)</f>
        <v>2.9450000000000003</v>
      </c>
      <c r="BP79" s="431">
        <f>Modelo!$H$61</f>
        <v>0.04</v>
      </c>
      <c r="BQ79" s="431">
        <f>ROUNDUP(SUM(ROUNDUP(AI79*AK79+0.1,1),ROUNDUP(V79*Modelo!$H$29*AM79,1),ROUNDUP(W79*Modelo!$H$36*AO79,1))*Modelo!$H$62*Modelo!$I$75,1)</f>
        <v>0.2</v>
      </c>
      <c r="BR79" s="431">
        <f>ROUNDUP(ROUNDUP(SUM(ROUNDUP(AI79*AK79+0.1,1),ROUNDUP(V79*Modelo!$H$29*AM79,1),ROUNDUP(W79*Modelo!$H$36*AO79,1))*Modelo!$H$62,1)*Modelo!$H$63*Modelo!$I$75,1)</f>
        <v>0.1</v>
      </c>
      <c r="BS79" s="431">
        <f>SUM(ROUNDUP(AI79*AK79+0.1,1),ROUNDUP(V79*Modelo!$H$29*AM79,1),ROUNDUP(W79*Modelo!$H$36*AO79,1))*Modelo!$H$64*Modelo!$I$75</f>
        <v>0.36000000000000004</v>
      </c>
      <c r="BT79" s="431">
        <f>ROUNDUP(SUM(ROUNDUP(AI79*AK79+0.1,1),ROUNDUP(V79*Modelo!$H$29*AM79,1),ROUNDUP(W79*Modelo!$H$36*AO79,1))*Modelo!$H$64*Modelo!$H$65*Modelo!$I$75,1)</f>
        <v>0.2</v>
      </c>
      <c r="BU79" s="431">
        <f>Modelo!$H$66</f>
        <v>0.04</v>
      </c>
      <c r="BV79" s="431">
        <f>ROUNDUP(SUM(ROUNDUP(AI79*AK79+0.1,1),ROUNDUP(V79*Modelo!$H$29*AM79,1),ROUNDUP(W79*Modelo!$H$36*AO79,1))*Modelo!$H$69,1)</f>
        <v>0.4</v>
      </c>
      <c r="BW79" s="431">
        <f>ROUNDUP(ROUNDUP(SUM(ROUNDUP(AI79*AK79+0.1,1),ROUNDUP(V79*Modelo!$H$29*AM79,1),ROUNDUP(W79*Modelo!$H$36*AO79,1))*Modelo!$H$62,1)*Modelo!$H$71,1)</f>
        <v>0.4</v>
      </c>
      <c r="BX79" s="430">
        <f t="shared" ref="BX79:BX80" si="428">SUM(AU79:BW79)</f>
        <v>12.237999999999998</v>
      </c>
      <c r="BZ79" s="426">
        <f t="shared" ref="BZ79:BZ80" si="429">CA79*0.85</f>
        <v>3.74</v>
      </c>
      <c r="CA79" s="425">
        <f t="shared" ref="CA79:CA80" si="430">O79</f>
        <v>4.4000000000000004</v>
      </c>
      <c r="CB79" s="426">
        <f t="shared" ref="CB79:CB80" si="431">IF(CA79=0,1,CA79*1.4)</f>
        <v>6.16</v>
      </c>
      <c r="CD79" s="420">
        <v>0</v>
      </c>
      <c r="CF79" s="426">
        <f t="shared" ref="CF79:CF80" si="432">IF(CC79&lt;&gt;"",CC79,CD79)</f>
        <v>0</v>
      </c>
    </row>
    <row r="80" spans="3:84" s="426" customFormat="1" ht="39" thickBot="1" x14ac:dyDescent="0.25">
      <c r="C80" s="461" t="s">
        <v>94</v>
      </c>
      <c r="D80" s="440" t="s">
        <v>18</v>
      </c>
      <c r="E80" s="440" t="str">
        <f t="shared" si="406"/>
        <v>B</v>
      </c>
      <c r="F80" s="440" t="s">
        <v>459</v>
      </c>
      <c r="G80" s="440" t="s">
        <v>459</v>
      </c>
      <c r="H80" s="440" t="str">
        <f t="shared" si="407"/>
        <v>B</v>
      </c>
      <c r="I80" s="440" t="str">
        <f t="shared" si="408"/>
        <v>B</v>
      </c>
      <c r="J80" s="437">
        <f t="shared" si="409"/>
        <v>1</v>
      </c>
      <c r="K80" s="436" t="str">
        <f t="shared" si="410"/>
        <v>Chica 3</v>
      </c>
      <c r="L80" s="161" t="s">
        <v>622</v>
      </c>
      <c r="M80" s="434">
        <f t="shared" si="411"/>
        <v>3.1</v>
      </c>
      <c r="N80" s="434">
        <f t="shared" si="412"/>
        <v>1.3</v>
      </c>
      <c r="O80" s="442">
        <f t="shared" si="413"/>
        <v>4.4000000000000004</v>
      </c>
      <c r="Q80" s="408"/>
      <c r="R80" s="408"/>
      <c r="S80" s="408"/>
      <c r="T80" s="425"/>
      <c r="U80" s="441">
        <v>15</v>
      </c>
      <c r="V80" s="441">
        <v>1</v>
      </c>
      <c r="W80" s="441">
        <v>0</v>
      </c>
      <c r="X80" s="438"/>
      <c r="Y80" s="428" t="str">
        <f t="shared" si="414"/>
        <v>Chica 3</v>
      </c>
      <c r="Z80" s="428" t="str">
        <f t="shared" si="415"/>
        <v>Baja</v>
      </c>
      <c r="AA80" s="428" t="str">
        <f t="shared" si="416"/>
        <v>Baja</v>
      </c>
      <c r="AB80" s="428" t="str">
        <f t="shared" si="417"/>
        <v>Baja</v>
      </c>
      <c r="AC80" s="428" t="str">
        <f t="shared" si="418"/>
        <v>Baja</v>
      </c>
      <c r="AD80" s="428" t="str">
        <f t="shared" si="419"/>
        <v>Baja</v>
      </c>
      <c r="AE80" s="428" t="str">
        <f t="shared" si="420"/>
        <v>Baja</v>
      </c>
      <c r="AF80" s="428" t="str">
        <f t="shared" si="421"/>
        <v>Baja</v>
      </c>
      <c r="AG80" s="428" t="str">
        <f t="shared" si="422"/>
        <v>Baja</v>
      </c>
      <c r="AH80" s="427"/>
      <c r="AI80" s="429">
        <f>IF(Y80=Modelo!$F$7,Modelo!$H$7,IF(Y80=Modelo!$F$8,Modelo!$H$8,IF(Y80=Modelo!$F$9,Modelo!$H$9,IF(Y80=Modelo!$F$10,Modelo!$H$10,IF(Y80=Modelo!$F$11,Modelo!$H$11,IF(Y80=Modelo!$F$12,Modelo!$H$12,IF(Y80=Modelo!$F$13,Modelo!$H$13,IF(Y80=Modelo!$F$14,Modelo!$H$14,IF(Y80=Modelo!$F$15,Modelo!$H$15,IF(Y80=Modelo!$F$16,Modelo!$H$16,IF(Y80=Modelo!$F$17,Modelo!$H$17,IF(Y80=Modelo!$F$18,Modelo!$H$18,IF(Y80=Modelo!$F$19,Modelo!$H$19,IF(Y80=Modelo!$F$20,Modelo!$H$20,IF(Y80=Modelo!$F$21,Modelo!$H$21,IF(Y80=Modelo!$F$22,Modelo!$H$22,0))))))))))))))))</f>
        <v>0.9</v>
      </c>
      <c r="AJ80" s="429">
        <f>IF(Y80=Modelo!$F$7,Modelo!$I$7,IF(Y80=Modelo!$F$8,Modelo!$I$8,IF(Y80=Modelo!$F$9,Modelo!$I$9,IF(Y80=Modelo!$F$10,Modelo!$I$10,IF(Y80=Modelo!$F$11,Modelo!$I$11,IF(Y80=Modelo!$F$12,Modelo!$I$12,IF(Y80=Modelo!$F$13,Modelo!$I$13,IF(Y80=Modelo!$F$14,Modelo!$I$14,IF(Y80=Modelo!$F$15,Modelo!$I$15,IF(Y80=Modelo!$F$16,Modelo!$I$16,IF(Y80=Modelo!$F$17,Modelo!$I$17,IF(Y80=Modelo!$F$18,Modelo!$I$18,IF(Y80=Modelo!$F$19,Modelo!$I$19,IF(Y80=Modelo!$F$20,Modelo!$I$20,IF(Y80=Modelo!$F$21,Modelo!$I$21,IF(Y80=Modelo!$F$22,Modelo!$I$22,0))))))))))))))))</f>
        <v>0.3</v>
      </c>
      <c r="AK80" s="429">
        <f>IF(Z80=Modelo!$F$23,Modelo!$H$23,IF(Z80=Modelo!$F$24,Modelo!$H$24,IF(Z80=Modelo!$F$25,Modelo!$H$25,0)))</f>
        <v>1</v>
      </c>
      <c r="AL80" s="429">
        <f>IF(AA80=Modelo!$F$26,Modelo!$H$26,IF(AA80=Modelo!$F$27,Modelo!$H$27,IF(AA80=Modelo!$F$28,Modelo!$H$28,0)))</f>
        <v>0.1</v>
      </c>
      <c r="AM80" s="429">
        <f>IF(AB80=Modelo!$F$30,Modelo!$H$30,IF(AB80=Modelo!$F$31,Modelo!$H$31,IF(AB80=Modelo!$F$32,Modelo!$H$32,0)))</f>
        <v>0.8</v>
      </c>
      <c r="AN80" s="429">
        <f>IF(AC80=Modelo!$F$33,Modelo!$H$33,IF(AC80=Modelo!$F$34,Modelo!$H$34,IF(AC80=Modelo!$F$35,Modelo!$H$35,0)))</f>
        <v>0.3</v>
      </c>
      <c r="AO80" s="429">
        <f>IF(AD80=Modelo!$F$37,Modelo!$H$37,IF(AD80=Modelo!$F$38,Modelo!$H$38,IF(AD80=Modelo!$F$39,Modelo!$H$39,0)))</f>
        <v>0.8</v>
      </c>
      <c r="AP80" s="429">
        <f>IF(AE80=Modelo!$F$40,Modelo!$H$40,IF(AE80=Modelo!$F$41,Modelo!$H$41,IF(AE80=Modelo!$F$42,Modelo!$H$42,0)))</f>
        <v>0.4</v>
      </c>
      <c r="AQ80" s="428">
        <f>IF(C80=Modelo!$F$44,Modelo!$H$44,IF(C80=Modelo!$F$45,Modelo!$H$45,IF(C80=Modelo!$F$46,Modelo!$H$46,IF(C80=Modelo!$F$47,Modelo!$H$47,IF(C80=Modelo!$F$48,Modelo!$H$48,IF(C80=Modelo!$F$49,Modelo!$H$49,IF(C80=Modelo!$F$50,Modelo!$H$50,IF(C80=Modelo!$F$51,Modelo!$H$51,IF(C80=Modelo!$F$52,Modelo!$H$52,IF(C80=Modelo!$F$53,Modelo!$H$53,0))))))))))</f>
        <v>1.7</v>
      </c>
      <c r="AR80" s="429">
        <f>IF(AF80=Modelo!$F$54,Modelo!$H$54,IF(AF80=Modelo!$F$55,Modelo!$H$55,IF(AF80=Modelo!$F$56,Modelo!$H$56,0)))</f>
        <v>1</v>
      </c>
      <c r="AS80" s="429">
        <f>IF(AG80=Modelo!$F$58,Modelo!$H$58,IF(AG80=Modelo!$F$59,Modelo!$H$59,IF(AG80=Modelo!$F$60,Modelo!$H$60,0)))</f>
        <v>0.9</v>
      </c>
      <c r="AT80" s="427"/>
      <c r="AU80" s="431">
        <f>Modelo!$H$2</f>
        <v>0.05</v>
      </c>
      <c r="AV80" s="432">
        <f>ROUNDUP(Modelo!$I$2*Modelo!$H$3*Modelo!$I$75,2)</f>
        <v>0.02</v>
      </c>
      <c r="AW80" s="433">
        <f>ROUNDUP(Modelo!$I$2*Modelo!$H$3*Modelo!$H$4*Modelo!$I$75,3)</f>
        <v>3.0000000000000001E-3</v>
      </c>
      <c r="AX80" s="431">
        <f>Modelo!$H$5</f>
        <v>0.04</v>
      </c>
      <c r="AY80" s="431">
        <f>ROUNDUP(SUM(AZ80,BB80,BD80,BF80)*Modelo!$H$6,1)</f>
        <v>0.7</v>
      </c>
      <c r="AZ80" s="431">
        <f>ROUNDUP((AI80*AK80+0.1)*Modelo!$I$75,1)</f>
        <v>1</v>
      </c>
      <c r="BA80" s="431">
        <f>ROUNDUP(AJ80*AK80*AL80*Modelo!$I$75,1)</f>
        <v>0.1</v>
      </c>
      <c r="BB80" s="431">
        <f>ROUNDUP(V80*Modelo!$H$29*AM80*Modelo!$I$75*2/3,1)</f>
        <v>0.6</v>
      </c>
      <c r="BC80" s="431">
        <f>ROUNDUP(V80*Modelo!$H$29*AM80*AN80*Modelo!$I$75*2/3,1)</f>
        <v>0.2</v>
      </c>
      <c r="BD80" s="431">
        <f>ROUNDUP(V80*Modelo!$H$29*AM80*Modelo!$I$75/3,1)</f>
        <v>0.30000000000000004</v>
      </c>
      <c r="BE80" s="431">
        <f>ROUNDUP(V80*Modelo!$H$29*AM80*AN80*Modelo!$I$75/3,1)</f>
        <v>0.1</v>
      </c>
      <c r="BF80" s="431">
        <f>ROUNDUP(W80*Modelo!$H$36*AO80*Modelo!$I$75,1)</f>
        <v>0</v>
      </c>
      <c r="BG80" s="431">
        <f>ROUNDUP(W80*Modelo!$H$36*AO80*AP80*Modelo!$I$75,1)</f>
        <v>0</v>
      </c>
      <c r="BH80" s="431">
        <f>Modelo!$H$43</f>
        <v>0.04</v>
      </c>
      <c r="BI80" s="431">
        <f>ROUNDUP(SUM(ROUNDUP(AI80*AK80+0.1,1),ROUNDUP(V80*Modelo!$H$29*AM80,1),ROUNDUP(W80*Modelo!$H$36*AO80,1))*AR80*AQ80*Modelo!$I$75,1)</f>
        <v>3.1</v>
      </c>
      <c r="BJ80" s="431">
        <f t="shared" si="423"/>
        <v>0</v>
      </c>
      <c r="BK80" s="431">
        <f t="shared" si="424"/>
        <v>0</v>
      </c>
      <c r="BL80" s="431">
        <f t="shared" si="425"/>
        <v>0</v>
      </c>
      <c r="BM80" s="431">
        <f t="shared" si="426"/>
        <v>0</v>
      </c>
      <c r="BN80" s="431">
        <f>ROUNDUP(SUM(ROUNDUP(AI80*AK80+0.1,1),ROUNDUP(V80*Modelo!$H$29*AM80,1),ROUNDUP(W80*Modelo!$H$36*AO80,1))*AQ80*AS80*Modelo!$H$57,1)</f>
        <v>1.3</v>
      </c>
      <c r="BO80" s="431">
        <f t="shared" si="427"/>
        <v>2.9450000000000003</v>
      </c>
      <c r="BP80" s="431">
        <f>Modelo!$H$61</f>
        <v>0.04</v>
      </c>
      <c r="BQ80" s="431">
        <f>ROUNDUP(SUM(ROUNDUP(AI80*AK80+0.1,1),ROUNDUP(V80*Modelo!$H$29*AM80,1),ROUNDUP(W80*Modelo!$H$36*AO80,1))*Modelo!$H$62*Modelo!$I$75,1)</f>
        <v>0.2</v>
      </c>
      <c r="BR80" s="431">
        <f>ROUNDUP(ROUNDUP(SUM(ROUNDUP(AI80*AK80+0.1,1),ROUNDUP(V80*Modelo!$H$29*AM80,1),ROUNDUP(W80*Modelo!$H$36*AO80,1))*Modelo!$H$62,1)*Modelo!$H$63*Modelo!$I$75,1)</f>
        <v>0.1</v>
      </c>
      <c r="BS80" s="431">
        <f>SUM(ROUNDUP(AI80*AK80+0.1,1),ROUNDUP(V80*Modelo!$H$29*AM80,1),ROUNDUP(W80*Modelo!$H$36*AO80,1))*Modelo!$H$64*Modelo!$I$75</f>
        <v>0.36000000000000004</v>
      </c>
      <c r="BT80" s="431">
        <f>ROUNDUP(SUM(ROUNDUP(AI80*AK80+0.1,1),ROUNDUP(V80*Modelo!$H$29*AM80,1),ROUNDUP(W80*Modelo!$H$36*AO80,1))*Modelo!$H$64*Modelo!$H$65*Modelo!$I$75,1)</f>
        <v>0.2</v>
      </c>
      <c r="BU80" s="431">
        <f>Modelo!$H$66</f>
        <v>0.04</v>
      </c>
      <c r="BV80" s="431">
        <f>ROUNDUP(SUM(ROUNDUP(AI80*AK80+0.1,1),ROUNDUP(V80*Modelo!$H$29*AM80,1),ROUNDUP(W80*Modelo!$H$36*AO80,1))*Modelo!$H$69,1)</f>
        <v>0.4</v>
      </c>
      <c r="BW80" s="431">
        <f>ROUNDUP(ROUNDUP(SUM(ROUNDUP(AI80*AK80+0.1,1),ROUNDUP(V80*Modelo!$H$29*AM80,1),ROUNDUP(W80*Modelo!$H$36*AO80,1))*Modelo!$H$62,1)*Modelo!$H$71,1)</f>
        <v>0.4</v>
      </c>
      <c r="BX80" s="430">
        <f t="shared" si="428"/>
        <v>12.237999999999998</v>
      </c>
      <c r="BZ80" s="426">
        <f t="shared" si="429"/>
        <v>3.74</v>
      </c>
      <c r="CA80" s="425">
        <f t="shared" si="430"/>
        <v>4.4000000000000004</v>
      </c>
      <c r="CB80" s="426">
        <f t="shared" si="431"/>
        <v>6.16</v>
      </c>
      <c r="CD80" s="420">
        <v>0</v>
      </c>
      <c r="CF80" s="426">
        <f t="shared" si="432"/>
        <v>0</v>
      </c>
    </row>
    <row r="81" spans="2:84" s="426" customFormat="1" ht="26.25" thickBot="1" x14ac:dyDescent="0.25">
      <c r="C81" s="461" t="s">
        <v>98</v>
      </c>
      <c r="D81" s="440" t="s">
        <v>18</v>
      </c>
      <c r="E81" s="440" t="str">
        <f t="shared" ref="E81:E82" si="433">IF(U81&gt;50,"A",IF(U81&gt;15,"M","B"))</f>
        <v>B</v>
      </c>
      <c r="F81" s="440" t="s">
        <v>459</v>
      </c>
      <c r="G81" s="440" t="s">
        <v>459</v>
      </c>
      <c r="H81" s="440" t="str">
        <f t="shared" ref="H81:H82" si="434">IF(V81+W81&gt;20,"A",IF(V81+W81&gt;5,"M","B"))</f>
        <v>B</v>
      </c>
      <c r="I81" s="440" t="str">
        <f t="shared" ref="I81:I82" si="435">IF(V81+W81&gt;15,"A",IF(V81+W81&gt;4,"M","B"))</f>
        <v>B</v>
      </c>
      <c r="J81" s="437">
        <f t="shared" ref="J81:J82" si="436">V81+W81</f>
        <v>1</v>
      </c>
      <c r="K81" s="436" t="str">
        <f t="shared" ref="K81:K82" si="437">Y81</f>
        <v>Chica 3</v>
      </c>
      <c r="L81" s="161" t="s">
        <v>595</v>
      </c>
      <c r="M81" s="434">
        <f t="shared" ref="M81:M82" si="438">BI81+BJ81+BK81+BL81+BM81</f>
        <v>4</v>
      </c>
      <c r="N81" s="434">
        <f t="shared" ref="N81:N86" si="439">BN81</f>
        <v>1.7000000000000002</v>
      </c>
      <c r="O81" s="442">
        <f t="shared" ref="O81:O82" si="440">SUM(M81,N81)</f>
        <v>5.7</v>
      </c>
      <c r="Q81" s="408"/>
      <c r="R81" s="408"/>
      <c r="S81" s="408"/>
      <c r="U81" s="441">
        <v>15</v>
      </c>
      <c r="V81" s="441">
        <v>1</v>
      </c>
      <c r="W81" s="441">
        <v>0</v>
      </c>
      <c r="X81" s="438"/>
      <c r="Y81" s="428" t="str">
        <f t="shared" ref="Y81:Y82" si="441">IF(AND(U81&gt;=0,U81&lt;=6),"Chica 1",IF(AND(U81&gt;=7,U81&lt;=12),"Chica 2",IF(AND(U81&gt;=13,U81&lt;=18),"Chica 3",IF(AND(U81&gt;=19,U81&lt;=24),"Chica 4",IF(AND(U81&gt;=25,U81&lt;=30),"Mediana 1",IF(AND(U81&gt;=31,U81&lt;=36),"Mediana 2",IF(AND(U81&gt;=37,U81&lt;=42),"Mediana 3",IF(AND(U81&gt;=43,U81&lt;=48),"Mediana 4",IF(AND(U81&gt;=49,U81&lt;=54),"Grande 1",IF(AND(U81&gt;=55,U81&lt;=60),"Grande 2",IF(AND(U81&gt;=61,U81&lt;=66),"Grande 3",IF(AND(U81&gt;=67,U81&lt;=72),"Grande 4",IF(AND(U81&gt;=73,U81&lt;=78),"M. grande 1",IF(AND(U81&gt;=79,U81&lt;=84),"M. grande 2",IF(AND(U81&gt;=85,U81&lt;=90),"M. grande 3",IF(AND(U81&gt;=91,U81&lt;=96),"M. grande 4","NO DEF"))))))))))))))))</f>
        <v>Chica 3</v>
      </c>
      <c r="Z81" s="428" t="str">
        <f t="shared" ref="Z81:Z82" si="442">IF(E81="A","Alta",IF(E81="M","Media","Baja"))</f>
        <v>Baja</v>
      </c>
      <c r="AA81" s="428" t="str">
        <f t="shared" ref="AA81:AA82" si="443">IF(E81="A","Alta",IF(E81="M","Media","Baja"))</f>
        <v>Baja</v>
      </c>
      <c r="AB81" s="428" t="str">
        <f t="shared" ref="AB81:AB82" si="444">IF(F81="A","Alta",IF(F81="M","Media","Baja"))</f>
        <v>Baja</v>
      </c>
      <c r="AC81" s="428" t="str">
        <f t="shared" ref="AC81:AC82" si="445">IF(F81="A","Alta",IF(F81="M","Media","Baja"))</f>
        <v>Baja</v>
      </c>
      <c r="AD81" s="428" t="str">
        <f t="shared" ref="AD81:AD82" si="446">IF(G81="A","Alta",IF(G81="M","Media","Baja"))</f>
        <v>Baja</v>
      </c>
      <c r="AE81" s="428" t="str">
        <f t="shared" ref="AE81:AE82" si="447">IF(G81="A","Alta",IF(G81="M","Media","Baja"))</f>
        <v>Baja</v>
      </c>
      <c r="AF81" s="428" t="str">
        <f t="shared" ref="AF81:AF82" si="448">IF(H81="A","Alta",IF(H81="M","Media","Baja"))</f>
        <v>Baja</v>
      </c>
      <c r="AG81" s="428" t="str">
        <f t="shared" ref="AG81:AG82" si="449">IF(I81="A","Alta",IF(I81="M","Media","Baja"))</f>
        <v>Baja</v>
      </c>
      <c r="AH81" s="427"/>
      <c r="AI81" s="429">
        <f>IF(Y81=Modelo!$F$7,Modelo!$H$7,IF(Y81=Modelo!$F$8,Modelo!$H$8,IF(Y81=Modelo!$F$9,Modelo!$H$9,IF(Y81=Modelo!$F$10,Modelo!$H$10,IF(Y81=Modelo!$F$11,Modelo!$H$11,IF(Y81=Modelo!$F$12,Modelo!$H$12,IF(Y81=Modelo!$F$13,Modelo!$H$13,IF(Y81=Modelo!$F$14,Modelo!$H$14,IF(Y81=Modelo!$F$15,Modelo!$H$15,IF(Y81=Modelo!$F$16,Modelo!$H$16,IF(Y81=Modelo!$F$17,Modelo!$H$17,IF(Y81=Modelo!$F$18,Modelo!$H$18,IF(Y81=Modelo!$F$19,Modelo!$H$19,IF(Y81=Modelo!$F$20,Modelo!$H$20,IF(Y81=Modelo!$F$21,Modelo!$H$21,IF(Y81=Modelo!$F$22,Modelo!$H$22,0))))))))))))))))</f>
        <v>0.9</v>
      </c>
      <c r="AJ81" s="429">
        <f>IF(Y81=Modelo!$F$7,Modelo!$I$7,IF(Y81=Modelo!$F$8,Modelo!$I$8,IF(Y81=Modelo!$F$9,Modelo!$I$9,IF(Y81=Modelo!$F$10,Modelo!$I$10,IF(Y81=Modelo!$F$11,Modelo!$I$11,IF(Y81=Modelo!$F$12,Modelo!$I$12,IF(Y81=Modelo!$F$13,Modelo!$I$13,IF(Y81=Modelo!$F$14,Modelo!$I$14,IF(Y81=Modelo!$F$15,Modelo!$I$15,IF(Y81=Modelo!$F$16,Modelo!$I$16,IF(Y81=Modelo!$F$17,Modelo!$I$17,IF(Y81=Modelo!$F$18,Modelo!$I$18,IF(Y81=Modelo!$F$19,Modelo!$I$19,IF(Y81=Modelo!$F$20,Modelo!$I$20,IF(Y81=Modelo!$F$21,Modelo!$I$21,IF(Y81=Modelo!$F$22,Modelo!$I$22,0))))))))))))))))</f>
        <v>0.3</v>
      </c>
      <c r="AK81" s="429">
        <f>IF(Z81=Modelo!$F$23,Modelo!$H$23,IF(Z81=Modelo!$F$24,Modelo!$H$24,IF(Z81=Modelo!$F$25,Modelo!$H$25,0)))</f>
        <v>1</v>
      </c>
      <c r="AL81" s="429">
        <f>IF(AA81=Modelo!$F$26,Modelo!$H$26,IF(AA81=Modelo!$F$27,Modelo!$H$27,IF(AA81=Modelo!$F$28,Modelo!$H$28,0)))</f>
        <v>0.1</v>
      </c>
      <c r="AM81" s="429">
        <f>IF(AB81=Modelo!$F$30,Modelo!$H$30,IF(AB81=Modelo!$F$31,Modelo!$H$31,IF(AB81=Modelo!$F$32,Modelo!$H$32,0)))</f>
        <v>0.8</v>
      </c>
      <c r="AN81" s="429">
        <f>IF(AC81=Modelo!$F$33,Modelo!$H$33,IF(AC81=Modelo!$F$34,Modelo!$H$34,IF(AC81=Modelo!$F$35,Modelo!$H$35,0)))</f>
        <v>0.3</v>
      </c>
      <c r="AO81" s="429">
        <f>IF(AD81=Modelo!$F$37,Modelo!$H$37,IF(AD81=Modelo!$F$38,Modelo!$H$38,IF(AD81=Modelo!$F$39,Modelo!$H$39,0)))</f>
        <v>0.8</v>
      </c>
      <c r="AP81" s="429">
        <f>IF(AE81=Modelo!$F$40,Modelo!$H$40,IF(AE81=Modelo!$F$41,Modelo!$H$41,IF(AE81=Modelo!$F$42,Modelo!$H$42,0)))</f>
        <v>0.4</v>
      </c>
      <c r="AQ81" s="428">
        <f>IF(C81=Modelo!$F$44,Modelo!$H$44,IF(C81=Modelo!$F$45,Modelo!$H$45,IF(C81=Modelo!$F$46,Modelo!$H$46,IF(C81=Modelo!$F$47,Modelo!$H$47,IF(C81=Modelo!$F$48,Modelo!$H$48,IF(C81=Modelo!$F$49,Modelo!$H$49,IF(C81=Modelo!$F$50,Modelo!$H$50,IF(C81=Modelo!$F$51,Modelo!$H$51,IF(C81=Modelo!$F$52,Modelo!$H$52,IF(C81=Modelo!$F$53,Modelo!$H$53,0))))))))))</f>
        <v>2.2000000000000002</v>
      </c>
      <c r="AR81" s="429">
        <f>IF(AF81=Modelo!$F$54,Modelo!$H$54,IF(AF81=Modelo!$F$55,Modelo!$H$55,IF(AF81=Modelo!$F$56,Modelo!$H$56,0)))</f>
        <v>1</v>
      </c>
      <c r="AS81" s="429">
        <f>IF(AG81=Modelo!$F$58,Modelo!$H$58,IF(AG81=Modelo!$F$59,Modelo!$H$59,IF(AG81=Modelo!$F$60,Modelo!$H$60,0)))</f>
        <v>0.9</v>
      </c>
      <c r="AT81" s="427"/>
      <c r="AU81" s="431">
        <f>Modelo!$H$2</f>
        <v>0.05</v>
      </c>
      <c r="AV81" s="432">
        <f>ROUNDUP(Modelo!$I$2*Modelo!$H$3*Modelo!$I$75,2)</f>
        <v>0.02</v>
      </c>
      <c r="AW81" s="433">
        <f>ROUNDUP(Modelo!$I$2*Modelo!$H$3*Modelo!$H$4*Modelo!$I$75,3)</f>
        <v>3.0000000000000001E-3</v>
      </c>
      <c r="AX81" s="431">
        <f>Modelo!$H$5</f>
        <v>0.04</v>
      </c>
      <c r="AY81" s="431">
        <f>ROUNDUP(SUM(AZ81,BB81,BD81,BF81)*Modelo!$H$6,1)</f>
        <v>0.7</v>
      </c>
      <c r="AZ81" s="431">
        <f>ROUNDUP((AI81*AK81+0.1)*Modelo!$I$75,1)</f>
        <v>1</v>
      </c>
      <c r="BA81" s="431">
        <f>ROUNDUP(AJ81*AK81*AL81*Modelo!$I$75,1)</f>
        <v>0.1</v>
      </c>
      <c r="BB81" s="431">
        <f>ROUNDUP(V81*Modelo!$H$29*AM81*Modelo!$I$75*2/3,1)</f>
        <v>0.6</v>
      </c>
      <c r="BC81" s="431">
        <f>ROUNDUP(V81*Modelo!$H$29*AM81*AN81*Modelo!$I$75*2/3,1)</f>
        <v>0.2</v>
      </c>
      <c r="BD81" s="431">
        <f>ROUNDUP(V81*Modelo!$H$29*AM81*Modelo!$I$75/3,1)</f>
        <v>0.30000000000000004</v>
      </c>
      <c r="BE81" s="431">
        <f>ROUNDUP(V81*Modelo!$H$29*AM81*AN81*Modelo!$I$75/3,1)</f>
        <v>0.1</v>
      </c>
      <c r="BF81" s="431">
        <f>ROUNDUP(W81*Modelo!$H$36*AO81*Modelo!$I$75,1)</f>
        <v>0</v>
      </c>
      <c r="BG81" s="431">
        <f>ROUNDUP(W81*Modelo!$H$36*AO81*AP81*Modelo!$I$75,1)</f>
        <v>0</v>
      </c>
      <c r="BH81" s="431">
        <f>Modelo!$H$43</f>
        <v>0.04</v>
      </c>
      <c r="BI81" s="431">
        <f>ROUNDUP(SUM(ROUNDUP(AI81*AK81+0.1,1),ROUNDUP(V81*Modelo!$H$29*AM81,1),ROUNDUP(W81*Modelo!$H$36*AO81,1))*AR81*AQ81*Modelo!$I$75,1)</f>
        <v>4</v>
      </c>
      <c r="BJ81" s="431">
        <f t="shared" ref="BJ81:BJ82" si="450">IF(K$31="x",0, BI81*0.1*1.25)</f>
        <v>0</v>
      </c>
      <c r="BK81" s="431">
        <f t="shared" ref="BK81:BK82" si="451">IF(Q81="x",(BI81)*0.1,0)</f>
        <v>0</v>
      </c>
      <c r="BL81" s="431">
        <f t="shared" ref="BL81:BL82" si="452">IF(R81="x",(BI81)*0.12,0)</f>
        <v>0</v>
      </c>
      <c r="BM81" s="431">
        <f t="shared" ref="BM81:BM82" si="453">IF(S81="x",(BI81)*0.12,0)*4</f>
        <v>0</v>
      </c>
      <c r="BN81" s="431">
        <f>ROUNDUP(SUM(ROUNDUP(AI81*AK81+0.1,1),ROUNDUP(V81*Modelo!$H$29*AM81,1),ROUNDUP(W81*Modelo!$H$36*AO81,1))*AQ81*AS81*Modelo!$H$57,1)</f>
        <v>1.7000000000000002</v>
      </c>
      <c r="BO81" s="431">
        <f t="shared" ref="BO81:BO82" si="454">BI81*0.1
+IF(K$15="x",0,BI81*0.05)
+IF(K$27="x",0,BI81*0.2)
+IF(K$28="x",0,BI81*0.5)
+IF(OR(K$29="x",K$30="x"),0,BI81*0.05)
+IF(K$31="x",0,BI81*0.3)
+IF(Q81="x",0,BI81*0.5)
+IF(OR(R81="x",S81="x"),0,BI81*0.15)</f>
        <v>3.8000000000000003</v>
      </c>
      <c r="BP81" s="431">
        <f>Modelo!$H$61</f>
        <v>0.04</v>
      </c>
      <c r="BQ81" s="431">
        <f>ROUNDUP(SUM(ROUNDUP(AI81*AK81+0.1,1),ROUNDUP(V81*Modelo!$H$29*AM81,1),ROUNDUP(W81*Modelo!$H$36*AO81,1))*Modelo!$H$62*Modelo!$I$75,1)</f>
        <v>0.2</v>
      </c>
      <c r="BR81" s="431">
        <f>ROUNDUP(ROUNDUP(SUM(ROUNDUP(AI81*AK81+0.1,1),ROUNDUP(V81*Modelo!$H$29*AM81,1),ROUNDUP(W81*Modelo!$H$36*AO81,1))*Modelo!$H$62,1)*Modelo!$H$63*Modelo!$I$75,1)</f>
        <v>0.1</v>
      </c>
      <c r="BS81" s="431">
        <f>SUM(ROUNDUP(AI81*AK81+0.1,1),ROUNDUP(V81*Modelo!$H$29*AM81,1),ROUNDUP(W81*Modelo!$H$36*AO81,1))*Modelo!$H$64*Modelo!$I$75</f>
        <v>0.36000000000000004</v>
      </c>
      <c r="BT81" s="431">
        <f>ROUNDUP(SUM(ROUNDUP(AI81*AK81+0.1,1),ROUNDUP(V81*Modelo!$H$29*AM81,1),ROUNDUP(W81*Modelo!$H$36*AO81,1))*Modelo!$H$64*Modelo!$H$65*Modelo!$I$75,1)</f>
        <v>0.2</v>
      </c>
      <c r="BU81" s="431">
        <f>Modelo!$H$66</f>
        <v>0.04</v>
      </c>
      <c r="BV81" s="431">
        <f>ROUNDUP(SUM(ROUNDUP(AI81*AK81+0.1,1),ROUNDUP(V81*Modelo!$H$29*AM81,1),ROUNDUP(W81*Modelo!$H$36*AO81,1))*Modelo!$H$69,1)</f>
        <v>0.4</v>
      </c>
      <c r="BW81" s="431">
        <f>ROUNDUP(ROUNDUP(SUM(ROUNDUP(AI81*AK81+0.1,1),ROUNDUP(V81*Modelo!$H$29*AM81,1),ROUNDUP(W81*Modelo!$H$36*AO81,1))*Modelo!$H$62,1)*Modelo!$H$71,1)</f>
        <v>0.4</v>
      </c>
      <c r="BX81" s="430">
        <f t="shared" ref="BX81:BX82" si="455">SUM(AU81:BW81)</f>
        <v>14.392999999999999</v>
      </c>
      <c r="BZ81" s="426">
        <f t="shared" ref="BZ81:BZ82" si="456">CA81*0.85</f>
        <v>4.8449999999999998</v>
      </c>
      <c r="CA81" s="425">
        <f t="shared" ref="CA81:CA82" si="457">O81</f>
        <v>5.7</v>
      </c>
      <c r="CB81" s="426">
        <f t="shared" ref="CB81:CB82" si="458">IF(CA81=0,1,CA81*1.4)</f>
        <v>7.9799999999999995</v>
      </c>
      <c r="CD81" s="420">
        <v>0</v>
      </c>
      <c r="CF81" s="426">
        <f t="shared" ref="CF81:CF82" si="459">IF(CC81&lt;&gt;"",CC81,CD81)</f>
        <v>0</v>
      </c>
    </row>
    <row r="82" spans="2:84" s="426" customFormat="1" ht="26.25" thickBot="1" x14ac:dyDescent="0.25">
      <c r="C82" s="461" t="s">
        <v>106</v>
      </c>
      <c r="D82" s="440" t="s">
        <v>18</v>
      </c>
      <c r="E82" s="440" t="str">
        <f t="shared" si="433"/>
        <v>B</v>
      </c>
      <c r="F82" s="440" t="s">
        <v>459</v>
      </c>
      <c r="G82" s="440" t="s">
        <v>459</v>
      </c>
      <c r="H82" s="440" t="str">
        <f t="shared" si="434"/>
        <v>B</v>
      </c>
      <c r="I82" s="440" t="str">
        <f t="shared" si="435"/>
        <v>B</v>
      </c>
      <c r="J82" s="437">
        <f t="shared" si="436"/>
        <v>1</v>
      </c>
      <c r="K82" s="436" t="str">
        <f t="shared" si="437"/>
        <v>Chica 1</v>
      </c>
      <c r="L82" s="447" t="s">
        <v>623</v>
      </c>
      <c r="M82" s="434">
        <f t="shared" si="438"/>
        <v>3</v>
      </c>
      <c r="N82" s="434">
        <f t="shared" si="439"/>
        <v>1.3</v>
      </c>
      <c r="O82" s="442">
        <f t="shared" si="440"/>
        <v>4.3</v>
      </c>
      <c r="Q82" s="408"/>
      <c r="R82" s="408"/>
      <c r="S82" s="408"/>
      <c r="U82" s="441">
        <v>6</v>
      </c>
      <c r="V82" s="441">
        <v>1</v>
      </c>
      <c r="W82" s="441">
        <v>0</v>
      </c>
      <c r="X82" s="438"/>
      <c r="Y82" s="428" t="str">
        <f t="shared" si="441"/>
        <v>Chica 1</v>
      </c>
      <c r="Z82" s="428" t="str">
        <f t="shared" si="442"/>
        <v>Baja</v>
      </c>
      <c r="AA82" s="428" t="str">
        <f t="shared" si="443"/>
        <v>Baja</v>
      </c>
      <c r="AB82" s="428" t="str">
        <f t="shared" si="444"/>
        <v>Baja</v>
      </c>
      <c r="AC82" s="428" t="str">
        <f t="shared" si="445"/>
        <v>Baja</v>
      </c>
      <c r="AD82" s="428" t="str">
        <f t="shared" si="446"/>
        <v>Baja</v>
      </c>
      <c r="AE82" s="428" t="str">
        <f t="shared" si="447"/>
        <v>Baja</v>
      </c>
      <c r="AF82" s="428" t="str">
        <f t="shared" si="448"/>
        <v>Baja</v>
      </c>
      <c r="AG82" s="428" t="str">
        <f t="shared" si="449"/>
        <v>Baja</v>
      </c>
      <c r="AH82" s="427"/>
      <c r="AI82" s="429">
        <f>IF(Y82=Modelo!$F$7,Modelo!$H$7,IF(Y82=Modelo!$F$8,Modelo!$H$8,IF(Y82=Modelo!$F$9,Modelo!$H$9,IF(Y82=Modelo!$F$10,Modelo!$H$10,IF(Y82=Modelo!$F$11,Modelo!$H$11,IF(Y82=Modelo!$F$12,Modelo!$H$12,IF(Y82=Modelo!$F$13,Modelo!$H$13,IF(Y82=Modelo!$F$14,Modelo!$H$14,IF(Y82=Modelo!$F$15,Modelo!$H$15,IF(Y82=Modelo!$F$16,Modelo!$H$16,IF(Y82=Modelo!$F$17,Modelo!$H$17,IF(Y82=Modelo!$F$18,Modelo!$H$18,IF(Y82=Modelo!$F$19,Modelo!$H$19,IF(Y82=Modelo!$F$20,Modelo!$H$20,IF(Y82=Modelo!$F$21,Modelo!$H$21,IF(Y82=Modelo!$F$22,Modelo!$H$22,0))))))))))))))))</f>
        <v>0.30000000000000004</v>
      </c>
      <c r="AJ82" s="429">
        <f>IF(Y82=Modelo!$F$7,Modelo!$I$7,IF(Y82=Modelo!$F$8,Modelo!$I$8,IF(Y82=Modelo!$F$9,Modelo!$I$9,IF(Y82=Modelo!$F$10,Modelo!$I$10,IF(Y82=Modelo!$F$11,Modelo!$I$11,IF(Y82=Modelo!$F$12,Modelo!$I$12,IF(Y82=Modelo!$F$13,Modelo!$I$13,IF(Y82=Modelo!$F$14,Modelo!$I$14,IF(Y82=Modelo!$F$15,Modelo!$I$15,IF(Y82=Modelo!$F$16,Modelo!$I$16,IF(Y82=Modelo!$F$17,Modelo!$I$17,IF(Y82=Modelo!$F$18,Modelo!$I$18,IF(Y82=Modelo!$F$19,Modelo!$I$19,IF(Y82=Modelo!$F$20,Modelo!$I$20,IF(Y82=Modelo!$F$21,Modelo!$I$21,IF(Y82=Modelo!$F$22,Modelo!$I$22,0))))))))))))))))</f>
        <v>0.1</v>
      </c>
      <c r="AK82" s="429">
        <f>IF(Z82=Modelo!$F$23,Modelo!$H$23,IF(Z82=Modelo!$F$24,Modelo!$H$24,IF(Z82=Modelo!$F$25,Modelo!$H$25,0)))</f>
        <v>1</v>
      </c>
      <c r="AL82" s="429">
        <f>IF(AA82=Modelo!$F$26,Modelo!$H$26,IF(AA82=Modelo!$F$27,Modelo!$H$27,IF(AA82=Modelo!$F$28,Modelo!$H$28,0)))</f>
        <v>0.1</v>
      </c>
      <c r="AM82" s="429">
        <f>IF(AB82=Modelo!$F$30,Modelo!$H$30,IF(AB82=Modelo!$F$31,Modelo!$H$31,IF(AB82=Modelo!$F$32,Modelo!$H$32,0)))</f>
        <v>0.8</v>
      </c>
      <c r="AN82" s="429">
        <f>IF(AC82=Modelo!$F$33,Modelo!$H$33,IF(AC82=Modelo!$F$34,Modelo!$H$34,IF(AC82=Modelo!$F$35,Modelo!$H$35,0)))</f>
        <v>0.3</v>
      </c>
      <c r="AO82" s="429">
        <f>IF(AD82=Modelo!$F$37,Modelo!$H$37,IF(AD82=Modelo!$F$38,Modelo!$H$38,IF(AD82=Modelo!$F$39,Modelo!$H$39,0)))</f>
        <v>0.8</v>
      </c>
      <c r="AP82" s="429">
        <f>IF(AE82=Modelo!$F$40,Modelo!$H$40,IF(AE82=Modelo!$F$41,Modelo!$H$41,IF(AE82=Modelo!$F$42,Modelo!$H$42,0)))</f>
        <v>0.4</v>
      </c>
      <c r="AQ82" s="428">
        <f>IF(C82=Modelo!$F$44,Modelo!$H$44,IF(C82=Modelo!$F$45,Modelo!$H$45,IF(C82=Modelo!$F$46,Modelo!$H$46,IF(C82=Modelo!$F$47,Modelo!$H$47,IF(C82=Modelo!$F$48,Modelo!$H$48,IF(C82=Modelo!$F$49,Modelo!$H$49,IF(C82=Modelo!$F$50,Modelo!$H$50,IF(C82=Modelo!$F$51,Modelo!$H$51,IF(C82=Modelo!$F$52,Modelo!$H$52,IF(C82=Modelo!$F$53,Modelo!$H$53,0))))))))))</f>
        <v>2.5</v>
      </c>
      <c r="AR82" s="429">
        <f>IF(AF82=Modelo!$F$54,Modelo!$H$54,IF(AF82=Modelo!$F$55,Modelo!$H$55,IF(AF82=Modelo!$F$56,Modelo!$H$56,0)))</f>
        <v>1</v>
      </c>
      <c r="AS82" s="429">
        <f>IF(AG82=Modelo!$F$58,Modelo!$H$58,IF(AG82=Modelo!$F$59,Modelo!$H$59,IF(AG82=Modelo!$F$60,Modelo!$H$60,0)))</f>
        <v>0.9</v>
      </c>
      <c r="AT82" s="427"/>
      <c r="AU82" s="431">
        <f>Modelo!$H$2</f>
        <v>0.05</v>
      </c>
      <c r="AV82" s="432">
        <f>ROUNDUP(Modelo!$I$2*Modelo!$H$3*Modelo!$I$75,2)</f>
        <v>0.02</v>
      </c>
      <c r="AW82" s="433">
        <f>ROUNDUP(Modelo!$I$2*Modelo!$H$3*Modelo!$H$4*Modelo!$I$75,3)</f>
        <v>3.0000000000000001E-3</v>
      </c>
      <c r="AX82" s="431">
        <f>Modelo!$H$5</f>
        <v>0.04</v>
      </c>
      <c r="AY82" s="431">
        <f>ROUNDUP(SUM(AZ82,BB82,BD82,BF82)*Modelo!$H$6,1)</f>
        <v>0.5</v>
      </c>
      <c r="AZ82" s="431">
        <f>ROUNDUP((AI82*AK82+0.1)*Modelo!$I$75,1)</f>
        <v>0.4</v>
      </c>
      <c r="BA82" s="431">
        <f>ROUNDUP(AJ82*AK82*AL82*Modelo!$I$75,1)</f>
        <v>0.1</v>
      </c>
      <c r="BB82" s="431">
        <f>ROUNDUP(V82*Modelo!$H$29*AM82*Modelo!$I$75*2/3,1)</f>
        <v>0.6</v>
      </c>
      <c r="BC82" s="431">
        <f>ROUNDUP(V82*Modelo!$H$29*AM82*AN82*Modelo!$I$75*2/3,1)</f>
        <v>0.2</v>
      </c>
      <c r="BD82" s="431">
        <f>ROUNDUP(V82*Modelo!$H$29*AM82*Modelo!$I$75/3,1)</f>
        <v>0.30000000000000004</v>
      </c>
      <c r="BE82" s="431">
        <f>ROUNDUP(V82*Modelo!$H$29*AM82*AN82*Modelo!$I$75/3,1)</f>
        <v>0.1</v>
      </c>
      <c r="BF82" s="431">
        <f>ROUNDUP(W82*Modelo!$H$36*AO82*Modelo!$I$75,1)</f>
        <v>0</v>
      </c>
      <c r="BG82" s="431">
        <f>ROUNDUP(W82*Modelo!$H$36*AO82*AP82*Modelo!$I$75,1)</f>
        <v>0</v>
      </c>
      <c r="BH82" s="431">
        <f>Modelo!$H$43</f>
        <v>0.04</v>
      </c>
      <c r="BI82" s="431">
        <f>ROUNDUP(SUM(ROUNDUP(AI82*AK82+0.1,1),ROUNDUP(V82*Modelo!$H$29*AM82,1),ROUNDUP(W82*Modelo!$H$36*AO82,1))*AR82*AQ82*Modelo!$I$75,1)</f>
        <v>3</v>
      </c>
      <c r="BJ82" s="431">
        <f t="shared" si="450"/>
        <v>0</v>
      </c>
      <c r="BK82" s="431">
        <f t="shared" si="451"/>
        <v>0</v>
      </c>
      <c r="BL82" s="431">
        <f t="shared" si="452"/>
        <v>0</v>
      </c>
      <c r="BM82" s="431">
        <f t="shared" si="453"/>
        <v>0</v>
      </c>
      <c r="BN82" s="431">
        <f>ROUNDUP(SUM(ROUNDUP(AI82*AK82+0.1,1),ROUNDUP(V82*Modelo!$H$29*AM82,1),ROUNDUP(W82*Modelo!$H$36*AO82,1))*AQ82*AS82*Modelo!$H$57,1)</f>
        <v>1.3</v>
      </c>
      <c r="BO82" s="431">
        <f t="shared" si="454"/>
        <v>2.8500000000000005</v>
      </c>
      <c r="BP82" s="431">
        <f>Modelo!$H$61</f>
        <v>0.04</v>
      </c>
      <c r="BQ82" s="431">
        <f>ROUNDUP(SUM(ROUNDUP(AI82*AK82+0.1,1),ROUNDUP(V82*Modelo!$H$29*AM82,1),ROUNDUP(W82*Modelo!$H$36*AO82,1))*Modelo!$H$62*Modelo!$I$75,1)</f>
        <v>0.1</v>
      </c>
      <c r="BR82" s="431">
        <f>ROUNDUP(ROUNDUP(SUM(ROUNDUP(AI82*AK82+0.1,1),ROUNDUP(V82*Modelo!$H$29*AM82,1),ROUNDUP(W82*Modelo!$H$36*AO82,1))*Modelo!$H$62,1)*Modelo!$H$63*Modelo!$I$75,1)</f>
        <v>0.1</v>
      </c>
      <c r="BS82" s="431">
        <f>SUM(ROUNDUP(AI82*AK82+0.1,1),ROUNDUP(V82*Modelo!$H$29*AM82,1),ROUNDUP(W82*Modelo!$H$36*AO82,1))*Modelo!$H$64*Modelo!$I$75</f>
        <v>0.24000000000000005</v>
      </c>
      <c r="BT82" s="431">
        <f>ROUNDUP(SUM(ROUNDUP(AI82*AK82+0.1,1),ROUNDUP(V82*Modelo!$H$29*AM82,1),ROUNDUP(W82*Modelo!$H$36*AO82,1))*Modelo!$H$64*Modelo!$H$65*Modelo!$I$75,1)</f>
        <v>0.2</v>
      </c>
      <c r="BU82" s="431">
        <f>Modelo!$H$66</f>
        <v>0.04</v>
      </c>
      <c r="BV82" s="431">
        <f>ROUNDUP(SUM(ROUNDUP(AI82*AK82+0.1,1),ROUNDUP(V82*Modelo!$H$29*AM82,1),ROUNDUP(W82*Modelo!$H$36*AO82,1))*Modelo!$H$69,1)</f>
        <v>0.30000000000000004</v>
      </c>
      <c r="BW82" s="431">
        <f>ROUNDUP(ROUNDUP(SUM(ROUNDUP(AI82*AK82+0.1,1),ROUNDUP(V82*Modelo!$H$29*AM82,1),ROUNDUP(W82*Modelo!$H$36*AO82,1))*Modelo!$H$62,1)*Modelo!$H$71,1)</f>
        <v>0.2</v>
      </c>
      <c r="BX82" s="430">
        <f t="shared" si="455"/>
        <v>10.722999999999997</v>
      </c>
      <c r="BZ82" s="426">
        <f t="shared" si="456"/>
        <v>3.6549999999999998</v>
      </c>
      <c r="CA82" s="425">
        <f t="shared" si="457"/>
        <v>4.3</v>
      </c>
      <c r="CB82" s="426">
        <f t="shared" si="458"/>
        <v>6.02</v>
      </c>
      <c r="CD82" s="420">
        <v>0</v>
      </c>
      <c r="CF82" s="426">
        <f t="shared" si="459"/>
        <v>0</v>
      </c>
    </row>
    <row r="83" spans="2:84" s="426" customFormat="1" ht="26.25" thickBot="1" x14ac:dyDescent="0.25">
      <c r="C83" s="461" t="s">
        <v>100</v>
      </c>
      <c r="D83" s="440" t="s">
        <v>18</v>
      </c>
      <c r="E83" s="440" t="str">
        <f t="shared" ref="E83:E86" si="460">IF(U83&gt;50,"A",IF(U83&gt;15,"M","B"))</f>
        <v>B</v>
      </c>
      <c r="F83" s="440" t="s">
        <v>459</v>
      </c>
      <c r="G83" s="440" t="s">
        <v>459</v>
      </c>
      <c r="H83" s="440" t="str">
        <f t="shared" ref="H83:H86" si="461">IF(V83+W83&gt;20,"A",IF(V83+W83&gt;5,"M","B"))</f>
        <v>B</v>
      </c>
      <c r="I83" s="440" t="str">
        <f t="shared" ref="I83:I86" si="462">IF(V83+W83&gt;15,"A",IF(V83+W83&gt;4,"M","B"))</f>
        <v>B</v>
      </c>
      <c r="J83" s="437">
        <f t="shared" ref="J83:J86" si="463">V83+W83</f>
        <v>2</v>
      </c>
      <c r="K83" s="436" t="str">
        <f t="shared" ref="K83:K86" si="464">Y83</f>
        <v>Chica 3</v>
      </c>
      <c r="L83" s="161" t="s">
        <v>603</v>
      </c>
      <c r="M83" s="434">
        <f t="shared" ref="M83:M86" si="465">BI83+BJ83+BK83+BL83+BM83</f>
        <v>3.7</v>
      </c>
      <c r="N83" s="434">
        <f t="shared" si="439"/>
        <v>1.5</v>
      </c>
      <c r="O83" s="442">
        <f t="shared" ref="O83:O86" si="466">SUM(M83,N83)</f>
        <v>5.2</v>
      </c>
      <c r="Q83" s="408"/>
      <c r="R83" s="408"/>
      <c r="S83" s="408"/>
      <c r="U83" s="441">
        <v>15</v>
      </c>
      <c r="V83" s="441">
        <v>2</v>
      </c>
      <c r="W83" s="441">
        <v>0</v>
      </c>
      <c r="X83" s="438"/>
      <c r="Y83" s="428" t="str">
        <f t="shared" ref="Y83:Y86" si="467">IF(AND(U83&gt;=0,U83&lt;=6),"Chica 1",IF(AND(U83&gt;=7,U83&lt;=12),"Chica 2",IF(AND(U83&gt;=13,U83&lt;=18),"Chica 3",IF(AND(U83&gt;=19,U83&lt;=24),"Chica 4",IF(AND(U83&gt;=25,U83&lt;=30),"Mediana 1",IF(AND(U83&gt;=31,U83&lt;=36),"Mediana 2",IF(AND(U83&gt;=37,U83&lt;=42),"Mediana 3",IF(AND(U83&gt;=43,U83&lt;=48),"Mediana 4",IF(AND(U83&gt;=49,U83&lt;=54),"Grande 1",IF(AND(U83&gt;=55,U83&lt;=60),"Grande 2",IF(AND(U83&gt;=61,U83&lt;=66),"Grande 3",IF(AND(U83&gt;=67,U83&lt;=72),"Grande 4",IF(AND(U83&gt;=73,U83&lt;=78),"M. grande 1",IF(AND(U83&gt;=79,U83&lt;=84),"M. grande 2",IF(AND(U83&gt;=85,U83&lt;=90),"M. grande 3",IF(AND(U83&gt;=91,U83&lt;=96),"M. grande 4","NO DEF"))))))))))))))))</f>
        <v>Chica 3</v>
      </c>
      <c r="Z83" s="428" t="str">
        <f t="shared" ref="Z83:Z86" si="468">IF(E83="A","Alta",IF(E83="M","Media","Baja"))</f>
        <v>Baja</v>
      </c>
      <c r="AA83" s="428" t="str">
        <f t="shared" ref="AA83:AA86" si="469">IF(E83="A","Alta",IF(E83="M","Media","Baja"))</f>
        <v>Baja</v>
      </c>
      <c r="AB83" s="428" t="str">
        <f t="shared" ref="AB83:AB86" si="470">IF(F83="A","Alta",IF(F83="M","Media","Baja"))</f>
        <v>Baja</v>
      </c>
      <c r="AC83" s="428" t="str">
        <f t="shared" ref="AC83:AC86" si="471">IF(F83="A","Alta",IF(F83="M","Media","Baja"))</f>
        <v>Baja</v>
      </c>
      <c r="AD83" s="428" t="str">
        <f t="shared" ref="AD83:AD86" si="472">IF(G83="A","Alta",IF(G83="M","Media","Baja"))</f>
        <v>Baja</v>
      </c>
      <c r="AE83" s="428" t="str">
        <f t="shared" ref="AE83:AE86" si="473">IF(G83="A","Alta",IF(G83="M","Media","Baja"))</f>
        <v>Baja</v>
      </c>
      <c r="AF83" s="428" t="str">
        <f t="shared" ref="AF83:AF86" si="474">IF(H83="A","Alta",IF(H83="M","Media","Baja"))</f>
        <v>Baja</v>
      </c>
      <c r="AG83" s="428" t="str">
        <f t="shared" ref="AG83:AG86" si="475">IF(I83="A","Alta",IF(I83="M","Media","Baja"))</f>
        <v>Baja</v>
      </c>
      <c r="AH83" s="427"/>
      <c r="AI83" s="429">
        <f>IF(Y83=Modelo!$F$7,Modelo!$H$7,IF(Y83=Modelo!$F$8,Modelo!$H$8,IF(Y83=Modelo!$F$9,Modelo!$H$9,IF(Y83=Modelo!$F$10,Modelo!$H$10,IF(Y83=Modelo!$F$11,Modelo!$H$11,IF(Y83=Modelo!$F$12,Modelo!$H$12,IF(Y83=Modelo!$F$13,Modelo!$H$13,IF(Y83=Modelo!$F$14,Modelo!$H$14,IF(Y83=Modelo!$F$15,Modelo!$H$15,IF(Y83=Modelo!$F$16,Modelo!$H$16,IF(Y83=Modelo!$F$17,Modelo!$H$17,IF(Y83=Modelo!$F$18,Modelo!$H$18,IF(Y83=Modelo!$F$19,Modelo!$H$19,IF(Y83=Modelo!$F$20,Modelo!$H$20,IF(Y83=Modelo!$F$21,Modelo!$H$21,IF(Y83=Modelo!$F$22,Modelo!$H$22,0))))))))))))))))</f>
        <v>0.9</v>
      </c>
      <c r="AJ83" s="429">
        <f>IF(Y83=Modelo!$F$7,Modelo!$I$7,IF(Y83=Modelo!$F$8,Modelo!$I$8,IF(Y83=Modelo!$F$9,Modelo!$I$9,IF(Y83=Modelo!$F$10,Modelo!$I$10,IF(Y83=Modelo!$F$11,Modelo!$I$11,IF(Y83=Modelo!$F$12,Modelo!$I$12,IF(Y83=Modelo!$F$13,Modelo!$I$13,IF(Y83=Modelo!$F$14,Modelo!$I$14,IF(Y83=Modelo!$F$15,Modelo!$I$15,IF(Y83=Modelo!$F$16,Modelo!$I$16,IF(Y83=Modelo!$F$17,Modelo!$I$17,IF(Y83=Modelo!$F$18,Modelo!$I$18,IF(Y83=Modelo!$F$19,Modelo!$I$19,IF(Y83=Modelo!$F$20,Modelo!$I$20,IF(Y83=Modelo!$F$21,Modelo!$I$21,IF(Y83=Modelo!$F$22,Modelo!$I$22,0))))))))))))))))</f>
        <v>0.3</v>
      </c>
      <c r="AK83" s="429">
        <f>IF(Z83=Modelo!$F$23,Modelo!$H$23,IF(Z83=Modelo!$F$24,Modelo!$H$24,IF(Z83=Modelo!$F$25,Modelo!$H$25,0)))</f>
        <v>1</v>
      </c>
      <c r="AL83" s="429">
        <f>IF(AA83=Modelo!$F$26,Modelo!$H$26,IF(AA83=Modelo!$F$27,Modelo!$H$27,IF(AA83=Modelo!$F$28,Modelo!$H$28,0)))</f>
        <v>0.1</v>
      </c>
      <c r="AM83" s="429">
        <f>IF(AB83=Modelo!$F$30,Modelo!$H$30,IF(AB83=Modelo!$F$31,Modelo!$H$31,IF(AB83=Modelo!$F$32,Modelo!$H$32,0)))</f>
        <v>0.8</v>
      </c>
      <c r="AN83" s="429">
        <f>IF(AC83=Modelo!$F$33,Modelo!$H$33,IF(AC83=Modelo!$F$34,Modelo!$H$34,IF(AC83=Modelo!$F$35,Modelo!$H$35,0)))</f>
        <v>0.3</v>
      </c>
      <c r="AO83" s="429">
        <f>IF(AD83=Modelo!$F$37,Modelo!$H$37,IF(AD83=Modelo!$F$38,Modelo!$H$38,IF(AD83=Modelo!$F$39,Modelo!$H$39,0)))</f>
        <v>0.8</v>
      </c>
      <c r="AP83" s="429">
        <f>IF(AE83=Modelo!$F$40,Modelo!$H$40,IF(AE83=Modelo!$F$41,Modelo!$H$41,IF(AE83=Modelo!$F$42,Modelo!$H$42,0)))</f>
        <v>0.4</v>
      </c>
      <c r="AQ83" s="428">
        <f>IF(C83=Modelo!$F$44,Modelo!$H$44,IF(C83=Modelo!$F$45,Modelo!$H$45,IF(C83=Modelo!$F$46,Modelo!$H$46,IF(C83=Modelo!$F$47,Modelo!$H$47,IF(C83=Modelo!$F$48,Modelo!$H$48,IF(C83=Modelo!$F$49,Modelo!$H$49,IF(C83=Modelo!$F$50,Modelo!$H$50,IF(C83=Modelo!$F$51,Modelo!$H$51,IF(C83=Modelo!$F$52,Modelo!$H$52,IF(C83=Modelo!$F$53,Modelo!$H$53,0))))))))))</f>
        <v>1.4</v>
      </c>
      <c r="AR83" s="429">
        <f>IF(AF83=Modelo!$F$54,Modelo!$H$54,IF(AF83=Modelo!$F$55,Modelo!$H$55,IF(AF83=Modelo!$F$56,Modelo!$H$56,0)))</f>
        <v>1</v>
      </c>
      <c r="AS83" s="429">
        <f>IF(AG83=Modelo!$F$58,Modelo!$H$58,IF(AG83=Modelo!$F$59,Modelo!$H$59,IF(AG83=Modelo!$F$60,Modelo!$H$60,0)))</f>
        <v>0.9</v>
      </c>
      <c r="AT83" s="427"/>
      <c r="AU83" s="431">
        <f>Modelo!$H$2</f>
        <v>0.05</v>
      </c>
      <c r="AV83" s="432">
        <f>ROUNDUP(Modelo!$I$2*Modelo!$H$3*Modelo!$I$75,2)</f>
        <v>0.02</v>
      </c>
      <c r="AW83" s="433">
        <f>ROUNDUP(Modelo!$I$2*Modelo!$H$3*Modelo!$H$4*Modelo!$I$75,3)</f>
        <v>3.0000000000000001E-3</v>
      </c>
      <c r="AX83" s="431">
        <f>Modelo!$H$5</f>
        <v>0.04</v>
      </c>
      <c r="AY83" s="431">
        <f>ROUNDUP(SUM(AZ83,BB83,BD83,BF83)*Modelo!$H$6,1)</f>
        <v>0.9</v>
      </c>
      <c r="AZ83" s="431">
        <f>ROUNDUP((AI83*AK83+0.1)*Modelo!$I$75,1)</f>
        <v>1</v>
      </c>
      <c r="BA83" s="431">
        <f>ROUNDUP(AJ83*AK83*AL83*Modelo!$I$75,1)</f>
        <v>0.1</v>
      </c>
      <c r="BB83" s="431">
        <f>ROUNDUP(V83*Modelo!$H$29*AM83*Modelo!$I$75*2/3,1)</f>
        <v>1.1000000000000001</v>
      </c>
      <c r="BC83" s="431">
        <f>ROUNDUP(V83*Modelo!$H$29*AM83*AN83*Modelo!$I$75*2/3,1)</f>
        <v>0.4</v>
      </c>
      <c r="BD83" s="431">
        <f>ROUNDUP(V83*Modelo!$H$29*AM83*Modelo!$I$75/3,1)</f>
        <v>0.6</v>
      </c>
      <c r="BE83" s="431">
        <f>ROUNDUP(V83*Modelo!$H$29*AM83*AN83*Modelo!$I$75/3,1)</f>
        <v>0.2</v>
      </c>
      <c r="BF83" s="431">
        <f>ROUNDUP(W83*Modelo!$H$36*AO83*Modelo!$I$75,1)</f>
        <v>0</v>
      </c>
      <c r="BG83" s="431">
        <f>ROUNDUP(W83*Modelo!$H$36*AO83*AP83*Modelo!$I$75,1)</f>
        <v>0</v>
      </c>
      <c r="BH83" s="431">
        <f>Modelo!$H$43</f>
        <v>0.04</v>
      </c>
      <c r="BI83" s="431">
        <f>ROUNDUP(SUM(ROUNDUP(AI83*AK83+0.1,1),ROUNDUP(V83*Modelo!$H$29*AM83,1),ROUNDUP(W83*Modelo!$H$36*AO83,1))*AR83*AQ83*Modelo!$I$75,1)</f>
        <v>3.7</v>
      </c>
      <c r="BJ83" s="431">
        <f t="shared" ref="BJ83:BJ86" si="476">IF(K$31="x",0, BI83*0.1*1.25)</f>
        <v>0</v>
      </c>
      <c r="BK83" s="431">
        <f t="shared" ref="BK83:BK86" si="477">IF(Q83="x",(BI83)*0.1,0)</f>
        <v>0</v>
      </c>
      <c r="BL83" s="431">
        <f t="shared" ref="BL83:BL86" si="478">IF(R83="x",(BI83)*0.12,0)</f>
        <v>0</v>
      </c>
      <c r="BM83" s="431">
        <f t="shared" ref="BM83:BM86" si="479">IF(S83="x",(BI83)*0.12,0)*4</f>
        <v>0</v>
      </c>
      <c r="BN83" s="431">
        <f>ROUNDUP(SUM(ROUNDUP(AI83*AK83+0.1,1),ROUNDUP(V83*Modelo!$H$29*AM83,1),ROUNDUP(W83*Modelo!$H$36*AO83,1))*AQ83*AS83*Modelo!$H$57,1)</f>
        <v>1.5</v>
      </c>
      <c r="BO83" s="431">
        <f t="shared" ref="BO83:BO86" si="480">BI83*0.1
+IF(K$15="x",0,BI83*0.05)
+IF(K$27="x",0,BI83*0.2)
+IF(K$28="x",0,BI83*0.5)
+IF(OR(K$29="x",K$30="x"),0,BI83*0.05)
+IF(K$31="x",0,BI83*0.3)
+IF(Q83="x",0,BI83*0.5)
+IF(OR(R83="x",S83="x"),0,BI83*0.15)</f>
        <v>3.5150000000000001</v>
      </c>
      <c r="BP83" s="431">
        <f>Modelo!$H$61</f>
        <v>0.04</v>
      </c>
      <c r="BQ83" s="431">
        <f>ROUNDUP(SUM(ROUNDUP(AI83*AK83+0.1,1),ROUNDUP(V83*Modelo!$H$29*AM83,1),ROUNDUP(W83*Modelo!$H$36*AO83,1))*Modelo!$H$62*Modelo!$I$75,1)</f>
        <v>0.2</v>
      </c>
      <c r="BR83" s="431">
        <f>ROUNDUP(ROUNDUP(SUM(ROUNDUP(AI83*AK83+0.1,1),ROUNDUP(V83*Modelo!$H$29*AM83,1),ROUNDUP(W83*Modelo!$H$36*AO83,1))*Modelo!$H$62,1)*Modelo!$H$63*Modelo!$I$75,1)</f>
        <v>0.1</v>
      </c>
      <c r="BS83" s="431">
        <f>SUM(ROUNDUP(AI83*AK83+0.1,1),ROUNDUP(V83*Modelo!$H$29*AM83,1),ROUNDUP(W83*Modelo!$H$36*AO83,1))*Modelo!$H$64*Modelo!$I$75</f>
        <v>0.52</v>
      </c>
      <c r="BT83" s="431">
        <f>ROUNDUP(SUM(ROUNDUP(AI83*AK83+0.1,1),ROUNDUP(V83*Modelo!$H$29*AM83,1),ROUNDUP(W83*Modelo!$H$36*AO83,1))*Modelo!$H$64*Modelo!$H$65*Modelo!$I$75,1)</f>
        <v>0.30000000000000004</v>
      </c>
      <c r="BU83" s="431">
        <f>Modelo!$H$66</f>
        <v>0.04</v>
      </c>
      <c r="BV83" s="431">
        <f>ROUNDUP(SUM(ROUNDUP(AI83*AK83+0.1,1),ROUNDUP(V83*Modelo!$H$29*AM83,1),ROUNDUP(W83*Modelo!$H$36*AO83,1))*Modelo!$H$69,1)</f>
        <v>0.6</v>
      </c>
      <c r="BW83" s="431">
        <f>ROUNDUP(ROUNDUP(SUM(ROUNDUP(AI83*AK83+0.1,1),ROUNDUP(V83*Modelo!$H$29*AM83,1),ROUNDUP(W83*Modelo!$H$36*AO83,1))*Modelo!$H$62,1)*Modelo!$H$71,1)</f>
        <v>0.4</v>
      </c>
      <c r="BX83" s="430">
        <f t="shared" ref="BX83:BX86" si="481">SUM(AU83:BW83)</f>
        <v>15.367999999999999</v>
      </c>
      <c r="BZ83" s="426">
        <f t="shared" ref="BZ83:BZ86" si="482">CA83*0.85</f>
        <v>4.42</v>
      </c>
      <c r="CA83" s="425">
        <f t="shared" ref="CA83:CA86" si="483">O83</f>
        <v>5.2</v>
      </c>
      <c r="CB83" s="426">
        <f t="shared" ref="CB83:CB86" si="484">IF(CA83=0,1,CA83*1.4)</f>
        <v>7.2799999999999994</v>
      </c>
      <c r="CD83" s="420">
        <v>0</v>
      </c>
      <c r="CF83" s="426">
        <f t="shared" ref="CF83:CF86" si="485">IF(CC83&lt;&gt;"",CC83,CD83)</f>
        <v>0</v>
      </c>
    </row>
    <row r="84" spans="2:84" s="426" customFormat="1" ht="39" thickBot="1" x14ac:dyDescent="0.25">
      <c r="C84" s="461" t="s">
        <v>98</v>
      </c>
      <c r="D84" s="440" t="s">
        <v>18</v>
      </c>
      <c r="E84" s="440" t="str">
        <f t="shared" si="460"/>
        <v>B</v>
      </c>
      <c r="F84" s="440" t="s">
        <v>459</v>
      </c>
      <c r="G84" s="440" t="s">
        <v>459</v>
      </c>
      <c r="H84" s="440" t="str">
        <f t="shared" si="461"/>
        <v>B</v>
      </c>
      <c r="I84" s="440" t="str">
        <f t="shared" si="462"/>
        <v>B</v>
      </c>
      <c r="J84" s="437">
        <f t="shared" si="463"/>
        <v>2</v>
      </c>
      <c r="K84" s="436" t="str">
        <f t="shared" si="464"/>
        <v>Chica 1</v>
      </c>
      <c r="L84" s="447" t="s">
        <v>604</v>
      </c>
      <c r="M84" s="434">
        <f t="shared" si="465"/>
        <v>4.4000000000000004</v>
      </c>
      <c r="N84" s="434">
        <f t="shared" si="439"/>
        <v>1.8</v>
      </c>
      <c r="O84" s="442">
        <f t="shared" si="466"/>
        <v>6.2</v>
      </c>
      <c r="Q84" s="408"/>
      <c r="R84" s="408"/>
      <c r="S84" s="408"/>
      <c r="U84" s="441">
        <v>6</v>
      </c>
      <c r="V84" s="441">
        <v>2</v>
      </c>
      <c r="W84" s="441">
        <v>0</v>
      </c>
      <c r="X84" s="438"/>
      <c r="Y84" s="428" t="str">
        <f t="shared" si="467"/>
        <v>Chica 1</v>
      </c>
      <c r="Z84" s="428" t="str">
        <f t="shared" si="468"/>
        <v>Baja</v>
      </c>
      <c r="AA84" s="428" t="str">
        <f t="shared" si="469"/>
        <v>Baja</v>
      </c>
      <c r="AB84" s="428" t="str">
        <f t="shared" si="470"/>
        <v>Baja</v>
      </c>
      <c r="AC84" s="428" t="str">
        <f t="shared" si="471"/>
        <v>Baja</v>
      </c>
      <c r="AD84" s="428" t="str">
        <f t="shared" si="472"/>
        <v>Baja</v>
      </c>
      <c r="AE84" s="428" t="str">
        <f t="shared" si="473"/>
        <v>Baja</v>
      </c>
      <c r="AF84" s="428" t="str">
        <f t="shared" si="474"/>
        <v>Baja</v>
      </c>
      <c r="AG84" s="428" t="str">
        <f t="shared" si="475"/>
        <v>Baja</v>
      </c>
      <c r="AH84" s="427"/>
      <c r="AI84" s="429">
        <f>IF(Y84=Modelo!$F$7,Modelo!$H$7,IF(Y84=Modelo!$F$8,Modelo!$H$8,IF(Y84=Modelo!$F$9,Modelo!$H$9,IF(Y84=Modelo!$F$10,Modelo!$H$10,IF(Y84=Modelo!$F$11,Modelo!$H$11,IF(Y84=Modelo!$F$12,Modelo!$H$12,IF(Y84=Modelo!$F$13,Modelo!$H$13,IF(Y84=Modelo!$F$14,Modelo!$H$14,IF(Y84=Modelo!$F$15,Modelo!$H$15,IF(Y84=Modelo!$F$16,Modelo!$H$16,IF(Y84=Modelo!$F$17,Modelo!$H$17,IF(Y84=Modelo!$F$18,Modelo!$H$18,IF(Y84=Modelo!$F$19,Modelo!$H$19,IF(Y84=Modelo!$F$20,Modelo!$H$20,IF(Y84=Modelo!$F$21,Modelo!$H$21,IF(Y84=Modelo!$F$22,Modelo!$H$22,0))))))))))))))))</f>
        <v>0.30000000000000004</v>
      </c>
      <c r="AJ84" s="429">
        <f>IF(Y84=Modelo!$F$7,Modelo!$I$7,IF(Y84=Modelo!$F$8,Modelo!$I$8,IF(Y84=Modelo!$F$9,Modelo!$I$9,IF(Y84=Modelo!$F$10,Modelo!$I$10,IF(Y84=Modelo!$F$11,Modelo!$I$11,IF(Y84=Modelo!$F$12,Modelo!$I$12,IF(Y84=Modelo!$F$13,Modelo!$I$13,IF(Y84=Modelo!$F$14,Modelo!$I$14,IF(Y84=Modelo!$F$15,Modelo!$I$15,IF(Y84=Modelo!$F$16,Modelo!$I$16,IF(Y84=Modelo!$F$17,Modelo!$I$17,IF(Y84=Modelo!$F$18,Modelo!$I$18,IF(Y84=Modelo!$F$19,Modelo!$I$19,IF(Y84=Modelo!$F$20,Modelo!$I$20,IF(Y84=Modelo!$F$21,Modelo!$I$21,IF(Y84=Modelo!$F$22,Modelo!$I$22,0))))))))))))))))</f>
        <v>0.1</v>
      </c>
      <c r="AK84" s="429">
        <f>IF(Z84=Modelo!$F$23,Modelo!$H$23,IF(Z84=Modelo!$F$24,Modelo!$H$24,IF(Z84=Modelo!$F$25,Modelo!$H$25,0)))</f>
        <v>1</v>
      </c>
      <c r="AL84" s="429">
        <f>IF(AA84=Modelo!$F$26,Modelo!$H$26,IF(AA84=Modelo!$F$27,Modelo!$H$27,IF(AA84=Modelo!$F$28,Modelo!$H$28,0)))</f>
        <v>0.1</v>
      </c>
      <c r="AM84" s="429">
        <f>IF(AB84=Modelo!$F$30,Modelo!$H$30,IF(AB84=Modelo!$F$31,Modelo!$H$31,IF(AB84=Modelo!$F$32,Modelo!$H$32,0)))</f>
        <v>0.8</v>
      </c>
      <c r="AN84" s="429">
        <f>IF(AC84=Modelo!$F$33,Modelo!$H$33,IF(AC84=Modelo!$F$34,Modelo!$H$34,IF(AC84=Modelo!$F$35,Modelo!$H$35,0)))</f>
        <v>0.3</v>
      </c>
      <c r="AO84" s="429">
        <f>IF(AD84=Modelo!$F$37,Modelo!$H$37,IF(AD84=Modelo!$F$38,Modelo!$H$38,IF(AD84=Modelo!$F$39,Modelo!$H$39,0)))</f>
        <v>0.8</v>
      </c>
      <c r="AP84" s="429">
        <f>IF(AE84=Modelo!$F$40,Modelo!$H$40,IF(AE84=Modelo!$F$41,Modelo!$H$41,IF(AE84=Modelo!$F$42,Modelo!$H$42,0)))</f>
        <v>0.4</v>
      </c>
      <c r="AQ84" s="428">
        <f>IF(C84=Modelo!$F$44,Modelo!$H$44,IF(C84=Modelo!$F$45,Modelo!$H$45,IF(C84=Modelo!$F$46,Modelo!$H$46,IF(C84=Modelo!$F$47,Modelo!$H$47,IF(C84=Modelo!$F$48,Modelo!$H$48,IF(C84=Modelo!$F$49,Modelo!$H$49,IF(C84=Modelo!$F$50,Modelo!$H$50,IF(C84=Modelo!$F$51,Modelo!$H$51,IF(C84=Modelo!$F$52,Modelo!$H$52,IF(C84=Modelo!$F$53,Modelo!$H$53,0))))))))))</f>
        <v>2.2000000000000002</v>
      </c>
      <c r="AR84" s="429">
        <f>IF(AF84=Modelo!$F$54,Modelo!$H$54,IF(AF84=Modelo!$F$55,Modelo!$H$55,IF(AF84=Modelo!$F$56,Modelo!$H$56,0)))</f>
        <v>1</v>
      </c>
      <c r="AS84" s="429">
        <f>IF(AG84=Modelo!$F$58,Modelo!$H$58,IF(AG84=Modelo!$F$59,Modelo!$H$59,IF(AG84=Modelo!$F$60,Modelo!$H$60,0)))</f>
        <v>0.9</v>
      </c>
      <c r="AT84" s="427"/>
      <c r="AU84" s="431">
        <f>Modelo!$H$2</f>
        <v>0.05</v>
      </c>
      <c r="AV84" s="432">
        <f>ROUNDUP(Modelo!$I$2*Modelo!$H$3*Modelo!$I$75,2)</f>
        <v>0.02</v>
      </c>
      <c r="AW84" s="433">
        <f>ROUNDUP(Modelo!$I$2*Modelo!$H$3*Modelo!$H$4*Modelo!$I$75,3)</f>
        <v>3.0000000000000001E-3</v>
      </c>
      <c r="AX84" s="431">
        <f>Modelo!$H$5</f>
        <v>0.04</v>
      </c>
      <c r="AY84" s="431">
        <f>ROUNDUP(SUM(AZ84,BB84,BD84,BF84)*Modelo!$H$6,1)</f>
        <v>0.7</v>
      </c>
      <c r="AZ84" s="431">
        <f>ROUNDUP((AI84*AK84+0.1)*Modelo!$I$75,1)</f>
        <v>0.4</v>
      </c>
      <c r="BA84" s="431">
        <f>ROUNDUP(AJ84*AK84*AL84*Modelo!$I$75,1)</f>
        <v>0.1</v>
      </c>
      <c r="BB84" s="431">
        <f>ROUNDUP(V84*Modelo!$H$29*AM84*Modelo!$I$75*2/3,1)</f>
        <v>1.1000000000000001</v>
      </c>
      <c r="BC84" s="431">
        <f>ROUNDUP(V84*Modelo!$H$29*AM84*AN84*Modelo!$I$75*2/3,1)</f>
        <v>0.4</v>
      </c>
      <c r="BD84" s="431">
        <f>ROUNDUP(V84*Modelo!$H$29*AM84*Modelo!$I$75/3,1)</f>
        <v>0.6</v>
      </c>
      <c r="BE84" s="431">
        <f>ROUNDUP(V84*Modelo!$H$29*AM84*AN84*Modelo!$I$75/3,1)</f>
        <v>0.2</v>
      </c>
      <c r="BF84" s="431">
        <f>ROUNDUP(W84*Modelo!$H$36*AO84*Modelo!$I$75,1)</f>
        <v>0</v>
      </c>
      <c r="BG84" s="431">
        <f>ROUNDUP(W84*Modelo!$H$36*AO84*AP84*Modelo!$I$75,1)</f>
        <v>0</v>
      </c>
      <c r="BH84" s="431">
        <f>Modelo!$H$43</f>
        <v>0.04</v>
      </c>
      <c r="BI84" s="431">
        <f>ROUNDUP(SUM(ROUNDUP(AI84*AK84+0.1,1),ROUNDUP(V84*Modelo!$H$29*AM84,1),ROUNDUP(W84*Modelo!$H$36*AO84,1))*AR84*AQ84*Modelo!$I$75,1)</f>
        <v>4.4000000000000004</v>
      </c>
      <c r="BJ84" s="431">
        <f t="shared" si="476"/>
        <v>0</v>
      </c>
      <c r="BK84" s="431">
        <f t="shared" si="477"/>
        <v>0</v>
      </c>
      <c r="BL84" s="431">
        <f t="shared" si="478"/>
        <v>0</v>
      </c>
      <c r="BM84" s="431">
        <f t="shared" si="479"/>
        <v>0</v>
      </c>
      <c r="BN84" s="431">
        <f>ROUNDUP(SUM(ROUNDUP(AI84*AK84+0.1,1),ROUNDUP(V84*Modelo!$H$29*AM84,1),ROUNDUP(W84*Modelo!$H$36*AO84,1))*AQ84*AS84*Modelo!$H$57,1)</f>
        <v>1.8</v>
      </c>
      <c r="BO84" s="431">
        <f t="shared" si="480"/>
        <v>4.1800000000000006</v>
      </c>
      <c r="BP84" s="431">
        <f>Modelo!$H$61</f>
        <v>0.04</v>
      </c>
      <c r="BQ84" s="431">
        <f>ROUNDUP(SUM(ROUNDUP(AI84*AK84+0.1,1),ROUNDUP(V84*Modelo!$H$29*AM84,1),ROUNDUP(W84*Modelo!$H$36*AO84,1))*Modelo!$H$62*Modelo!$I$75,1)</f>
        <v>0.2</v>
      </c>
      <c r="BR84" s="431">
        <f>ROUNDUP(ROUNDUP(SUM(ROUNDUP(AI84*AK84+0.1,1),ROUNDUP(V84*Modelo!$H$29*AM84,1),ROUNDUP(W84*Modelo!$H$36*AO84,1))*Modelo!$H$62,1)*Modelo!$H$63*Modelo!$I$75,1)</f>
        <v>0.1</v>
      </c>
      <c r="BS84" s="431">
        <f>SUM(ROUNDUP(AI84*AK84+0.1,1),ROUNDUP(V84*Modelo!$H$29*AM84,1),ROUNDUP(W84*Modelo!$H$36*AO84,1))*Modelo!$H$64*Modelo!$I$75</f>
        <v>0.4</v>
      </c>
      <c r="BT84" s="431">
        <f>ROUNDUP(SUM(ROUNDUP(AI84*AK84+0.1,1),ROUNDUP(V84*Modelo!$H$29*AM84,1),ROUNDUP(W84*Modelo!$H$36*AO84,1))*Modelo!$H$64*Modelo!$H$65*Modelo!$I$75,1)</f>
        <v>0.2</v>
      </c>
      <c r="BU84" s="431">
        <f>Modelo!$H$66</f>
        <v>0.04</v>
      </c>
      <c r="BV84" s="431">
        <f>ROUNDUP(SUM(ROUNDUP(AI84*AK84+0.1,1),ROUNDUP(V84*Modelo!$H$29*AM84,1),ROUNDUP(W84*Modelo!$H$36*AO84,1))*Modelo!$H$69,1)</f>
        <v>0.5</v>
      </c>
      <c r="BW84" s="431">
        <f>ROUNDUP(ROUNDUP(SUM(ROUNDUP(AI84*AK84+0.1,1),ROUNDUP(V84*Modelo!$H$29*AM84,1),ROUNDUP(W84*Modelo!$H$36*AO84,1))*Modelo!$H$62,1)*Modelo!$H$71,1)</f>
        <v>0.4</v>
      </c>
      <c r="BX84" s="430">
        <f t="shared" si="481"/>
        <v>15.912999999999998</v>
      </c>
      <c r="BZ84" s="426">
        <f t="shared" si="482"/>
        <v>5.27</v>
      </c>
      <c r="CA84" s="425">
        <f t="shared" si="483"/>
        <v>6.2</v>
      </c>
      <c r="CB84" s="426">
        <f t="shared" si="484"/>
        <v>8.68</v>
      </c>
      <c r="CD84" s="420">
        <v>0</v>
      </c>
      <c r="CF84" s="426">
        <f t="shared" si="485"/>
        <v>0</v>
      </c>
    </row>
    <row r="85" spans="2:84" s="426" customFormat="1" ht="26.25" thickBot="1" x14ac:dyDescent="0.25">
      <c r="C85" s="461" t="s">
        <v>98</v>
      </c>
      <c r="D85" s="440" t="s">
        <v>18</v>
      </c>
      <c r="E85" s="440" t="str">
        <f t="shared" ref="E85" si="486">IF(U85&gt;50,"A",IF(U85&gt;15,"M","B"))</f>
        <v>B</v>
      </c>
      <c r="F85" s="440" t="s">
        <v>459</v>
      </c>
      <c r="G85" s="440" t="s">
        <v>459</v>
      </c>
      <c r="H85" s="440" t="str">
        <f t="shared" ref="H85" si="487">IF(V85+W85&gt;20,"A",IF(V85+W85&gt;5,"M","B"))</f>
        <v>B</v>
      </c>
      <c r="I85" s="440" t="str">
        <f t="shared" ref="I85" si="488">IF(V85+W85&gt;15,"A",IF(V85+W85&gt;4,"M","B"))</f>
        <v>B</v>
      </c>
      <c r="J85" s="437">
        <f t="shared" ref="J85" si="489">V85+W85</f>
        <v>2</v>
      </c>
      <c r="K85" s="436" t="str">
        <f t="shared" ref="K85" si="490">Y85</f>
        <v>Chica 1</v>
      </c>
      <c r="L85" s="447" t="s">
        <v>602</v>
      </c>
      <c r="M85" s="434">
        <f t="shared" ref="M85" si="491">BI85+BJ85+BK85+BL85+BM85</f>
        <v>4.4000000000000004</v>
      </c>
      <c r="N85" s="434">
        <f t="shared" si="439"/>
        <v>1.8</v>
      </c>
      <c r="O85" s="442">
        <f t="shared" ref="O85" si="492">SUM(M85,N85)</f>
        <v>6.2</v>
      </c>
      <c r="Q85" s="408"/>
      <c r="R85" s="408"/>
      <c r="S85" s="408"/>
      <c r="U85" s="441">
        <v>6</v>
      </c>
      <c r="V85" s="441">
        <v>2</v>
      </c>
      <c r="W85" s="441">
        <v>0</v>
      </c>
      <c r="X85" s="438"/>
      <c r="Y85" s="428" t="str">
        <f t="shared" ref="Y85" si="493">IF(AND(U85&gt;=0,U85&lt;=6),"Chica 1",IF(AND(U85&gt;=7,U85&lt;=12),"Chica 2",IF(AND(U85&gt;=13,U85&lt;=18),"Chica 3",IF(AND(U85&gt;=19,U85&lt;=24),"Chica 4",IF(AND(U85&gt;=25,U85&lt;=30),"Mediana 1",IF(AND(U85&gt;=31,U85&lt;=36),"Mediana 2",IF(AND(U85&gt;=37,U85&lt;=42),"Mediana 3",IF(AND(U85&gt;=43,U85&lt;=48),"Mediana 4",IF(AND(U85&gt;=49,U85&lt;=54),"Grande 1",IF(AND(U85&gt;=55,U85&lt;=60),"Grande 2",IF(AND(U85&gt;=61,U85&lt;=66),"Grande 3",IF(AND(U85&gt;=67,U85&lt;=72),"Grande 4",IF(AND(U85&gt;=73,U85&lt;=78),"M. grande 1",IF(AND(U85&gt;=79,U85&lt;=84),"M. grande 2",IF(AND(U85&gt;=85,U85&lt;=90),"M. grande 3",IF(AND(U85&gt;=91,U85&lt;=96),"M. grande 4","NO DEF"))))))))))))))))</f>
        <v>Chica 1</v>
      </c>
      <c r="Z85" s="428" t="str">
        <f t="shared" ref="Z85" si="494">IF(E85="A","Alta",IF(E85="M","Media","Baja"))</f>
        <v>Baja</v>
      </c>
      <c r="AA85" s="428" t="str">
        <f t="shared" ref="AA85" si="495">IF(E85="A","Alta",IF(E85="M","Media","Baja"))</f>
        <v>Baja</v>
      </c>
      <c r="AB85" s="428" t="str">
        <f t="shared" ref="AB85" si="496">IF(F85="A","Alta",IF(F85="M","Media","Baja"))</f>
        <v>Baja</v>
      </c>
      <c r="AC85" s="428" t="str">
        <f t="shared" ref="AC85" si="497">IF(F85="A","Alta",IF(F85="M","Media","Baja"))</f>
        <v>Baja</v>
      </c>
      <c r="AD85" s="428" t="str">
        <f t="shared" ref="AD85" si="498">IF(G85="A","Alta",IF(G85="M","Media","Baja"))</f>
        <v>Baja</v>
      </c>
      <c r="AE85" s="428" t="str">
        <f t="shared" ref="AE85" si="499">IF(G85="A","Alta",IF(G85="M","Media","Baja"))</f>
        <v>Baja</v>
      </c>
      <c r="AF85" s="428" t="str">
        <f t="shared" ref="AF85" si="500">IF(H85="A","Alta",IF(H85="M","Media","Baja"))</f>
        <v>Baja</v>
      </c>
      <c r="AG85" s="428" t="str">
        <f t="shared" ref="AG85" si="501">IF(I85="A","Alta",IF(I85="M","Media","Baja"))</f>
        <v>Baja</v>
      </c>
      <c r="AH85" s="427"/>
      <c r="AI85" s="429">
        <f>IF(Y85=Modelo!$F$7,Modelo!$H$7,IF(Y85=Modelo!$F$8,Modelo!$H$8,IF(Y85=Modelo!$F$9,Modelo!$H$9,IF(Y85=Modelo!$F$10,Modelo!$H$10,IF(Y85=Modelo!$F$11,Modelo!$H$11,IF(Y85=Modelo!$F$12,Modelo!$H$12,IF(Y85=Modelo!$F$13,Modelo!$H$13,IF(Y85=Modelo!$F$14,Modelo!$H$14,IF(Y85=Modelo!$F$15,Modelo!$H$15,IF(Y85=Modelo!$F$16,Modelo!$H$16,IF(Y85=Modelo!$F$17,Modelo!$H$17,IF(Y85=Modelo!$F$18,Modelo!$H$18,IF(Y85=Modelo!$F$19,Modelo!$H$19,IF(Y85=Modelo!$F$20,Modelo!$H$20,IF(Y85=Modelo!$F$21,Modelo!$H$21,IF(Y85=Modelo!$F$22,Modelo!$H$22,0))))))))))))))))</f>
        <v>0.30000000000000004</v>
      </c>
      <c r="AJ85" s="429">
        <f>IF(Y85=Modelo!$F$7,Modelo!$I$7,IF(Y85=Modelo!$F$8,Modelo!$I$8,IF(Y85=Modelo!$F$9,Modelo!$I$9,IF(Y85=Modelo!$F$10,Modelo!$I$10,IF(Y85=Modelo!$F$11,Modelo!$I$11,IF(Y85=Modelo!$F$12,Modelo!$I$12,IF(Y85=Modelo!$F$13,Modelo!$I$13,IF(Y85=Modelo!$F$14,Modelo!$I$14,IF(Y85=Modelo!$F$15,Modelo!$I$15,IF(Y85=Modelo!$F$16,Modelo!$I$16,IF(Y85=Modelo!$F$17,Modelo!$I$17,IF(Y85=Modelo!$F$18,Modelo!$I$18,IF(Y85=Modelo!$F$19,Modelo!$I$19,IF(Y85=Modelo!$F$20,Modelo!$I$20,IF(Y85=Modelo!$F$21,Modelo!$I$21,IF(Y85=Modelo!$F$22,Modelo!$I$22,0))))))))))))))))</f>
        <v>0.1</v>
      </c>
      <c r="AK85" s="429">
        <f>IF(Z85=Modelo!$F$23,Modelo!$H$23,IF(Z85=Modelo!$F$24,Modelo!$H$24,IF(Z85=Modelo!$F$25,Modelo!$H$25,0)))</f>
        <v>1</v>
      </c>
      <c r="AL85" s="429">
        <f>IF(AA85=Modelo!$F$26,Modelo!$H$26,IF(AA85=Modelo!$F$27,Modelo!$H$27,IF(AA85=Modelo!$F$28,Modelo!$H$28,0)))</f>
        <v>0.1</v>
      </c>
      <c r="AM85" s="429">
        <f>IF(AB85=Modelo!$F$30,Modelo!$H$30,IF(AB85=Modelo!$F$31,Modelo!$H$31,IF(AB85=Modelo!$F$32,Modelo!$H$32,0)))</f>
        <v>0.8</v>
      </c>
      <c r="AN85" s="429">
        <f>IF(AC85=Modelo!$F$33,Modelo!$H$33,IF(AC85=Modelo!$F$34,Modelo!$H$34,IF(AC85=Modelo!$F$35,Modelo!$H$35,0)))</f>
        <v>0.3</v>
      </c>
      <c r="AO85" s="429">
        <f>IF(AD85=Modelo!$F$37,Modelo!$H$37,IF(AD85=Modelo!$F$38,Modelo!$H$38,IF(AD85=Modelo!$F$39,Modelo!$H$39,0)))</f>
        <v>0.8</v>
      </c>
      <c r="AP85" s="429">
        <f>IF(AE85=Modelo!$F$40,Modelo!$H$40,IF(AE85=Modelo!$F$41,Modelo!$H$41,IF(AE85=Modelo!$F$42,Modelo!$H$42,0)))</f>
        <v>0.4</v>
      </c>
      <c r="AQ85" s="428">
        <f>IF(C85=Modelo!$F$44,Modelo!$H$44,IF(C85=Modelo!$F$45,Modelo!$H$45,IF(C85=Modelo!$F$46,Modelo!$H$46,IF(C85=Modelo!$F$47,Modelo!$H$47,IF(C85=Modelo!$F$48,Modelo!$H$48,IF(C85=Modelo!$F$49,Modelo!$H$49,IF(C85=Modelo!$F$50,Modelo!$H$50,IF(C85=Modelo!$F$51,Modelo!$H$51,IF(C85=Modelo!$F$52,Modelo!$H$52,IF(C85=Modelo!$F$53,Modelo!$H$53,0))))))))))</f>
        <v>2.2000000000000002</v>
      </c>
      <c r="AR85" s="429">
        <f>IF(AF85=Modelo!$F$54,Modelo!$H$54,IF(AF85=Modelo!$F$55,Modelo!$H$55,IF(AF85=Modelo!$F$56,Modelo!$H$56,0)))</f>
        <v>1</v>
      </c>
      <c r="AS85" s="429">
        <f>IF(AG85=Modelo!$F$58,Modelo!$H$58,IF(AG85=Modelo!$F$59,Modelo!$H$59,IF(AG85=Modelo!$F$60,Modelo!$H$60,0)))</f>
        <v>0.9</v>
      </c>
      <c r="AT85" s="427"/>
      <c r="AU85" s="431">
        <f>Modelo!$H$2</f>
        <v>0.05</v>
      </c>
      <c r="AV85" s="432">
        <f>ROUNDUP(Modelo!$I$2*Modelo!$H$3*Modelo!$I$75,2)</f>
        <v>0.02</v>
      </c>
      <c r="AW85" s="433">
        <f>ROUNDUP(Modelo!$I$2*Modelo!$H$3*Modelo!$H$4*Modelo!$I$75,3)</f>
        <v>3.0000000000000001E-3</v>
      </c>
      <c r="AX85" s="431">
        <f>Modelo!$H$5</f>
        <v>0.04</v>
      </c>
      <c r="AY85" s="431">
        <f>ROUNDUP(SUM(AZ85,BB85,BD85,BF85)*Modelo!$H$6,1)</f>
        <v>0.7</v>
      </c>
      <c r="AZ85" s="431">
        <f>ROUNDUP((AI85*AK85+0.1)*Modelo!$I$75,1)</f>
        <v>0.4</v>
      </c>
      <c r="BA85" s="431">
        <f>ROUNDUP(AJ85*AK85*AL85*Modelo!$I$75,1)</f>
        <v>0.1</v>
      </c>
      <c r="BB85" s="431">
        <f>ROUNDUP(V85*Modelo!$H$29*AM85*Modelo!$I$75*2/3,1)</f>
        <v>1.1000000000000001</v>
      </c>
      <c r="BC85" s="431">
        <f>ROUNDUP(V85*Modelo!$H$29*AM85*AN85*Modelo!$I$75*2/3,1)</f>
        <v>0.4</v>
      </c>
      <c r="BD85" s="431">
        <f>ROUNDUP(V85*Modelo!$H$29*AM85*Modelo!$I$75/3,1)</f>
        <v>0.6</v>
      </c>
      <c r="BE85" s="431">
        <f>ROUNDUP(V85*Modelo!$H$29*AM85*AN85*Modelo!$I$75/3,1)</f>
        <v>0.2</v>
      </c>
      <c r="BF85" s="431">
        <f>ROUNDUP(W85*Modelo!$H$36*AO85*Modelo!$I$75,1)</f>
        <v>0</v>
      </c>
      <c r="BG85" s="431">
        <f>ROUNDUP(W85*Modelo!$H$36*AO85*AP85*Modelo!$I$75,1)</f>
        <v>0</v>
      </c>
      <c r="BH85" s="431">
        <f>Modelo!$H$43</f>
        <v>0.04</v>
      </c>
      <c r="BI85" s="431">
        <f>ROUNDUP(SUM(ROUNDUP(AI85*AK85+0.1,1),ROUNDUP(V85*Modelo!$H$29*AM85,1),ROUNDUP(W85*Modelo!$H$36*AO85,1))*AR85*AQ85*Modelo!$I$75,1)</f>
        <v>4.4000000000000004</v>
      </c>
      <c r="BJ85" s="431">
        <f t="shared" ref="BJ85" si="502">IF(K$31="x",0, BI85*0.1*1.25)</f>
        <v>0</v>
      </c>
      <c r="BK85" s="431">
        <f t="shared" ref="BK85" si="503">IF(Q85="x",(BI85)*0.1,0)</f>
        <v>0</v>
      </c>
      <c r="BL85" s="431">
        <f t="shared" ref="BL85" si="504">IF(R85="x",(BI85)*0.12,0)</f>
        <v>0</v>
      </c>
      <c r="BM85" s="431">
        <f t="shared" ref="BM85" si="505">IF(S85="x",(BI85)*0.12,0)*4</f>
        <v>0</v>
      </c>
      <c r="BN85" s="431">
        <f>ROUNDUP(SUM(ROUNDUP(AI85*AK85+0.1,1),ROUNDUP(V85*Modelo!$H$29*AM85,1),ROUNDUP(W85*Modelo!$H$36*AO85,1))*AQ85*AS85*Modelo!$H$57,1)</f>
        <v>1.8</v>
      </c>
      <c r="BO85" s="431">
        <f t="shared" ref="BO85" si="506">BI85*0.1
+IF(K$15="x",0,BI85*0.05)
+IF(K$27="x",0,BI85*0.2)
+IF(K$28="x",0,BI85*0.5)
+IF(OR(K$29="x",K$30="x"),0,BI85*0.05)
+IF(K$31="x",0,BI85*0.3)
+IF(Q85="x",0,BI85*0.5)
+IF(OR(R85="x",S85="x"),0,BI85*0.15)</f>
        <v>4.1800000000000006</v>
      </c>
      <c r="BP85" s="431">
        <f>Modelo!$H$61</f>
        <v>0.04</v>
      </c>
      <c r="BQ85" s="431">
        <f>ROUNDUP(SUM(ROUNDUP(AI85*AK85+0.1,1),ROUNDUP(V85*Modelo!$H$29*AM85,1),ROUNDUP(W85*Modelo!$H$36*AO85,1))*Modelo!$H$62*Modelo!$I$75,1)</f>
        <v>0.2</v>
      </c>
      <c r="BR85" s="431">
        <f>ROUNDUP(ROUNDUP(SUM(ROUNDUP(AI85*AK85+0.1,1),ROUNDUP(V85*Modelo!$H$29*AM85,1),ROUNDUP(W85*Modelo!$H$36*AO85,1))*Modelo!$H$62,1)*Modelo!$H$63*Modelo!$I$75,1)</f>
        <v>0.1</v>
      </c>
      <c r="BS85" s="431">
        <f>SUM(ROUNDUP(AI85*AK85+0.1,1),ROUNDUP(V85*Modelo!$H$29*AM85,1),ROUNDUP(W85*Modelo!$H$36*AO85,1))*Modelo!$H$64*Modelo!$I$75</f>
        <v>0.4</v>
      </c>
      <c r="BT85" s="431">
        <f>ROUNDUP(SUM(ROUNDUP(AI85*AK85+0.1,1),ROUNDUP(V85*Modelo!$H$29*AM85,1),ROUNDUP(W85*Modelo!$H$36*AO85,1))*Modelo!$H$64*Modelo!$H$65*Modelo!$I$75,1)</f>
        <v>0.2</v>
      </c>
      <c r="BU85" s="431">
        <f>Modelo!$H$66</f>
        <v>0.04</v>
      </c>
      <c r="BV85" s="431">
        <f>ROUNDUP(SUM(ROUNDUP(AI85*AK85+0.1,1),ROUNDUP(V85*Modelo!$H$29*AM85,1),ROUNDUP(W85*Modelo!$H$36*AO85,1))*Modelo!$H$69,1)</f>
        <v>0.5</v>
      </c>
      <c r="BW85" s="431">
        <f>ROUNDUP(ROUNDUP(SUM(ROUNDUP(AI85*AK85+0.1,1),ROUNDUP(V85*Modelo!$H$29*AM85,1),ROUNDUP(W85*Modelo!$H$36*AO85,1))*Modelo!$H$62,1)*Modelo!$H$71,1)</f>
        <v>0.4</v>
      </c>
      <c r="BX85" s="430">
        <f t="shared" ref="BX85" si="507">SUM(AU85:BW85)</f>
        <v>15.912999999999998</v>
      </c>
      <c r="BZ85" s="426">
        <f t="shared" ref="BZ85" si="508">CA85*0.85</f>
        <v>5.27</v>
      </c>
      <c r="CA85" s="425">
        <f t="shared" ref="CA85" si="509">O85</f>
        <v>6.2</v>
      </c>
      <c r="CB85" s="426">
        <f t="shared" ref="CB85" si="510">IF(CA85=0,1,CA85*1.4)</f>
        <v>8.68</v>
      </c>
      <c r="CD85" s="420">
        <v>0</v>
      </c>
      <c r="CF85" s="426">
        <f t="shared" ref="CF85" si="511">IF(CC85&lt;&gt;"",CC85,CD85)</f>
        <v>0</v>
      </c>
    </row>
    <row r="86" spans="2:84" s="426" customFormat="1" ht="39" thickBot="1" x14ac:dyDescent="0.25">
      <c r="C86" s="461" t="s">
        <v>106</v>
      </c>
      <c r="D86" s="440" t="s">
        <v>18</v>
      </c>
      <c r="E86" s="440" t="str">
        <f t="shared" si="460"/>
        <v>B</v>
      </c>
      <c r="F86" s="440" t="s">
        <v>459</v>
      </c>
      <c r="G86" s="440" t="s">
        <v>459</v>
      </c>
      <c r="H86" s="440" t="str">
        <f t="shared" si="461"/>
        <v>B</v>
      </c>
      <c r="I86" s="440" t="str">
        <f t="shared" si="462"/>
        <v>B</v>
      </c>
      <c r="J86" s="437">
        <f t="shared" si="463"/>
        <v>1</v>
      </c>
      <c r="K86" s="436" t="str">
        <f t="shared" si="464"/>
        <v>Chica 1</v>
      </c>
      <c r="L86" s="447" t="s">
        <v>613</v>
      </c>
      <c r="M86" s="434">
        <f t="shared" si="465"/>
        <v>3</v>
      </c>
      <c r="N86" s="434">
        <f t="shared" si="439"/>
        <v>1.3</v>
      </c>
      <c r="O86" s="442">
        <f t="shared" si="466"/>
        <v>4.3</v>
      </c>
      <c r="Q86" s="408"/>
      <c r="R86" s="408"/>
      <c r="S86" s="408"/>
      <c r="U86" s="441">
        <v>6</v>
      </c>
      <c r="V86" s="441">
        <v>1</v>
      </c>
      <c r="W86" s="441">
        <v>0</v>
      </c>
      <c r="X86" s="438"/>
      <c r="Y86" s="428" t="str">
        <f t="shared" si="467"/>
        <v>Chica 1</v>
      </c>
      <c r="Z86" s="428" t="str">
        <f t="shared" si="468"/>
        <v>Baja</v>
      </c>
      <c r="AA86" s="428" t="str">
        <f t="shared" si="469"/>
        <v>Baja</v>
      </c>
      <c r="AB86" s="428" t="str">
        <f t="shared" si="470"/>
        <v>Baja</v>
      </c>
      <c r="AC86" s="428" t="str">
        <f t="shared" si="471"/>
        <v>Baja</v>
      </c>
      <c r="AD86" s="428" t="str">
        <f t="shared" si="472"/>
        <v>Baja</v>
      </c>
      <c r="AE86" s="428" t="str">
        <f t="shared" si="473"/>
        <v>Baja</v>
      </c>
      <c r="AF86" s="428" t="str">
        <f t="shared" si="474"/>
        <v>Baja</v>
      </c>
      <c r="AG86" s="428" t="str">
        <f t="shared" si="475"/>
        <v>Baja</v>
      </c>
      <c r="AH86" s="427"/>
      <c r="AI86" s="429">
        <f>IF(Y86=Modelo!$F$7,Modelo!$H$7,IF(Y86=Modelo!$F$8,Modelo!$H$8,IF(Y86=Modelo!$F$9,Modelo!$H$9,IF(Y86=Modelo!$F$10,Modelo!$H$10,IF(Y86=Modelo!$F$11,Modelo!$H$11,IF(Y86=Modelo!$F$12,Modelo!$H$12,IF(Y86=Modelo!$F$13,Modelo!$H$13,IF(Y86=Modelo!$F$14,Modelo!$H$14,IF(Y86=Modelo!$F$15,Modelo!$H$15,IF(Y86=Modelo!$F$16,Modelo!$H$16,IF(Y86=Modelo!$F$17,Modelo!$H$17,IF(Y86=Modelo!$F$18,Modelo!$H$18,IF(Y86=Modelo!$F$19,Modelo!$H$19,IF(Y86=Modelo!$F$20,Modelo!$H$20,IF(Y86=Modelo!$F$21,Modelo!$H$21,IF(Y86=Modelo!$F$22,Modelo!$H$22,0))))))))))))))))</f>
        <v>0.30000000000000004</v>
      </c>
      <c r="AJ86" s="429">
        <f>IF(Y86=Modelo!$F$7,Modelo!$I$7,IF(Y86=Modelo!$F$8,Modelo!$I$8,IF(Y86=Modelo!$F$9,Modelo!$I$9,IF(Y86=Modelo!$F$10,Modelo!$I$10,IF(Y86=Modelo!$F$11,Modelo!$I$11,IF(Y86=Modelo!$F$12,Modelo!$I$12,IF(Y86=Modelo!$F$13,Modelo!$I$13,IF(Y86=Modelo!$F$14,Modelo!$I$14,IF(Y86=Modelo!$F$15,Modelo!$I$15,IF(Y86=Modelo!$F$16,Modelo!$I$16,IF(Y86=Modelo!$F$17,Modelo!$I$17,IF(Y86=Modelo!$F$18,Modelo!$I$18,IF(Y86=Modelo!$F$19,Modelo!$I$19,IF(Y86=Modelo!$F$20,Modelo!$I$20,IF(Y86=Modelo!$F$21,Modelo!$I$21,IF(Y86=Modelo!$F$22,Modelo!$I$22,0))))))))))))))))</f>
        <v>0.1</v>
      </c>
      <c r="AK86" s="429">
        <f>IF(Z86=Modelo!$F$23,Modelo!$H$23,IF(Z86=Modelo!$F$24,Modelo!$H$24,IF(Z86=Modelo!$F$25,Modelo!$H$25,0)))</f>
        <v>1</v>
      </c>
      <c r="AL86" s="429">
        <f>IF(AA86=Modelo!$F$26,Modelo!$H$26,IF(AA86=Modelo!$F$27,Modelo!$H$27,IF(AA86=Modelo!$F$28,Modelo!$H$28,0)))</f>
        <v>0.1</v>
      </c>
      <c r="AM86" s="429">
        <f>IF(AB86=Modelo!$F$30,Modelo!$H$30,IF(AB86=Modelo!$F$31,Modelo!$H$31,IF(AB86=Modelo!$F$32,Modelo!$H$32,0)))</f>
        <v>0.8</v>
      </c>
      <c r="AN86" s="429">
        <f>IF(AC86=Modelo!$F$33,Modelo!$H$33,IF(AC86=Modelo!$F$34,Modelo!$H$34,IF(AC86=Modelo!$F$35,Modelo!$H$35,0)))</f>
        <v>0.3</v>
      </c>
      <c r="AO86" s="429">
        <f>IF(AD86=Modelo!$F$37,Modelo!$H$37,IF(AD86=Modelo!$F$38,Modelo!$H$38,IF(AD86=Modelo!$F$39,Modelo!$H$39,0)))</f>
        <v>0.8</v>
      </c>
      <c r="AP86" s="429">
        <f>IF(AE86=Modelo!$F$40,Modelo!$H$40,IF(AE86=Modelo!$F$41,Modelo!$H$41,IF(AE86=Modelo!$F$42,Modelo!$H$42,0)))</f>
        <v>0.4</v>
      </c>
      <c r="AQ86" s="428">
        <f>IF(C86=Modelo!$F$44,Modelo!$H$44,IF(C86=Modelo!$F$45,Modelo!$H$45,IF(C86=Modelo!$F$46,Modelo!$H$46,IF(C86=Modelo!$F$47,Modelo!$H$47,IF(C86=Modelo!$F$48,Modelo!$H$48,IF(C86=Modelo!$F$49,Modelo!$H$49,IF(C86=Modelo!$F$50,Modelo!$H$50,IF(C86=Modelo!$F$51,Modelo!$H$51,IF(C86=Modelo!$F$52,Modelo!$H$52,IF(C86=Modelo!$F$53,Modelo!$H$53,0))))))))))</f>
        <v>2.5</v>
      </c>
      <c r="AR86" s="429">
        <f>IF(AF86=Modelo!$F$54,Modelo!$H$54,IF(AF86=Modelo!$F$55,Modelo!$H$55,IF(AF86=Modelo!$F$56,Modelo!$H$56,0)))</f>
        <v>1</v>
      </c>
      <c r="AS86" s="429">
        <f>IF(AG86=Modelo!$F$58,Modelo!$H$58,IF(AG86=Modelo!$F$59,Modelo!$H$59,IF(AG86=Modelo!$F$60,Modelo!$H$60,0)))</f>
        <v>0.9</v>
      </c>
      <c r="AT86" s="427"/>
      <c r="AU86" s="431">
        <f>Modelo!$H$2</f>
        <v>0.05</v>
      </c>
      <c r="AV86" s="432">
        <f>ROUNDUP(Modelo!$I$2*Modelo!$H$3*Modelo!$I$75,2)</f>
        <v>0.02</v>
      </c>
      <c r="AW86" s="433">
        <f>ROUNDUP(Modelo!$I$2*Modelo!$H$3*Modelo!$H$4*Modelo!$I$75,3)</f>
        <v>3.0000000000000001E-3</v>
      </c>
      <c r="AX86" s="431">
        <f>Modelo!$H$5</f>
        <v>0.04</v>
      </c>
      <c r="AY86" s="431">
        <f>ROUNDUP(SUM(AZ86,BB86,BD86,BF86)*Modelo!$H$6,1)</f>
        <v>0.5</v>
      </c>
      <c r="AZ86" s="431">
        <f>ROUNDUP((AI86*AK86+0.1)*Modelo!$I$75,1)</f>
        <v>0.4</v>
      </c>
      <c r="BA86" s="431">
        <f>ROUNDUP(AJ86*AK86*AL86*Modelo!$I$75,1)</f>
        <v>0.1</v>
      </c>
      <c r="BB86" s="431">
        <f>ROUNDUP(V86*Modelo!$H$29*AM86*Modelo!$I$75*2/3,1)</f>
        <v>0.6</v>
      </c>
      <c r="BC86" s="431">
        <f>ROUNDUP(V86*Modelo!$H$29*AM86*AN86*Modelo!$I$75*2/3,1)</f>
        <v>0.2</v>
      </c>
      <c r="BD86" s="431">
        <f>ROUNDUP(V86*Modelo!$H$29*AM86*Modelo!$I$75/3,1)</f>
        <v>0.30000000000000004</v>
      </c>
      <c r="BE86" s="431">
        <f>ROUNDUP(V86*Modelo!$H$29*AM86*AN86*Modelo!$I$75/3,1)</f>
        <v>0.1</v>
      </c>
      <c r="BF86" s="431">
        <f>ROUNDUP(W86*Modelo!$H$36*AO86*Modelo!$I$75,1)</f>
        <v>0</v>
      </c>
      <c r="BG86" s="431">
        <f>ROUNDUP(W86*Modelo!$H$36*AO86*AP86*Modelo!$I$75,1)</f>
        <v>0</v>
      </c>
      <c r="BH86" s="431">
        <f>Modelo!$H$43</f>
        <v>0.04</v>
      </c>
      <c r="BI86" s="431">
        <f>ROUNDUP(SUM(ROUNDUP(AI86*AK86+0.1,1),ROUNDUP(V86*Modelo!$H$29*AM86,1),ROUNDUP(W86*Modelo!$H$36*AO86,1))*AR86*AQ86*Modelo!$I$75,1)</f>
        <v>3</v>
      </c>
      <c r="BJ86" s="431">
        <f t="shared" si="476"/>
        <v>0</v>
      </c>
      <c r="BK86" s="431">
        <f t="shared" si="477"/>
        <v>0</v>
      </c>
      <c r="BL86" s="431">
        <f t="shared" si="478"/>
        <v>0</v>
      </c>
      <c r="BM86" s="431">
        <f t="shared" si="479"/>
        <v>0</v>
      </c>
      <c r="BN86" s="431">
        <f>ROUNDUP(SUM(ROUNDUP(AI86*AK86+0.1,1),ROUNDUP(V86*Modelo!$H$29*AM86,1),ROUNDUP(W86*Modelo!$H$36*AO86,1))*AQ86*AS86*Modelo!$H$57,1)</f>
        <v>1.3</v>
      </c>
      <c r="BO86" s="431">
        <f t="shared" si="480"/>
        <v>2.8500000000000005</v>
      </c>
      <c r="BP86" s="431">
        <f>Modelo!$H$61</f>
        <v>0.04</v>
      </c>
      <c r="BQ86" s="431">
        <f>ROUNDUP(SUM(ROUNDUP(AI86*AK86+0.1,1),ROUNDUP(V86*Modelo!$H$29*AM86,1),ROUNDUP(W86*Modelo!$H$36*AO86,1))*Modelo!$H$62*Modelo!$I$75,1)</f>
        <v>0.1</v>
      </c>
      <c r="BR86" s="431">
        <f>ROUNDUP(ROUNDUP(SUM(ROUNDUP(AI86*AK86+0.1,1),ROUNDUP(V86*Modelo!$H$29*AM86,1),ROUNDUP(W86*Modelo!$H$36*AO86,1))*Modelo!$H$62,1)*Modelo!$H$63*Modelo!$I$75,1)</f>
        <v>0.1</v>
      </c>
      <c r="BS86" s="431">
        <f>SUM(ROUNDUP(AI86*AK86+0.1,1),ROUNDUP(V86*Modelo!$H$29*AM86,1),ROUNDUP(W86*Modelo!$H$36*AO86,1))*Modelo!$H$64*Modelo!$I$75</f>
        <v>0.24000000000000005</v>
      </c>
      <c r="BT86" s="431">
        <f>ROUNDUP(SUM(ROUNDUP(AI86*AK86+0.1,1),ROUNDUP(V86*Modelo!$H$29*AM86,1),ROUNDUP(W86*Modelo!$H$36*AO86,1))*Modelo!$H$64*Modelo!$H$65*Modelo!$I$75,1)</f>
        <v>0.2</v>
      </c>
      <c r="BU86" s="431">
        <f>Modelo!$H$66</f>
        <v>0.04</v>
      </c>
      <c r="BV86" s="431">
        <f>ROUNDUP(SUM(ROUNDUP(AI86*AK86+0.1,1),ROUNDUP(V86*Modelo!$H$29*AM86,1),ROUNDUP(W86*Modelo!$H$36*AO86,1))*Modelo!$H$69,1)</f>
        <v>0.30000000000000004</v>
      </c>
      <c r="BW86" s="431">
        <f>ROUNDUP(ROUNDUP(SUM(ROUNDUP(AI86*AK86+0.1,1),ROUNDUP(V86*Modelo!$H$29*AM86,1),ROUNDUP(W86*Modelo!$H$36*AO86,1))*Modelo!$H$62,1)*Modelo!$H$71,1)</f>
        <v>0.2</v>
      </c>
      <c r="BX86" s="430">
        <f t="shared" si="481"/>
        <v>10.722999999999997</v>
      </c>
      <c r="BZ86" s="426">
        <f t="shared" si="482"/>
        <v>3.6549999999999998</v>
      </c>
      <c r="CA86" s="425">
        <f t="shared" si="483"/>
        <v>4.3</v>
      </c>
      <c r="CB86" s="426">
        <f t="shared" si="484"/>
        <v>6.02</v>
      </c>
      <c r="CD86" s="420">
        <v>0</v>
      </c>
      <c r="CF86" s="426">
        <f t="shared" si="485"/>
        <v>0</v>
      </c>
    </row>
    <row r="87" spans="2:84" s="236" customFormat="1" ht="51.75" thickBot="1" x14ac:dyDescent="0.25">
      <c r="C87" s="461" t="s">
        <v>98</v>
      </c>
      <c r="D87" s="169" t="s">
        <v>18</v>
      </c>
      <c r="E87" s="169" t="str">
        <f t="shared" ref="E87" si="512">IF(U87&gt;50,"A",IF(U87&gt;15,"M","B"))</f>
        <v>B</v>
      </c>
      <c r="F87" s="169" t="s">
        <v>459</v>
      </c>
      <c r="G87" s="169" t="s">
        <v>459</v>
      </c>
      <c r="H87" s="169" t="str">
        <f t="shared" ref="H87" si="513">IF(V87+W87&gt;20,"A",IF(V87+W87&gt;5,"M","B"))</f>
        <v>B</v>
      </c>
      <c r="I87" s="169" t="str">
        <f t="shared" ref="I87" si="514">IF(V87+W87&gt;15,"A",IF(V87+W87&gt;4,"M","B"))</f>
        <v>B</v>
      </c>
      <c r="J87" s="225">
        <f t="shared" ref="J87" si="515">V87+W87</f>
        <v>1</v>
      </c>
      <c r="K87" s="183" t="str">
        <f t="shared" ref="K87" si="516">Y87</f>
        <v>Chica 2</v>
      </c>
      <c r="L87" s="161" t="s">
        <v>593</v>
      </c>
      <c r="M87" s="162">
        <f t="shared" si="29"/>
        <v>3.3</v>
      </c>
      <c r="N87" s="162">
        <f t="shared" ref="N87" si="517">BN87</f>
        <v>1.4000000000000001</v>
      </c>
      <c r="O87" s="349">
        <f t="shared" ref="O87" si="518">SUM(M87,N87)</f>
        <v>4.7</v>
      </c>
      <c r="Q87" s="408"/>
      <c r="R87" s="408"/>
      <c r="S87" s="408"/>
      <c r="T87" s="31"/>
      <c r="U87" s="441">
        <v>7</v>
      </c>
      <c r="V87" s="441">
        <v>1</v>
      </c>
      <c r="W87" s="441">
        <v>0</v>
      </c>
      <c r="X87" s="308"/>
      <c r="Y87" s="231" t="str">
        <f t="shared" ref="Y87" si="519">IF(AND(U87&gt;=0,U87&lt;=6),"Chica 1",IF(AND(U87&gt;=7,U87&lt;=12),"Chica 2",IF(AND(U87&gt;=13,U87&lt;=18),"Chica 3",IF(AND(U87&gt;=19,U87&lt;=24),"Chica 4",IF(AND(U87&gt;=25,U87&lt;=30),"Mediana 1",IF(AND(U87&gt;=31,U87&lt;=36),"Mediana 2",IF(AND(U87&gt;=37,U87&lt;=42),"Mediana 3",IF(AND(U87&gt;=43,U87&lt;=48),"Mediana 4",IF(AND(U87&gt;=49,U87&lt;=54),"Grande 1",IF(AND(U87&gt;=55,U87&lt;=60),"Grande 2",IF(AND(U87&gt;=61,U87&lt;=66),"Grande 3",IF(AND(U87&gt;=67,U87&lt;=72),"Grande 4",IF(AND(U87&gt;=73,U87&lt;=78),"M. grande 1",IF(AND(U87&gt;=79,U87&lt;=84),"M. grande 2",IF(AND(U87&gt;=85,U87&lt;=90),"M. grande 3",IF(AND(U87&gt;=91,U87&lt;=96),"M. grande 4","NO DEF"))))))))))))))))</f>
        <v>Chica 2</v>
      </c>
      <c r="Z87" s="231" t="str">
        <f t="shared" ref="Z87" si="520">IF(E87="A","Alta",IF(E87="M","Media","Baja"))</f>
        <v>Baja</v>
      </c>
      <c r="AA87" s="231" t="str">
        <f t="shared" ref="AA87" si="521">IF(E87="A","Alta",IF(E87="M","Media","Baja"))</f>
        <v>Baja</v>
      </c>
      <c r="AB87" s="231" t="str">
        <f t="shared" ref="AB87" si="522">IF(F87="A","Alta",IF(F87="M","Media","Baja"))</f>
        <v>Baja</v>
      </c>
      <c r="AC87" s="231" t="str">
        <f t="shared" ref="AC87" si="523">IF(F87="A","Alta",IF(F87="M","Media","Baja"))</f>
        <v>Baja</v>
      </c>
      <c r="AD87" s="231" t="str">
        <f t="shared" ref="AD87" si="524">IF(G87="A","Alta",IF(G87="M","Media","Baja"))</f>
        <v>Baja</v>
      </c>
      <c r="AE87" s="231" t="str">
        <f t="shared" ref="AE87" si="525">IF(G87="A","Alta",IF(G87="M","Media","Baja"))</f>
        <v>Baja</v>
      </c>
      <c r="AF87" s="231" t="str">
        <f t="shared" ref="AF87" si="526">IF(H87="A","Alta",IF(H87="M","Media","Baja"))</f>
        <v>Baja</v>
      </c>
      <c r="AG87" s="231" t="str">
        <f t="shared" ref="AG87" si="527">IF(I87="A","Alta",IF(I87="M","Media","Baja"))</f>
        <v>Baja</v>
      </c>
      <c r="AH87" s="233"/>
      <c r="AI87" s="232">
        <f>IF(Y87=Modelo!$F$7,Modelo!$H$7,IF(Y87=Modelo!$F$8,Modelo!$H$8,IF(Y87=Modelo!$F$9,Modelo!$H$9,IF(Y87=Modelo!$F$10,Modelo!$H$10,IF(Y87=Modelo!$F$11,Modelo!$H$11,IF(Y87=Modelo!$F$12,Modelo!$H$12,IF(Y87=Modelo!$F$13,Modelo!$H$13,IF(Y87=Modelo!$F$14,Modelo!$H$14,IF(Y87=Modelo!$F$15,Modelo!$H$15,IF(Y87=Modelo!$F$16,Modelo!$H$16,IF(Y87=Modelo!$F$17,Modelo!$H$17,IF(Y87=Modelo!$F$18,Modelo!$H$18,IF(Y87=Modelo!$F$19,Modelo!$H$19,IF(Y87=Modelo!$F$20,Modelo!$H$20,IF(Y87=Modelo!$F$21,Modelo!$H$21,IF(Y87=Modelo!$F$22,Modelo!$H$22,0))))))))))))))))</f>
        <v>0.60000000000000009</v>
      </c>
      <c r="AJ87" s="232">
        <f>IF(Y87=Modelo!$F$7,Modelo!$I$7,IF(Y87=Modelo!$F$8,Modelo!$I$8,IF(Y87=Modelo!$F$9,Modelo!$I$9,IF(Y87=Modelo!$F$10,Modelo!$I$10,IF(Y87=Modelo!$F$11,Modelo!$I$11,IF(Y87=Modelo!$F$12,Modelo!$I$12,IF(Y87=Modelo!$F$13,Modelo!$I$13,IF(Y87=Modelo!$F$14,Modelo!$I$14,IF(Y87=Modelo!$F$15,Modelo!$I$15,IF(Y87=Modelo!$F$16,Modelo!$I$16,IF(Y87=Modelo!$F$17,Modelo!$I$17,IF(Y87=Modelo!$F$18,Modelo!$I$18,IF(Y87=Modelo!$F$19,Modelo!$I$19,IF(Y87=Modelo!$F$20,Modelo!$I$20,IF(Y87=Modelo!$F$21,Modelo!$I$21,IF(Y87=Modelo!$F$22,Modelo!$I$22,0))))))))))))))))</f>
        <v>0.2</v>
      </c>
      <c r="AK87" s="232">
        <f>IF(Z87=Modelo!$F$23,Modelo!$H$23,IF(Z87=Modelo!$F$24,Modelo!$H$24,IF(Z87=Modelo!$F$25,Modelo!$H$25,0)))</f>
        <v>1</v>
      </c>
      <c r="AL87" s="232">
        <f>IF(AA87=Modelo!$F$26,Modelo!$H$26,IF(AA87=Modelo!$F$27,Modelo!$H$27,IF(AA87=Modelo!$F$28,Modelo!$H$28,0)))</f>
        <v>0.1</v>
      </c>
      <c r="AM87" s="232">
        <f>IF(AB87=Modelo!$F$30,Modelo!$H$30,IF(AB87=Modelo!$F$31,Modelo!$H$31,IF(AB87=Modelo!$F$32,Modelo!$H$32,0)))</f>
        <v>0.8</v>
      </c>
      <c r="AN87" s="232">
        <f>IF(AC87=Modelo!$F$33,Modelo!$H$33,IF(AC87=Modelo!$F$34,Modelo!$H$34,IF(AC87=Modelo!$F$35,Modelo!$H$35,0)))</f>
        <v>0.3</v>
      </c>
      <c r="AO87" s="232">
        <f>IF(AD87=Modelo!$F$37,Modelo!$H$37,IF(AD87=Modelo!$F$38,Modelo!$H$38,IF(AD87=Modelo!$F$39,Modelo!$H$39,0)))</f>
        <v>0.8</v>
      </c>
      <c r="AP87" s="232">
        <f>IF(AE87=Modelo!$F$40,Modelo!$H$40,IF(AE87=Modelo!$F$41,Modelo!$H$41,IF(AE87=Modelo!$F$42,Modelo!$H$42,0)))</f>
        <v>0.4</v>
      </c>
      <c r="AQ87" s="231">
        <f>IF(C87=Modelo!$F$44,Modelo!$H$44,IF(C87=Modelo!$F$45,Modelo!$H$45,IF(C87=Modelo!$F$46,Modelo!$H$46,IF(C87=Modelo!$F$47,Modelo!$H$47,IF(C87=Modelo!$F$48,Modelo!$H$48,IF(C87=Modelo!$F$49,Modelo!$H$49,IF(C87=Modelo!$F$50,Modelo!$H$50,IF(C87=Modelo!$F$51,Modelo!$H$51,IF(C87=Modelo!$F$52,Modelo!$H$52,IF(C87=Modelo!$F$53,Modelo!$H$53,0))))))))))</f>
        <v>2.2000000000000002</v>
      </c>
      <c r="AR87" s="232">
        <f>IF(AF87=Modelo!$F$54,Modelo!$H$54,IF(AF87=Modelo!$F$55,Modelo!$H$55,IF(AF87=Modelo!$F$56,Modelo!$H$56,0)))</f>
        <v>1</v>
      </c>
      <c r="AS87" s="232">
        <f>IF(AG87=Modelo!$F$58,Modelo!$H$58,IF(AG87=Modelo!$F$59,Modelo!$H$59,IF(AG87=Modelo!$F$60,Modelo!$H$60,0)))</f>
        <v>0.9</v>
      </c>
      <c r="AT87" s="233"/>
      <c r="AU87" s="228">
        <f>Modelo!$H$2</f>
        <v>0.05</v>
      </c>
      <c r="AV87" s="229">
        <f>ROUNDUP(Modelo!$I$2*Modelo!$H$3*Modelo!$I$75,2)</f>
        <v>0.02</v>
      </c>
      <c r="AW87" s="230">
        <f>ROUNDUP(Modelo!$I$2*Modelo!$H$3*Modelo!$H$4*Modelo!$I$75,3)</f>
        <v>3.0000000000000001E-3</v>
      </c>
      <c r="AX87" s="228">
        <f>Modelo!$H$5</f>
        <v>0.04</v>
      </c>
      <c r="AY87" s="228">
        <f>ROUNDUP(SUM(AZ87,BB87,BD87,BF87)*Modelo!$H$6,1)</f>
        <v>0.6</v>
      </c>
      <c r="AZ87" s="228">
        <f>ROUNDUP((AI87*AK87+0.1)*Modelo!$I$75,1)</f>
        <v>0.7</v>
      </c>
      <c r="BA87" s="228">
        <f>ROUNDUP(AJ87*AK87*AL87*Modelo!$I$75,1)</f>
        <v>0.1</v>
      </c>
      <c r="BB87" s="228">
        <f>ROUNDUP(V87*Modelo!$H$29*AM87*Modelo!$I$75*2/3,1)</f>
        <v>0.6</v>
      </c>
      <c r="BC87" s="228">
        <f>ROUNDUP(V87*Modelo!$H$29*AM87*AN87*Modelo!$I$75*2/3,1)</f>
        <v>0.2</v>
      </c>
      <c r="BD87" s="228">
        <f>ROUNDUP(V87*Modelo!$H$29*AM87*Modelo!$I$75/3,1)</f>
        <v>0.30000000000000004</v>
      </c>
      <c r="BE87" s="228">
        <f>ROUNDUP(V87*Modelo!$H$29*AM87*AN87*Modelo!$I$75/3,1)</f>
        <v>0.1</v>
      </c>
      <c r="BF87" s="228">
        <f>ROUNDUP(W87*Modelo!$H$36*AO87*Modelo!$I$75,1)</f>
        <v>0</v>
      </c>
      <c r="BG87" s="228">
        <f>ROUNDUP(W87*Modelo!$H$36*AO87*AP87*Modelo!$I$75,1)</f>
        <v>0</v>
      </c>
      <c r="BH87" s="228">
        <f>Modelo!$H$43</f>
        <v>0.04</v>
      </c>
      <c r="BI87" s="228">
        <f>ROUNDUP(SUM(ROUNDUP(AI87*AK87+0.1,1),ROUNDUP(V87*Modelo!$H$29*AM87,1),ROUNDUP(W87*Modelo!$H$36*AO87,1))*AR87*AQ87*Modelo!$I$75,1)</f>
        <v>3.3</v>
      </c>
      <c r="BJ87" s="228">
        <f t="shared" si="128"/>
        <v>0</v>
      </c>
      <c r="BK87" s="228">
        <f t="shared" si="129"/>
        <v>0</v>
      </c>
      <c r="BL87" s="228">
        <f t="shared" si="130"/>
        <v>0</v>
      </c>
      <c r="BM87" s="228">
        <f t="shared" si="131"/>
        <v>0</v>
      </c>
      <c r="BN87" s="228">
        <f>ROUNDUP(SUM(ROUNDUP(AI87*AK87+0.1,1),ROUNDUP(V87*Modelo!$H$29*AM87,1),ROUNDUP(W87*Modelo!$H$36*AO87,1))*AQ87*AS87*Modelo!$H$57,1)</f>
        <v>1.4000000000000001</v>
      </c>
      <c r="BO87" s="228">
        <f t="shared" si="132"/>
        <v>3.1349999999999998</v>
      </c>
      <c r="BP87" s="228">
        <f>Modelo!$H$61</f>
        <v>0.04</v>
      </c>
      <c r="BQ87" s="228">
        <f>ROUNDUP(SUM(ROUNDUP(AI87*AK87+0.1,1),ROUNDUP(V87*Modelo!$H$29*AM87,1),ROUNDUP(W87*Modelo!$H$36*AO87,1))*Modelo!$H$62*Modelo!$I$75,1)</f>
        <v>0.1</v>
      </c>
      <c r="BR87" s="228">
        <f>ROUNDUP(ROUNDUP(SUM(ROUNDUP(AI87*AK87+0.1,1),ROUNDUP(V87*Modelo!$H$29*AM87,1),ROUNDUP(W87*Modelo!$H$36*AO87,1))*Modelo!$H$62,1)*Modelo!$H$63*Modelo!$I$75,1)</f>
        <v>0.1</v>
      </c>
      <c r="BS87" s="228">
        <f>SUM(ROUNDUP(AI87*AK87+0.1,1),ROUNDUP(V87*Modelo!$H$29*AM87,1),ROUNDUP(W87*Modelo!$H$36*AO87,1))*Modelo!$H$64*Modelo!$I$75</f>
        <v>0.30000000000000004</v>
      </c>
      <c r="BT87" s="228">
        <f>ROUNDUP(SUM(ROUNDUP(AI87*AK87+0.1,1),ROUNDUP(V87*Modelo!$H$29*AM87,1),ROUNDUP(W87*Modelo!$H$36*AO87,1))*Modelo!$H$64*Modelo!$H$65*Modelo!$I$75,1)</f>
        <v>0.2</v>
      </c>
      <c r="BU87" s="228">
        <f>Modelo!$H$66</f>
        <v>0.04</v>
      </c>
      <c r="BV87" s="228">
        <f>ROUNDUP(SUM(ROUNDUP(AI87*AK87+0.1,1),ROUNDUP(V87*Modelo!$H$29*AM87,1),ROUNDUP(W87*Modelo!$H$36*AO87,1))*Modelo!$H$69,1)</f>
        <v>0.4</v>
      </c>
      <c r="BW87" s="228">
        <f>ROUNDUP(ROUNDUP(SUM(ROUNDUP(AI87*AK87+0.1,1),ROUNDUP(V87*Modelo!$H$29*AM87,1),ROUNDUP(W87*Modelo!$H$36*AO87,1))*Modelo!$H$62,1)*Modelo!$H$71,1)</f>
        <v>0.2</v>
      </c>
      <c r="BX87" s="227">
        <f t="shared" ref="BX87" si="528">SUM(AU87:BW87)</f>
        <v>11.967999999999998</v>
      </c>
      <c r="BZ87" s="236">
        <f t="shared" si="133"/>
        <v>3.9950000000000001</v>
      </c>
      <c r="CA87" s="31">
        <f t="shared" si="134"/>
        <v>4.7</v>
      </c>
      <c r="CB87" s="236">
        <f t="shared" si="135"/>
        <v>6.58</v>
      </c>
      <c r="CD87" s="420">
        <v>0</v>
      </c>
      <c r="CF87" s="236">
        <f t="shared" si="136"/>
        <v>0</v>
      </c>
    </row>
    <row r="88" spans="2:84" s="426" customFormat="1" ht="15.75" thickBot="1" x14ac:dyDescent="0.25">
      <c r="C88" s="461" t="s">
        <v>106</v>
      </c>
      <c r="D88" s="435" t="s">
        <v>18</v>
      </c>
      <c r="E88" s="435" t="str">
        <f t="shared" ref="E88" si="529">IF(U88&gt;50,"A",IF(U88&gt;15,"M","B"))</f>
        <v>B</v>
      </c>
      <c r="F88" s="435" t="s">
        <v>459</v>
      </c>
      <c r="G88" s="435" t="s">
        <v>459</v>
      </c>
      <c r="H88" s="435" t="str">
        <f t="shared" ref="H88" si="530">IF(V88+W88&gt;20,"A",IF(V88+W88&gt;5,"M","B"))</f>
        <v>B</v>
      </c>
      <c r="I88" s="435" t="str">
        <f t="shared" ref="I88" si="531">IF(V88+W88&gt;15,"A",IF(V88+W88&gt;4,"M","B"))</f>
        <v>B</v>
      </c>
      <c r="J88" s="437">
        <f t="shared" ref="J88" si="532">V88+W88</f>
        <v>0</v>
      </c>
      <c r="K88" s="436" t="str">
        <f t="shared" ref="K88" si="533">Y88</f>
        <v>Chica 1</v>
      </c>
      <c r="L88" s="445" t="s">
        <v>624</v>
      </c>
      <c r="M88" s="434">
        <f t="shared" si="29"/>
        <v>1</v>
      </c>
      <c r="N88" s="434">
        <f t="shared" ref="N88" si="534">BN88</f>
        <v>0.5</v>
      </c>
      <c r="O88" s="439">
        <f t="shared" ref="O88" si="535">SUM(M88,N88)</f>
        <v>1.5</v>
      </c>
      <c r="Q88" s="408"/>
      <c r="R88" s="408"/>
      <c r="S88" s="408"/>
      <c r="T88" s="425"/>
      <c r="U88" s="441">
        <v>0</v>
      </c>
      <c r="V88" s="441">
        <v>0</v>
      </c>
      <c r="W88" s="441">
        <v>0</v>
      </c>
      <c r="X88" s="438"/>
      <c r="Y88" s="428" t="str">
        <f t="shared" ref="Y88" si="536">IF(AND(U88&gt;=0,U88&lt;=6),"Chica 1",IF(AND(U88&gt;=7,U88&lt;=12),"Chica 2",IF(AND(U88&gt;=13,U88&lt;=18),"Chica 3",IF(AND(U88&gt;=19,U88&lt;=24),"Chica 4",IF(AND(U88&gt;=25,U88&lt;=30),"Mediana 1",IF(AND(U88&gt;=31,U88&lt;=36),"Mediana 2",IF(AND(U88&gt;=37,U88&lt;=42),"Mediana 3",IF(AND(U88&gt;=43,U88&lt;=48),"Mediana 4",IF(AND(U88&gt;=49,U88&lt;=54),"Grande 1",IF(AND(U88&gt;=55,U88&lt;=60),"Grande 2",IF(AND(U88&gt;=61,U88&lt;=66),"Grande 3",IF(AND(U88&gt;=67,U88&lt;=72),"Grande 4",IF(AND(U88&gt;=73,U88&lt;=78),"M. grande 1",IF(AND(U88&gt;=79,U88&lt;=84),"M. grande 2",IF(AND(U88&gt;=85,U88&lt;=90),"M. grande 3",IF(AND(U88&gt;=91,U88&lt;=96),"M. grande 4","NO DEF"))))))))))))))))</f>
        <v>Chica 1</v>
      </c>
      <c r="Z88" s="428" t="str">
        <f t="shared" ref="Z88" si="537">IF(E88="A","Alta",IF(E88="M","Media","Baja"))</f>
        <v>Baja</v>
      </c>
      <c r="AA88" s="428" t="str">
        <f t="shared" ref="AA88" si="538">IF(E88="A","Alta",IF(E88="M","Media","Baja"))</f>
        <v>Baja</v>
      </c>
      <c r="AB88" s="428" t="str">
        <f t="shared" ref="AB88" si="539">IF(F88="A","Alta",IF(F88="M","Media","Baja"))</f>
        <v>Baja</v>
      </c>
      <c r="AC88" s="428" t="str">
        <f t="shared" ref="AC88" si="540">IF(F88="A","Alta",IF(F88="M","Media","Baja"))</f>
        <v>Baja</v>
      </c>
      <c r="AD88" s="428" t="str">
        <f t="shared" ref="AD88" si="541">IF(G88="A","Alta",IF(G88="M","Media","Baja"))</f>
        <v>Baja</v>
      </c>
      <c r="AE88" s="428" t="str">
        <f t="shared" ref="AE88" si="542">IF(G88="A","Alta",IF(G88="M","Media","Baja"))</f>
        <v>Baja</v>
      </c>
      <c r="AF88" s="428" t="str">
        <f t="shared" ref="AF88" si="543">IF(H88="A","Alta",IF(H88="M","Media","Baja"))</f>
        <v>Baja</v>
      </c>
      <c r="AG88" s="428" t="str">
        <f t="shared" ref="AG88" si="544">IF(I88="A","Alta",IF(I88="M","Media","Baja"))</f>
        <v>Baja</v>
      </c>
      <c r="AH88" s="427"/>
      <c r="AI88" s="429">
        <f>IF(Y88=Modelo!$F$7,Modelo!$H$7,IF(Y88=Modelo!$F$8,Modelo!$H$8,IF(Y88=Modelo!$F$9,Modelo!$H$9,IF(Y88=Modelo!$F$10,Modelo!$H$10,IF(Y88=Modelo!$F$11,Modelo!$H$11,IF(Y88=Modelo!$F$12,Modelo!$H$12,IF(Y88=Modelo!$F$13,Modelo!$H$13,IF(Y88=Modelo!$F$14,Modelo!$H$14,IF(Y88=Modelo!$F$15,Modelo!$H$15,IF(Y88=Modelo!$F$16,Modelo!$H$16,IF(Y88=Modelo!$F$17,Modelo!$H$17,IF(Y88=Modelo!$F$18,Modelo!$H$18,IF(Y88=Modelo!$F$19,Modelo!$H$19,IF(Y88=Modelo!$F$20,Modelo!$H$20,IF(Y88=Modelo!$F$21,Modelo!$H$21,IF(Y88=Modelo!$F$22,Modelo!$H$22,0))))))))))))))))</f>
        <v>0.30000000000000004</v>
      </c>
      <c r="AJ88" s="429">
        <f>IF(Y88=Modelo!$F$7,Modelo!$I$7,IF(Y88=Modelo!$F$8,Modelo!$I$8,IF(Y88=Modelo!$F$9,Modelo!$I$9,IF(Y88=Modelo!$F$10,Modelo!$I$10,IF(Y88=Modelo!$F$11,Modelo!$I$11,IF(Y88=Modelo!$F$12,Modelo!$I$12,IF(Y88=Modelo!$F$13,Modelo!$I$13,IF(Y88=Modelo!$F$14,Modelo!$I$14,IF(Y88=Modelo!$F$15,Modelo!$I$15,IF(Y88=Modelo!$F$16,Modelo!$I$16,IF(Y88=Modelo!$F$17,Modelo!$I$17,IF(Y88=Modelo!$F$18,Modelo!$I$18,IF(Y88=Modelo!$F$19,Modelo!$I$19,IF(Y88=Modelo!$F$20,Modelo!$I$20,IF(Y88=Modelo!$F$21,Modelo!$I$21,IF(Y88=Modelo!$F$22,Modelo!$I$22,0))))))))))))))))</f>
        <v>0.1</v>
      </c>
      <c r="AK88" s="429">
        <f>IF(Z88=Modelo!$F$23,Modelo!$H$23,IF(Z88=Modelo!$F$24,Modelo!$H$24,IF(Z88=Modelo!$F$25,Modelo!$H$25,0)))</f>
        <v>1</v>
      </c>
      <c r="AL88" s="429">
        <f>IF(AA88=Modelo!$F$26,Modelo!$H$26,IF(AA88=Modelo!$F$27,Modelo!$H$27,IF(AA88=Modelo!$F$28,Modelo!$H$28,0)))</f>
        <v>0.1</v>
      </c>
      <c r="AM88" s="429">
        <f>IF(AB88=Modelo!$F$30,Modelo!$H$30,IF(AB88=Modelo!$F$31,Modelo!$H$31,IF(AB88=Modelo!$F$32,Modelo!$H$32,0)))</f>
        <v>0.8</v>
      </c>
      <c r="AN88" s="429">
        <f>IF(AC88=Modelo!$F$33,Modelo!$H$33,IF(AC88=Modelo!$F$34,Modelo!$H$34,IF(AC88=Modelo!$F$35,Modelo!$H$35,0)))</f>
        <v>0.3</v>
      </c>
      <c r="AO88" s="429">
        <f>IF(AD88=Modelo!$F$37,Modelo!$H$37,IF(AD88=Modelo!$F$38,Modelo!$H$38,IF(AD88=Modelo!$F$39,Modelo!$H$39,0)))</f>
        <v>0.8</v>
      </c>
      <c r="AP88" s="429">
        <f>IF(AE88=Modelo!$F$40,Modelo!$H$40,IF(AE88=Modelo!$F$41,Modelo!$H$41,IF(AE88=Modelo!$F$42,Modelo!$H$42,0)))</f>
        <v>0.4</v>
      </c>
      <c r="AQ88" s="428">
        <f>IF(C88=Modelo!$F$44,Modelo!$H$44,IF(C88=Modelo!$F$45,Modelo!$H$45,IF(C88=Modelo!$F$46,Modelo!$H$46,IF(C88=Modelo!$F$47,Modelo!$H$47,IF(C88=Modelo!$F$48,Modelo!$H$48,IF(C88=Modelo!$F$49,Modelo!$H$49,IF(C88=Modelo!$F$50,Modelo!$H$50,IF(C88=Modelo!$F$51,Modelo!$H$51,IF(C88=Modelo!$F$52,Modelo!$H$52,IF(C88=Modelo!$F$53,Modelo!$H$53,0))))))))))</f>
        <v>2.5</v>
      </c>
      <c r="AR88" s="429">
        <f>IF(AF88=Modelo!$F$54,Modelo!$H$54,IF(AF88=Modelo!$F$55,Modelo!$H$55,IF(AF88=Modelo!$F$56,Modelo!$H$56,0)))</f>
        <v>1</v>
      </c>
      <c r="AS88" s="429">
        <f>IF(AG88=Modelo!$F$58,Modelo!$H$58,IF(AG88=Modelo!$F$59,Modelo!$H$59,IF(AG88=Modelo!$F$60,Modelo!$H$60,0)))</f>
        <v>0.9</v>
      </c>
      <c r="AT88" s="427"/>
      <c r="AU88" s="431">
        <f>Modelo!$H$2</f>
        <v>0.05</v>
      </c>
      <c r="AV88" s="432">
        <f>ROUNDUP(Modelo!$I$2*Modelo!$H$3*Modelo!$I$75,2)</f>
        <v>0.02</v>
      </c>
      <c r="AW88" s="433">
        <f>ROUNDUP(Modelo!$I$2*Modelo!$H$3*Modelo!$H$4*Modelo!$I$75,3)</f>
        <v>3.0000000000000001E-3</v>
      </c>
      <c r="AX88" s="431">
        <f>Modelo!$H$5</f>
        <v>0.04</v>
      </c>
      <c r="AY88" s="431">
        <f>ROUNDUP(SUM(AZ88,BB88,BD88,BF88)*Modelo!$H$6,1)</f>
        <v>0.2</v>
      </c>
      <c r="AZ88" s="431">
        <f>ROUNDUP((AI88*AK88+0.1)*Modelo!$I$75,1)</f>
        <v>0.4</v>
      </c>
      <c r="BA88" s="431">
        <f>ROUNDUP(AJ88*AK88*AL88*Modelo!$I$75,1)</f>
        <v>0.1</v>
      </c>
      <c r="BB88" s="431">
        <f>ROUNDUP(V88*Modelo!$H$29*AM88*Modelo!$I$75*2/3,1)</f>
        <v>0</v>
      </c>
      <c r="BC88" s="431">
        <f>ROUNDUP(V88*Modelo!$H$29*AM88*AN88*Modelo!$I$75*2/3,1)</f>
        <v>0</v>
      </c>
      <c r="BD88" s="431">
        <f>ROUNDUP(V88*Modelo!$H$29*AM88*Modelo!$I$75/3,1)</f>
        <v>0</v>
      </c>
      <c r="BE88" s="431">
        <f>ROUNDUP(V88*Modelo!$H$29*AM88*AN88*Modelo!$I$75/3,1)</f>
        <v>0</v>
      </c>
      <c r="BF88" s="431">
        <f>ROUNDUP(W88*Modelo!$H$36*AO88*Modelo!$I$75,1)</f>
        <v>0</v>
      </c>
      <c r="BG88" s="431">
        <f>ROUNDUP(W88*Modelo!$H$36*AO88*AP88*Modelo!$I$75,1)</f>
        <v>0</v>
      </c>
      <c r="BH88" s="431">
        <f>Modelo!$H$43</f>
        <v>0.04</v>
      </c>
      <c r="BI88" s="431">
        <f>ROUNDUP(SUM(ROUNDUP(AI88*AK88+0.1,1),ROUNDUP(V88*Modelo!$H$29*AM88,1),ROUNDUP(W88*Modelo!$H$36*AO88,1))*AR88*AQ88*Modelo!$I$75,1)</f>
        <v>1</v>
      </c>
      <c r="BJ88" s="431">
        <f t="shared" ref="BJ88" si="545">IF(K$31="x",0, BI88*0.1*1.25)</f>
        <v>0</v>
      </c>
      <c r="BK88" s="431">
        <f t="shared" ref="BK88" si="546">IF(Q88="x",(BI88)*0.1,0)</f>
        <v>0</v>
      </c>
      <c r="BL88" s="431">
        <f t="shared" ref="BL88" si="547">IF(R88="x",(BI88)*0.12,0)</f>
        <v>0</v>
      </c>
      <c r="BM88" s="431">
        <f t="shared" ref="BM88" si="548">IF(S88="x",(BI88)*0.12,0)*4</f>
        <v>0</v>
      </c>
      <c r="BN88" s="431">
        <f>ROUNDUP(SUM(ROUNDUP(AI88*AK88+0.1,1),ROUNDUP(V88*Modelo!$H$29*AM88,1),ROUNDUP(W88*Modelo!$H$36*AO88,1))*AQ88*AS88*Modelo!$H$57,1)</f>
        <v>0.5</v>
      </c>
      <c r="BO88" s="431">
        <f t="shared" ref="BO88" si="549">BI88*0.1
+IF(K$15="x",0,BI88*0.05)
+IF(K$27="x",0,BI88*0.2)
+IF(K$28="x",0,BI88*0.5)
+IF(OR(K$29="x",K$30="x"),0,BI88*0.05)
+IF(K$31="x",0,BI88*0.3)
+IF(Q88="x",0,BI88*0.5)
+IF(OR(R88="x",S88="x"),0,BI88*0.15)</f>
        <v>0.95000000000000007</v>
      </c>
      <c r="BP88" s="431">
        <f>Modelo!$H$61</f>
        <v>0.04</v>
      </c>
      <c r="BQ88" s="431">
        <f>ROUNDUP(SUM(ROUNDUP(AI88*AK88+0.1,1),ROUNDUP(V88*Modelo!$H$29*AM88,1),ROUNDUP(W88*Modelo!$H$36*AO88,1))*Modelo!$H$62*Modelo!$I$75,1)</f>
        <v>0.1</v>
      </c>
      <c r="BR88" s="431">
        <f>ROUNDUP(ROUNDUP(SUM(ROUNDUP(AI88*AK88+0.1,1),ROUNDUP(V88*Modelo!$H$29*AM88,1),ROUNDUP(W88*Modelo!$H$36*AO88,1))*Modelo!$H$62,1)*Modelo!$H$63*Modelo!$I$75,1)</f>
        <v>0.1</v>
      </c>
      <c r="BS88" s="431">
        <f>SUM(ROUNDUP(AI88*AK88+0.1,1),ROUNDUP(V88*Modelo!$H$29*AM88,1),ROUNDUP(W88*Modelo!$H$36*AO88,1))*Modelo!$H$64*Modelo!$I$75</f>
        <v>8.0000000000000016E-2</v>
      </c>
      <c r="BT88" s="431">
        <f>ROUNDUP(SUM(ROUNDUP(AI88*AK88+0.1,1),ROUNDUP(V88*Modelo!$H$29*AM88,1),ROUNDUP(W88*Modelo!$H$36*AO88,1))*Modelo!$H$64*Modelo!$H$65*Modelo!$I$75,1)</f>
        <v>0.1</v>
      </c>
      <c r="BU88" s="431">
        <f>Modelo!$H$66</f>
        <v>0.04</v>
      </c>
      <c r="BV88" s="431">
        <f>ROUNDUP(SUM(ROUNDUP(AI88*AK88+0.1,1),ROUNDUP(V88*Modelo!$H$29*AM88,1),ROUNDUP(W88*Modelo!$H$36*AO88,1))*Modelo!$H$69,1)</f>
        <v>0.1</v>
      </c>
      <c r="BW88" s="431">
        <f>ROUNDUP(ROUNDUP(SUM(ROUNDUP(AI88*AK88+0.1,1),ROUNDUP(V88*Modelo!$H$29*AM88,1),ROUNDUP(W88*Modelo!$H$36*AO88,1))*Modelo!$H$62,1)*Modelo!$H$71,1)</f>
        <v>0.2</v>
      </c>
      <c r="BX88" s="430">
        <f t="shared" ref="BX88" si="550">SUM(AU88:BW88)</f>
        <v>4.0630000000000006</v>
      </c>
      <c r="BZ88" s="426">
        <f t="shared" ref="BZ88" si="551">CA88*0.85</f>
        <v>1.2749999999999999</v>
      </c>
      <c r="CA88" s="425">
        <f t="shared" ref="CA88" si="552">O88</f>
        <v>1.5</v>
      </c>
      <c r="CB88" s="426">
        <f t="shared" ref="CB88" si="553">IF(CA88=0,1,CA88*1.4)</f>
        <v>2.0999999999999996</v>
      </c>
      <c r="CD88" s="420">
        <v>0</v>
      </c>
      <c r="CF88" s="426">
        <f t="shared" ref="CF88" si="554">IF(CC88&lt;&gt;"",CC88,CD88)</f>
        <v>0</v>
      </c>
    </row>
    <row r="89" spans="2:84" s="235" customFormat="1" ht="15.75" thickBot="1" x14ac:dyDescent="0.25">
      <c r="K89" s="407" t="s">
        <v>529</v>
      </c>
      <c r="L89" s="234" t="s">
        <v>278</v>
      </c>
      <c r="M89" s="369">
        <f>N132*0.2</f>
        <v>8.4</v>
      </c>
      <c r="N89" s="158" t="s">
        <v>12</v>
      </c>
      <c r="O89" s="349">
        <f t="shared" ref="O89" si="555">SUM(M89,N89)</f>
        <v>8.4</v>
      </c>
      <c r="P89" s="6"/>
      <c r="U89" s="186"/>
      <c r="V89" s="186"/>
      <c r="X89" s="302"/>
      <c r="AU89" s="227">
        <f t="shared" ref="AU89:BX89" si="556">SUM(AU43:AU88)</f>
        <v>2.1000000000000005</v>
      </c>
      <c r="AV89" s="227">
        <f t="shared" si="556"/>
        <v>0.84000000000000041</v>
      </c>
      <c r="AW89" s="227">
        <f t="shared" si="556"/>
        <v>0.12600000000000006</v>
      </c>
      <c r="AX89" s="227">
        <f t="shared" si="556"/>
        <v>1.6800000000000008</v>
      </c>
      <c r="AY89" s="227">
        <f t="shared" si="556"/>
        <v>35.5</v>
      </c>
      <c r="AZ89" s="227">
        <f t="shared" si="556"/>
        <v>37.899999999999991</v>
      </c>
      <c r="BA89" s="227">
        <f t="shared" si="556"/>
        <v>5.2999999999999972</v>
      </c>
      <c r="BB89" s="227">
        <f t="shared" si="556"/>
        <v>39.000000000000036</v>
      </c>
      <c r="BC89" s="227">
        <f t="shared" si="556"/>
        <v>13.099999999999994</v>
      </c>
      <c r="BD89" s="227">
        <f t="shared" si="556"/>
        <v>20.100000000000016</v>
      </c>
      <c r="BE89" s="227">
        <f t="shared" si="556"/>
        <v>6.9999999999999964</v>
      </c>
      <c r="BF89" s="227">
        <f t="shared" si="556"/>
        <v>3.2</v>
      </c>
      <c r="BG89" s="227">
        <f t="shared" si="556"/>
        <v>1.4</v>
      </c>
      <c r="BH89" s="227">
        <f t="shared" si="556"/>
        <v>1.6800000000000008</v>
      </c>
      <c r="BI89" s="227">
        <f t="shared" si="556"/>
        <v>158</v>
      </c>
      <c r="BJ89" s="227">
        <f t="shared" si="556"/>
        <v>0</v>
      </c>
      <c r="BK89" s="227">
        <f t="shared" si="556"/>
        <v>0</v>
      </c>
      <c r="BL89" s="227">
        <f t="shared" si="556"/>
        <v>0</v>
      </c>
      <c r="BM89" s="227">
        <f t="shared" si="556"/>
        <v>0</v>
      </c>
      <c r="BN89" s="227">
        <f t="shared" si="556"/>
        <v>65.59999999999998</v>
      </c>
      <c r="BO89" s="227">
        <f t="shared" si="556"/>
        <v>150.09999999999994</v>
      </c>
      <c r="BP89" s="227">
        <f t="shared" si="556"/>
        <v>1.6800000000000008</v>
      </c>
      <c r="BQ89" s="227">
        <f t="shared" si="556"/>
        <v>8.2000000000000011</v>
      </c>
      <c r="BR89" s="227">
        <f t="shared" si="556"/>
        <v>4.4000000000000004</v>
      </c>
      <c r="BS89" s="227">
        <f t="shared" si="556"/>
        <v>19.419999999999991</v>
      </c>
      <c r="BT89" s="227">
        <f t="shared" si="556"/>
        <v>11.399999999999997</v>
      </c>
      <c r="BU89" s="227">
        <f t="shared" si="556"/>
        <v>1.6800000000000008</v>
      </c>
      <c r="BV89" s="227">
        <f t="shared" si="556"/>
        <v>23.1</v>
      </c>
      <c r="BW89" s="227">
        <f t="shared" si="556"/>
        <v>16.399999999999999</v>
      </c>
      <c r="BX89" s="227">
        <f t="shared" si="556"/>
        <v>628.90599999999972</v>
      </c>
      <c r="BZ89" s="236">
        <f t="shared" si="41"/>
        <v>7.14</v>
      </c>
      <c r="CA89" s="31">
        <f t="shared" si="42"/>
        <v>8.4</v>
      </c>
      <c r="CB89" s="236">
        <f t="shared" si="2"/>
        <v>11.76</v>
      </c>
      <c r="CD89" s="422">
        <v>0</v>
      </c>
      <c r="CF89" s="236">
        <f t="shared" si="3"/>
        <v>0</v>
      </c>
    </row>
    <row r="90" spans="2:84" ht="26.25" thickBot="1" x14ac:dyDescent="0.25">
      <c r="K90" s="406" t="s">
        <v>529</v>
      </c>
      <c r="L90" s="157" t="s">
        <v>601</v>
      </c>
      <c r="M90" s="179">
        <v>3</v>
      </c>
      <c r="N90" s="158" t="s">
        <v>12</v>
      </c>
      <c r="O90" s="349">
        <f>IF(K90="x",SUM(M90,N90),0)</f>
        <v>3</v>
      </c>
      <c r="U90" s="186"/>
      <c r="V90" s="186"/>
      <c r="AU90" s="98" t="s">
        <v>82</v>
      </c>
      <c r="AV90" s="98" t="s">
        <v>83</v>
      </c>
      <c r="AW90" s="98" t="s">
        <v>81</v>
      </c>
      <c r="AX90" s="98" t="s">
        <v>84</v>
      </c>
      <c r="AY90" s="98" t="s">
        <v>82</v>
      </c>
      <c r="AZ90" s="98" t="s">
        <v>202</v>
      </c>
      <c r="BA90" s="98" t="s">
        <v>203</v>
      </c>
      <c r="BB90" s="98" t="s">
        <v>204</v>
      </c>
      <c r="BC90" s="98" t="s">
        <v>205</v>
      </c>
      <c r="BD90" s="98" t="s">
        <v>266</v>
      </c>
      <c r="BE90" s="98" t="s">
        <v>267</v>
      </c>
      <c r="BF90" s="98" t="s">
        <v>206</v>
      </c>
      <c r="BG90" s="98" t="s">
        <v>207</v>
      </c>
      <c r="BH90" s="98" t="s">
        <v>84</v>
      </c>
      <c r="BI90" s="98" t="s">
        <v>80</v>
      </c>
      <c r="BJ90" s="98" t="s">
        <v>536</v>
      </c>
      <c r="BK90" s="98" t="s">
        <v>534</v>
      </c>
      <c r="BL90" s="98" t="s">
        <v>535</v>
      </c>
      <c r="BM90" s="98" t="s">
        <v>533</v>
      </c>
      <c r="BN90" s="98" t="s">
        <v>85</v>
      </c>
      <c r="BO90" s="98"/>
      <c r="BP90" s="98" t="s">
        <v>84</v>
      </c>
      <c r="BQ90" s="98" t="s">
        <v>83</v>
      </c>
      <c r="BR90" s="98" t="s">
        <v>81</v>
      </c>
      <c r="BS90" s="98" t="s">
        <v>83</v>
      </c>
      <c r="BT90" s="98" t="s">
        <v>81</v>
      </c>
      <c r="BU90" s="98" t="s">
        <v>84</v>
      </c>
      <c r="BV90" s="98" t="s">
        <v>86</v>
      </c>
      <c r="BW90" s="98" t="s">
        <v>87</v>
      </c>
      <c r="BX90" s="33"/>
      <c r="BZ90" s="236">
        <f t="shared" si="41"/>
        <v>2.5499999999999998</v>
      </c>
      <c r="CA90" s="31">
        <f t="shared" si="42"/>
        <v>3</v>
      </c>
      <c r="CB90" s="236">
        <f t="shared" si="2"/>
        <v>4.1999999999999993</v>
      </c>
      <c r="CD90" s="422">
        <v>0</v>
      </c>
      <c r="CF90" s="236">
        <f t="shared" si="3"/>
        <v>0</v>
      </c>
    </row>
    <row r="91" spans="2:84" s="33" customFormat="1" ht="15.75" thickBot="1" x14ac:dyDescent="0.25">
      <c r="H91" s="106"/>
      <c r="I91" s="139"/>
      <c r="J91" s="102"/>
      <c r="K91" s="407" t="s">
        <v>529</v>
      </c>
      <c r="L91" s="159" t="s">
        <v>172</v>
      </c>
      <c r="M91" s="165" t="s">
        <v>12</v>
      </c>
      <c r="N91" s="160">
        <f>SUM(BQ43:BR88)</f>
        <v>12.599999999999984</v>
      </c>
      <c r="O91" s="349">
        <v>10.7</v>
      </c>
      <c r="P91" s="6"/>
      <c r="Q91" s="194"/>
      <c r="R91" s="235"/>
      <c r="S91" s="235"/>
      <c r="U91" s="130"/>
      <c r="V91" s="130"/>
      <c r="W91" s="130"/>
      <c r="X91" s="304"/>
      <c r="AF91" s="106"/>
      <c r="AG91" s="106"/>
      <c r="AR91" s="106"/>
      <c r="AS91" s="114"/>
      <c r="AU91" s="475" t="s">
        <v>183</v>
      </c>
      <c r="AV91" s="475"/>
      <c r="AW91" s="475"/>
      <c r="AX91" s="475"/>
      <c r="AY91" s="474" t="s">
        <v>196</v>
      </c>
      <c r="AZ91" s="474"/>
      <c r="BA91" s="474"/>
      <c r="BB91" s="474"/>
      <c r="BC91" s="474"/>
      <c r="BD91" s="474"/>
      <c r="BE91" s="474"/>
      <c r="BF91" s="474"/>
      <c r="BG91" s="474"/>
      <c r="BH91" s="474"/>
      <c r="BI91" s="474" t="s">
        <v>197</v>
      </c>
      <c r="BJ91" s="474"/>
      <c r="BK91" s="474"/>
      <c r="BL91" s="474"/>
      <c r="BM91" s="474"/>
      <c r="BN91" s="474"/>
      <c r="BO91" s="474"/>
      <c r="BP91" s="474"/>
      <c r="BQ91" s="474" t="s">
        <v>199</v>
      </c>
      <c r="BR91" s="474"/>
      <c r="BS91" s="474" t="s">
        <v>187</v>
      </c>
      <c r="BT91" s="474"/>
      <c r="BU91" s="474"/>
      <c r="BV91" s="101" t="s">
        <v>198</v>
      </c>
      <c r="BW91" s="101" t="s">
        <v>200</v>
      </c>
      <c r="BZ91" s="236">
        <f t="shared" si="41"/>
        <v>9.0949999999999989</v>
      </c>
      <c r="CA91" s="31">
        <f t="shared" si="42"/>
        <v>10.7</v>
      </c>
      <c r="CB91" s="236">
        <f t="shared" si="2"/>
        <v>14.979999999999999</v>
      </c>
      <c r="CD91" s="420">
        <v>0</v>
      </c>
      <c r="CF91" s="236">
        <f t="shared" si="3"/>
        <v>0</v>
      </c>
    </row>
    <row r="92" spans="2:84" s="33" customFormat="1" ht="15" x14ac:dyDescent="0.2">
      <c r="H92" s="106"/>
      <c r="I92" s="139"/>
      <c r="J92" s="102"/>
      <c r="K92" s="407" t="s">
        <v>529</v>
      </c>
      <c r="L92" s="166" t="s">
        <v>173</v>
      </c>
      <c r="M92" s="165">
        <f>ROUNDUP(M179,0)</f>
        <v>16</v>
      </c>
      <c r="N92" s="158" t="s">
        <v>12</v>
      </c>
      <c r="O92" s="349">
        <v>10</v>
      </c>
      <c r="Q92" s="361" t="s">
        <v>539</v>
      </c>
      <c r="R92" s="180" t="s">
        <v>540</v>
      </c>
      <c r="S92" s="180" t="s">
        <v>541</v>
      </c>
      <c r="T92" s="87" t="s">
        <v>542</v>
      </c>
      <c r="U92" s="33" t="s">
        <v>543</v>
      </c>
      <c r="V92" s="33" t="s">
        <v>544</v>
      </c>
      <c r="W92" s="33" t="s">
        <v>545</v>
      </c>
      <c r="X92" s="301" t="s">
        <v>546</v>
      </c>
      <c r="AF92" s="106"/>
      <c r="AG92" s="106"/>
      <c r="AR92" s="106"/>
      <c r="AS92" s="106"/>
      <c r="AV92" s="188" t="s">
        <v>18</v>
      </c>
      <c r="AW92" s="188" t="s">
        <v>18</v>
      </c>
      <c r="AX92" s="188"/>
      <c r="AY92" s="188"/>
      <c r="AZ92" s="188" t="s">
        <v>18</v>
      </c>
      <c r="BA92" s="188" t="s">
        <v>18</v>
      </c>
      <c r="BB92" s="188" t="s">
        <v>18</v>
      </c>
      <c r="BC92" s="188" t="s">
        <v>18</v>
      </c>
      <c r="BD92" s="188"/>
      <c r="BE92" s="188"/>
      <c r="BF92" s="188" t="s">
        <v>18</v>
      </c>
      <c r="BG92" s="188" t="s">
        <v>18</v>
      </c>
      <c r="BH92" s="188"/>
      <c r="BI92" s="188" t="s">
        <v>18</v>
      </c>
      <c r="BJ92" s="188"/>
      <c r="BK92" s="188"/>
      <c r="BL92" s="188"/>
      <c r="BM92" s="188"/>
      <c r="BN92" s="188"/>
      <c r="BO92" s="188"/>
      <c r="BP92" s="188"/>
      <c r="BQ92" s="188" t="s">
        <v>18</v>
      </c>
      <c r="BR92" s="188" t="s">
        <v>18</v>
      </c>
      <c r="BS92" s="188" t="s">
        <v>18</v>
      </c>
      <c r="BT92" s="188" t="s">
        <v>18</v>
      </c>
      <c r="BZ92" s="236">
        <f t="shared" si="41"/>
        <v>8.5</v>
      </c>
      <c r="CA92" s="31">
        <f t="shared" si="42"/>
        <v>10</v>
      </c>
      <c r="CB92" s="236">
        <f t="shared" si="2"/>
        <v>14</v>
      </c>
      <c r="CD92" s="420">
        <v>0</v>
      </c>
      <c r="CF92" s="236">
        <f t="shared" si="3"/>
        <v>0</v>
      </c>
    </row>
    <row r="93" spans="2:84" s="236" customFormat="1" ht="15" hidden="1" x14ac:dyDescent="0.2">
      <c r="J93" s="235"/>
      <c r="K93" s="410"/>
      <c r="L93" s="414" t="s">
        <v>537</v>
      </c>
      <c r="M93" s="411"/>
      <c r="N93" s="412">
        <f>SUM(BO43:BO88)</f>
        <v>150.09999999999994</v>
      </c>
      <c r="O93" s="413"/>
      <c r="Q93" s="361">
        <f>BI43*0.1</f>
        <v>0.61</v>
      </c>
      <c r="R93" s="415">
        <f>+IF(K$15="x",0,BI43*0.05)</f>
        <v>0</v>
      </c>
      <c r="S93" s="180">
        <f>+IF(K$27="x",0,BI43*0.2)</f>
        <v>1.22</v>
      </c>
      <c r="T93" s="180">
        <f>+IF(K$28="x",0,BI43*0.5)</f>
        <v>0</v>
      </c>
      <c r="U93" s="236">
        <f>+IF(OR(K$29="x",K$30="x"),0,BI43*0.05)</f>
        <v>0</v>
      </c>
      <c r="V93" s="236">
        <f>+IF(K$31="x",0,BI43*0.3)</f>
        <v>0</v>
      </c>
      <c r="W93" s="236">
        <f>+IF(Q43="x",0,BI43*0.5)</f>
        <v>3.05</v>
      </c>
      <c r="X93" s="301">
        <f>+IF(OR(R43="x",S43="x"),0,BI43*0.15)</f>
        <v>0.91499999999999992</v>
      </c>
      <c r="AH93" s="236">
        <f>SUM(Q93:X93)</f>
        <v>5.7949999999999999</v>
      </c>
      <c r="AV93" s="188"/>
      <c r="AW93" s="188"/>
      <c r="AX93" s="188"/>
      <c r="AY93" s="188"/>
      <c r="AZ93" s="188"/>
      <c r="BA93" s="188"/>
      <c r="BB93" s="188"/>
      <c r="BC93" s="188"/>
      <c r="BD93" s="188"/>
      <c r="BE93" s="188"/>
      <c r="BF93" s="188"/>
      <c r="BG93" s="188"/>
      <c r="BH93" s="188"/>
      <c r="BI93" s="188"/>
      <c r="BJ93" s="188"/>
      <c r="BK93" s="188"/>
      <c r="BL93" s="188"/>
      <c r="BM93" s="188"/>
      <c r="BN93" s="188"/>
      <c r="BO93" s="188"/>
      <c r="BP93" s="188"/>
      <c r="BQ93" s="188"/>
      <c r="BR93" s="188"/>
      <c r="BS93" s="188"/>
      <c r="BT93" s="188"/>
      <c r="BZ93" s="236">
        <f t="shared" si="41"/>
        <v>127.58499999999994</v>
      </c>
      <c r="CA93" s="31">
        <f>N93</f>
        <v>150.09999999999994</v>
      </c>
      <c r="CB93" s="236">
        <f t="shared" si="2"/>
        <v>210.1399999999999</v>
      </c>
      <c r="CD93" s="420">
        <v>0</v>
      </c>
      <c r="CF93" s="236">
        <f t="shared" si="3"/>
        <v>0</v>
      </c>
    </row>
    <row r="94" spans="2:84" s="30" customFormat="1" ht="15" x14ac:dyDescent="0.25">
      <c r="B94" s="3"/>
      <c r="C94" s="87"/>
      <c r="D94" s="3"/>
      <c r="E94" s="3"/>
      <c r="F94" s="3"/>
      <c r="G94" s="3"/>
      <c r="H94" s="102"/>
      <c r="I94" s="102"/>
      <c r="J94" s="102"/>
      <c r="K94" s="102"/>
      <c r="L94" s="150" t="s">
        <v>20</v>
      </c>
      <c r="M94" s="237">
        <f>SUM(M96:M107)/$P$127</f>
        <v>8.1620553359683795E-2</v>
      </c>
      <c r="N94" s="237">
        <f>SUM(N96:N107)/$P$127</f>
        <v>7.2134387351778656E-2</v>
      </c>
      <c r="O94" s="354"/>
      <c r="P94" s="358">
        <f>SUM(O95:O107)</f>
        <v>34.799999999999997</v>
      </c>
      <c r="Q94" s="240">
        <f>SUM(O96:O107)/$P$127</f>
        <v>6.8774703557312244E-2</v>
      </c>
      <c r="R94" s="240"/>
      <c r="S94" s="240"/>
      <c r="T94" s="87"/>
      <c r="U94" s="87"/>
      <c r="V94" s="87"/>
      <c r="W94" s="87"/>
      <c r="X94" s="303"/>
      <c r="Y94" s="87"/>
      <c r="Z94" s="87"/>
      <c r="AA94" s="87"/>
      <c r="AB94" s="87"/>
      <c r="AC94" s="87"/>
      <c r="AD94" s="87"/>
      <c r="AE94" s="87"/>
      <c r="AF94" s="87"/>
      <c r="AG94" s="87"/>
      <c r="AH94" s="87"/>
      <c r="AI94" s="87"/>
      <c r="AJ94" s="87"/>
      <c r="AK94" s="87"/>
      <c r="AL94" s="87"/>
      <c r="AM94" s="87"/>
      <c r="AN94" s="87"/>
      <c r="AO94" s="87"/>
      <c r="AP94" s="87"/>
      <c r="AQ94" s="87"/>
      <c r="AR94" s="87"/>
      <c r="AS94" s="87"/>
      <c r="AT94" s="87"/>
      <c r="BJ94" s="104"/>
      <c r="BK94" s="104"/>
      <c r="BL94" s="104"/>
      <c r="BM94" s="104"/>
      <c r="BO94" s="104"/>
      <c r="CB94" s="236"/>
      <c r="CF94" s="236"/>
    </row>
    <row r="95" spans="2:84" outlineLevel="1" x14ac:dyDescent="0.2">
      <c r="L95" s="157" t="s">
        <v>16</v>
      </c>
      <c r="M95" s="163"/>
      <c r="N95" s="158"/>
      <c r="O95" s="353"/>
      <c r="Q95" s="10"/>
      <c r="R95" s="10"/>
      <c r="S95" s="10"/>
      <c r="AV95" s="37"/>
      <c r="CB95" s="236"/>
      <c r="CF95" s="236"/>
    </row>
    <row r="96" spans="2:84" ht="15" outlineLevel="2" x14ac:dyDescent="0.2">
      <c r="B96" s="30"/>
      <c r="D96" s="30"/>
      <c r="E96" s="30"/>
      <c r="F96" s="30"/>
      <c r="G96" s="30"/>
      <c r="H96" s="104"/>
      <c r="I96" s="104"/>
      <c r="K96" s="406" t="s">
        <v>529</v>
      </c>
      <c r="L96" s="161" t="s">
        <v>24</v>
      </c>
      <c r="M96" s="178">
        <v>2</v>
      </c>
      <c r="N96" s="162">
        <f>ROUNDUP(M96*Modelo!$H$67,1)</f>
        <v>1</v>
      </c>
      <c r="O96" s="349">
        <f>IF(K96="x",SUM(M96,N96),0)</f>
        <v>3</v>
      </c>
      <c r="P96" s="359"/>
      <c r="Q96" s="10"/>
      <c r="R96" s="10"/>
      <c r="S96" s="10"/>
      <c r="AV96" s="31"/>
      <c r="BZ96" s="236">
        <f t="shared" ref="BZ96:BZ99" si="557">CA96*0.85</f>
        <v>2.5499999999999998</v>
      </c>
      <c r="CA96" s="31">
        <f t="shared" ref="CA96:CA98" si="558">O96</f>
        <v>3</v>
      </c>
      <c r="CB96" s="236">
        <f t="shared" si="2"/>
        <v>4.1999999999999993</v>
      </c>
      <c r="CD96" s="422">
        <v>0</v>
      </c>
      <c r="CF96" s="236">
        <f t="shared" si="3"/>
        <v>0</v>
      </c>
    </row>
    <row r="97" spans="2:84" ht="15" outlineLevel="2" x14ac:dyDescent="0.2">
      <c r="K97" s="406" t="s">
        <v>529</v>
      </c>
      <c r="L97" s="161" t="s">
        <v>25</v>
      </c>
      <c r="M97" s="178">
        <v>2</v>
      </c>
      <c r="N97" s="162">
        <f>ROUNDUP(M97*Modelo!$H$68,1)</f>
        <v>1</v>
      </c>
      <c r="O97" s="349">
        <f>IF(K97="x",SUM(M97,N97),0)</f>
        <v>3</v>
      </c>
      <c r="Q97" s="10"/>
      <c r="R97" s="10"/>
      <c r="S97" s="10"/>
      <c r="U97" s="200"/>
      <c r="AV97" s="31"/>
      <c r="BZ97" s="236">
        <f t="shared" si="557"/>
        <v>2.5499999999999998</v>
      </c>
      <c r="CA97" s="31">
        <f t="shared" si="558"/>
        <v>3</v>
      </c>
      <c r="CB97" s="236">
        <f t="shared" si="2"/>
        <v>4.1999999999999993</v>
      </c>
      <c r="CD97" s="422">
        <v>0</v>
      </c>
      <c r="CF97" s="236">
        <f t="shared" si="3"/>
        <v>0</v>
      </c>
    </row>
    <row r="98" spans="2:84" ht="15" hidden="1" outlineLevel="2" x14ac:dyDescent="0.2">
      <c r="K98" s="407"/>
      <c r="L98" s="161" t="s">
        <v>23</v>
      </c>
      <c r="M98" s="164">
        <f>ROUNDUP(SUM(BS43:BS88),1)</f>
        <v>19.5</v>
      </c>
      <c r="N98" s="162">
        <f>SUM(BT43:BT88)</f>
        <v>11.399999999999997</v>
      </c>
      <c r="O98" s="442">
        <f>IF(K98="x",SUM(M98,N98),0)</f>
        <v>0</v>
      </c>
      <c r="Q98" s="206"/>
      <c r="R98" s="206"/>
      <c r="S98" s="206"/>
      <c r="U98" s="200"/>
      <c r="AV98" s="31"/>
      <c r="BZ98" s="236">
        <f t="shared" si="557"/>
        <v>0</v>
      </c>
      <c r="CA98" s="31">
        <f t="shared" si="558"/>
        <v>0</v>
      </c>
      <c r="CB98" s="236">
        <f t="shared" si="2"/>
        <v>1</v>
      </c>
      <c r="CD98" s="422">
        <v>0</v>
      </c>
      <c r="CF98" s="236">
        <f t="shared" si="3"/>
        <v>0</v>
      </c>
    </row>
    <row r="99" spans="2:84" s="33" customFormat="1" ht="15" hidden="1" outlineLevel="2" x14ac:dyDescent="0.2">
      <c r="H99" s="106"/>
      <c r="I99" s="139"/>
      <c r="J99" s="102"/>
      <c r="K99" s="407"/>
      <c r="L99" s="161" t="s">
        <v>19</v>
      </c>
      <c r="M99" s="164">
        <f>ROUNDUP(SUM(AX43:AX88,BH43:BH88,BP43:BP88,BU43:BU88),1)</f>
        <v>6.8</v>
      </c>
      <c r="N99" s="162" t="s">
        <v>12</v>
      </c>
      <c r="O99" s="442">
        <f>IF(K99="x",SUM(M99,N99),0)</f>
        <v>0</v>
      </c>
      <c r="P99" s="380"/>
      <c r="Q99" s="206"/>
      <c r="R99" s="206"/>
      <c r="S99" s="206"/>
      <c r="X99" s="301"/>
      <c r="AF99" s="106"/>
      <c r="AG99" s="106"/>
      <c r="AR99" s="106"/>
      <c r="AS99" s="106"/>
      <c r="BA99" s="106"/>
      <c r="BB99" s="106"/>
      <c r="BC99" s="106"/>
      <c r="BD99" s="139"/>
      <c r="BE99" s="139"/>
      <c r="BF99" s="106"/>
      <c r="BJ99" s="236"/>
      <c r="BK99" s="236"/>
      <c r="BL99" s="236"/>
      <c r="BM99" s="236"/>
      <c r="BO99" s="236"/>
      <c r="BZ99" s="236">
        <f t="shared" si="557"/>
        <v>0</v>
      </c>
      <c r="CA99" s="31">
        <f t="shared" ref="CA99" si="559">O99</f>
        <v>0</v>
      </c>
      <c r="CB99" s="236">
        <f t="shared" si="2"/>
        <v>1</v>
      </c>
      <c r="CD99" s="420">
        <v>0</v>
      </c>
      <c r="CF99" s="236">
        <f t="shared" si="3"/>
        <v>0</v>
      </c>
    </row>
    <row r="100" spans="2:84" outlineLevel="1" x14ac:dyDescent="0.2">
      <c r="L100" s="157" t="s">
        <v>21</v>
      </c>
      <c r="M100" s="163"/>
      <c r="N100" s="158"/>
      <c r="O100" s="353"/>
      <c r="Q100" s="10"/>
      <c r="R100" s="10"/>
      <c r="S100" s="10"/>
      <c r="U100" s="194"/>
      <c r="V100" s="194"/>
      <c r="AV100" s="37"/>
      <c r="CB100" s="236"/>
      <c r="CF100" s="236">
        <f t="shared" si="3"/>
        <v>0</v>
      </c>
    </row>
    <row r="101" spans="2:84" s="33" customFormat="1" ht="15" outlineLevel="2" x14ac:dyDescent="0.2">
      <c r="H101" s="106"/>
      <c r="I101" s="139"/>
      <c r="J101" s="102"/>
      <c r="K101" s="407" t="s">
        <v>529</v>
      </c>
      <c r="L101" s="161" t="s">
        <v>174</v>
      </c>
      <c r="M101" s="178">
        <v>1.8</v>
      </c>
      <c r="N101" s="162" t="s">
        <v>12</v>
      </c>
      <c r="O101" s="442">
        <f t="shared" ref="O101:O104" si="560">IF(K101="x",SUM(M101,N101),0)</f>
        <v>1.8</v>
      </c>
      <c r="P101" s="6"/>
      <c r="Q101" s="10"/>
      <c r="R101" s="10"/>
      <c r="S101" s="10"/>
      <c r="U101" s="200"/>
      <c r="V101" s="194"/>
      <c r="X101" s="301"/>
      <c r="AF101" s="106"/>
      <c r="AG101" s="106"/>
      <c r="AR101" s="106"/>
      <c r="AS101" s="106"/>
      <c r="AV101" s="31"/>
      <c r="BA101" s="106"/>
      <c r="BB101" s="106"/>
      <c r="BC101" s="106"/>
      <c r="BD101" s="139"/>
      <c r="BE101" s="139"/>
      <c r="BF101" s="106"/>
      <c r="BJ101" s="236"/>
      <c r="BK101" s="236"/>
      <c r="BL101" s="236"/>
      <c r="BM101" s="236"/>
      <c r="BO101" s="236"/>
      <c r="BZ101" s="236">
        <f t="shared" ref="BZ101:BZ103" si="561">CA101*0.85</f>
        <v>1.53</v>
      </c>
      <c r="CA101" s="31">
        <f t="shared" ref="CA101:CA103" si="562">O101</f>
        <v>1.8</v>
      </c>
      <c r="CB101" s="236">
        <f t="shared" si="2"/>
        <v>2.52</v>
      </c>
      <c r="CD101" s="420">
        <v>0</v>
      </c>
      <c r="CF101" s="236">
        <f t="shared" si="3"/>
        <v>0</v>
      </c>
    </row>
    <row r="102" spans="2:84" s="33" customFormat="1" ht="15" outlineLevel="2" x14ac:dyDescent="0.2">
      <c r="H102" s="106"/>
      <c r="I102" s="139"/>
      <c r="J102" s="102"/>
      <c r="K102" s="407" t="s">
        <v>529</v>
      </c>
      <c r="L102" s="161" t="s">
        <v>27</v>
      </c>
      <c r="M102" s="178">
        <v>1</v>
      </c>
      <c r="N102" s="162" t="s">
        <v>12</v>
      </c>
      <c r="O102" s="442">
        <f t="shared" si="560"/>
        <v>1</v>
      </c>
      <c r="P102" s="6"/>
      <c r="Q102" s="10"/>
      <c r="R102" s="10"/>
      <c r="S102" s="10"/>
      <c r="U102" s="200"/>
      <c r="V102" s="194"/>
      <c r="X102" s="301"/>
      <c r="AF102" s="106"/>
      <c r="AG102" s="106"/>
      <c r="AR102" s="106"/>
      <c r="AS102" s="106"/>
      <c r="AV102" s="31"/>
      <c r="BA102" s="106"/>
      <c r="BB102" s="106"/>
      <c r="BC102" s="106"/>
      <c r="BD102" s="139"/>
      <c r="BE102" s="139"/>
      <c r="BF102" s="106"/>
      <c r="BJ102" s="236"/>
      <c r="BK102" s="236"/>
      <c r="BL102" s="236"/>
      <c r="BM102" s="236"/>
      <c r="BO102" s="236"/>
      <c r="BZ102" s="236">
        <f t="shared" si="561"/>
        <v>0.85</v>
      </c>
      <c r="CA102" s="31">
        <f t="shared" si="562"/>
        <v>1</v>
      </c>
      <c r="CB102" s="236">
        <f t="shared" si="2"/>
        <v>1.4</v>
      </c>
      <c r="CD102" s="420">
        <v>0</v>
      </c>
      <c r="CF102" s="236">
        <f t="shared" si="3"/>
        <v>0</v>
      </c>
    </row>
    <row r="103" spans="2:84" s="33" customFormat="1" ht="15" customHeight="1" outlineLevel="2" x14ac:dyDescent="0.2">
      <c r="H103" s="106"/>
      <c r="I103" s="139"/>
      <c r="J103" s="102"/>
      <c r="K103" s="406" t="str">
        <f>IF(K90="x",K90,"")</f>
        <v>x</v>
      </c>
      <c r="L103" s="161" t="s">
        <v>175</v>
      </c>
      <c r="M103" s="178">
        <v>1</v>
      </c>
      <c r="N103" s="162" t="s">
        <v>12</v>
      </c>
      <c r="O103" s="442">
        <f t="shared" si="560"/>
        <v>1</v>
      </c>
      <c r="P103" s="380"/>
      <c r="Q103" s="10"/>
      <c r="R103" s="10"/>
      <c r="S103" s="10"/>
      <c r="X103" s="301"/>
      <c r="AF103" s="106"/>
      <c r="AG103" s="106"/>
      <c r="AR103" s="106"/>
      <c r="AS103" s="106"/>
      <c r="AV103" s="31"/>
      <c r="BA103" s="106"/>
      <c r="BB103" s="106"/>
      <c r="BC103" s="106"/>
      <c r="BD103" s="139"/>
      <c r="BE103" s="139"/>
      <c r="BF103" s="106"/>
      <c r="BJ103" s="236"/>
      <c r="BK103" s="236"/>
      <c r="BL103" s="236"/>
      <c r="BM103" s="236"/>
      <c r="BO103" s="236"/>
      <c r="BZ103" s="236">
        <f t="shared" si="561"/>
        <v>0.85</v>
      </c>
      <c r="CA103" s="31">
        <f t="shared" si="562"/>
        <v>1</v>
      </c>
      <c r="CB103" s="236">
        <f t="shared" si="2"/>
        <v>1.4</v>
      </c>
      <c r="CF103" s="236">
        <f t="shared" si="3"/>
        <v>0</v>
      </c>
    </row>
    <row r="104" spans="2:84" ht="15" outlineLevel="2" x14ac:dyDescent="0.2">
      <c r="B104" s="36"/>
      <c r="D104" s="36"/>
      <c r="E104" s="36"/>
      <c r="F104" s="36"/>
      <c r="G104" s="36"/>
      <c r="H104" s="36"/>
      <c r="I104" s="36"/>
      <c r="K104" s="407" t="s">
        <v>529</v>
      </c>
      <c r="L104" s="161" t="s">
        <v>29</v>
      </c>
      <c r="M104" s="178">
        <v>0.5</v>
      </c>
      <c r="N104" s="162" t="s">
        <v>12</v>
      </c>
      <c r="O104" s="442">
        <f t="shared" si="560"/>
        <v>0.5</v>
      </c>
      <c r="Q104" s="10"/>
      <c r="R104" s="10"/>
      <c r="S104" s="10"/>
      <c r="AV104" s="31"/>
      <c r="BZ104" s="236">
        <f t="shared" ref="BZ104:BZ107" si="563">CA104*0.85</f>
        <v>0.42499999999999999</v>
      </c>
      <c r="CA104" s="31">
        <f t="shared" ref="CA104:CA107" si="564">O104</f>
        <v>0.5</v>
      </c>
      <c r="CB104" s="236">
        <f t="shared" si="2"/>
        <v>0.7</v>
      </c>
      <c r="CD104" s="422">
        <v>0</v>
      </c>
      <c r="CF104" s="236">
        <f t="shared" si="3"/>
        <v>0</v>
      </c>
    </row>
    <row r="105" spans="2:84" ht="15" outlineLevel="2" x14ac:dyDescent="0.2">
      <c r="K105" s="407" t="s">
        <v>529</v>
      </c>
      <c r="L105" s="161" t="s">
        <v>176</v>
      </c>
      <c r="M105" s="164" t="s">
        <v>12</v>
      </c>
      <c r="N105" s="162">
        <f>SUM(BV43:BV88)</f>
        <v>23.1</v>
      </c>
      <c r="O105" s="442">
        <v>18.7</v>
      </c>
      <c r="Q105" s="10"/>
      <c r="R105" s="10"/>
      <c r="S105" s="10"/>
      <c r="U105" s="200"/>
      <c r="V105" s="194"/>
      <c r="Y105" s="200"/>
      <c r="Z105" s="194"/>
      <c r="AV105" s="31"/>
      <c r="BZ105" s="236">
        <f t="shared" si="563"/>
        <v>15.895</v>
      </c>
      <c r="CA105" s="31">
        <f t="shared" si="564"/>
        <v>18.7</v>
      </c>
      <c r="CB105" s="236">
        <f t="shared" si="2"/>
        <v>26.179999999999996</v>
      </c>
      <c r="CD105" s="422">
        <v>0</v>
      </c>
      <c r="CF105" s="236">
        <f t="shared" si="3"/>
        <v>0</v>
      </c>
    </row>
    <row r="106" spans="2:84" ht="15" outlineLevel="2" x14ac:dyDescent="0.2">
      <c r="K106" s="407" t="s">
        <v>529</v>
      </c>
      <c r="L106" s="161" t="s">
        <v>22</v>
      </c>
      <c r="M106" s="164">
        <f>ROUNDUP((N105)*Modelo!$H$70,1)</f>
        <v>4.6999999999999993</v>
      </c>
      <c r="N106" s="162" t="s">
        <v>12</v>
      </c>
      <c r="O106" s="442">
        <v>3.8</v>
      </c>
      <c r="Q106" s="10"/>
      <c r="R106" s="10"/>
      <c r="S106" s="10"/>
      <c r="U106" s="200"/>
      <c r="V106" s="194"/>
      <c r="Y106" s="200"/>
      <c r="Z106" s="194"/>
      <c r="AV106" s="31"/>
      <c r="BZ106" s="236">
        <f t="shared" si="563"/>
        <v>3.23</v>
      </c>
      <c r="CA106" s="31">
        <f t="shared" si="564"/>
        <v>3.8</v>
      </c>
      <c r="CB106" s="236">
        <f t="shared" si="2"/>
        <v>5.3199999999999994</v>
      </c>
      <c r="CD106" s="422">
        <v>0</v>
      </c>
      <c r="CF106" s="236">
        <f t="shared" si="3"/>
        <v>0</v>
      </c>
    </row>
    <row r="107" spans="2:84" s="33" customFormat="1" ht="15" outlineLevel="1" x14ac:dyDescent="0.2">
      <c r="H107" s="106"/>
      <c r="I107" s="139"/>
      <c r="J107" s="102"/>
      <c r="K107" s="407" t="s">
        <v>529</v>
      </c>
      <c r="L107" s="157" t="s">
        <v>173</v>
      </c>
      <c r="M107" s="165">
        <f>ROUNDUP(M192,0)</f>
        <v>2</v>
      </c>
      <c r="N107" s="158" t="s">
        <v>12</v>
      </c>
      <c r="O107" s="442">
        <v>2</v>
      </c>
      <c r="P107" s="361"/>
      <c r="Q107" s="180"/>
      <c r="R107" s="180"/>
      <c r="S107" s="180"/>
      <c r="T107" s="87"/>
      <c r="X107" s="301"/>
      <c r="AF107" s="106"/>
      <c r="AG107" s="106"/>
      <c r="AR107" s="106"/>
      <c r="AS107" s="106"/>
      <c r="BA107" s="106"/>
      <c r="BB107" s="106"/>
      <c r="BC107" s="106"/>
      <c r="BD107" s="139"/>
      <c r="BE107" s="139"/>
      <c r="BF107" s="106"/>
      <c r="BJ107" s="236"/>
      <c r="BK107" s="236"/>
      <c r="BL107" s="236"/>
      <c r="BM107" s="236"/>
      <c r="BO107" s="236"/>
      <c r="BZ107" s="236">
        <f t="shared" si="563"/>
        <v>1.7</v>
      </c>
      <c r="CA107" s="31">
        <f t="shared" si="564"/>
        <v>2</v>
      </c>
      <c r="CB107" s="236">
        <f t="shared" si="2"/>
        <v>2.8</v>
      </c>
      <c r="CD107" s="420">
        <v>0</v>
      </c>
      <c r="CF107" s="236">
        <f t="shared" si="3"/>
        <v>0</v>
      </c>
    </row>
    <row r="108" spans="2:84" s="30" customFormat="1" ht="15" x14ac:dyDescent="0.25">
      <c r="B108" s="3"/>
      <c r="C108" s="87"/>
      <c r="D108" s="3"/>
      <c r="E108" s="3"/>
      <c r="F108" s="3"/>
      <c r="G108" s="3"/>
      <c r="H108" s="102"/>
      <c r="I108" s="102"/>
      <c r="J108" s="102"/>
      <c r="K108" s="102"/>
      <c r="L108" s="150" t="s">
        <v>26</v>
      </c>
      <c r="M108" s="237">
        <f>SUM(M109:M125)/$P$127</f>
        <v>5.9090909090909097E-2</v>
      </c>
      <c r="N108" s="237">
        <f>SUM(N109:N125)/$P$127</f>
        <v>3.3399209486166002E-2</v>
      </c>
      <c r="O108" s="351"/>
      <c r="P108" s="358">
        <f>SUM(O109:O125)</f>
        <v>42.20000000000001</v>
      </c>
      <c r="Q108" s="240">
        <f>SUM(O109:O125)/$P$127</f>
        <v>8.3399209486166026E-2</v>
      </c>
      <c r="R108" s="240"/>
      <c r="S108" s="240"/>
      <c r="T108" s="87"/>
      <c r="U108" s="189"/>
      <c r="V108" s="194"/>
      <c r="W108" s="87"/>
      <c r="X108" s="303"/>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V108" s="31"/>
      <c r="BA108" s="104"/>
      <c r="BB108" s="104"/>
      <c r="BC108" s="104"/>
      <c r="BD108" s="104"/>
      <c r="BE108" s="104"/>
      <c r="BF108" s="104"/>
      <c r="BJ108" s="104"/>
      <c r="BK108" s="104"/>
      <c r="BL108" s="104"/>
      <c r="BM108" s="104"/>
      <c r="BO108" s="104"/>
      <c r="CB108" s="236"/>
      <c r="CF108" s="236"/>
    </row>
    <row r="109" spans="2:84" outlineLevel="1" x14ac:dyDescent="0.2">
      <c r="L109" s="157" t="s">
        <v>28</v>
      </c>
      <c r="M109" s="163"/>
      <c r="N109" s="158"/>
      <c r="O109" s="355"/>
      <c r="Q109" s="10"/>
      <c r="R109" s="10"/>
      <c r="S109" s="10"/>
      <c r="AV109" s="37"/>
      <c r="CB109" s="236"/>
      <c r="CF109" s="236"/>
    </row>
    <row r="110" spans="2:84" s="33" customFormat="1" ht="15" outlineLevel="2" x14ac:dyDescent="0.2">
      <c r="H110" s="106"/>
      <c r="I110" s="139"/>
      <c r="J110" s="102"/>
      <c r="K110" s="407" t="s">
        <v>529</v>
      </c>
      <c r="L110" s="161" t="s">
        <v>177</v>
      </c>
      <c r="M110" s="178">
        <v>0.2</v>
      </c>
      <c r="N110" s="162" t="s">
        <v>12</v>
      </c>
      <c r="O110" s="442">
        <f t="shared" ref="O110:O114" si="565">IF(K110="x",SUM(M110,N110),0)</f>
        <v>0.2</v>
      </c>
      <c r="P110" s="359"/>
      <c r="Q110" s="10"/>
      <c r="R110" s="10"/>
      <c r="S110" s="10"/>
      <c r="X110" s="301"/>
      <c r="AF110" s="106"/>
      <c r="AG110" s="106"/>
      <c r="AR110" s="106"/>
      <c r="AS110" s="106"/>
      <c r="AV110" s="31"/>
      <c r="BA110" s="106"/>
      <c r="BB110" s="106"/>
      <c r="BC110" s="106"/>
      <c r="BD110" s="139"/>
      <c r="BE110" s="139"/>
      <c r="BF110" s="106"/>
      <c r="BJ110" s="236"/>
      <c r="BK110" s="236"/>
      <c r="BL110" s="236"/>
      <c r="BM110" s="236"/>
      <c r="BO110" s="236"/>
      <c r="BZ110" s="236">
        <f t="shared" ref="BZ110:BZ116" si="566">CA110*0.85</f>
        <v>0.17</v>
      </c>
      <c r="CA110" s="31">
        <f t="shared" ref="CA110:CA116" si="567">O110</f>
        <v>0.2</v>
      </c>
      <c r="CB110" s="236">
        <f t="shared" si="2"/>
        <v>0.27999999999999997</v>
      </c>
      <c r="CD110" s="420">
        <v>0</v>
      </c>
      <c r="CF110" s="236">
        <f t="shared" si="3"/>
        <v>0</v>
      </c>
    </row>
    <row r="111" spans="2:84" s="33" customFormat="1" ht="15" outlineLevel="2" x14ac:dyDescent="0.2">
      <c r="H111" s="106"/>
      <c r="I111" s="139"/>
      <c r="J111" s="102"/>
      <c r="K111" s="407" t="s">
        <v>529</v>
      </c>
      <c r="L111" s="161" t="s">
        <v>178</v>
      </c>
      <c r="M111" s="178">
        <v>0.1</v>
      </c>
      <c r="N111" s="162" t="s">
        <v>12</v>
      </c>
      <c r="O111" s="442">
        <f t="shared" si="565"/>
        <v>0.1</v>
      </c>
      <c r="P111" s="6"/>
      <c r="Q111" s="10"/>
      <c r="R111" s="10"/>
      <c r="S111" s="10"/>
      <c r="U111" s="194"/>
      <c r="V111" s="194"/>
      <c r="X111" s="301"/>
      <c r="AF111" s="106"/>
      <c r="AG111" s="106"/>
      <c r="AR111" s="106"/>
      <c r="AS111" s="106"/>
      <c r="AV111" s="31"/>
      <c r="BA111" s="106"/>
      <c r="BB111" s="106"/>
      <c r="BC111" s="106"/>
      <c r="BD111" s="139"/>
      <c r="BE111" s="139"/>
      <c r="BF111" s="106"/>
      <c r="BJ111" s="236"/>
      <c r="BK111" s="236"/>
      <c r="BL111" s="236"/>
      <c r="BM111" s="236"/>
      <c r="BO111" s="236"/>
      <c r="BZ111" s="236">
        <f t="shared" si="566"/>
        <v>8.5000000000000006E-2</v>
      </c>
      <c r="CA111" s="31">
        <f t="shared" si="567"/>
        <v>0.1</v>
      </c>
      <c r="CB111" s="236">
        <f t="shared" si="2"/>
        <v>0.13999999999999999</v>
      </c>
      <c r="CD111" s="420">
        <v>0</v>
      </c>
      <c r="CF111" s="236">
        <f t="shared" si="3"/>
        <v>0</v>
      </c>
    </row>
    <row r="112" spans="2:84" ht="15" customHeight="1" outlineLevel="2" x14ac:dyDescent="0.2">
      <c r="B112" s="36"/>
      <c r="D112" s="36"/>
      <c r="E112" s="36"/>
      <c r="F112" s="36"/>
      <c r="G112" s="36"/>
      <c r="H112" s="36"/>
      <c r="I112" s="36"/>
      <c r="K112" s="406" t="str">
        <f>IF(K90="x",K90,"")</f>
        <v>x</v>
      </c>
      <c r="L112" s="161" t="s">
        <v>175</v>
      </c>
      <c r="M112" s="178">
        <v>0.5</v>
      </c>
      <c r="N112" s="162" t="s">
        <v>12</v>
      </c>
      <c r="O112" s="349">
        <f t="shared" si="565"/>
        <v>0.5</v>
      </c>
      <c r="P112" s="380"/>
      <c r="Q112" s="10"/>
      <c r="R112" s="10"/>
      <c r="S112" s="10"/>
      <c r="U112" s="200"/>
      <c r="V112" s="194"/>
      <c r="AV112" s="31"/>
      <c r="BZ112" s="236">
        <f t="shared" si="566"/>
        <v>0.42499999999999999</v>
      </c>
      <c r="CA112" s="31">
        <f t="shared" si="567"/>
        <v>0.5</v>
      </c>
      <c r="CB112" s="236">
        <f t="shared" si="2"/>
        <v>0.7</v>
      </c>
      <c r="CD112" s="422">
        <v>0</v>
      </c>
      <c r="CF112" s="236">
        <f t="shared" si="3"/>
        <v>0</v>
      </c>
    </row>
    <row r="113" spans="2:84" ht="15" outlineLevel="2" x14ac:dyDescent="0.2">
      <c r="B113" s="36"/>
      <c r="D113" s="36"/>
      <c r="E113" s="36"/>
      <c r="F113" s="36"/>
      <c r="G113" s="36"/>
      <c r="H113" s="36"/>
      <c r="I113" s="36"/>
      <c r="K113" s="407" t="s">
        <v>529</v>
      </c>
      <c r="L113" s="161" t="s">
        <v>29</v>
      </c>
      <c r="M113" s="178">
        <v>0.5</v>
      </c>
      <c r="N113" s="162" t="s">
        <v>12</v>
      </c>
      <c r="O113" s="442">
        <f t="shared" si="565"/>
        <v>0.5</v>
      </c>
      <c r="Q113" s="10"/>
      <c r="R113" s="10"/>
      <c r="S113" s="10"/>
      <c r="U113" s="200"/>
      <c r="V113" s="194"/>
      <c r="AV113" s="31"/>
      <c r="BZ113" s="236">
        <f t="shared" si="566"/>
        <v>0.42499999999999999</v>
      </c>
      <c r="CA113" s="31">
        <f t="shared" si="567"/>
        <v>0.5</v>
      </c>
      <c r="CB113" s="236">
        <f t="shared" si="2"/>
        <v>0.7</v>
      </c>
      <c r="CD113" s="422">
        <v>0</v>
      </c>
      <c r="CF113" s="236">
        <f t="shared" si="3"/>
        <v>0</v>
      </c>
    </row>
    <row r="114" spans="2:84" ht="15" outlineLevel="2" x14ac:dyDescent="0.2">
      <c r="B114" s="36"/>
      <c r="D114" s="36"/>
      <c r="E114" s="36"/>
      <c r="F114" s="36"/>
      <c r="G114" s="36"/>
      <c r="H114" s="36"/>
      <c r="I114" s="36"/>
      <c r="K114" s="407" t="s">
        <v>529</v>
      </c>
      <c r="L114" s="161" t="s">
        <v>179</v>
      </c>
      <c r="M114" s="162">
        <f>ROUNDUP(15/60*N132,1)</f>
        <v>10.5</v>
      </c>
      <c r="N114" s="162" t="s">
        <v>12</v>
      </c>
      <c r="O114" s="442">
        <f t="shared" si="565"/>
        <v>10.5</v>
      </c>
      <c r="P114" s="362"/>
      <c r="Q114" s="206"/>
      <c r="R114" s="206"/>
      <c r="S114" s="206"/>
      <c r="AV114" s="31"/>
      <c r="BZ114" s="236">
        <f t="shared" si="566"/>
        <v>8.9249999999999989</v>
      </c>
      <c r="CA114" s="31">
        <f t="shared" si="567"/>
        <v>10.5</v>
      </c>
      <c r="CB114" s="236">
        <f t="shared" si="2"/>
        <v>14.7</v>
      </c>
      <c r="CD114" s="422">
        <v>0</v>
      </c>
      <c r="CF114" s="236">
        <f t="shared" si="3"/>
        <v>0</v>
      </c>
    </row>
    <row r="115" spans="2:84" ht="15" outlineLevel="2" x14ac:dyDescent="0.2">
      <c r="K115" s="407" t="s">
        <v>529</v>
      </c>
      <c r="L115" s="161" t="s">
        <v>176</v>
      </c>
      <c r="M115" s="164" t="s">
        <v>12</v>
      </c>
      <c r="N115" s="162">
        <f>SUM(BW43:BW88)</f>
        <v>16.399999999999999</v>
      </c>
      <c r="O115" s="442">
        <v>13</v>
      </c>
      <c r="Q115" s="10"/>
      <c r="R115" s="10"/>
      <c r="S115" s="10"/>
      <c r="U115" s="200"/>
      <c r="V115" s="194"/>
      <c r="AV115" s="31"/>
      <c r="BZ115" s="236">
        <f t="shared" si="566"/>
        <v>11.049999999999999</v>
      </c>
      <c r="CA115" s="31">
        <f t="shared" si="567"/>
        <v>13</v>
      </c>
      <c r="CB115" s="236">
        <f t="shared" si="2"/>
        <v>18.2</v>
      </c>
      <c r="CD115" s="422">
        <v>0</v>
      </c>
      <c r="CF115" s="236">
        <f t="shared" si="3"/>
        <v>0</v>
      </c>
    </row>
    <row r="116" spans="2:84" ht="15" outlineLevel="2" x14ac:dyDescent="0.2">
      <c r="K116" s="407" t="s">
        <v>529</v>
      </c>
      <c r="L116" s="161" t="s">
        <v>22</v>
      </c>
      <c r="M116" s="164">
        <f>ROUNDUP((N115)*Modelo!$H$72,1)</f>
        <v>3.3000000000000003</v>
      </c>
      <c r="N116" s="162" t="s">
        <v>12</v>
      </c>
      <c r="O116" s="442">
        <v>2.6</v>
      </c>
      <c r="Q116" s="10"/>
      <c r="R116" s="10"/>
      <c r="S116" s="10"/>
      <c r="U116" s="200"/>
      <c r="V116" s="194"/>
      <c r="AV116" s="31"/>
      <c r="BZ116" s="236">
        <f t="shared" si="566"/>
        <v>2.21</v>
      </c>
      <c r="CA116" s="31">
        <f t="shared" si="567"/>
        <v>2.6</v>
      </c>
      <c r="CB116" s="236">
        <f t="shared" si="2"/>
        <v>3.6399999999999997</v>
      </c>
      <c r="CD116" s="422">
        <v>0</v>
      </c>
      <c r="CF116" s="236">
        <f t="shared" si="3"/>
        <v>0</v>
      </c>
    </row>
    <row r="117" spans="2:84" outlineLevel="1" x14ac:dyDescent="0.2">
      <c r="L117" s="157" t="s">
        <v>30</v>
      </c>
      <c r="M117" s="163"/>
      <c r="N117" s="158"/>
      <c r="O117" s="350"/>
      <c r="AV117" s="37"/>
      <c r="CB117" s="236"/>
      <c r="CF117" s="236"/>
    </row>
    <row r="118" spans="2:84" ht="15" outlineLevel="2" x14ac:dyDescent="0.2">
      <c r="K118" s="407" t="s">
        <v>529</v>
      </c>
      <c r="L118" s="161" t="s">
        <v>31</v>
      </c>
      <c r="M118" s="162">
        <f>ROUNDUP(10/60*N132,1)</f>
        <v>7</v>
      </c>
      <c r="N118" s="162" t="s">
        <v>12</v>
      </c>
      <c r="O118" s="442">
        <f>IF(K118="x",SUM(M118,N118),0)</f>
        <v>7</v>
      </c>
      <c r="U118" s="200"/>
      <c r="V118" s="194"/>
      <c r="W118" s="102"/>
      <c r="AV118" s="31"/>
      <c r="BZ118" s="236">
        <f t="shared" ref="BZ118" si="568">CA118*0.85</f>
        <v>5.95</v>
      </c>
      <c r="CA118" s="31">
        <f t="shared" ref="CA118" si="569">O118</f>
        <v>7</v>
      </c>
      <c r="CB118" s="236">
        <f t="shared" si="2"/>
        <v>9.7999999999999989</v>
      </c>
      <c r="CD118" s="422">
        <v>0</v>
      </c>
      <c r="CF118" s="236">
        <f t="shared" si="3"/>
        <v>0</v>
      </c>
    </row>
    <row r="119" spans="2:84" outlineLevel="1" x14ac:dyDescent="0.2">
      <c r="L119" s="157" t="s">
        <v>180</v>
      </c>
      <c r="M119" s="163"/>
      <c r="N119" s="158">
        <v>0.5</v>
      </c>
      <c r="O119" s="350"/>
      <c r="U119" s="200"/>
      <c r="V119" s="194"/>
      <c r="AV119" s="37"/>
      <c r="CB119" s="236"/>
      <c r="CF119" s="236"/>
    </row>
    <row r="120" spans="2:84" s="33" customFormat="1" ht="15" outlineLevel="2" x14ac:dyDescent="0.2">
      <c r="H120" s="106"/>
      <c r="I120" s="139"/>
      <c r="J120" s="102"/>
      <c r="K120" s="407" t="s">
        <v>529</v>
      </c>
      <c r="L120" s="161" t="s">
        <v>177</v>
      </c>
      <c r="M120" s="178">
        <v>0.2</v>
      </c>
      <c r="N120" s="162" t="s">
        <v>12</v>
      </c>
      <c r="O120" s="442">
        <f t="shared" ref="O120:O125" si="570">IF(K120="x",SUM(M120,N120),0)</f>
        <v>0.2</v>
      </c>
      <c r="P120" s="6"/>
      <c r="Q120" s="194"/>
      <c r="R120" s="235"/>
      <c r="S120" s="235"/>
      <c r="U120" s="200"/>
      <c r="V120" s="194"/>
      <c r="X120" s="301"/>
      <c r="Y120" s="200"/>
      <c r="Z120" s="194"/>
      <c r="AF120" s="106"/>
      <c r="AG120" s="106"/>
      <c r="AR120" s="106"/>
      <c r="AS120" s="106"/>
      <c r="AV120" s="31"/>
      <c r="BA120" s="106"/>
      <c r="BB120" s="106"/>
      <c r="BC120" s="106"/>
      <c r="BD120" s="139"/>
      <c r="BE120" s="139"/>
      <c r="BF120" s="106"/>
      <c r="BJ120" s="236"/>
      <c r="BK120" s="236"/>
      <c r="BL120" s="236"/>
      <c r="BM120" s="236"/>
      <c r="BO120" s="236"/>
      <c r="BZ120" s="236">
        <f t="shared" ref="BZ120:BZ125" si="571">CA120*0.85</f>
        <v>0.17</v>
      </c>
      <c r="CA120" s="31">
        <f t="shared" ref="CA120:CA125" si="572">O120</f>
        <v>0.2</v>
      </c>
      <c r="CB120" s="236">
        <f t="shared" ref="CB120:CB125" si="573">IF(CA120=0,1,CA120*1.4)</f>
        <v>0.27999999999999997</v>
      </c>
      <c r="CD120" s="420">
        <v>0</v>
      </c>
      <c r="CF120" s="236">
        <f t="shared" ref="CF120:CF125" si="574">IF(CC120&lt;&gt;"",CC120,CD120)</f>
        <v>0</v>
      </c>
    </row>
    <row r="121" spans="2:84" s="33" customFormat="1" ht="15" outlineLevel="2" x14ac:dyDescent="0.2">
      <c r="H121" s="106"/>
      <c r="I121" s="139"/>
      <c r="J121" s="102"/>
      <c r="K121" s="407" t="s">
        <v>529</v>
      </c>
      <c r="L121" s="161" t="s">
        <v>178</v>
      </c>
      <c r="M121" s="178">
        <v>0.1</v>
      </c>
      <c r="N121" s="162" t="s">
        <v>12</v>
      </c>
      <c r="O121" s="442">
        <f t="shared" si="570"/>
        <v>0.1</v>
      </c>
      <c r="P121" s="6"/>
      <c r="Q121" s="194"/>
      <c r="R121" s="235"/>
      <c r="S121" s="235"/>
      <c r="U121" s="200"/>
      <c r="V121" s="194"/>
      <c r="X121" s="301"/>
      <c r="Y121" s="200"/>
      <c r="Z121" s="194"/>
      <c r="AF121" s="106"/>
      <c r="AG121" s="106"/>
      <c r="AR121" s="106"/>
      <c r="AS121" s="106"/>
      <c r="AV121" s="31"/>
      <c r="BA121" s="106"/>
      <c r="BB121" s="106"/>
      <c r="BC121" s="106"/>
      <c r="BD121" s="139"/>
      <c r="BE121" s="139"/>
      <c r="BF121" s="106"/>
      <c r="BJ121" s="236"/>
      <c r="BK121" s="236"/>
      <c r="BL121" s="236"/>
      <c r="BM121" s="236"/>
      <c r="BO121" s="236"/>
      <c r="BZ121" s="236">
        <f t="shared" si="571"/>
        <v>8.5000000000000006E-2</v>
      </c>
      <c r="CA121" s="31">
        <f t="shared" si="572"/>
        <v>0.1</v>
      </c>
      <c r="CB121" s="236">
        <f t="shared" si="573"/>
        <v>0.13999999999999999</v>
      </c>
      <c r="CD121" s="420">
        <v>0</v>
      </c>
      <c r="CF121" s="236">
        <f t="shared" si="574"/>
        <v>0</v>
      </c>
    </row>
    <row r="122" spans="2:84" ht="15" customHeight="1" outlineLevel="2" x14ac:dyDescent="0.2">
      <c r="B122" s="36"/>
      <c r="D122" s="36"/>
      <c r="E122" s="36"/>
      <c r="F122" s="36"/>
      <c r="G122" s="36"/>
      <c r="H122" s="36"/>
      <c r="I122" s="36"/>
      <c r="K122" s="407" t="s">
        <v>529</v>
      </c>
      <c r="L122" s="161" t="s">
        <v>175</v>
      </c>
      <c r="M122" s="178">
        <v>1</v>
      </c>
      <c r="N122" s="162" t="s">
        <v>12</v>
      </c>
      <c r="O122" s="442">
        <f t="shared" si="570"/>
        <v>1</v>
      </c>
      <c r="P122" s="380"/>
      <c r="Q122" s="10"/>
      <c r="R122" s="10"/>
      <c r="S122" s="10"/>
      <c r="AV122" s="31"/>
      <c r="BZ122" s="236">
        <f t="shared" si="571"/>
        <v>0.85</v>
      </c>
      <c r="CA122" s="31">
        <f t="shared" si="572"/>
        <v>1</v>
      </c>
      <c r="CB122" s="236">
        <f t="shared" si="573"/>
        <v>1.4</v>
      </c>
      <c r="CF122" s="236">
        <f t="shared" si="574"/>
        <v>0</v>
      </c>
    </row>
    <row r="123" spans="2:84" ht="15" outlineLevel="2" x14ac:dyDescent="0.2">
      <c r="B123" s="36"/>
      <c r="D123" s="36"/>
      <c r="E123" s="36"/>
      <c r="F123" s="36"/>
      <c r="G123" s="36"/>
      <c r="H123" s="36"/>
      <c r="I123" s="36"/>
      <c r="K123" s="407" t="s">
        <v>529</v>
      </c>
      <c r="L123" s="161" t="s">
        <v>29</v>
      </c>
      <c r="M123" s="178">
        <v>0.5</v>
      </c>
      <c r="N123" s="162" t="s">
        <v>12</v>
      </c>
      <c r="O123" s="442">
        <f t="shared" si="570"/>
        <v>0.5</v>
      </c>
      <c r="Q123" s="10"/>
      <c r="R123" s="10"/>
      <c r="S123" s="10"/>
      <c r="U123" s="189"/>
      <c r="V123" s="194"/>
      <c r="AV123" s="31"/>
      <c r="BZ123" s="236">
        <f t="shared" si="571"/>
        <v>0.42499999999999999</v>
      </c>
      <c r="CA123" s="31">
        <f t="shared" si="572"/>
        <v>0.5</v>
      </c>
      <c r="CB123" s="236">
        <f t="shared" si="573"/>
        <v>0.7</v>
      </c>
      <c r="CD123" s="422">
        <v>0</v>
      </c>
      <c r="CF123" s="236">
        <f t="shared" si="574"/>
        <v>0</v>
      </c>
    </row>
    <row r="124" spans="2:84" ht="15" outlineLevel="2" x14ac:dyDescent="0.2">
      <c r="B124" s="36"/>
      <c r="D124" s="36"/>
      <c r="E124" s="36"/>
      <c r="F124" s="36"/>
      <c r="G124" s="36"/>
      <c r="H124" s="36"/>
      <c r="I124" s="36"/>
      <c r="K124" s="407" t="s">
        <v>529</v>
      </c>
      <c r="L124" s="161" t="s">
        <v>305</v>
      </c>
      <c r="M124" s="178">
        <v>4</v>
      </c>
      <c r="N124" s="162" t="s">
        <v>12</v>
      </c>
      <c r="O124" s="442">
        <f t="shared" si="570"/>
        <v>4</v>
      </c>
      <c r="P124" s="362"/>
      <c r="Q124" s="206"/>
      <c r="R124" s="206"/>
      <c r="S124" s="206"/>
      <c r="AV124" s="31"/>
      <c r="BZ124" s="236">
        <f t="shared" si="571"/>
        <v>3.4</v>
      </c>
      <c r="CA124" s="31">
        <f t="shared" si="572"/>
        <v>4</v>
      </c>
      <c r="CB124" s="236">
        <f t="shared" si="573"/>
        <v>5.6</v>
      </c>
      <c r="CD124" s="422">
        <v>0</v>
      </c>
      <c r="CF124" s="236">
        <f t="shared" si="574"/>
        <v>0</v>
      </c>
    </row>
    <row r="125" spans="2:84" s="33" customFormat="1" ht="15" outlineLevel="1" x14ac:dyDescent="0.2">
      <c r="H125" s="106"/>
      <c r="I125" s="139"/>
      <c r="J125" s="102"/>
      <c r="K125" s="407" t="s">
        <v>529</v>
      </c>
      <c r="L125" s="159" t="s">
        <v>173</v>
      </c>
      <c r="M125" s="165">
        <f>ROUNDUP(M207,0)</f>
        <v>2</v>
      </c>
      <c r="N125" s="160" t="s">
        <v>12</v>
      </c>
      <c r="O125" s="442">
        <f t="shared" si="570"/>
        <v>2</v>
      </c>
      <c r="P125" s="362"/>
      <c r="Q125" s="206"/>
      <c r="R125" s="206"/>
      <c r="S125" s="206"/>
      <c r="X125" s="301"/>
      <c r="AF125" s="106"/>
      <c r="AG125" s="106"/>
      <c r="AR125" s="106"/>
      <c r="AS125" s="106"/>
      <c r="BA125" s="106"/>
      <c r="BB125" s="106"/>
      <c r="BC125" s="106"/>
      <c r="BD125" s="139"/>
      <c r="BE125" s="139"/>
      <c r="BF125" s="106"/>
      <c r="BJ125" s="236"/>
      <c r="BK125" s="236"/>
      <c r="BL125" s="236"/>
      <c r="BM125" s="236"/>
      <c r="BO125" s="236"/>
      <c r="BZ125" s="236">
        <f t="shared" si="571"/>
        <v>1.7</v>
      </c>
      <c r="CA125" s="31">
        <f t="shared" si="572"/>
        <v>2</v>
      </c>
      <c r="CB125" s="236">
        <f t="shared" si="573"/>
        <v>2.8</v>
      </c>
      <c r="CD125" s="420">
        <v>0</v>
      </c>
      <c r="CF125" s="236">
        <f t="shared" si="574"/>
        <v>0</v>
      </c>
    </row>
    <row r="126" spans="2:84" x14ac:dyDescent="0.2">
      <c r="M126" s="38"/>
      <c r="N126" s="38"/>
      <c r="O126" s="38"/>
      <c r="Q126" s="10"/>
      <c r="R126" s="10"/>
      <c r="S126" s="10"/>
      <c r="T126" s="88"/>
      <c r="U126" s="102"/>
      <c r="AV126" s="37"/>
    </row>
    <row r="127" spans="2:84" ht="18" x14ac:dyDescent="0.25">
      <c r="C127" s="88"/>
      <c r="M127" s="3"/>
      <c r="N127" s="235"/>
      <c r="O127" s="388" t="s">
        <v>260</v>
      </c>
      <c r="P127" s="363">
        <f>SUM(P11,P40,P94,P108)</f>
        <v>506</v>
      </c>
      <c r="Q127" s="208"/>
      <c r="R127" s="208"/>
      <c r="S127" s="208"/>
      <c r="T127" s="88"/>
      <c r="U127" s="88"/>
      <c r="V127" s="88"/>
      <c r="W127" s="88"/>
      <c r="X127" s="305"/>
      <c r="Y127" s="88"/>
      <c r="Z127" s="88"/>
      <c r="AA127" s="88"/>
      <c r="AB127" s="88"/>
      <c r="AC127" s="88"/>
      <c r="AD127" s="88"/>
      <c r="AE127" s="88"/>
      <c r="AF127" s="88"/>
      <c r="AG127" s="88"/>
      <c r="AH127" s="88"/>
      <c r="AI127" s="88"/>
      <c r="AJ127" s="88"/>
      <c r="AK127" s="88"/>
      <c r="AL127" s="88"/>
      <c r="AM127" s="88"/>
      <c r="AN127" s="88"/>
      <c r="AO127" s="88"/>
      <c r="AP127" s="88"/>
      <c r="AQ127" s="88"/>
      <c r="AR127" s="88"/>
      <c r="AS127" s="88"/>
      <c r="AT127" s="88"/>
      <c r="BZ127" s="217">
        <f>SUM(BZ13:BZ125)</f>
        <v>557.68499999999995</v>
      </c>
      <c r="CA127" s="217">
        <f>SUM(CA13:CA125)</f>
        <v>656.09999999999991</v>
      </c>
      <c r="CB127" s="217">
        <f>SUM(CB13:CB125)</f>
        <v>930.53999999999985</v>
      </c>
      <c r="CD127" s="423">
        <f>SUM(CD12:CD125)</f>
        <v>0</v>
      </c>
      <c r="CF127" s="423">
        <f>SUM(CF13:CF125)</f>
        <v>0</v>
      </c>
    </row>
    <row r="128" spans="2:84" ht="18" x14ac:dyDescent="0.25">
      <c r="L128" s="40"/>
      <c r="M128" s="3"/>
      <c r="N128" s="39"/>
      <c r="O128" s="41"/>
      <c r="Q128" s="299"/>
      <c r="R128" s="299"/>
      <c r="S128" s="299"/>
      <c r="CD128" s="235"/>
    </row>
    <row r="129" spans="11:82" x14ac:dyDescent="0.2">
      <c r="L129" s="40"/>
      <c r="M129" s="42" t="s">
        <v>33</v>
      </c>
      <c r="N129" s="35">
        <f>COUNTIF($D$41:$D$88,"C")</f>
        <v>11</v>
      </c>
      <c r="O129" s="38"/>
      <c r="P129" s="360"/>
      <c r="Q129" s="200"/>
      <c r="R129" s="200"/>
      <c r="S129" s="200"/>
      <c r="U129" s="235"/>
      <c r="X129" s="235"/>
      <c r="AA129" s="235"/>
      <c r="AD129" s="235"/>
      <c r="AG129" s="235"/>
      <c r="AJ129" s="235"/>
      <c r="AM129" s="235"/>
      <c r="AP129" s="235"/>
      <c r="AV129" s="37"/>
    </row>
    <row r="130" spans="11:82" x14ac:dyDescent="0.2">
      <c r="L130" s="40"/>
      <c r="M130" s="42" t="s">
        <v>34</v>
      </c>
      <c r="N130" s="35">
        <f>COUNTIF($D$41:$D$88,"P")</f>
        <v>28</v>
      </c>
      <c r="O130" s="38"/>
      <c r="P130" s="364"/>
      <c r="U130" s="235"/>
      <c r="X130" s="235"/>
      <c r="AA130" s="235"/>
      <c r="AD130" s="235"/>
      <c r="AG130" s="235"/>
      <c r="AJ130" s="235"/>
      <c r="AM130" s="235"/>
      <c r="AP130" s="235"/>
      <c r="AV130" s="37"/>
      <c r="CD130" s="235"/>
    </row>
    <row r="131" spans="11:82" x14ac:dyDescent="0.2">
      <c r="L131" s="40"/>
      <c r="M131" s="42" t="s">
        <v>35</v>
      </c>
      <c r="N131" s="35">
        <f>COUNTIF($D$41:$D$88,"R")</f>
        <v>3</v>
      </c>
      <c r="O131" s="38"/>
      <c r="U131" s="235"/>
      <c r="X131" s="235"/>
      <c r="AA131" s="235"/>
      <c r="AD131" s="235"/>
      <c r="AG131" s="235"/>
      <c r="AJ131" s="235"/>
      <c r="AM131" s="235"/>
      <c r="AP131" s="235"/>
      <c r="AV131" s="37"/>
    </row>
    <row r="132" spans="11:82" x14ac:dyDescent="0.2">
      <c r="L132" s="40"/>
      <c r="M132" s="43" t="s">
        <v>36</v>
      </c>
      <c r="N132" s="76">
        <f>SUM(N129:N131)</f>
        <v>42</v>
      </c>
      <c r="O132" s="38"/>
      <c r="P132" s="360"/>
      <c r="Q132" s="200"/>
      <c r="R132" s="200"/>
      <c r="S132" s="200"/>
      <c r="U132" s="235"/>
      <c r="X132" s="235"/>
      <c r="AA132" s="235"/>
      <c r="AD132" s="235"/>
      <c r="AG132" s="235"/>
      <c r="AJ132" s="235"/>
      <c r="AM132" s="235"/>
      <c r="AP132" s="235"/>
      <c r="AV132" s="37"/>
    </row>
    <row r="133" spans="11:82" x14ac:dyDescent="0.2">
      <c r="L133" s="40"/>
      <c r="M133" s="44" t="s">
        <v>90</v>
      </c>
      <c r="N133" s="35">
        <f>COUNTIF($D$41:$D$88,"M")</f>
        <v>6</v>
      </c>
      <c r="O133" s="38"/>
      <c r="U133" s="235"/>
      <c r="X133" s="235"/>
      <c r="AA133" s="235"/>
      <c r="AD133" s="235"/>
      <c r="AG133" s="235"/>
      <c r="AJ133" s="235"/>
      <c r="AM133" s="235"/>
      <c r="AP133" s="235"/>
      <c r="AV133" s="37"/>
    </row>
    <row r="134" spans="11:82" x14ac:dyDescent="0.2">
      <c r="L134" s="40"/>
    </row>
    <row r="135" spans="11:82" x14ac:dyDescent="0.2">
      <c r="M135" s="23" t="s">
        <v>338</v>
      </c>
      <c r="N135" s="23" t="s">
        <v>339</v>
      </c>
      <c r="AA135" s="214"/>
    </row>
    <row r="136" spans="11:82" x14ac:dyDescent="0.2">
      <c r="K136" s="3"/>
      <c r="L136" s="3"/>
      <c r="M136" s="126">
        <f>SUM(M10:M126,-M11,-M40,-M94,-M108)</f>
        <v>525.10000000000025</v>
      </c>
      <c r="N136" s="126">
        <f>SUM(N10:N126,-N11,-N40,-N94,-N108)</f>
        <v>329.09999999999991</v>
      </c>
    </row>
    <row r="137" spans="11:82" x14ac:dyDescent="0.2">
      <c r="K137" s="3"/>
      <c r="L137" s="3"/>
      <c r="M137" s="89">
        <f>M136/(M136+N136)</f>
        <v>0.61472723015687214</v>
      </c>
      <c r="N137" s="89">
        <f>N136/(M136+N136)</f>
        <v>0.38527276984312792</v>
      </c>
      <c r="AA137" s="214"/>
    </row>
    <row r="138" spans="11:82" x14ac:dyDescent="0.2">
      <c r="K138" s="3"/>
      <c r="L138" s="3"/>
    </row>
    <row r="139" spans="11:82" x14ac:dyDescent="0.2">
      <c r="K139" s="3"/>
      <c r="L139" s="3"/>
    </row>
    <row r="140" spans="11:82" x14ac:dyDescent="0.2">
      <c r="K140" s="3"/>
      <c r="L140" s="3"/>
      <c r="P140" s="6" t="s">
        <v>450</v>
      </c>
      <c r="Q140" s="356">
        <v>0</v>
      </c>
      <c r="R140" s="356"/>
      <c r="S140" s="356"/>
    </row>
    <row r="141" spans="11:82" x14ac:dyDescent="0.2">
      <c r="K141" s="3"/>
      <c r="L141" s="3"/>
      <c r="M141" s="3"/>
      <c r="N141" s="3" t="s">
        <v>287</v>
      </c>
      <c r="O141" s="6"/>
      <c r="P141" s="6" t="s">
        <v>162</v>
      </c>
      <c r="Q141" s="216" t="s">
        <v>163</v>
      </c>
      <c r="R141" s="216"/>
      <c r="S141" s="216"/>
    </row>
    <row r="142" spans="11:82" x14ac:dyDescent="0.2">
      <c r="K142" s="3"/>
      <c r="L142" s="3"/>
      <c r="M142" s="3" t="s">
        <v>344</v>
      </c>
      <c r="N142" s="217">
        <f>M166</f>
        <v>4.3</v>
      </c>
      <c r="O142" s="6"/>
      <c r="P142" s="365">
        <v>44181</v>
      </c>
      <c r="Q142" s="214">
        <f>$P$142+ROUNDDOWN(SUM($N$142:N143),0)*7+(SUM($N$142:N143)-ROUNDDOWN(SUM($N$142:N143),0))/0.2+IF((Q140+(SUM($N$142:N143)-ROUNDDOWN(SUM($N$142:N143),0))*5)&gt;=5,2,0)</f>
        <v>44210.5</v>
      </c>
      <c r="R142" s="214"/>
      <c r="S142" s="214"/>
      <c r="T142" s="3">
        <f>TRUNC(((N142+N143)/$N$151)*100,1)</f>
        <v>31.8</v>
      </c>
      <c r="U142" s="3" t="s">
        <v>311</v>
      </c>
    </row>
    <row r="143" spans="11:82" x14ac:dyDescent="0.2">
      <c r="K143" s="3"/>
      <c r="L143" s="3"/>
      <c r="M143" s="128" t="s">
        <v>302</v>
      </c>
      <c r="N143" s="217">
        <f>O143/5</f>
        <v>0</v>
      </c>
      <c r="O143" s="356">
        <v>0</v>
      </c>
      <c r="Q143" s="214"/>
      <c r="R143" s="214"/>
      <c r="S143" s="214"/>
    </row>
    <row r="144" spans="11:82" x14ac:dyDescent="0.2">
      <c r="K144" s="3"/>
      <c r="L144" s="3"/>
      <c r="M144" s="3" t="s">
        <v>269</v>
      </c>
      <c r="N144" s="217">
        <f>M181</f>
        <v>7.3</v>
      </c>
      <c r="O144" s="6"/>
      <c r="P144" s="366">
        <f>Q142+1</f>
        <v>44211.5</v>
      </c>
      <c r="Q144" s="214">
        <f>$P$142+ROUNDDOWN(SUM($N$142:N145),0)*7+(SUM($N$142:N145)-ROUNDDOWN(SUM($N$142:N145),0))/0.2+IF((Q140+(SUM($N$142:N145)-ROUNDDOWN(SUM($N$142:N145),0))*5)&gt;=5,2,0)</f>
        <v>44261</v>
      </c>
      <c r="R144" s="214"/>
      <c r="S144" s="214"/>
      <c r="T144" s="235">
        <f>TRUNC(((N144+N145)/$N$151)*100,1)</f>
        <v>54.1</v>
      </c>
      <c r="U144" s="235" t="s">
        <v>311</v>
      </c>
    </row>
    <row r="145" spans="11:42" x14ac:dyDescent="0.2">
      <c r="K145" s="3"/>
      <c r="L145" s="3"/>
      <c r="M145" s="128" t="s">
        <v>302</v>
      </c>
      <c r="N145" s="217">
        <f>O145/5</f>
        <v>0</v>
      </c>
      <c r="O145" s="356">
        <v>0</v>
      </c>
      <c r="Q145" s="3"/>
    </row>
    <row r="146" spans="11:42" x14ac:dyDescent="0.2">
      <c r="K146" s="3"/>
      <c r="L146" s="3"/>
      <c r="M146" s="3" t="s">
        <v>270</v>
      </c>
      <c r="N146" s="217">
        <f>M194</f>
        <v>0.8507499999999999</v>
      </c>
      <c r="O146" s="6"/>
      <c r="P146" s="366">
        <f>Q144+1</f>
        <v>44262</v>
      </c>
      <c r="Q146" s="214">
        <f>$P$142+ROUNDDOWN(SUM($N$142:N147),0)*7+(SUM($N$142:N147)-ROUNDDOWN(SUM($N$142:N147),0))/0.2+IF((Q140+(SUM($N$142:N147)-ROUNDDOWN(SUM($N$142:N147),0))*5)&gt;=5,2,0)</f>
        <v>44267.253750000003</v>
      </c>
      <c r="R146" s="214"/>
      <c r="S146" s="214"/>
      <c r="T146" s="235">
        <f>TRUNC(((N146+N147)/$N$151)*100,1)</f>
        <v>6.3</v>
      </c>
      <c r="U146" s="235" t="s">
        <v>311</v>
      </c>
    </row>
    <row r="147" spans="11:42" x14ac:dyDescent="0.2">
      <c r="K147" s="3"/>
      <c r="L147" s="3"/>
      <c r="M147" s="128" t="s">
        <v>302</v>
      </c>
      <c r="N147" s="217">
        <f>O147/5</f>
        <v>0</v>
      </c>
      <c r="O147" s="356">
        <v>0</v>
      </c>
      <c r="Q147" s="3"/>
      <c r="T147" s="200"/>
      <c r="V147" s="214"/>
      <c r="W147" s="214"/>
      <c r="X147" s="306"/>
      <c r="Y147" s="214"/>
    </row>
    <row r="148" spans="11:42" x14ac:dyDescent="0.2">
      <c r="K148" s="3"/>
      <c r="L148" s="3"/>
      <c r="M148" s="3" t="s">
        <v>271</v>
      </c>
      <c r="N148" s="217">
        <f>M209</f>
        <v>1.0426875000000002</v>
      </c>
      <c r="O148" s="6"/>
      <c r="P148" s="366">
        <f>Q146+1</f>
        <v>44268.253750000003</v>
      </c>
      <c r="Q148" s="214">
        <f>$P$142+ROUNDDOWN(SUM($N$142:N149),0)*7+(SUM($N$142:N149)-ROUNDDOWN(SUM($N$142:N149),0))/0.2+IF((Q140+(SUM($N$142:N149)-ROUNDDOWN(SUM($N$142:N149),0))*5)&gt;=5,2,0)</f>
        <v>44274.467187499999</v>
      </c>
      <c r="R148" s="214"/>
      <c r="S148" s="214"/>
      <c r="T148" s="235">
        <f>TRUNC(((N148+N149)/$N$151)*100,1)</f>
        <v>7.7</v>
      </c>
      <c r="U148" s="235" t="s">
        <v>311</v>
      </c>
    </row>
    <row r="149" spans="11:42" x14ac:dyDescent="0.2">
      <c r="K149" s="3"/>
      <c r="L149" s="3"/>
      <c r="M149" s="128" t="s">
        <v>302</v>
      </c>
      <c r="N149" s="217">
        <f>O149/5</f>
        <v>0</v>
      </c>
      <c r="O149" s="356">
        <v>0</v>
      </c>
      <c r="Q149" s="3"/>
      <c r="T149" s="200"/>
    </row>
    <row r="150" spans="11:42" x14ac:dyDescent="0.2">
      <c r="K150" s="3"/>
      <c r="L150" s="3"/>
      <c r="M150" s="3"/>
      <c r="N150" s="3"/>
      <c r="O150" s="6"/>
      <c r="Q150" s="3"/>
    </row>
    <row r="151" spans="11:42" x14ac:dyDescent="0.2">
      <c r="K151" s="3"/>
      <c r="L151" s="3"/>
      <c r="M151" s="3"/>
      <c r="N151" s="200">
        <f>SUM(N142:N149)</f>
        <v>13.493437499999999</v>
      </c>
      <c r="O151" s="235" t="s">
        <v>284</v>
      </c>
      <c r="Q151" s="3"/>
      <c r="T151" s="200"/>
    </row>
    <row r="152" spans="11:42" x14ac:dyDescent="0.2">
      <c r="K152" s="3"/>
      <c r="L152" s="3"/>
      <c r="M152" s="3"/>
      <c r="N152" s="194">
        <f>ROUNDUP(N151*7,1)</f>
        <v>94.5</v>
      </c>
      <c r="O152" s="235" t="s">
        <v>303</v>
      </c>
      <c r="Q152" s="3"/>
    </row>
    <row r="153" spans="11:42" x14ac:dyDescent="0.2">
      <c r="K153" s="3"/>
      <c r="L153" s="3"/>
      <c r="M153" s="3"/>
      <c r="N153" s="194">
        <f>ROUNDUP(N151/4.35,1)</f>
        <v>3.2</v>
      </c>
      <c r="O153" s="235" t="s">
        <v>42</v>
      </c>
      <c r="Q153" s="3"/>
    </row>
    <row r="154" spans="11:42" x14ac:dyDescent="0.2">
      <c r="K154" s="3"/>
      <c r="L154" s="3"/>
      <c r="M154" s="215">
        <v>40</v>
      </c>
      <c r="N154" s="235" t="s">
        <v>521</v>
      </c>
    </row>
    <row r="155" spans="11:42" x14ac:dyDescent="0.2">
      <c r="K155" s="3"/>
      <c r="L155" s="3"/>
    </row>
    <row r="156" spans="11:42" x14ac:dyDescent="0.2">
      <c r="K156" s="3"/>
      <c r="L156" s="3"/>
      <c r="M156" s="215">
        <v>1</v>
      </c>
      <c r="N156" s="194" t="s">
        <v>274</v>
      </c>
      <c r="O156" s="357"/>
    </row>
    <row r="157" spans="11:42" x14ac:dyDescent="0.2">
      <c r="K157" s="3"/>
      <c r="L157" s="3"/>
      <c r="M157" s="200">
        <f>N132</f>
        <v>42</v>
      </c>
      <c r="N157" s="194" t="s">
        <v>277</v>
      </c>
      <c r="O157" s="357"/>
    </row>
    <row r="158" spans="11:42" x14ac:dyDescent="0.2">
      <c r="K158" s="3"/>
      <c r="L158" s="3"/>
      <c r="M158" s="300">
        <f>O13+O15+O20+O25+O34</f>
        <v>33.6</v>
      </c>
      <c r="N158" s="194" t="s">
        <v>275</v>
      </c>
      <c r="O158" s="357"/>
      <c r="U158" s="217">
        <f>U15+U25</f>
        <v>0</v>
      </c>
      <c r="X158" s="217">
        <f>X15+X25</f>
        <v>0</v>
      </c>
      <c r="AA158" s="217">
        <f>AA15+AA25</f>
        <v>0</v>
      </c>
      <c r="AD158" s="217">
        <f>AD15+AD25</f>
        <v>0</v>
      </c>
      <c r="AG158" s="217">
        <f>AG15+AG25</f>
        <v>0</v>
      </c>
      <c r="AJ158" s="217">
        <f>AJ15+AJ25</f>
        <v>0</v>
      </c>
      <c r="AM158" s="217">
        <f>AM15+AM25</f>
        <v>0</v>
      </c>
      <c r="AP158" s="217">
        <f>AP15+AP25</f>
        <v>0</v>
      </c>
    </row>
    <row r="159" spans="11:42" x14ac:dyDescent="0.2">
      <c r="K159" s="3"/>
      <c r="L159" s="3"/>
      <c r="M159" s="300">
        <f>O14+O17+O16+O22+O21+O23+O26+O27+O28+O29+O30+O31+O35+O36+O37+O38</f>
        <v>111.7</v>
      </c>
      <c r="N159" s="194" t="s">
        <v>276</v>
      </c>
      <c r="O159" s="357"/>
      <c r="U159" s="217">
        <f>U14+U17+U16+U22+U21+U23+U26+U28+U29+U31+U35+T36+U38</f>
        <v>0</v>
      </c>
      <c r="X159" s="217">
        <f>X14+X17+X16+X22+X21+X23+X26+X28+X29+X31+X35+X36+X38</f>
        <v>0</v>
      </c>
      <c r="AA159" s="217">
        <f>AA14+AA17+AA16+AA22+AA21+AA23+AA26+AA28+AA29+AA31+AA35+AA36+AA38</f>
        <v>0</v>
      </c>
      <c r="AD159" s="217">
        <f>AD14+AD17+AD16+AD22+AD21+AD23+AD26+AD28+AD29+AD31+AD35+AD36+AD38</f>
        <v>0</v>
      </c>
      <c r="AG159" s="217">
        <f>AG14+AG17+AG16+AG22+AG21+AG23+AG26+AG28+AG29+AG31+AG35+AG36+AG38</f>
        <v>0</v>
      </c>
      <c r="AJ159" s="217">
        <f>AJ14+AJ17+AJ16+AJ22+AJ21+AJ23+AJ26+AJ28+AJ29+AJ31+AJ35+AJ36+AJ38</f>
        <v>0</v>
      </c>
      <c r="AM159" s="217">
        <f>AM14+AM17+AM16+AM22+AM21+AM23+AM26+AM28+AM29+AM31+AM35+AM36+AM38</f>
        <v>0</v>
      </c>
      <c r="AP159" s="217">
        <f>AP14+AP17+AP16+AP22+AP21+AP23+AP26+AP28+AP29+AP31+AP35+AP36+AP38</f>
        <v>0</v>
      </c>
    </row>
    <row r="160" spans="11:42" s="235" customFormat="1" x14ac:dyDescent="0.2">
      <c r="M160" s="300">
        <f>O18+O32</f>
        <v>21</v>
      </c>
      <c r="N160" s="235" t="s">
        <v>471</v>
      </c>
      <c r="O160" s="357"/>
      <c r="P160" s="6"/>
      <c r="U160" s="200">
        <f>U18+U32</f>
        <v>0</v>
      </c>
      <c r="X160" s="200">
        <f>X18+X32</f>
        <v>0</v>
      </c>
      <c r="AA160" s="200">
        <f>AA18+AA32</f>
        <v>0</v>
      </c>
      <c r="AD160" s="200">
        <f>AD18+AD32</f>
        <v>0</v>
      </c>
      <c r="AG160" s="200">
        <f>AG18+AG32</f>
        <v>0</v>
      </c>
      <c r="AJ160" s="200">
        <f>AJ18+AJ32</f>
        <v>0</v>
      </c>
      <c r="AM160" s="200">
        <f>AM18+AM32</f>
        <v>0</v>
      </c>
      <c r="AP160" s="200">
        <f>AP18+AP32</f>
        <v>0</v>
      </c>
    </row>
    <row r="161" spans="11:42" x14ac:dyDescent="0.2">
      <c r="K161" s="3"/>
      <c r="L161" s="3"/>
      <c r="M161" s="300">
        <f>M158/M156/M154</f>
        <v>0.84000000000000008</v>
      </c>
      <c r="N161" s="194" t="s">
        <v>283</v>
      </c>
      <c r="U161" s="300">
        <f>U158/$M156/$M154</f>
        <v>0</v>
      </c>
      <c r="X161" s="300">
        <f>X158/$M156/$M154</f>
        <v>0</v>
      </c>
      <c r="AA161" s="300">
        <f>AA158/$M156/$M154</f>
        <v>0</v>
      </c>
      <c r="AD161" s="300">
        <f>AD158/$M156/$M154</f>
        <v>0</v>
      </c>
      <c r="AG161" s="300">
        <f>AG158/$M156/$M154</f>
        <v>0</v>
      </c>
      <c r="AJ161" s="300">
        <f>AJ158/$M156/$M154</f>
        <v>0</v>
      </c>
      <c r="AM161" s="300">
        <f>AM158/$M156/$M154</f>
        <v>0</v>
      </c>
      <c r="AP161" s="300">
        <f>AP158/$M156/$M154</f>
        <v>0</v>
      </c>
    </row>
    <row r="162" spans="11:42" x14ac:dyDescent="0.2">
      <c r="K162" s="3"/>
      <c r="L162" s="3"/>
      <c r="M162" s="300">
        <f>M159/M156/M154</f>
        <v>2.7925</v>
      </c>
      <c r="N162" s="201" t="s">
        <v>279</v>
      </c>
      <c r="U162" s="300">
        <f>U159/$M156/$M154</f>
        <v>0</v>
      </c>
      <c r="X162" s="300">
        <f>X159/$M156/$M154</f>
        <v>0</v>
      </c>
      <c r="AA162" s="300">
        <f>AA159/$M156/$M154</f>
        <v>0</v>
      </c>
      <c r="AD162" s="300">
        <f>AD159/$M156/$M154</f>
        <v>0</v>
      </c>
      <c r="AG162" s="300">
        <f>AG159/$M156/$M154</f>
        <v>0</v>
      </c>
      <c r="AJ162" s="300">
        <f>AJ159/$M156/$M154</f>
        <v>0</v>
      </c>
      <c r="AM162" s="300">
        <f>AM159/$M156/$M154</f>
        <v>0</v>
      </c>
      <c r="AP162" s="300">
        <f>AP159/$M156/$M154</f>
        <v>0</v>
      </c>
    </row>
    <row r="163" spans="11:42" x14ac:dyDescent="0.2">
      <c r="K163" s="3"/>
      <c r="L163" s="3"/>
      <c r="M163" s="300">
        <f>M160/M154</f>
        <v>0.52500000000000002</v>
      </c>
      <c r="N163" s="194" t="s">
        <v>280</v>
      </c>
      <c r="U163" s="300">
        <f>U160/$M154</f>
        <v>0</v>
      </c>
      <c r="X163" s="300">
        <f>X160/$M154</f>
        <v>0</v>
      </c>
      <c r="AA163" s="300">
        <f>AA160/$M154</f>
        <v>0</v>
      </c>
      <c r="AD163" s="300">
        <f>AD160/$M154</f>
        <v>0</v>
      </c>
      <c r="AG163" s="300">
        <f>AG160/$M154</f>
        <v>0</v>
      </c>
      <c r="AJ163" s="300">
        <f>AJ160/$M154</f>
        <v>0</v>
      </c>
      <c r="AM163" s="300">
        <f>AM160/$M154</f>
        <v>0</v>
      </c>
      <c r="AP163" s="300">
        <f>AP160/$M154</f>
        <v>0</v>
      </c>
    </row>
    <row r="164" spans="11:42" x14ac:dyDescent="0.2">
      <c r="K164" s="3"/>
      <c r="L164" s="3"/>
      <c r="M164" s="300">
        <f>SUM(M161,M162,M163)*1.5</f>
        <v>6.236250000000001</v>
      </c>
      <c r="N164" s="194" t="s">
        <v>281</v>
      </c>
      <c r="U164" s="300">
        <f>SUM(U161,U162,U163)*1.5</f>
        <v>0</v>
      </c>
      <c r="X164" s="300">
        <f>SUM(X161,X162,X163)*1.5</f>
        <v>0</v>
      </c>
      <c r="AA164" s="300">
        <f>SUM(AA161,AA162,AA163)*1.5</f>
        <v>0</v>
      </c>
      <c r="AD164" s="300">
        <f>SUM(AD161,AD162,AD163)*1.5</f>
        <v>0</v>
      </c>
      <c r="AG164" s="300">
        <f>SUM(AG161,AG162,AG163)*1.5</f>
        <v>0</v>
      </c>
      <c r="AJ164" s="300">
        <f>SUM(AJ161,AJ162,AJ163)*1.5</f>
        <v>0</v>
      </c>
      <c r="AM164" s="300">
        <f>SUM(AM161,AM162,AM163)*1.5</f>
        <v>0</v>
      </c>
      <c r="AP164" s="300">
        <f>SUM(AP161,AP162,AP163)*1.5</f>
        <v>0</v>
      </c>
    </row>
    <row r="165" spans="11:42" x14ac:dyDescent="0.2">
      <c r="K165" s="3"/>
      <c r="L165" s="3"/>
      <c r="M165" s="300">
        <f>M164/M154</f>
        <v>0.15590625000000002</v>
      </c>
      <c r="N165" s="194" t="s">
        <v>282</v>
      </c>
    </row>
    <row r="166" spans="11:42" x14ac:dyDescent="0.2">
      <c r="K166" s="3"/>
      <c r="L166" s="3"/>
      <c r="M166" s="190">
        <f>ROUND(SUM(M161,M162,M163,M165),1)</f>
        <v>4.3</v>
      </c>
      <c r="N166" s="105" t="s">
        <v>295</v>
      </c>
    </row>
    <row r="167" spans="11:42" x14ac:dyDescent="0.2">
      <c r="K167" s="3"/>
      <c r="L167" s="3"/>
      <c r="M167" s="194"/>
      <c r="N167" s="194"/>
    </row>
    <row r="168" spans="11:42" x14ac:dyDescent="0.2">
      <c r="K168" s="3"/>
      <c r="L168" s="3"/>
      <c r="M168" s="215">
        <v>2</v>
      </c>
      <c r="N168" s="194" t="s">
        <v>285</v>
      </c>
    </row>
    <row r="169" spans="11:42" x14ac:dyDescent="0.2">
      <c r="K169" s="3"/>
      <c r="L169" s="3"/>
      <c r="M169" s="200">
        <f>N132</f>
        <v>42</v>
      </c>
      <c r="N169" s="194" t="s">
        <v>277</v>
      </c>
    </row>
    <row r="170" spans="11:42" x14ac:dyDescent="0.2">
      <c r="K170" s="3"/>
      <c r="L170" s="3"/>
      <c r="M170" s="200">
        <f>SUM(M43:M88)</f>
        <v>158</v>
      </c>
      <c r="N170" s="194" t="s">
        <v>276</v>
      </c>
    </row>
    <row r="171" spans="11:42" s="235" customFormat="1" x14ac:dyDescent="0.2">
      <c r="M171" s="200">
        <f>M169*0.5</f>
        <v>21</v>
      </c>
      <c r="N171" s="235" t="s">
        <v>471</v>
      </c>
      <c r="O171" s="83"/>
      <c r="P171" s="6"/>
      <c r="X171" s="302"/>
    </row>
    <row r="172" spans="11:42" s="235" customFormat="1" x14ac:dyDescent="0.2">
      <c r="M172" s="200">
        <f>M90+N91</f>
        <v>15.599999999999984</v>
      </c>
      <c r="N172" s="235" t="s">
        <v>472</v>
      </c>
      <c r="O172" s="83"/>
      <c r="P172" s="6"/>
      <c r="X172" s="302"/>
    </row>
    <row r="173" spans="11:42" s="235" customFormat="1" x14ac:dyDescent="0.2">
      <c r="M173" s="200">
        <f>N93</f>
        <v>150.09999999999994</v>
      </c>
      <c r="N173" s="235" t="s">
        <v>537</v>
      </c>
      <c r="O173" s="83"/>
      <c r="P173" s="6"/>
      <c r="X173" s="302"/>
    </row>
    <row r="174" spans="11:42" x14ac:dyDescent="0.2">
      <c r="K174" s="3"/>
      <c r="L174" s="3"/>
      <c r="M174" s="200">
        <f>M170/M168/M154</f>
        <v>1.9750000000000001</v>
      </c>
      <c r="N174" s="201" t="s">
        <v>279</v>
      </c>
    </row>
    <row r="175" spans="11:42" x14ac:dyDescent="0.2">
      <c r="K175" s="3"/>
      <c r="L175" s="3"/>
      <c r="M175" s="31">
        <f>M171/M154</f>
        <v>0.52500000000000002</v>
      </c>
      <c r="N175" s="194" t="s">
        <v>280</v>
      </c>
    </row>
    <row r="176" spans="11:42" s="235" customFormat="1" x14ac:dyDescent="0.2">
      <c r="M176" s="31">
        <f>M172/M154</f>
        <v>0.38999999999999957</v>
      </c>
      <c r="N176" s="235" t="s">
        <v>474</v>
      </c>
      <c r="O176" s="83"/>
      <c r="P176" s="6"/>
      <c r="X176" s="302"/>
    </row>
    <row r="177" spans="11:24" s="235" customFormat="1" x14ac:dyDescent="0.2">
      <c r="L177" s="235" t="s">
        <v>522</v>
      </c>
      <c r="M177" s="200">
        <f>M168/7</f>
        <v>0.2857142857142857</v>
      </c>
      <c r="N177" s="235" t="s">
        <v>473</v>
      </c>
      <c r="O177" s="83"/>
      <c r="P177" s="6"/>
      <c r="X177" s="302"/>
    </row>
    <row r="178" spans="11:24" s="235" customFormat="1" x14ac:dyDescent="0.2">
      <c r="M178" s="31">
        <f>M173/M168/M154</f>
        <v>1.8762499999999993</v>
      </c>
      <c r="N178" s="235" t="s">
        <v>547</v>
      </c>
      <c r="O178" s="83"/>
      <c r="P178" s="6"/>
      <c r="X178" s="302"/>
    </row>
    <row r="179" spans="11:24" x14ac:dyDescent="0.2">
      <c r="K179" s="3"/>
      <c r="L179" s="3"/>
      <c r="M179" s="200">
        <f>SUM(M174:M178)*3</f>
        <v>15.155892857142852</v>
      </c>
      <c r="N179" s="194" t="s">
        <v>281</v>
      </c>
    </row>
    <row r="180" spans="11:24" x14ac:dyDescent="0.2">
      <c r="K180" s="3"/>
      <c r="L180" s="3"/>
      <c r="M180" s="200">
        <f>M179/M154</f>
        <v>0.3788973214285713</v>
      </c>
      <c r="N180" s="194" t="s">
        <v>282</v>
      </c>
    </row>
    <row r="181" spans="11:24" x14ac:dyDescent="0.2">
      <c r="K181" s="3"/>
      <c r="L181" s="3"/>
      <c r="M181" s="190">
        <f>ROUND(SUM(M174,M175,M176,M177,M178,M178,M180),1)</f>
        <v>7.3</v>
      </c>
      <c r="N181" s="105" t="s">
        <v>296</v>
      </c>
    </row>
    <row r="182" spans="11:24" x14ac:dyDescent="0.2">
      <c r="K182" s="3"/>
      <c r="L182" s="3"/>
      <c r="M182" s="194"/>
      <c r="N182" s="194"/>
    </row>
    <row r="183" spans="11:24" x14ac:dyDescent="0.2">
      <c r="K183" s="3"/>
      <c r="L183" s="3"/>
      <c r="M183" s="215">
        <v>1</v>
      </c>
      <c r="N183" s="194" t="s">
        <v>318</v>
      </c>
    </row>
    <row r="184" spans="11:24" x14ac:dyDescent="0.2">
      <c r="K184" s="3"/>
      <c r="L184" s="3"/>
      <c r="M184" s="200">
        <f>SUM(O96:O99)</f>
        <v>6</v>
      </c>
      <c r="N184" s="194" t="s">
        <v>286</v>
      </c>
    </row>
    <row r="185" spans="11:24" x14ac:dyDescent="0.2">
      <c r="K185" s="3"/>
      <c r="L185" s="3"/>
      <c r="M185" s="200">
        <f>SUM(O101:O104)</f>
        <v>4.3</v>
      </c>
      <c r="N185" s="194" t="s">
        <v>334</v>
      </c>
    </row>
    <row r="186" spans="11:24" s="235" customFormat="1" x14ac:dyDescent="0.2">
      <c r="M186" s="200">
        <f>O105</f>
        <v>18.7</v>
      </c>
      <c r="N186" s="235" t="s">
        <v>250</v>
      </c>
      <c r="O186" s="83"/>
      <c r="P186" s="6"/>
      <c r="X186" s="302"/>
    </row>
    <row r="187" spans="11:24" s="235" customFormat="1" x14ac:dyDescent="0.2">
      <c r="M187" s="200">
        <f>O106</f>
        <v>3.8</v>
      </c>
      <c r="N187" s="235" t="s">
        <v>475</v>
      </c>
      <c r="O187" s="83"/>
      <c r="P187" s="6"/>
      <c r="X187" s="302"/>
    </row>
    <row r="188" spans="11:24" x14ac:dyDescent="0.2">
      <c r="K188" s="3"/>
      <c r="L188" s="3"/>
      <c r="M188" s="200">
        <f>M184/M183/M154</f>
        <v>0.15</v>
      </c>
      <c r="N188" s="194" t="s">
        <v>297</v>
      </c>
    </row>
    <row r="189" spans="11:24" x14ac:dyDescent="0.2">
      <c r="M189" s="200">
        <f>M185/M154</f>
        <v>0.1075</v>
      </c>
      <c r="N189" s="194" t="s">
        <v>335</v>
      </c>
    </row>
    <row r="190" spans="11:24" x14ac:dyDescent="0.2">
      <c r="M190" s="200">
        <f>M186/M183/M154</f>
        <v>0.46749999999999997</v>
      </c>
      <c r="N190" s="194" t="s">
        <v>298</v>
      </c>
    </row>
    <row r="191" spans="11:24" x14ac:dyDescent="0.2">
      <c r="M191" s="200">
        <f>M187/M183/M154</f>
        <v>9.5000000000000001E-2</v>
      </c>
      <c r="N191" s="194" t="s">
        <v>299</v>
      </c>
    </row>
    <row r="192" spans="11:24" x14ac:dyDescent="0.2">
      <c r="M192" s="200">
        <f>SUM(M188+M189+M190+M191)*1.5</f>
        <v>1.23</v>
      </c>
      <c r="N192" s="194" t="s">
        <v>281</v>
      </c>
    </row>
    <row r="193" spans="12:24" x14ac:dyDescent="0.2">
      <c r="M193" s="200">
        <f>M192/M154</f>
        <v>3.075E-2</v>
      </c>
      <c r="N193" s="194" t="s">
        <v>282</v>
      </c>
    </row>
    <row r="194" spans="12:24" x14ac:dyDescent="0.2">
      <c r="M194" s="190">
        <f>M188+M189+M190+M191+M193</f>
        <v>0.8507499999999999</v>
      </c>
      <c r="N194" s="105" t="s">
        <v>300</v>
      </c>
    </row>
    <row r="195" spans="12:24" x14ac:dyDescent="0.2">
      <c r="M195" s="194"/>
      <c r="N195" s="192"/>
    </row>
    <row r="196" spans="12:24" x14ac:dyDescent="0.2">
      <c r="M196" s="215">
        <v>1</v>
      </c>
      <c r="N196" s="194" t="s">
        <v>318</v>
      </c>
    </row>
    <row r="197" spans="12:24" x14ac:dyDescent="0.2">
      <c r="M197" s="200">
        <f>SUM(O110:O114)</f>
        <v>11.8</v>
      </c>
      <c r="N197" s="194" t="s">
        <v>336</v>
      </c>
    </row>
    <row r="198" spans="12:24" s="235" customFormat="1" x14ac:dyDescent="0.2">
      <c r="L198" s="192"/>
      <c r="M198" s="200">
        <f>O115</f>
        <v>13</v>
      </c>
      <c r="N198" s="235" t="s">
        <v>250</v>
      </c>
      <c r="O198" s="83"/>
      <c r="P198" s="6"/>
      <c r="X198" s="302"/>
    </row>
    <row r="199" spans="12:24" s="235" customFormat="1" x14ac:dyDescent="0.2">
      <c r="L199" s="192"/>
      <c r="M199" s="200">
        <f>O116</f>
        <v>2.6</v>
      </c>
      <c r="N199" s="235" t="s">
        <v>475</v>
      </c>
      <c r="O199" s="83"/>
      <c r="P199" s="6"/>
      <c r="X199" s="302"/>
    </row>
    <row r="200" spans="12:24" s="235" customFormat="1" x14ac:dyDescent="0.2">
      <c r="L200" s="192"/>
      <c r="M200" s="200">
        <f>O118</f>
        <v>7</v>
      </c>
      <c r="N200" s="235" t="s">
        <v>476</v>
      </c>
      <c r="O200" s="83"/>
      <c r="P200" s="6"/>
      <c r="X200" s="302"/>
    </row>
    <row r="201" spans="12:24" x14ac:dyDescent="0.2">
      <c r="M201" s="200">
        <f>SUM(O120:O124)</f>
        <v>5.8</v>
      </c>
      <c r="N201" s="194" t="s">
        <v>288</v>
      </c>
    </row>
    <row r="202" spans="12:24" x14ac:dyDescent="0.2">
      <c r="M202" s="200">
        <f>M197/M154</f>
        <v>0.29500000000000004</v>
      </c>
      <c r="N202" s="194" t="s">
        <v>337</v>
      </c>
    </row>
    <row r="203" spans="12:24" x14ac:dyDescent="0.2">
      <c r="M203" s="200">
        <f>M198/M196/M154</f>
        <v>0.32500000000000001</v>
      </c>
      <c r="N203" s="194" t="s">
        <v>298</v>
      </c>
    </row>
    <row r="204" spans="12:24" x14ac:dyDescent="0.2">
      <c r="M204" s="200">
        <f>M199/M196/M154</f>
        <v>6.5000000000000002E-2</v>
      </c>
      <c r="N204" s="194" t="s">
        <v>299</v>
      </c>
    </row>
    <row r="205" spans="12:24" x14ac:dyDescent="0.2">
      <c r="M205" s="200">
        <f>M200/M154</f>
        <v>0.17499999999999999</v>
      </c>
      <c r="N205" s="194" t="s">
        <v>307</v>
      </c>
    </row>
    <row r="206" spans="12:24" x14ac:dyDescent="0.2">
      <c r="M206" s="200">
        <f>M201/M154</f>
        <v>0.14499999999999999</v>
      </c>
      <c r="N206" s="194" t="s">
        <v>287</v>
      </c>
    </row>
    <row r="207" spans="12:24" x14ac:dyDescent="0.2">
      <c r="M207" s="200">
        <f>SUM(M202+M203+M204+M205+M206)*1.5</f>
        <v>1.5075000000000003</v>
      </c>
      <c r="N207" s="194" t="s">
        <v>281</v>
      </c>
    </row>
    <row r="208" spans="12:24" x14ac:dyDescent="0.2">
      <c r="M208" s="200">
        <f>M207/M154</f>
        <v>3.7687500000000006E-2</v>
      </c>
      <c r="N208" s="194" t="s">
        <v>282</v>
      </c>
    </row>
    <row r="209" spans="13:14" x14ac:dyDescent="0.2">
      <c r="M209" s="190">
        <f>M202+M203+M204+M205+M206+M208</f>
        <v>1.0426875000000002</v>
      </c>
      <c r="N209" s="105" t="s">
        <v>301</v>
      </c>
    </row>
    <row r="210" spans="13:14" x14ac:dyDescent="0.2">
      <c r="M210" s="102"/>
      <c r="N210" s="1"/>
    </row>
    <row r="211" spans="13:14" x14ac:dyDescent="0.2">
      <c r="M211" s="102"/>
      <c r="N211" s="1"/>
    </row>
  </sheetData>
  <dataConsolidate/>
  <mergeCells count="12">
    <mergeCell ref="BS91:BU91"/>
    <mergeCell ref="BQ91:BR91"/>
    <mergeCell ref="AU91:AX91"/>
    <mergeCell ref="AY91:BH91"/>
    <mergeCell ref="BI91:BP91"/>
    <mergeCell ref="L6:O6"/>
    <mergeCell ref="L7:P7"/>
    <mergeCell ref="AU39:AX39"/>
    <mergeCell ref="AY39:BH39"/>
    <mergeCell ref="BS39:BU39"/>
    <mergeCell ref="BQ39:BR39"/>
    <mergeCell ref="BI39:BP39"/>
  </mergeCells>
  <dataValidations count="1">
    <dataValidation type="list" allowBlank="1" showInputMessage="1" showErrorMessage="1" sqref="E42:I88" xr:uid="{00000000-0002-0000-0300-000000000000}">
      <formula1>"A,M,B"</formula1>
    </dataValidation>
  </dataValidations>
  <pageMargins left="0.87" right="0.64" top="0.35433070866141736" bottom="0.74803149606299213" header="0.12" footer="0.59055118110236227"/>
  <pageSetup scale="57" orientation="portrait" horizontalDpi="300" verticalDpi="300" r:id="rId1"/>
  <headerFooter alignWithMargins="0">
    <oddHeader>&amp;R</oddHeader>
  </headerFooter>
  <drawing r:id="rId2"/>
  <legacyDrawing r:id="rId3"/>
  <extLst>
    <ext xmlns:x14="http://schemas.microsoft.com/office/spreadsheetml/2009/9/main" uri="{CCE6A557-97BC-4b89-ADB6-D9C93CAAB3DF}">
      <x14:dataValidations xmlns:xm="http://schemas.microsoft.com/office/excel/2006/main" count="9">
        <x14:dataValidation type="list" allowBlank="1" showErrorMessage="1" xr:uid="{00000000-0002-0000-0300-000001000000}">
          <x14:formula1>
            <xm:f>Modelo!$F$44:$F$53</xm:f>
          </x14:formula1>
          <xm:sqref>C42:C88</xm:sqref>
        </x14:dataValidation>
        <x14:dataValidation type="list" allowBlank="1" showInputMessage="1" showErrorMessage="1" xr:uid="{00000000-0002-0000-0300-000002000000}">
          <x14:formula1>
            <xm:f>Modelo!$F$54:$F$56</xm:f>
          </x14:formula1>
          <xm:sqref>AF41:AF88</xm:sqref>
        </x14:dataValidation>
        <x14:dataValidation type="list" allowBlank="1" showInputMessage="1" showErrorMessage="1" xr:uid="{00000000-0002-0000-0300-000003000000}">
          <x14:formula1>
            <xm:f>Modelo!$F$58:$F$60</xm:f>
          </x14:formula1>
          <xm:sqref>AG41:AG88</xm:sqref>
        </x14:dataValidation>
        <x14:dataValidation type="list" allowBlank="1" showInputMessage="1" showErrorMessage="1" xr:uid="{00000000-0002-0000-0300-000004000000}">
          <x14:formula1>
            <xm:f>Modelo!$F$23:$F$25</xm:f>
          </x14:formula1>
          <xm:sqref>Z41:Z88</xm:sqref>
        </x14:dataValidation>
        <x14:dataValidation type="list" allowBlank="1" showInputMessage="1" showErrorMessage="1" xr:uid="{00000000-0002-0000-0300-000005000000}">
          <x14:formula1>
            <xm:f>Modelo!$F$26:$F$28</xm:f>
          </x14:formula1>
          <xm:sqref>AA41:AA88</xm:sqref>
        </x14:dataValidation>
        <x14:dataValidation type="list" allowBlank="1" showInputMessage="1" showErrorMessage="1" xr:uid="{00000000-0002-0000-0300-000006000000}">
          <x14:formula1>
            <xm:f>Modelo!$F$30:$F$32</xm:f>
          </x14:formula1>
          <xm:sqref>AB41:AB88</xm:sqref>
        </x14:dataValidation>
        <x14:dataValidation type="list" allowBlank="1" showInputMessage="1" showErrorMessage="1" xr:uid="{00000000-0002-0000-0300-000007000000}">
          <x14:formula1>
            <xm:f>Modelo!$F$40:$F$42</xm:f>
          </x14:formula1>
          <xm:sqref>AE41:AE88</xm:sqref>
        </x14:dataValidation>
        <x14:dataValidation type="list" allowBlank="1" showInputMessage="1" showErrorMessage="1" xr:uid="{00000000-0002-0000-0300-000008000000}">
          <x14:formula1>
            <xm:f>Modelo!$F$37:$F$39</xm:f>
          </x14:formula1>
          <xm:sqref>AD41:AD88</xm:sqref>
        </x14:dataValidation>
        <x14:dataValidation type="list" allowBlank="1" showInputMessage="1" showErrorMessage="1" xr:uid="{00000000-0002-0000-0300-000009000000}">
          <x14:formula1>
            <xm:f>Modelo!$F$33:$F$35</xm:f>
          </x14:formula1>
          <xm:sqref>AC41:AC88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0"/>
  <sheetViews>
    <sheetView showGridLines="0" topLeftCell="A4" zoomScale="90" zoomScaleNormal="90" workbookViewId="0">
      <selection activeCell="J10" sqref="J10"/>
    </sheetView>
  </sheetViews>
  <sheetFormatPr baseColWidth="10" defaultColWidth="10" defaultRowHeight="12.75" x14ac:dyDescent="0.2"/>
  <cols>
    <col min="1" max="2" width="1.7109375" style="3" customWidth="1"/>
    <col min="3" max="3" width="5.28515625" style="1" customWidth="1"/>
    <col min="4" max="4" width="21.140625" style="2" customWidth="1"/>
    <col min="5" max="5" width="27" style="2" bestFit="1" customWidth="1"/>
    <col min="6" max="6" width="23.85546875" style="2" bestFit="1" customWidth="1"/>
    <col min="7" max="7" width="20" style="2" bestFit="1" customWidth="1"/>
    <col min="8" max="8" width="20" style="193" customWidth="1"/>
    <col min="9" max="9" width="10.140625" style="2" bestFit="1" customWidth="1"/>
    <col min="10" max="10" width="18.7109375" style="3" customWidth="1"/>
    <col min="11" max="11" width="20.140625" style="3" customWidth="1"/>
    <col min="12" max="12" width="14.85546875" style="3" bestFit="1" customWidth="1"/>
    <col min="13" max="13" width="5.7109375" style="3" customWidth="1"/>
    <col min="14" max="14" width="13.28515625" style="3" bestFit="1" customWidth="1"/>
    <col min="15" max="15" width="11" style="3" bestFit="1" customWidth="1"/>
    <col min="16" max="16" width="10" style="3"/>
    <col min="17" max="17" width="12.140625" style="3" bestFit="1" customWidth="1"/>
    <col min="18" max="18" width="18.7109375" style="3" bestFit="1" customWidth="1"/>
    <col min="19" max="19" width="1.7109375" style="3" customWidth="1"/>
    <col min="20" max="20" width="18.7109375" style="3" bestFit="1" customWidth="1"/>
    <col min="21" max="16384" width="10" style="3"/>
  </cols>
  <sheetData>
    <row r="1" spans="1:20" ht="15" customHeight="1" x14ac:dyDescent="0.2">
      <c r="C1" s="3"/>
      <c r="D1" s="1"/>
      <c r="E1" s="1"/>
      <c r="F1" s="1"/>
      <c r="G1" s="1"/>
      <c r="H1" s="192"/>
      <c r="J1" s="2"/>
      <c r="K1" s="2"/>
    </row>
    <row r="2" spans="1:20" ht="15" customHeight="1" x14ac:dyDescent="0.2">
      <c r="C2" s="3"/>
      <c r="D2" s="1"/>
      <c r="E2" s="1"/>
      <c r="F2" s="1"/>
      <c r="G2" s="1"/>
      <c r="H2" s="192"/>
      <c r="J2" s="2"/>
      <c r="K2" s="81" t="s">
        <v>0</v>
      </c>
    </row>
    <row r="3" spans="1:20" ht="15" customHeight="1" x14ac:dyDescent="0.2">
      <c r="C3" s="19"/>
      <c r="D3" s="19"/>
      <c r="E3" s="19"/>
      <c r="F3" s="19"/>
      <c r="G3" s="19"/>
      <c r="H3" s="195"/>
      <c r="J3" s="2"/>
      <c r="K3" s="79" t="str">
        <f>'Información proyecto'!C3</f>
        <v>Versión: 0.1</v>
      </c>
      <c r="N3" s="6"/>
    </row>
    <row r="4" spans="1:20" ht="1.5" customHeight="1" x14ac:dyDescent="0.2">
      <c r="C4" s="20"/>
      <c r="D4" s="20"/>
      <c r="E4" s="20"/>
      <c r="F4" s="20"/>
      <c r="G4" s="20"/>
      <c r="H4" s="196"/>
      <c r="I4" s="20"/>
      <c r="J4" s="20"/>
      <c r="K4" s="20">
        <f>'Información proyecto'!C4</f>
        <v>0</v>
      </c>
    </row>
    <row r="5" spans="1:20" ht="15" customHeight="1" x14ac:dyDescent="0.2">
      <c r="C5" s="19"/>
      <c r="D5" s="19"/>
      <c r="E5" s="19"/>
      <c r="F5" s="19"/>
      <c r="G5" s="19"/>
      <c r="H5" s="195"/>
      <c r="J5" s="2"/>
      <c r="K5" s="79" t="str">
        <f>'Información proyecto'!C5</f>
        <v>Proyecto: Generador de formatos</v>
      </c>
      <c r="N5" s="6"/>
    </row>
    <row r="6" spans="1:20" ht="12.75" customHeight="1" x14ac:dyDescent="0.2">
      <c r="C6" s="3"/>
      <c r="D6" s="19"/>
      <c r="E6" s="19"/>
      <c r="F6" s="19"/>
      <c r="G6" s="19"/>
      <c r="H6" s="195"/>
      <c r="J6" s="2"/>
      <c r="K6" s="8"/>
      <c r="N6" s="6"/>
    </row>
    <row r="7" spans="1:20" x14ac:dyDescent="0.2">
      <c r="C7" s="467" t="s">
        <v>37</v>
      </c>
      <c r="D7" s="467"/>
      <c r="E7" s="467"/>
      <c r="F7" s="467"/>
      <c r="G7" s="467"/>
      <c r="H7" s="467"/>
      <c r="I7" s="467"/>
      <c r="J7" s="467"/>
      <c r="K7" s="467"/>
    </row>
    <row r="8" spans="1:20" ht="18" customHeight="1" x14ac:dyDescent="0.25">
      <c r="C8" s="21"/>
      <c r="D8" s="22"/>
      <c r="E8" s="22"/>
      <c r="F8" s="22"/>
      <c r="G8" s="22"/>
      <c r="H8" s="197"/>
      <c r="I8" s="22"/>
    </row>
    <row r="9" spans="1:20" ht="15" customHeight="1" x14ac:dyDescent="0.2">
      <c r="C9" s="476" t="s">
        <v>38</v>
      </c>
      <c r="D9" s="476"/>
      <c r="E9" s="476"/>
      <c r="F9" s="476"/>
      <c r="G9" s="476"/>
      <c r="H9" s="476"/>
      <c r="I9" s="476"/>
      <c r="J9" s="476"/>
      <c r="K9" s="476"/>
    </row>
    <row r="10" spans="1:20" x14ac:dyDescent="0.2">
      <c r="C10" s="12"/>
      <c r="D10" s="45"/>
      <c r="E10" s="45"/>
      <c r="F10" s="45"/>
      <c r="G10" s="45"/>
      <c r="H10" s="45"/>
      <c r="I10" s="45"/>
      <c r="Q10" s="77"/>
    </row>
    <row r="11" spans="1:20" ht="24" customHeight="1" x14ac:dyDescent="0.2">
      <c r="A11" s="30"/>
      <c r="B11" s="30"/>
      <c r="C11" s="12"/>
      <c r="E11" s="170" t="s">
        <v>39</v>
      </c>
      <c r="F11" s="171" t="s">
        <v>40</v>
      </c>
      <c r="G11" s="171" t="s">
        <v>41</v>
      </c>
      <c r="H11" s="172" t="s">
        <v>287</v>
      </c>
      <c r="I11" s="172" t="s">
        <v>42</v>
      </c>
      <c r="Q11" s="77"/>
    </row>
    <row r="12" spans="1:20" ht="21.75" customHeight="1" x14ac:dyDescent="0.2">
      <c r="A12" s="33"/>
      <c r="B12" s="33"/>
      <c r="C12" s="12"/>
      <c r="E12" s="173">
        <f>E19</f>
        <v>44181</v>
      </c>
      <c r="F12" s="173">
        <f>F30+11</f>
        <v>44285.467187499999</v>
      </c>
      <c r="G12" s="218">
        <f>(F12-E12)+1</f>
        <v>105.46718749999854</v>
      </c>
      <c r="H12" s="174">
        <f>ROUND(G12/7,1)</f>
        <v>15.1</v>
      </c>
      <c r="I12" s="174">
        <f>ROUND(G12/30,1)</f>
        <v>3.5</v>
      </c>
      <c r="J12" s="201"/>
      <c r="L12" s="30"/>
      <c r="M12" s="102"/>
      <c r="Q12" s="77"/>
    </row>
    <row r="13" spans="1:20" ht="1.5" customHeight="1" x14ac:dyDescent="0.25">
      <c r="A13" s="33"/>
      <c r="B13" s="33"/>
      <c r="C13" s="12"/>
      <c r="E13" s="46"/>
      <c r="F13" s="46"/>
      <c r="G13" s="46"/>
      <c r="H13" s="46"/>
      <c r="I13" s="46"/>
      <c r="L13" s="33"/>
      <c r="Q13" s="77"/>
    </row>
    <row r="14" spans="1:20" x14ac:dyDescent="0.2">
      <c r="A14" s="33"/>
      <c r="B14" s="33"/>
      <c r="C14" s="47"/>
      <c r="F14" s="127"/>
      <c r="L14" s="33"/>
      <c r="Q14" s="77"/>
    </row>
    <row r="15" spans="1:20" x14ac:dyDescent="0.2">
      <c r="A15" s="33"/>
      <c r="B15" s="33"/>
      <c r="C15" s="47"/>
      <c r="L15" s="33"/>
      <c r="Q15" s="77"/>
    </row>
    <row r="16" spans="1:20" ht="12.75" customHeight="1" x14ac:dyDescent="0.2">
      <c r="A16" s="30"/>
      <c r="B16" s="30"/>
      <c r="C16" s="476" t="s">
        <v>43</v>
      </c>
      <c r="D16" s="476"/>
      <c r="E16" s="476"/>
      <c r="F16" s="476"/>
      <c r="G16" s="476"/>
      <c r="H16" s="476"/>
      <c r="I16" s="476"/>
      <c r="J16" s="476"/>
      <c r="K16" s="476"/>
      <c r="L16" s="33"/>
      <c r="Q16" s="77"/>
      <c r="T16" s="477"/>
    </row>
    <row r="17" spans="1:21" ht="15" customHeight="1" x14ac:dyDescent="0.2">
      <c r="A17" s="33"/>
      <c r="B17" s="33"/>
      <c r="C17" s="25"/>
      <c r="D17" s="26"/>
      <c r="E17" s="26"/>
      <c r="F17" s="26"/>
      <c r="G17" s="26"/>
      <c r="H17" s="26"/>
      <c r="I17" s="26"/>
      <c r="L17" s="30"/>
      <c r="Q17" s="77"/>
      <c r="T17" s="477"/>
    </row>
    <row r="18" spans="1:21" s="30" customFormat="1" ht="34.5" customHeight="1" x14ac:dyDescent="0.2">
      <c r="A18" s="33"/>
      <c r="B18" s="33"/>
      <c r="C18" s="48" t="s">
        <v>44</v>
      </c>
      <c r="D18" s="48" t="s">
        <v>45</v>
      </c>
      <c r="E18" s="48" t="s">
        <v>162</v>
      </c>
      <c r="F18" s="48" t="s">
        <v>163</v>
      </c>
      <c r="G18" s="48" t="s">
        <v>41</v>
      </c>
      <c r="H18" s="48" t="s">
        <v>287</v>
      </c>
      <c r="I18" s="48" t="s">
        <v>42</v>
      </c>
      <c r="J18" s="48" t="s">
        <v>46</v>
      </c>
      <c r="K18" s="48" t="s">
        <v>47</v>
      </c>
      <c r="L18" s="33" t="s">
        <v>316</v>
      </c>
      <c r="N18" s="30" t="s">
        <v>317</v>
      </c>
      <c r="T18" s="477"/>
    </row>
    <row r="19" spans="1:21" s="104" customFormat="1" ht="15" x14ac:dyDescent="0.2">
      <c r="A19" s="139"/>
      <c r="B19" s="139"/>
      <c r="C19" s="209" t="s">
        <v>272</v>
      </c>
      <c r="D19" s="210" t="s">
        <v>293</v>
      </c>
      <c r="E19" s="211">
        <f>'Alcance y tiempo'!P142</f>
        <v>44181</v>
      </c>
      <c r="F19" s="211">
        <f>'Alcance y tiempo'!Q142</f>
        <v>44210.5</v>
      </c>
      <c r="G19" s="209">
        <f>ROUNDUP(F19-E19,0)</f>
        <v>30</v>
      </c>
      <c r="H19" s="212">
        <f>G19/7</f>
        <v>4.2857142857142856</v>
      </c>
      <c r="I19" s="209">
        <f t="shared" ref="I19" si="0">ROUND(G19/30,1)</f>
        <v>1</v>
      </c>
      <c r="J19" s="293"/>
      <c r="K19" s="293"/>
      <c r="L19" s="292">
        <f>ROUND(SUM('Fechas y costos'!K20:K21)/'Alcance y tiempo'!P11,1)</f>
        <v>207.7</v>
      </c>
      <c r="M19" s="262"/>
      <c r="N19" s="262">
        <f>ROUND(L19*100/40,0)*1.15</f>
        <v>596.84999999999991</v>
      </c>
      <c r="T19" s="185"/>
    </row>
    <row r="20" spans="1:21" ht="13.5" customHeight="1" x14ac:dyDescent="0.2">
      <c r="A20" s="33"/>
      <c r="B20" s="33"/>
      <c r="C20" s="49">
        <v>1</v>
      </c>
      <c r="D20" s="50" t="s">
        <v>324</v>
      </c>
      <c r="E20" s="137">
        <f>$E$19</f>
        <v>44181</v>
      </c>
      <c r="F20" s="137">
        <f>$F$19</f>
        <v>44210.5</v>
      </c>
      <c r="G20" s="97">
        <f>$G$19</f>
        <v>30</v>
      </c>
      <c r="H20" s="97">
        <f>ROUND(G20/7,1)</f>
        <v>4.3</v>
      </c>
      <c r="I20" s="97">
        <f>ROUND(G20/30,1)</f>
        <v>1</v>
      </c>
      <c r="J20" s="294">
        <v>12000</v>
      </c>
      <c r="K20" s="295">
        <f>I20*J20</f>
        <v>12000</v>
      </c>
      <c r="L20" s="262"/>
      <c r="M20" s="262"/>
      <c r="N20" s="262"/>
      <c r="O20" s="104"/>
      <c r="R20" s="95"/>
      <c r="S20" s="95"/>
      <c r="T20" s="95"/>
      <c r="U20" s="94"/>
    </row>
    <row r="21" spans="1:21" s="235" customFormat="1" ht="13.5" customHeight="1" x14ac:dyDescent="0.2">
      <c r="A21" s="236"/>
      <c r="B21" s="236"/>
      <c r="C21" s="49">
        <v>2</v>
      </c>
      <c r="D21" s="50" t="s">
        <v>322</v>
      </c>
      <c r="E21" s="137">
        <f>$E$19</f>
        <v>44181</v>
      </c>
      <c r="F21" s="137">
        <f>$F$19</f>
        <v>44210.5</v>
      </c>
      <c r="G21" s="97">
        <f>$G$19</f>
        <v>30</v>
      </c>
      <c r="H21" s="97">
        <f>ROUND(G21/7,1)</f>
        <v>4.3</v>
      </c>
      <c r="I21" s="97">
        <f t="shared" ref="I21" si="1">ROUND(G21/30,1)</f>
        <v>1</v>
      </c>
      <c r="J21" s="294">
        <v>24000</v>
      </c>
      <c r="K21" s="295">
        <f t="shared" ref="K21" si="2">I21*J21</f>
        <v>24000</v>
      </c>
      <c r="L21" s="292"/>
      <c r="M21" s="262"/>
      <c r="N21" s="262"/>
      <c r="R21" s="95"/>
      <c r="S21" s="95"/>
      <c r="T21" s="95"/>
      <c r="U21" s="94"/>
    </row>
    <row r="22" spans="1:21" s="104" customFormat="1" ht="15" x14ac:dyDescent="0.2">
      <c r="A22" s="139"/>
      <c r="B22" s="139"/>
      <c r="C22" s="209" t="s">
        <v>319</v>
      </c>
      <c r="D22" s="210" t="s">
        <v>15</v>
      </c>
      <c r="E22" s="211">
        <f>'Alcance y tiempo'!P144</f>
        <v>44211.5</v>
      </c>
      <c r="F22" s="211">
        <f>'Alcance y tiempo'!Q144</f>
        <v>44261</v>
      </c>
      <c r="G22" s="209">
        <f>ROUNDUP(F22-E22,0)</f>
        <v>50</v>
      </c>
      <c r="H22" s="212">
        <f>ROUNDUP(G22/7,1)</f>
        <v>7.1999999999999993</v>
      </c>
      <c r="I22" s="209">
        <f t="shared" ref="I22" si="3">ROUND(G22/30,1)</f>
        <v>1.7</v>
      </c>
      <c r="J22" s="293"/>
      <c r="K22" s="293"/>
      <c r="L22" s="292">
        <f>ROUND(SUM('Fechas y costos'!K23:K26)/'Alcance y tiempo'!P40,1)</f>
        <v>478.7</v>
      </c>
      <c r="M22" s="262"/>
      <c r="N22" s="262">
        <f>ROUND(L22*100/40,0)*1.15</f>
        <v>1376.55</v>
      </c>
      <c r="P22" s="104">
        <v>529.4</v>
      </c>
      <c r="Q22" s="104">
        <v>1522.6</v>
      </c>
      <c r="T22" s="185"/>
    </row>
    <row r="23" spans="1:21" s="102" customFormat="1" ht="13.5" customHeight="1" x14ac:dyDescent="0.2">
      <c r="A23" s="139"/>
      <c r="B23" s="139"/>
      <c r="C23" s="49">
        <v>1</v>
      </c>
      <c r="D23" s="50" t="s">
        <v>324</v>
      </c>
      <c r="E23" s="137">
        <f>$E$22</f>
        <v>44211.5</v>
      </c>
      <c r="F23" s="137">
        <f>$F$22</f>
        <v>44261</v>
      </c>
      <c r="G23" s="97">
        <f>$G$22</f>
        <v>50</v>
      </c>
      <c r="H23" s="97">
        <f t="shared" ref="H23:H26" si="4">ROUND(G23/7,1)</f>
        <v>7.1</v>
      </c>
      <c r="I23" s="97">
        <f>ROUND(G23/30,1)</f>
        <v>1.7</v>
      </c>
      <c r="J23" s="294">
        <v>12000</v>
      </c>
      <c r="K23" s="295">
        <f>I23*J23</f>
        <v>20400</v>
      </c>
      <c r="L23" s="262">
        <v>4800</v>
      </c>
      <c r="M23" s="262"/>
      <c r="N23" s="262"/>
      <c r="O23" s="104"/>
      <c r="P23" s="194"/>
      <c r="R23" s="95"/>
      <c r="S23" s="95"/>
      <c r="T23" s="95"/>
      <c r="U23" s="94"/>
    </row>
    <row r="24" spans="1:21" s="235" customFormat="1" ht="13.5" customHeight="1" x14ac:dyDescent="0.2">
      <c r="A24" s="236"/>
      <c r="B24" s="236"/>
      <c r="C24" s="49">
        <v>2</v>
      </c>
      <c r="D24" s="50" t="s">
        <v>91</v>
      </c>
      <c r="E24" s="137">
        <f>$E$22</f>
        <v>44211.5</v>
      </c>
      <c r="F24" s="137">
        <f>$F$22</f>
        <v>44261</v>
      </c>
      <c r="G24" s="97">
        <f>$G$22</f>
        <v>50</v>
      </c>
      <c r="H24" s="97">
        <f t="shared" si="4"/>
        <v>7.1</v>
      </c>
      <c r="I24" s="97">
        <f t="shared" ref="I24" si="5">ROUND(G24/30,1)</f>
        <v>1.7</v>
      </c>
      <c r="J24" s="294">
        <v>24000</v>
      </c>
      <c r="K24" s="295">
        <f t="shared" ref="K24" si="6">I24*J24</f>
        <v>40800</v>
      </c>
      <c r="L24" s="292">
        <v>9600</v>
      </c>
      <c r="M24" s="262"/>
      <c r="N24" s="262"/>
      <c r="R24" s="95"/>
      <c r="S24" s="95"/>
      <c r="T24" s="95"/>
    </row>
    <row r="25" spans="1:21" s="235" customFormat="1" ht="13.5" customHeight="1" x14ac:dyDescent="0.2">
      <c r="A25" s="236"/>
      <c r="B25" s="236"/>
      <c r="C25" s="49">
        <v>3</v>
      </c>
      <c r="D25" s="50" t="s">
        <v>91</v>
      </c>
      <c r="E25" s="137">
        <f>$E$22</f>
        <v>44211.5</v>
      </c>
      <c r="F25" s="137">
        <f>$F$22</f>
        <v>44261</v>
      </c>
      <c r="G25" s="97">
        <f>$G$22</f>
        <v>50</v>
      </c>
      <c r="H25" s="97">
        <f t="shared" ref="H25" si="7">ROUND(G25/7,1)</f>
        <v>7.1</v>
      </c>
      <c r="I25" s="97">
        <f t="shared" ref="I25" si="8">ROUND(G25/30,1)</f>
        <v>1.7</v>
      </c>
      <c r="J25" s="294">
        <v>24000</v>
      </c>
      <c r="K25" s="295">
        <f t="shared" ref="K25" si="9">I25*J25</f>
        <v>40800</v>
      </c>
      <c r="L25" s="292">
        <v>9600</v>
      </c>
      <c r="M25" s="262"/>
      <c r="N25" s="262"/>
      <c r="R25" s="95"/>
      <c r="S25" s="95"/>
      <c r="T25" s="95"/>
    </row>
    <row r="26" spans="1:21" s="235" customFormat="1" ht="13.5" customHeight="1" x14ac:dyDescent="0.2">
      <c r="A26" s="236"/>
      <c r="B26" s="236"/>
      <c r="C26" s="49">
        <v>4</v>
      </c>
      <c r="D26" s="50" t="s">
        <v>494</v>
      </c>
      <c r="E26" s="137">
        <f>$E$22</f>
        <v>44211.5</v>
      </c>
      <c r="F26" s="137">
        <f>$F$22</f>
        <v>44261</v>
      </c>
      <c r="G26" s="97">
        <f>$G$22</f>
        <v>50</v>
      </c>
      <c r="H26" s="97">
        <f t="shared" si="4"/>
        <v>7.1</v>
      </c>
      <c r="I26" s="97">
        <f t="shared" ref="I26" si="10">ROUND(G26/30,1)</f>
        <v>1.7</v>
      </c>
      <c r="J26" s="294">
        <v>12000</v>
      </c>
      <c r="K26" s="295">
        <f t="shared" ref="K26" si="11">I26*J26</f>
        <v>20400</v>
      </c>
      <c r="L26" s="292">
        <v>4800</v>
      </c>
      <c r="M26" s="262"/>
      <c r="N26" s="262"/>
      <c r="R26" s="95"/>
      <c r="S26" s="95"/>
      <c r="T26" s="95"/>
    </row>
    <row r="27" spans="1:21" s="104" customFormat="1" ht="15" x14ac:dyDescent="0.2">
      <c r="A27" s="139"/>
      <c r="B27" s="139"/>
      <c r="C27" s="209" t="s">
        <v>320</v>
      </c>
      <c r="D27" s="210" t="s">
        <v>20</v>
      </c>
      <c r="E27" s="211">
        <f>'Alcance y tiempo'!P146</f>
        <v>44262</v>
      </c>
      <c r="F27" s="211">
        <f>'Alcance y tiempo'!Q146</f>
        <v>44267.253750000003</v>
      </c>
      <c r="G27" s="209">
        <f>ROUNDUP(F27-E27,0)</f>
        <v>6</v>
      </c>
      <c r="H27" s="212">
        <f>ROUNDUP(G27/7,1)</f>
        <v>0.9</v>
      </c>
      <c r="I27" s="209">
        <f t="shared" ref="I27:I32" si="12">ROUND(G27/30,1)</f>
        <v>0.2</v>
      </c>
      <c r="J27" s="293"/>
      <c r="K27" s="293"/>
      <c r="L27" s="292">
        <f>ROUND(SUM('Fechas y costos'!K28:K29)/'Alcance y tiempo'!P94,1)</f>
        <v>206.9</v>
      </c>
      <c r="M27" s="262"/>
      <c r="N27" s="262">
        <f>ROUND(L27*100/40,0)*1.15</f>
        <v>594.54999999999995</v>
      </c>
      <c r="T27" s="185"/>
    </row>
    <row r="28" spans="1:21" s="102" customFormat="1" ht="13.5" customHeight="1" x14ac:dyDescent="0.2">
      <c r="A28" s="139"/>
      <c r="B28" s="139"/>
      <c r="C28" s="49">
        <v>1</v>
      </c>
      <c r="D28" s="50" t="s">
        <v>324</v>
      </c>
      <c r="E28" s="137">
        <f>$E$27</f>
        <v>44262</v>
      </c>
      <c r="F28" s="137">
        <f>$F$27</f>
        <v>44267.253750000003</v>
      </c>
      <c r="G28" s="97">
        <f>$G$27</f>
        <v>6</v>
      </c>
      <c r="H28" s="97">
        <f t="shared" ref="H28:H32" si="13">ROUND(G28/7,1)</f>
        <v>0.9</v>
      </c>
      <c r="I28" s="97">
        <f t="shared" si="12"/>
        <v>0.2</v>
      </c>
      <c r="J28" s="294">
        <v>12000</v>
      </c>
      <c r="K28" s="295">
        <f>I28*J28</f>
        <v>2400</v>
      </c>
      <c r="L28" s="292"/>
      <c r="M28" s="262"/>
      <c r="N28" s="262"/>
      <c r="O28" s="104"/>
      <c r="P28" s="194"/>
      <c r="R28" s="95"/>
      <c r="S28" s="95"/>
      <c r="T28" s="95"/>
      <c r="U28" s="94"/>
    </row>
    <row r="29" spans="1:21" s="235" customFormat="1" ht="13.5" customHeight="1" x14ac:dyDescent="0.2">
      <c r="A29" s="236"/>
      <c r="B29" s="236"/>
      <c r="C29" s="49">
        <v>2</v>
      </c>
      <c r="D29" s="50" t="s">
        <v>323</v>
      </c>
      <c r="E29" s="137">
        <f>$E$27</f>
        <v>44262</v>
      </c>
      <c r="F29" s="137">
        <f>$F$27</f>
        <v>44267.253750000003</v>
      </c>
      <c r="G29" s="97">
        <f>$G$27</f>
        <v>6</v>
      </c>
      <c r="H29" s="97">
        <f t="shared" si="13"/>
        <v>0.9</v>
      </c>
      <c r="I29" s="97">
        <f t="shared" si="12"/>
        <v>0.2</v>
      </c>
      <c r="J29" s="294">
        <v>24000</v>
      </c>
      <c r="K29" s="295">
        <f>I29*J29</f>
        <v>4800</v>
      </c>
      <c r="L29" s="292"/>
      <c r="M29" s="262"/>
      <c r="N29" s="262"/>
      <c r="R29" s="95"/>
      <c r="S29" s="95"/>
      <c r="T29" s="95"/>
    </row>
    <row r="30" spans="1:21" s="104" customFormat="1" ht="15" x14ac:dyDescent="0.2">
      <c r="A30" s="139"/>
      <c r="B30" s="139"/>
      <c r="C30" s="209" t="s">
        <v>321</v>
      </c>
      <c r="D30" s="210" t="s">
        <v>26</v>
      </c>
      <c r="E30" s="211">
        <f>'Alcance y tiempo'!P148</f>
        <v>44268.253750000003</v>
      </c>
      <c r="F30" s="211">
        <f>'Alcance y tiempo'!Q148</f>
        <v>44274.467187499999</v>
      </c>
      <c r="G30" s="209">
        <f>ROUNDUP(F30-E30,0)</f>
        <v>7</v>
      </c>
      <c r="H30" s="212">
        <f>ROUNDUP(G30/7,1)</f>
        <v>1</v>
      </c>
      <c r="I30" s="209">
        <f t="shared" si="12"/>
        <v>0.2</v>
      </c>
      <c r="J30" s="293"/>
      <c r="K30" s="293"/>
      <c r="L30" s="292">
        <f>ROUND(SUM('Fechas y costos'!K31:K32)/'Alcance y tiempo'!P108,1)</f>
        <v>170.6</v>
      </c>
      <c r="M30" s="262"/>
      <c r="N30" s="262">
        <f>ROUND(L30*100/40,0)*1.15</f>
        <v>491.04999999999995</v>
      </c>
      <c r="T30" s="185"/>
    </row>
    <row r="31" spans="1:21" s="102" customFormat="1" ht="13.5" customHeight="1" x14ac:dyDescent="0.2">
      <c r="A31" s="139"/>
      <c r="B31" s="139"/>
      <c r="C31" s="49">
        <v>1</v>
      </c>
      <c r="D31" s="50" t="s">
        <v>324</v>
      </c>
      <c r="E31" s="137">
        <f>$E$30</f>
        <v>44268.253750000003</v>
      </c>
      <c r="F31" s="137">
        <f>$F$30</f>
        <v>44274.467187499999</v>
      </c>
      <c r="G31" s="97">
        <f>$G$30</f>
        <v>7</v>
      </c>
      <c r="H31" s="97">
        <f t="shared" si="13"/>
        <v>1</v>
      </c>
      <c r="I31" s="97">
        <f t="shared" si="12"/>
        <v>0.2</v>
      </c>
      <c r="J31" s="294">
        <v>12000</v>
      </c>
      <c r="K31" s="295">
        <f>I31*J31</f>
        <v>2400</v>
      </c>
      <c r="L31" s="292"/>
      <c r="M31" s="262"/>
      <c r="N31" s="262"/>
      <c r="O31" s="104"/>
      <c r="P31" s="194"/>
      <c r="R31" s="95"/>
      <c r="S31" s="95"/>
      <c r="T31" s="95"/>
      <c r="U31" s="94"/>
    </row>
    <row r="32" spans="1:21" s="235" customFormat="1" ht="13.5" customHeight="1" x14ac:dyDescent="0.2">
      <c r="A32" s="236"/>
      <c r="B32" s="236"/>
      <c r="C32" s="49">
        <v>2</v>
      </c>
      <c r="D32" s="50" t="s">
        <v>323</v>
      </c>
      <c r="E32" s="137">
        <f>$E$30</f>
        <v>44268.253750000003</v>
      </c>
      <c r="F32" s="137">
        <f>$F$30</f>
        <v>44274.467187499999</v>
      </c>
      <c r="G32" s="97">
        <f>$G$30</f>
        <v>7</v>
      </c>
      <c r="H32" s="97">
        <f t="shared" si="13"/>
        <v>1</v>
      </c>
      <c r="I32" s="97">
        <f t="shared" si="12"/>
        <v>0.2</v>
      </c>
      <c r="J32" s="294">
        <v>24000</v>
      </c>
      <c r="K32" s="295">
        <f t="shared" ref="K32" si="14">I32*J32</f>
        <v>4800</v>
      </c>
      <c r="L32" s="292"/>
      <c r="M32" s="262"/>
      <c r="N32" s="262"/>
      <c r="R32" s="95"/>
      <c r="S32" s="95"/>
      <c r="T32" s="95"/>
      <c r="U32" s="95"/>
    </row>
    <row r="33" spans="1:21" ht="9.75" customHeight="1" x14ac:dyDescent="0.25">
      <c r="A33" s="33"/>
      <c r="B33" s="33"/>
      <c r="C33" s="51"/>
      <c r="D33" s="51"/>
      <c r="E33" s="51"/>
      <c r="F33" s="51"/>
      <c r="G33" s="51"/>
      <c r="H33" s="51"/>
      <c r="I33" s="51"/>
      <c r="J33" s="46"/>
      <c r="K33" s="46"/>
      <c r="L33" s="33"/>
      <c r="R33" s="95"/>
      <c r="S33" s="95"/>
      <c r="T33" s="77"/>
      <c r="U33" s="95"/>
    </row>
    <row r="34" spans="1:21" ht="13.5" customHeight="1" x14ac:dyDescent="0.2">
      <c r="A34" s="33"/>
      <c r="B34" s="33"/>
      <c r="C34" s="52"/>
      <c r="D34" s="53"/>
      <c r="E34" s="53"/>
      <c r="F34" s="53"/>
      <c r="G34" s="53"/>
      <c r="H34" s="53"/>
      <c r="I34" s="54"/>
      <c r="L34" s="33" t="s">
        <v>80</v>
      </c>
      <c r="N34" s="3" t="s">
        <v>18</v>
      </c>
      <c r="R34" s="95"/>
      <c r="S34" s="95"/>
      <c r="T34" s="95"/>
      <c r="U34" s="95"/>
    </row>
    <row r="35" spans="1:21" ht="18" x14ac:dyDescent="0.2">
      <c r="A35" s="33"/>
      <c r="B35" s="33"/>
      <c r="J35" s="39" t="s">
        <v>464</v>
      </c>
      <c r="K35" s="243">
        <f>SUM(K20:K32)</f>
        <v>172800</v>
      </c>
      <c r="L35" s="3">
        <v>64800</v>
      </c>
      <c r="N35" s="194">
        <v>166880</v>
      </c>
      <c r="O35" s="235" t="s">
        <v>548</v>
      </c>
      <c r="P35" s="235"/>
      <c r="R35" s="95"/>
      <c r="S35" s="95"/>
      <c r="T35" s="77"/>
      <c r="U35" s="95"/>
    </row>
    <row r="36" spans="1:21" x14ac:dyDescent="0.2">
      <c r="A36" s="33"/>
      <c r="B36" s="33"/>
      <c r="K36" s="77"/>
      <c r="L36" s="33">
        <v>63600</v>
      </c>
      <c r="N36" s="3">
        <v>171624</v>
      </c>
      <c r="O36" s="3" t="s">
        <v>549</v>
      </c>
      <c r="R36" s="95"/>
      <c r="S36" s="95"/>
      <c r="T36" s="95"/>
      <c r="U36" s="95"/>
    </row>
    <row r="37" spans="1:21" s="235" customFormat="1" ht="18" x14ac:dyDescent="0.2">
      <c r="A37" s="236"/>
      <c r="B37" s="236"/>
      <c r="C37" s="192"/>
      <c r="D37" s="193"/>
      <c r="E37" s="193"/>
      <c r="F37" s="193"/>
      <c r="G37" s="193"/>
      <c r="H37" s="193"/>
      <c r="I37" s="193"/>
      <c r="J37" s="39" t="s">
        <v>463</v>
      </c>
      <c r="K37" s="243">
        <f>K35*1.15</f>
        <v>198719.99999999997</v>
      </c>
      <c r="L37" s="236"/>
      <c r="R37" s="95"/>
      <c r="S37" s="95"/>
      <c r="T37" s="95"/>
      <c r="U37" s="95"/>
    </row>
    <row r="38" spans="1:21" s="235" customFormat="1" x14ac:dyDescent="0.2">
      <c r="A38" s="236"/>
      <c r="B38" s="236"/>
      <c r="C38" s="192"/>
      <c r="D38" s="193"/>
      <c r="E38" s="193"/>
      <c r="F38" s="193"/>
      <c r="G38" s="193"/>
      <c r="H38" s="193"/>
      <c r="I38" s="193"/>
      <c r="K38" s="77"/>
      <c r="L38" s="236"/>
      <c r="R38" s="95"/>
      <c r="S38" s="95"/>
      <c r="T38" s="95"/>
      <c r="U38" s="95"/>
    </row>
    <row r="39" spans="1:21" s="235" customFormat="1" x14ac:dyDescent="0.2">
      <c r="A39" s="236"/>
      <c r="B39" s="236"/>
      <c r="C39" s="192"/>
      <c r="D39" s="193"/>
      <c r="E39" s="193"/>
      <c r="F39" s="193"/>
      <c r="G39" s="193"/>
      <c r="H39" s="193"/>
      <c r="I39" s="193"/>
      <c r="K39" s="77"/>
      <c r="L39" s="236"/>
      <c r="R39" s="95"/>
      <c r="S39" s="95"/>
      <c r="T39" s="95"/>
      <c r="U39" s="95"/>
    </row>
    <row r="40" spans="1:21" x14ac:dyDescent="0.2">
      <c r="A40" s="33"/>
      <c r="B40" s="33"/>
      <c r="K40" s="216" t="s">
        <v>309</v>
      </c>
      <c r="L40" s="216" t="s">
        <v>310</v>
      </c>
      <c r="N40" s="216" t="s">
        <v>490</v>
      </c>
      <c r="R40" s="95"/>
      <c r="S40" s="95"/>
      <c r="T40" s="77"/>
      <c r="U40" s="95"/>
    </row>
    <row r="41" spans="1:21" ht="18" x14ac:dyDescent="0.25">
      <c r="A41" s="33"/>
      <c r="B41" s="33"/>
      <c r="J41" s="83" t="s">
        <v>79</v>
      </c>
      <c r="K41" s="223">
        <v>0.6</v>
      </c>
      <c r="L41" s="224">
        <f>1-K37/L42</f>
        <v>0.50287686996547765</v>
      </c>
      <c r="N41" s="224">
        <f>1-K35/N42</f>
        <v>0.56771901736128483</v>
      </c>
      <c r="R41" s="86"/>
      <c r="S41" s="86"/>
      <c r="T41" s="86"/>
    </row>
    <row r="42" spans="1:21" ht="18" x14ac:dyDescent="0.2">
      <c r="A42" s="33"/>
      <c r="B42" s="33"/>
      <c r="J42" s="83" t="s">
        <v>78</v>
      </c>
      <c r="K42" s="242">
        <f>K37/(1-K41)</f>
        <v>496799.99999999988</v>
      </c>
      <c r="L42" s="244">
        <f>Inversión!K19</f>
        <v>399740</v>
      </c>
      <c r="N42" s="244">
        <f>Inversión!K19</f>
        <v>399740</v>
      </c>
    </row>
    <row r="43" spans="1:21" x14ac:dyDescent="0.2">
      <c r="A43" s="33"/>
      <c r="B43" s="33"/>
      <c r="K43" s="102"/>
      <c r="L43" s="33"/>
    </row>
    <row r="44" spans="1:21" x14ac:dyDescent="0.2">
      <c r="A44" s="33"/>
      <c r="B44" s="33"/>
      <c r="L44" s="33"/>
    </row>
    <row r="45" spans="1:21" x14ac:dyDescent="0.2">
      <c r="A45" s="33"/>
      <c r="B45" s="33"/>
      <c r="L45" s="33"/>
    </row>
    <row r="46" spans="1:21" x14ac:dyDescent="0.2">
      <c r="A46" s="33"/>
      <c r="B46" s="33"/>
      <c r="L46" s="33"/>
    </row>
    <row r="47" spans="1:21" x14ac:dyDescent="0.2">
      <c r="A47" s="33"/>
      <c r="B47" s="33"/>
      <c r="L47" s="33"/>
    </row>
    <row r="48" spans="1:21" x14ac:dyDescent="0.2">
      <c r="A48" s="33"/>
      <c r="B48" s="33"/>
      <c r="L48" s="33"/>
    </row>
    <row r="49" spans="1:12" x14ac:dyDescent="0.2">
      <c r="A49" s="33"/>
      <c r="B49" s="33"/>
      <c r="L49" s="33"/>
    </row>
    <row r="50" spans="1:12" x14ac:dyDescent="0.2">
      <c r="A50" s="33"/>
      <c r="B50" s="33"/>
      <c r="L50" s="33"/>
    </row>
    <row r="51" spans="1:12" x14ac:dyDescent="0.2">
      <c r="A51" s="33"/>
      <c r="B51" s="33"/>
      <c r="L51" s="33"/>
    </row>
    <row r="52" spans="1:12" x14ac:dyDescent="0.2">
      <c r="A52" s="33"/>
      <c r="B52" s="33"/>
      <c r="L52" s="33"/>
    </row>
    <row r="53" spans="1:12" ht="14.25" x14ac:dyDescent="0.2">
      <c r="A53" s="30"/>
      <c r="B53" s="30"/>
      <c r="L53" s="33"/>
    </row>
    <row r="54" spans="1:12" ht="14.25" x14ac:dyDescent="0.2">
      <c r="L54" s="30"/>
    </row>
    <row r="57" spans="1:12" ht="14.25" x14ac:dyDescent="0.2">
      <c r="A57" s="30"/>
      <c r="B57" s="30"/>
    </row>
    <row r="58" spans="1:12" ht="14.25" x14ac:dyDescent="0.2">
      <c r="L58" s="30"/>
    </row>
    <row r="85" spans="1:12" x14ac:dyDescent="0.2">
      <c r="A85" s="55"/>
      <c r="B85" s="55"/>
    </row>
    <row r="86" spans="1:12" x14ac:dyDescent="0.2">
      <c r="L86" s="55"/>
    </row>
    <row r="88" spans="1:12" x14ac:dyDescent="0.2">
      <c r="A88" s="55"/>
      <c r="B88" s="55"/>
    </row>
    <row r="89" spans="1:12" ht="14.25" x14ac:dyDescent="0.3">
      <c r="A89" s="56"/>
      <c r="B89" s="56"/>
      <c r="L89" s="55"/>
    </row>
    <row r="90" spans="1:12" ht="14.25" x14ac:dyDescent="0.3">
      <c r="L90" s="56"/>
    </row>
  </sheetData>
  <mergeCells count="4">
    <mergeCell ref="C7:K7"/>
    <mergeCell ref="C16:K16"/>
    <mergeCell ref="C9:K9"/>
    <mergeCell ref="T16:T1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5"/>
  <sheetViews>
    <sheetView showGridLines="0" zoomScale="90" zoomScaleNormal="90" workbookViewId="0">
      <selection activeCell="C9" sqref="C9:K19"/>
    </sheetView>
  </sheetViews>
  <sheetFormatPr baseColWidth="10" defaultColWidth="10" defaultRowHeight="12.75" x14ac:dyDescent="0.2"/>
  <cols>
    <col min="1" max="1" width="1.7109375" style="3" customWidth="1"/>
    <col min="2" max="2" width="1.7109375" style="34" customWidth="1"/>
    <col min="3" max="3" width="21.7109375" style="1" customWidth="1"/>
    <col min="4" max="4" width="15.42578125" style="1" customWidth="1"/>
    <col min="5" max="5" width="17.140625" style="1" customWidth="1"/>
    <col min="6" max="6" width="12.85546875" style="1" hidden="1" customWidth="1"/>
    <col min="7" max="8" width="15.42578125" style="192" hidden="1" customWidth="1"/>
    <col min="9" max="9" width="13.140625" style="1" customWidth="1"/>
    <col min="10" max="10" width="19.5703125" style="2" customWidth="1"/>
    <col min="11" max="11" width="21.7109375" style="57" customWidth="1"/>
    <col min="12" max="12" width="12" style="3" customWidth="1"/>
    <col min="13" max="13" width="13.28515625" style="3" bestFit="1" customWidth="1"/>
    <col min="14" max="14" width="13.5703125" style="3" customWidth="1"/>
    <col min="15" max="15" width="10" style="3"/>
    <col min="16" max="16" width="12.140625" style="3" bestFit="1" customWidth="1"/>
    <col min="17" max="16384" width="10" style="3"/>
  </cols>
  <sheetData>
    <row r="1" spans="2:13" ht="15" customHeight="1" x14ac:dyDescent="0.2">
      <c r="C1" s="3"/>
      <c r="E1" s="2"/>
      <c r="F1" s="2"/>
      <c r="G1" s="83"/>
      <c r="H1" s="83"/>
      <c r="I1" s="83"/>
      <c r="J1" s="6"/>
      <c r="K1" s="3"/>
    </row>
    <row r="2" spans="2:13" ht="15" customHeight="1" x14ac:dyDescent="0.2">
      <c r="B2" s="71"/>
      <c r="C2" s="58"/>
      <c r="E2" s="2"/>
      <c r="F2" s="2"/>
      <c r="G2" s="83"/>
      <c r="H2" s="83"/>
      <c r="I2" s="83"/>
      <c r="J2" s="58"/>
      <c r="K2" s="81" t="s">
        <v>0</v>
      </c>
    </row>
    <row r="3" spans="2:13" ht="15" customHeight="1" x14ac:dyDescent="0.2">
      <c r="B3" s="72"/>
      <c r="C3" s="5"/>
      <c r="D3" s="59"/>
      <c r="E3" s="2"/>
      <c r="F3" s="2"/>
      <c r="G3" s="60"/>
      <c r="H3" s="60"/>
      <c r="I3" s="60"/>
      <c r="J3" s="79"/>
      <c r="K3" s="79" t="str">
        <f>'Información proyecto'!C3</f>
        <v>Versión: 0.1</v>
      </c>
    </row>
    <row r="4" spans="2:13" ht="1.5" customHeight="1" x14ac:dyDescent="0.2">
      <c r="C4" s="7"/>
      <c r="D4" s="20"/>
      <c r="E4" s="20"/>
      <c r="F4" s="20"/>
      <c r="G4" s="84"/>
      <c r="H4" s="84"/>
      <c r="I4" s="84"/>
      <c r="J4" s="85"/>
      <c r="K4" s="85">
        <f>'Información proyecto'!C4</f>
        <v>0</v>
      </c>
    </row>
    <row r="5" spans="2:13" ht="15" customHeight="1" x14ac:dyDescent="0.2">
      <c r="C5" s="3"/>
      <c r="D5" s="11"/>
      <c r="E5" s="11"/>
      <c r="F5" s="11"/>
      <c r="G5" s="82"/>
      <c r="H5" s="82"/>
      <c r="I5" s="82"/>
      <c r="J5" s="6"/>
      <c r="K5" s="79" t="str">
        <f>'Información proyecto'!C5</f>
        <v>Proyecto: Generador de formatos</v>
      </c>
    </row>
    <row r="6" spans="2:13" x14ac:dyDescent="0.2">
      <c r="C6" s="9"/>
      <c r="D6" s="9"/>
      <c r="E6" s="9"/>
      <c r="F6" s="131"/>
      <c r="G6" s="82"/>
      <c r="H6" s="82"/>
      <c r="I6" s="82"/>
      <c r="J6" s="82"/>
      <c r="K6" s="3"/>
    </row>
    <row r="7" spans="2:13" x14ac:dyDescent="0.2">
      <c r="C7" s="467" t="s">
        <v>48</v>
      </c>
      <c r="D7" s="467"/>
      <c r="E7" s="467"/>
      <c r="F7" s="467"/>
      <c r="G7" s="467"/>
      <c r="H7" s="467"/>
      <c r="I7" s="467"/>
      <c r="J7" s="467"/>
      <c r="K7" s="467"/>
    </row>
    <row r="8" spans="2:13" ht="18.75" customHeight="1" x14ac:dyDescent="0.2">
      <c r="C8" s="12"/>
      <c r="D8" s="12"/>
      <c r="E8" s="12"/>
      <c r="F8" s="12"/>
      <c r="G8" s="135"/>
      <c r="H8" s="135"/>
      <c r="I8" s="12"/>
      <c r="J8" s="12"/>
      <c r="K8" s="60"/>
    </row>
    <row r="9" spans="2:13" ht="24.75" customHeight="1" x14ac:dyDescent="0.2">
      <c r="C9" s="481" t="s">
        <v>10</v>
      </c>
      <c r="D9" s="482"/>
      <c r="E9" s="483"/>
      <c r="F9" s="175" t="s">
        <v>257</v>
      </c>
      <c r="G9" s="175" t="s">
        <v>273</v>
      </c>
      <c r="H9" s="175" t="s">
        <v>294</v>
      </c>
      <c r="I9" s="175" t="s">
        <v>49</v>
      </c>
      <c r="J9" s="175" t="s">
        <v>50</v>
      </c>
      <c r="K9" s="175" t="s">
        <v>51</v>
      </c>
      <c r="M9" s="77"/>
    </row>
    <row r="10" spans="2:13" s="30" customFormat="1" ht="20.100000000000001" customHeight="1" x14ac:dyDescent="0.25">
      <c r="B10" s="73"/>
      <c r="C10" s="484" t="s">
        <v>52</v>
      </c>
      <c r="D10" s="484"/>
      <c r="E10" s="484"/>
      <c r="F10" s="392">
        <f>SUM(F11:F14)</f>
        <v>1.8936458333333333</v>
      </c>
      <c r="G10" s="393">
        <f>SUM(G11:G14)</f>
        <v>172800</v>
      </c>
      <c r="H10" s="393">
        <f>SUM(H11:H14)</f>
        <v>2659.8272044520827</v>
      </c>
      <c r="I10" s="397">
        <f>SUM(I11:I14)</f>
        <v>506</v>
      </c>
      <c r="J10" s="398"/>
      <c r="K10" s="399">
        <f>SUM(K11:K14)</f>
        <v>399740</v>
      </c>
    </row>
    <row r="11" spans="2:13" ht="20.100000000000001" customHeight="1" x14ac:dyDescent="0.2">
      <c r="B11" s="61"/>
      <c r="C11" s="478" t="s">
        <v>8</v>
      </c>
      <c r="D11" s="478"/>
      <c r="E11" s="478"/>
      <c r="F11" s="394">
        <f>(I11/160)/1.5</f>
        <v>0.72208333333333341</v>
      </c>
      <c r="G11" s="395">
        <f>SUM('Fechas y costos'!K20:K21)</f>
        <v>36000</v>
      </c>
      <c r="H11" s="395">
        <f>G11/I11*100/40</f>
        <v>519.33064050778989</v>
      </c>
      <c r="I11" s="395">
        <f>'Alcance y tiempo'!P11</f>
        <v>173.3</v>
      </c>
      <c r="J11" s="396">
        <v>790</v>
      </c>
      <c r="K11" s="396">
        <f>I11*J11</f>
        <v>136907</v>
      </c>
      <c r="L11" s="262">
        <f>J11-(J11*I16)</f>
        <v>790</v>
      </c>
      <c r="M11" s="77"/>
    </row>
    <row r="12" spans="2:13" ht="20.100000000000001" customHeight="1" x14ac:dyDescent="0.2">
      <c r="B12" s="61"/>
      <c r="C12" s="478" t="s">
        <v>53</v>
      </c>
      <c r="D12" s="478"/>
      <c r="E12" s="478"/>
      <c r="F12" s="394">
        <f>(I12/160)/2</f>
        <v>0.79906250000000001</v>
      </c>
      <c r="G12" s="395">
        <f>SUM('Fechas y costos'!K23:K26)</f>
        <v>122400</v>
      </c>
      <c r="H12" s="395">
        <f t="shared" ref="H12:H14" si="0">G12/I12*100/40</f>
        <v>1196.7149002737583</v>
      </c>
      <c r="I12" s="395">
        <f>'Alcance y tiempo'!P40</f>
        <v>255.70000000000002</v>
      </c>
      <c r="J12" s="396">
        <v>790</v>
      </c>
      <c r="K12" s="396">
        <f>I12*J12</f>
        <v>202003</v>
      </c>
    </row>
    <row r="13" spans="2:13" ht="20.100000000000001" customHeight="1" x14ac:dyDescent="0.2">
      <c r="B13" s="61"/>
      <c r="C13" s="478" t="s">
        <v>54</v>
      </c>
      <c r="D13" s="478"/>
      <c r="E13" s="478"/>
      <c r="F13" s="394">
        <f>(I13/160)/2</f>
        <v>0.10874999999999999</v>
      </c>
      <c r="G13" s="395">
        <f>SUM('Fechas y costos'!K28:K29)</f>
        <v>7200</v>
      </c>
      <c r="H13" s="395">
        <f t="shared" si="0"/>
        <v>517.24137931034488</v>
      </c>
      <c r="I13" s="395">
        <f>'Alcance y tiempo'!P94</f>
        <v>34.799999999999997</v>
      </c>
      <c r="J13" s="396">
        <v>790</v>
      </c>
      <c r="K13" s="396">
        <f>I13*J13</f>
        <v>27491.999999999996</v>
      </c>
    </row>
    <row r="14" spans="2:13" ht="20.100000000000001" customHeight="1" x14ac:dyDescent="0.2">
      <c r="B14" s="61"/>
      <c r="C14" s="478" t="s">
        <v>55</v>
      </c>
      <c r="D14" s="478"/>
      <c r="E14" s="478"/>
      <c r="F14" s="394">
        <f>(I14/160)/1</f>
        <v>0.26375000000000004</v>
      </c>
      <c r="G14" s="395">
        <f>SUM('Fechas y costos'!K31:K32)</f>
        <v>7200</v>
      </c>
      <c r="H14" s="395">
        <f t="shared" si="0"/>
        <v>426.54028436018945</v>
      </c>
      <c r="I14" s="395">
        <f>'Alcance y tiempo'!P108</f>
        <v>42.20000000000001</v>
      </c>
      <c r="J14" s="396">
        <v>790</v>
      </c>
      <c r="K14" s="396">
        <f>I14*J14</f>
        <v>33338.000000000007</v>
      </c>
    </row>
    <row r="15" spans="2:13" s="30" customFormat="1" ht="19.5" hidden="1" customHeight="1" x14ac:dyDescent="0.25">
      <c r="B15" s="73"/>
      <c r="C15" s="480" t="s">
        <v>467</v>
      </c>
      <c r="D15" s="480"/>
      <c r="E15" s="480"/>
      <c r="F15" s="132"/>
      <c r="G15" s="62"/>
      <c r="H15" s="62"/>
      <c r="I15" s="62"/>
      <c r="J15" s="62"/>
      <c r="K15" s="246">
        <f>K16</f>
        <v>0</v>
      </c>
      <c r="L15" s="30" t="s">
        <v>491</v>
      </c>
    </row>
    <row r="16" spans="2:13" ht="21" hidden="1" customHeight="1" x14ac:dyDescent="0.2">
      <c r="C16" s="479" t="s">
        <v>505</v>
      </c>
      <c r="D16" s="479"/>
      <c r="E16" s="479"/>
      <c r="F16" s="400"/>
      <c r="G16" s="401"/>
      <c r="H16" s="401"/>
      <c r="I16" s="402">
        <v>0</v>
      </c>
      <c r="J16" s="403"/>
      <c r="K16" s="403">
        <f>I16*K10</f>
        <v>0</v>
      </c>
    </row>
    <row r="17" spans="2:17" x14ac:dyDescent="0.2">
      <c r="C17" s="213"/>
      <c r="D17" s="213"/>
      <c r="E17" s="213"/>
      <c r="F17" s="213"/>
      <c r="G17" s="213"/>
      <c r="H17" s="213"/>
      <c r="I17" s="213"/>
      <c r="J17" s="247"/>
      <c r="K17" s="248"/>
    </row>
    <row r="18" spans="2:17" ht="7.5" customHeight="1" x14ac:dyDescent="0.2">
      <c r="C18" s="63"/>
      <c r="D18" s="63"/>
      <c r="E18" s="63"/>
      <c r="F18" s="63"/>
      <c r="G18" s="63"/>
      <c r="H18" s="63"/>
      <c r="I18" s="63"/>
      <c r="J18" s="249"/>
      <c r="K18" s="250"/>
    </row>
    <row r="19" spans="2:17" ht="18" x14ac:dyDescent="0.25">
      <c r="C19" s="64"/>
      <c r="D19" s="64"/>
      <c r="E19" s="64"/>
      <c r="F19" s="64"/>
      <c r="G19" s="64"/>
      <c r="H19" s="64"/>
      <c r="I19" s="64"/>
      <c r="J19" s="251" t="s">
        <v>258</v>
      </c>
      <c r="K19" s="391">
        <f>K10-K15</f>
        <v>399740</v>
      </c>
      <c r="L19" s="222">
        <f>'Fechas y costos'!L41</f>
        <v>0.50287686996547765</v>
      </c>
      <c r="M19" s="77" t="s">
        <v>308</v>
      </c>
      <c r="P19" s="262"/>
      <c r="Q19" s="298"/>
    </row>
    <row r="20" spans="2:17" x14ac:dyDescent="0.2">
      <c r="C20" s="65"/>
      <c r="D20" s="65"/>
      <c r="E20" s="65"/>
      <c r="F20" s="65"/>
      <c r="G20" s="65"/>
      <c r="H20" s="65"/>
      <c r="I20" s="65"/>
      <c r="J20" s="253"/>
      <c r="K20" s="254"/>
    </row>
    <row r="21" spans="2:17" s="235" customFormat="1" x14ac:dyDescent="0.2">
      <c r="B21" s="34"/>
      <c r="C21" s="65"/>
      <c r="D21" s="65"/>
      <c r="E21" s="65"/>
      <c r="F21" s="65"/>
      <c r="G21" s="65"/>
      <c r="H21" s="65"/>
      <c r="I21" s="65"/>
      <c r="J21" s="253"/>
      <c r="K21" s="254"/>
    </row>
    <row r="22" spans="2:17" x14ac:dyDescent="0.2">
      <c r="C22" s="65"/>
      <c r="D22" s="65"/>
      <c r="E22" s="65"/>
      <c r="F22" s="65"/>
      <c r="G22" s="65"/>
      <c r="H22" s="65"/>
      <c r="I22" s="65"/>
      <c r="J22" s="253"/>
      <c r="K22" s="254"/>
    </row>
    <row r="23" spans="2:17" s="1" customFormat="1" ht="21.75" customHeight="1" x14ac:dyDescent="0.2">
      <c r="B23" s="74"/>
      <c r="G23" s="192"/>
      <c r="H23" s="192"/>
      <c r="I23" s="175" t="s">
        <v>49</v>
      </c>
      <c r="J23" s="255" t="s">
        <v>50</v>
      </c>
      <c r="K23" s="255" t="s">
        <v>51</v>
      </c>
      <c r="L23" s="3"/>
      <c r="M23" s="3"/>
      <c r="N23" s="3"/>
    </row>
    <row r="24" spans="2:17" s="1" customFormat="1" ht="15" x14ac:dyDescent="0.25">
      <c r="B24" s="74"/>
      <c r="G24" s="192"/>
      <c r="H24" s="192"/>
      <c r="I24" s="176">
        <f>SUM(I25:I28)</f>
        <v>506</v>
      </c>
      <c r="J24" s="256"/>
      <c r="K24" s="257">
        <f>SUM(K25:K28)</f>
        <v>496830.59</v>
      </c>
      <c r="L24" s="3"/>
      <c r="M24" s="3"/>
      <c r="N24" s="3"/>
    </row>
    <row r="25" spans="2:17" x14ac:dyDescent="0.2">
      <c r="I25" s="177">
        <f>'Alcance y tiempo'!P11</f>
        <v>173.3</v>
      </c>
      <c r="J25" s="245">
        <f>'Fechas y costos'!N19</f>
        <v>596.84999999999991</v>
      </c>
      <c r="K25" s="245">
        <f>I25*J25</f>
        <v>103434.105</v>
      </c>
    </row>
    <row r="26" spans="2:17" x14ac:dyDescent="0.2">
      <c r="I26" s="177">
        <f>'Alcance y tiempo'!P40</f>
        <v>255.70000000000002</v>
      </c>
      <c r="J26" s="245">
        <f>'Fechas y costos'!N22</f>
        <v>1376.55</v>
      </c>
      <c r="K26" s="245">
        <f>I26*J26</f>
        <v>351983.83500000002</v>
      </c>
    </row>
    <row r="27" spans="2:17" x14ac:dyDescent="0.2">
      <c r="I27" s="177">
        <f>'Alcance y tiempo'!P94</f>
        <v>34.799999999999997</v>
      </c>
      <c r="J27" s="245">
        <f>'Fechas y costos'!N27</f>
        <v>594.54999999999995</v>
      </c>
      <c r="K27" s="245">
        <f>I27*J27</f>
        <v>20690.339999999997</v>
      </c>
    </row>
    <row r="28" spans="2:17" x14ac:dyDescent="0.2">
      <c r="I28" s="177">
        <f>'Alcance y tiempo'!P108</f>
        <v>42.20000000000001</v>
      </c>
      <c r="J28" s="245">
        <f>'Fechas y costos'!N30</f>
        <v>491.04999999999995</v>
      </c>
      <c r="K28" s="245">
        <f>I28*J28</f>
        <v>20722.310000000001</v>
      </c>
    </row>
    <row r="29" spans="2:17" x14ac:dyDescent="0.2">
      <c r="J29" s="258"/>
      <c r="K29" s="258"/>
    </row>
    <row r="30" spans="2:17" x14ac:dyDescent="0.2">
      <c r="J30" s="258"/>
      <c r="K30" s="258"/>
    </row>
    <row r="31" spans="2:17" ht="18" x14ac:dyDescent="0.2">
      <c r="J31" s="259" t="s">
        <v>258</v>
      </c>
      <c r="K31" s="252">
        <f>K25+K26+K27+K28</f>
        <v>496830.59</v>
      </c>
      <c r="L31" s="222">
        <f>(K31-('Fechas y costos'!K37))/K31</f>
        <v>0.60002462811317647</v>
      </c>
      <c r="M31" s="77" t="s">
        <v>308</v>
      </c>
    </row>
    <row r="32" spans="2:17" x14ac:dyDescent="0.2">
      <c r="J32" s="258"/>
      <c r="K32" s="258"/>
      <c r="L32" s="222"/>
    </row>
    <row r="33" spans="10:11" x14ac:dyDescent="0.2">
      <c r="J33" s="144"/>
      <c r="K33" s="193"/>
    </row>
    <row r="34" spans="10:11" x14ac:dyDescent="0.2">
      <c r="K34" s="193"/>
    </row>
    <row r="35" spans="10:11" x14ac:dyDescent="0.2">
      <c r="K35" s="193"/>
    </row>
  </sheetData>
  <mergeCells count="9">
    <mergeCell ref="C13:E13"/>
    <mergeCell ref="C14:E14"/>
    <mergeCell ref="C16:E16"/>
    <mergeCell ref="C15:E15"/>
    <mergeCell ref="C7:K7"/>
    <mergeCell ref="C9:E9"/>
    <mergeCell ref="C10:E10"/>
    <mergeCell ref="C11:E11"/>
    <mergeCell ref="C12:E12"/>
  </mergeCells>
  <pageMargins left="0.7" right="0.7" top="0.75" bottom="0.75" header="0.3" footer="0.3"/>
  <pageSetup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88"/>
  <sheetViews>
    <sheetView showGridLines="0" zoomScale="90" zoomScaleNormal="90" zoomScaleSheetLayoutView="100" workbookViewId="0">
      <selection activeCell="I15" sqref="I15"/>
    </sheetView>
  </sheetViews>
  <sheetFormatPr baseColWidth="10" defaultColWidth="11.42578125" defaultRowHeight="12.75" x14ac:dyDescent="0.2"/>
  <cols>
    <col min="1" max="2" width="1.7109375" style="3" customWidth="1"/>
    <col min="3" max="3" width="60.140625" style="3" customWidth="1"/>
    <col min="4" max="6" width="11.42578125" style="3"/>
    <col min="7" max="7" width="7.85546875" style="3" customWidth="1"/>
    <col min="8" max="16384" width="11.42578125" style="3"/>
  </cols>
  <sheetData>
    <row r="1" spans="3:7" ht="15" customHeight="1" x14ac:dyDescent="0.2">
      <c r="D1" s="1"/>
      <c r="E1" s="2"/>
      <c r="F1" s="57"/>
    </row>
    <row r="2" spans="3:7" ht="15" customHeight="1" x14ac:dyDescent="0.2">
      <c r="C2" s="58"/>
      <c r="D2" s="1"/>
      <c r="E2" s="2"/>
      <c r="F2" s="57"/>
      <c r="G2" s="81" t="s">
        <v>0</v>
      </c>
    </row>
    <row r="3" spans="3:7" ht="15" customHeight="1" x14ac:dyDescent="0.2">
      <c r="C3" s="79"/>
      <c r="D3" s="59"/>
      <c r="E3" s="2"/>
      <c r="F3" s="79"/>
      <c r="G3" s="79" t="str">
        <f>'Información proyecto'!C3</f>
        <v>Versión: 0.1</v>
      </c>
    </row>
    <row r="4" spans="3:7" ht="1.5" customHeight="1" x14ac:dyDescent="0.2">
      <c r="C4" s="78"/>
      <c r="D4" s="20"/>
      <c r="E4" s="20"/>
      <c r="F4" s="20"/>
      <c r="G4" s="85">
        <f>'Información proyecto'!C4</f>
        <v>0</v>
      </c>
    </row>
    <row r="5" spans="3:7" ht="15" customHeight="1" x14ac:dyDescent="0.2">
      <c r="C5" s="80"/>
      <c r="D5" s="59"/>
      <c r="E5" s="2"/>
      <c r="F5" s="80"/>
      <c r="G5" s="79" t="str">
        <f>'Información proyecto'!C5</f>
        <v>Proyecto: Generador de formatos</v>
      </c>
    </row>
    <row r="6" spans="3:7" x14ac:dyDescent="0.2">
      <c r="C6" s="96"/>
      <c r="D6" s="96"/>
      <c r="E6" s="96"/>
      <c r="F6" s="96"/>
    </row>
    <row r="7" spans="3:7" x14ac:dyDescent="0.2">
      <c r="C7" s="467" t="s">
        <v>56</v>
      </c>
      <c r="D7" s="467"/>
      <c r="E7" s="467"/>
      <c r="F7" s="467"/>
    </row>
    <row r="8" spans="3:7" ht="18.75" customHeight="1" x14ac:dyDescent="0.2">
      <c r="C8" s="96"/>
      <c r="D8" s="96"/>
      <c r="E8" s="96"/>
      <c r="F8" s="96"/>
    </row>
    <row r="9" spans="3:7" x14ac:dyDescent="0.2">
      <c r="C9" s="485" t="s">
        <v>57</v>
      </c>
      <c r="D9" s="485"/>
      <c r="E9" s="485"/>
      <c r="F9" s="485"/>
    </row>
    <row r="10" spans="3:7" x14ac:dyDescent="0.2">
      <c r="C10" s="24"/>
      <c r="D10" s="24"/>
      <c r="E10" s="24"/>
      <c r="F10" s="24"/>
    </row>
    <row r="11" spans="3:7" x14ac:dyDescent="0.2">
      <c r="C11" s="24"/>
      <c r="D11" s="24"/>
      <c r="E11" s="24"/>
      <c r="F11" s="24"/>
    </row>
    <row r="12" spans="3:7" x14ac:dyDescent="0.2">
      <c r="C12" s="24"/>
      <c r="D12" s="24"/>
      <c r="E12" s="24"/>
      <c r="F12" s="24"/>
    </row>
    <row r="13" spans="3:7" x14ac:dyDescent="0.2">
      <c r="C13" s="24"/>
      <c r="D13" s="24"/>
      <c r="E13" s="24"/>
      <c r="F13" s="24"/>
    </row>
    <row r="14" spans="3:7" x14ac:dyDescent="0.2">
      <c r="C14" s="24"/>
      <c r="D14" s="24"/>
      <c r="E14" s="24"/>
      <c r="F14" s="24"/>
    </row>
    <row r="15" spans="3:7" x14ac:dyDescent="0.2">
      <c r="C15" s="24"/>
      <c r="D15" s="24"/>
      <c r="E15" s="24"/>
      <c r="F15" s="24"/>
    </row>
    <row r="16" spans="3:7" x14ac:dyDescent="0.2">
      <c r="C16" s="24"/>
      <c r="D16" s="24"/>
      <c r="E16" s="24"/>
      <c r="F16" s="24"/>
    </row>
    <row r="17" spans="3:6" x14ac:dyDescent="0.2">
      <c r="C17" s="24"/>
      <c r="D17" s="24"/>
      <c r="E17" s="24"/>
      <c r="F17" s="24"/>
    </row>
    <row r="18" spans="3:6" x14ac:dyDescent="0.2">
      <c r="C18" s="24"/>
      <c r="D18" s="24"/>
      <c r="E18" s="24"/>
      <c r="F18" s="24"/>
    </row>
    <row r="19" spans="3:6" x14ac:dyDescent="0.2">
      <c r="C19" s="24"/>
      <c r="D19" s="24"/>
      <c r="E19" s="24"/>
      <c r="F19" s="24"/>
    </row>
    <row r="20" spans="3:6" x14ac:dyDescent="0.2">
      <c r="C20" s="24"/>
      <c r="D20" s="24"/>
      <c r="E20" s="24"/>
      <c r="F20" s="24"/>
    </row>
    <row r="21" spans="3:6" x14ac:dyDescent="0.2">
      <c r="C21" s="24"/>
      <c r="D21" s="24"/>
      <c r="E21" s="24"/>
      <c r="F21" s="24"/>
    </row>
    <row r="22" spans="3:6" x14ac:dyDescent="0.2">
      <c r="C22" s="24"/>
      <c r="D22" s="24"/>
      <c r="E22" s="24"/>
      <c r="F22" s="24"/>
    </row>
    <row r="23" spans="3:6" x14ac:dyDescent="0.2">
      <c r="C23" s="24"/>
      <c r="D23" s="24"/>
      <c r="E23" s="24"/>
      <c r="F23" s="24"/>
    </row>
    <row r="24" spans="3:6" x14ac:dyDescent="0.2">
      <c r="C24" s="24"/>
      <c r="D24" s="24"/>
      <c r="E24" s="24"/>
      <c r="F24" s="24"/>
    </row>
    <row r="25" spans="3:6" x14ac:dyDescent="0.2">
      <c r="C25" s="24"/>
      <c r="D25" s="24"/>
      <c r="E25" s="24"/>
      <c r="F25" s="24"/>
    </row>
    <row r="26" spans="3:6" x14ac:dyDescent="0.2">
      <c r="C26" s="24"/>
      <c r="D26" s="24"/>
      <c r="E26" s="24"/>
      <c r="F26" s="24"/>
    </row>
    <row r="27" spans="3:6" x14ac:dyDescent="0.2">
      <c r="C27" s="24"/>
      <c r="D27" s="24"/>
      <c r="E27" s="24"/>
      <c r="F27" s="24"/>
    </row>
    <row r="28" spans="3:6" x14ac:dyDescent="0.2">
      <c r="C28" s="24"/>
      <c r="D28" s="24"/>
      <c r="E28" s="24"/>
      <c r="F28" s="24"/>
    </row>
    <row r="29" spans="3:6" x14ac:dyDescent="0.2">
      <c r="C29" s="24"/>
      <c r="D29" s="24"/>
      <c r="E29" s="24"/>
      <c r="F29" s="24"/>
    </row>
    <row r="30" spans="3:6" x14ac:dyDescent="0.2">
      <c r="C30" s="24"/>
      <c r="D30" s="24"/>
      <c r="E30" s="24"/>
      <c r="F30" s="24"/>
    </row>
    <row r="31" spans="3:6" x14ac:dyDescent="0.2">
      <c r="C31" s="24"/>
      <c r="D31" s="24"/>
      <c r="E31" s="24"/>
      <c r="F31" s="24"/>
    </row>
    <row r="32" spans="3:6" x14ac:dyDescent="0.2">
      <c r="C32" s="24"/>
      <c r="D32" s="24"/>
      <c r="E32" s="24"/>
      <c r="F32" s="24"/>
    </row>
    <row r="33" spans="2:9" x14ac:dyDescent="0.2">
      <c r="C33" s="24"/>
      <c r="D33" s="24"/>
      <c r="E33" s="24"/>
      <c r="F33" s="24"/>
    </row>
    <row r="34" spans="2:9" x14ac:dyDescent="0.2">
      <c r="C34" s="24"/>
      <c r="D34" s="24"/>
      <c r="E34" s="24"/>
      <c r="F34" s="24"/>
    </row>
    <row r="35" spans="2:9" x14ac:dyDescent="0.2">
      <c r="C35" s="24"/>
      <c r="D35" s="24"/>
      <c r="E35" s="24"/>
      <c r="F35" s="24"/>
    </row>
    <row r="36" spans="2:9" x14ac:dyDescent="0.2">
      <c r="C36" s="24"/>
      <c r="D36" s="24"/>
      <c r="E36" s="24"/>
      <c r="F36" s="24"/>
      <c r="I36" s="105" t="s">
        <v>241</v>
      </c>
    </row>
    <row r="37" spans="2:9" x14ac:dyDescent="0.2">
      <c r="C37" s="24"/>
      <c r="D37" s="24"/>
      <c r="E37" s="24"/>
      <c r="F37" s="24"/>
      <c r="I37" s="128" t="s">
        <v>242</v>
      </c>
    </row>
    <row r="38" spans="2:9" x14ac:dyDescent="0.2">
      <c r="C38" s="24"/>
      <c r="D38" s="24"/>
      <c r="E38" s="24"/>
      <c r="F38" s="24"/>
    </row>
    <row r="39" spans="2:9" ht="15" x14ac:dyDescent="0.25">
      <c r="B39" s="1"/>
      <c r="C39" s="27" t="str">
        <f>'Alcance y tiempo'!L11</f>
        <v>ANÁLISIS Y DISEÑO</v>
      </c>
      <c r="D39" s="28"/>
      <c r="E39" s="28"/>
      <c r="F39" s="29">
        <f>'Alcance y tiempo'!P11</f>
        <v>173.3</v>
      </c>
    </row>
    <row r="40" spans="2:9" ht="15" x14ac:dyDescent="0.25">
      <c r="B40" s="1"/>
      <c r="C40" s="27" t="str">
        <f>'Alcance y tiempo'!L40</f>
        <v>CONSTRUCCIÓN</v>
      </c>
      <c r="D40" s="28"/>
      <c r="E40" s="28"/>
      <c r="F40" s="29">
        <f>'Alcance y tiempo'!P40</f>
        <v>255.70000000000002</v>
      </c>
    </row>
    <row r="41" spans="2:9" ht="15" x14ac:dyDescent="0.25">
      <c r="B41" s="1"/>
      <c r="C41" s="27" t="str">
        <f>'Alcance y tiempo'!L94</f>
        <v>INTEGRACIÓN</v>
      </c>
      <c r="D41" s="28"/>
      <c r="E41" s="28"/>
      <c r="F41" s="29">
        <f>'Alcance y tiempo'!P94</f>
        <v>34.799999999999997</v>
      </c>
    </row>
    <row r="42" spans="2:9" ht="15" x14ac:dyDescent="0.25">
      <c r="B42" s="1"/>
      <c r="C42" s="27" t="str">
        <f>'Alcance y tiempo'!L108</f>
        <v>IMPLEMENTACIÓN</v>
      </c>
      <c r="D42" s="28"/>
      <c r="E42" s="28"/>
      <c r="F42" s="29">
        <f>'Alcance y tiempo'!P108</f>
        <v>42.20000000000001</v>
      </c>
    </row>
    <row r="43" spans="2:9" ht="18" x14ac:dyDescent="0.25">
      <c r="C43" s="1"/>
      <c r="D43" s="1"/>
      <c r="E43" s="39" t="s">
        <v>32</v>
      </c>
      <c r="F43" s="66">
        <f>SUM(F39:F42)</f>
        <v>506</v>
      </c>
    </row>
    <row r="44" spans="2:9" x14ac:dyDescent="0.2">
      <c r="C44" s="1"/>
      <c r="D44" s="1"/>
      <c r="E44" s="2"/>
      <c r="F44" s="57"/>
    </row>
    <row r="45" spans="2:9" x14ac:dyDescent="0.2">
      <c r="C45" s="1"/>
      <c r="D45" s="1"/>
      <c r="E45" s="2"/>
      <c r="F45" s="57"/>
    </row>
    <row r="46" spans="2:9" x14ac:dyDescent="0.2">
      <c r="C46" s="1"/>
      <c r="D46" s="1"/>
      <c r="E46" s="2"/>
      <c r="F46" s="57"/>
    </row>
    <row r="47" spans="2:9" x14ac:dyDescent="0.2">
      <c r="C47" s="1"/>
      <c r="D47" s="1"/>
      <c r="E47" s="2"/>
      <c r="F47" s="57"/>
    </row>
    <row r="48" spans="2:9" x14ac:dyDescent="0.2">
      <c r="C48" s="1"/>
      <c r="D48" s="1"/>
      <c r="E48" s="2"/>
      <c r="F48" s="57"/>
    </row>
    <row r="49" spans="3:6" x14ac:dyDescent="0.2">
      <c r="C49" s="1"/>
      <c r="D49" s="1"/>
      <c r="E49" s="2"/>
      <c r="F49" s="57"/>
    </row>
    <row r="50" spans="3:6" x14ac:dyDescent="0.2">
      <c r="C50" s="1"/>
      <c r="D50" s="1"/>
      <c r="E50" s="2"/>
      <c r="F50" s="57"/>
    </row>
    <row r="51" spans="3:6" x14ac:dyDescent="0.2">
      <c r="C51" s="1"/>
      <c r="D51" s="1"/>
      <c r="E51" s="2"/>
      <c r="F51" s="57"/>
    </row>
    <row r="52" spans="3:6" x14ac:dyDescent="0.2">
      <c r="C52" s="1"/>
      <c r="D52" s="1"/>
      <c r="E52" s="2"/>
      <c r="F52" s="57"/>
    </row>
    <row r="53" spans="3:6" x14ac:dyDescent="0.2">
      <c r="C53" s="1"/>
      <c r="D53" s="1"/>
      <c r="E53" s="2"/>
      <c r="F53" s="57"/>
    </row>
    <row r="54" spans="3:6" x14ac:dyDescent="0.2">
      <c r="C54" s="1"/>
      <c r="D54" s="1"/>
      <c r="E54" s="2"/>
      <c r="F54" s="57"/>
    </row>
    <row r="55" spans="3:6" x14ac:dyDescent="0.2">
      <c r="C55" s="1"/>
      <c r="D55" s="1"/>
      <c r="E55" s="2"/>
      <c r="F55" s="57"/>
    </row>
    <row r="56" spans="3:6" x14ac:dyDescent="0.2">
      <c r="C56" s="1"/>
      <c r="D56" s="1"/>
      <c r="E56" s="2"/>
      <c r="F56" s="57"/>
    </row>
    <row r="57" spans="3:6" x14ac:dyDescent="0.2">
      <c r="C57" s="1"/>
      <c r="D57" s="1"/>
      <c r="E57" s="2"/>
      <c r="F57" s="57"/>
    </row>
    <row r="58" spans="3:6" x14ac:dyDescent="0.2">
      <c r="C58" s="1"/>
      <c r="D58" s="1"/>
      <c r="E58" s="2"/>
      <c r="F58" s="57"/>
    </row>
    <row r="59" spans="3:6" x14ac:dyDescent="0.2">
      <c r="C59" s="1"/>
      <c r="D59" s="1"/>
      <c r="E59" s="2"/>
      <c r="F59" s="57"/>
    </row>
    <row r="60" spans="3:6" x14ac:dyDescent="0.2">
      <c r="C60" s="1"/>
      <c r="D60" s="1"/>
      <c r="E60" s="2"/>
      <c r="F60" s="57"/>
    </row>
    <row r="61" spans="3:6" x14ac:dyDescent="0.2">
      <c r="C61" s="1"/>
      <c r="D61" s="1"/>
      <c r="E61" s="2"/>
      <c r="F61" s="57"/>
    </row>
    <row r="62" spans="3:6" x14ac:dyDescent="0.2">
      <c r="C62" s="1"/>
      <c r="D62" s="1"/>
      <c r="E62" s="2"/>
      <c r="F62" s="57"/>
    </row>
    <row r="63" spans="3:6" x14ac:dyDescent="0.2">
      <c r="C63" s="1"/>
      <c r="D63" s="1"/>
      <c r="E63" s="2"/>
      <c r="F63" s="57"/>
    </row>
    <row r="64" spans="3:6" x14ac:dyDescent="0.2">
      <c r="C64" s="1"/>
      <c r="D64" s="1"/>
      <c r="E64" s="2"/>
      <c r="F64" s="57"/>
    </row>
    <row r="65" spans="3:6" x14ac:dyDescent="0.2">
      <c r="C65" s="1"/>
      <c r="D65" s="1"/>
      <c r="E65" s="2"/>
      <c r="F65" s="57"/>
    </row>
    <row r="66" spans="3:6" x14ac:dyDescent="0.2">
      <c r="C66" s="1"/>
      <c r="D66" s="1"/>
      <c r="E66" s="2"/>
      <c r="F66" s="57"/>
    </row>
    <row r="67" spans="3:6" x14ac:dyDescent="0.2">
      <c r="C67" s="1"/>
      <c r="D67" s="1"/>
      <c r="E67" s="2"/>
      <c r="F67" s="57"/>
    </row>
    <row r="68" spans="3:6" x14ac:dyDescent="0.2">
      <c r="C68" s="1"/>
      <c r="D68" s="1"/>
      <c r="E68" s="2"/>
      <c r="F68" s="57"/>
    </row>
    <row r="69" spans="3:6" x14ac:dyDescent="0.2">
      <c r="C69" s="1"/>
      <c r="D69" s="1"/>
      <c r="E69" s="2"/>
      <c r="F69" s="57"/>
    </row>
    <row r="70" spans="3:6" x14ac:dyDescent="0.2">
      <c r="C70" s="1"/>
      <c r="D70" s="1"/>
      <c r="E70" s="2"/>
      <c r="F70" s="57"/>
    </row>
    <row r="71" spans="3:6" x14ac:dyDescent="0.2">
      <c r="C71" s="1"/>
      <c r="D71" s="1"/>
      <c r="E71" s="2"/>
      <c r="F71" s="57"/>
    </row>
    <row r="72" spans="3:6" x14ac:dyDescent="0.2">
      <c r="C72" s="1"/>
      <c r="D72" s="1"/>
      <c r="E72" s="2"/>
      <c r="F72" s="57"/>
    </row>
    <row r="73" spans="3:6" x14ac:dyDescent="0.2">
      <c r="C73" s="1"/>
      <c r="D73" s="1"/>
      <c r="E73" s="2"/>
      <c r="F73" s="57"/>
    </row>
    <row r="74" spans="3:6" x14ac:dyDescent="0.2">
      <c r="C74" s="1"/>
      <c r="D74" s="1"/>
      <c r="E74" s="2"/>
      <c r="F74" s="57"/>
    </row>
    <row r="75" spans="3:6" x14ac:dyDescent="0.2">
      <c r="C75" s="1"/>
      <c r="D75" s="1"/>
      <c r="E75" s="2"/>
      <c r="F75" s="57"/>
    </row>
    <row r="76" spans="3:6" x14ac:dyDescent="0.2">
      <c r="C76" s="1"/>
      <c r="D76" s="1"/>
      <c r="E76" s="2"/>
      <c r="F76" s="57"/>
    </row>
    <row r="77" spans="3:6" x14ac:dyDescent="0.2">
      <c r="C77" s="1"/>
      <c r="D77" s="1"/>
      <c r="E77" s="2"/>
      <c r="F77" s="57"/>
    </row>
    <row r="78" spans="3:6" x14ac:dyDescent="0.2">
      <c r="C78" s="1"/>
      <c r="D78" s="1"/>
      <c r="E78" s="2"/>
      <c r="F78" s="57"/>
    </row>
    <row r="79" spans="3:6" x14ac:dyDescent="0.2">
      <c r="C79" s="1"/>
      <c r="D79" s="1"/>
      <c r="E79" s="2"/>
      <c r="F79" s="57"/>
    </row>
    <row r="80" spans="3:6" x14ac:dyDescent="0.2">
      <c r="C80" s="1"/>
      <c r="D80" s="1"/>
      <c r="E80" s="2"/>
      <c r="F80" s="57"/>
    </row>
    <row r="81" spans="3:6" x14ac:dyDescent="0.2">
      <c r="C81" s="1"/>
      <c r="D81" s="1"/>
      <c r="E81" s="2"/>
      <c r="F81" s="57"/>
    </row>
    <row r="82" spans="3:6" x14ac:dyDescent="0.2">
      <c r="C82" s="1"/>
      <c r="D82" s="1"/>
      <c r="E82" s="2"/>
      <c r="F82" s="57"/>
    </row>
    <row r="83" spans="3:6" x14ac:dyDescent="0.2">
      <c r="C83" s="1"/>
      <c r="D83" s="1"/>
      <c r="E83" s="2"/>
      <c r="F83" s="57"/>
    </row>
    <row r="84" spans="3:6" x14ac:dyDescent="0.2">
      <c r="C84" s="1"/>
      <c r="D84" s="1"/>
      <c r="E84" s="2"/>
      <c r="F84" s="57"/>
    </row>
    <row r="85" spans="3:6" x14ac:dyDescent="0.2">
      <c r="C85" s="1"/>
      <c r="D85" s="1"/>
      <c r="E85" s="2"/>
      <c r="F85" s="57"/>
    </row>
    <row r="86" spans="3:6" x14ac:dyDescent="0.2">
      <c r="C86" s="1"/>
      <c r="D86" s="1"/>
      <c r="E86" s="2"/>
      <c r="F86" s="57"/>
    </row>
    <row r="87" spans="3:6" x14ac:dyDescent="0.2">
      <c r="C87" s="1"/>
      <c r="D87" s="1"/>
      <c r="E87" s="2"/>
      <c r="F87" s="57"/>
    </row>
    <row r="88" spans="3:6" x14ac:dyDescent="0.2">
      <c r="C88" s="1"/>
      <c r="D88" s="1"/>
      <c r="E88" s="2"/>
      <c r="F88" s="57"/>
    </row>
  </sheetData>
  <mergeCells count="2">
    <mergeCell ref="C7:F7"/>
    <mergeCell ref="C9:F9"/>
  </mergeCells>
  <pageMargins left="0.7" right="0.7" top="0.75" bottom="0.75" header="0.3" footer="0.3"/>
  <pageSetup scale="81" orientation="portrait" r:id="rId1"/>
  <drawing r:id="rId2"/>
  <legacyDrawing r:id="rId3"/>
  <oleObjects>
    <mc:AlternateContent xmlns:mc="http://schemas.openxmlformats.org/markup-compatibility/2006">
      <mc:Choice Requires="x14">
        <oleObject progId="Project" shapeId="7169" r:id="rId4">
          <objectPr defaultSize="0" autoPict="0" r:id="rId5">
            <anchor moveWithCells="1">
              <from>
                <xdr:col>0</xdr:col>
                <xdr:colOff>9525</xdr:colOff>
                <xdr:row>21</xdr:row>
                <xdr:rowOff>9525</xdr:rowOff>
              </from>
              <to>
                <xdr:col>10</xdr:col>
                <xdr:colOff>0</xdr:colOff>
                <xdr:row>53</xdr:row>
                <xdr:rowOff>66675</xdr:rowOff>
              </to>
            </anchor>
          </objectPr>
        </oleObject>
      </mc:Choice>
      <mc:Fallback>
        <oleObject progId="Project" shapeId="716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X31"/>
  <sheetViews>
    <sheetView showGridLines="0" zoomScale="90" zoomScaleNormal="90" workbookViewId="0">
      <selection activeCell="F11" sqref="F11:Q21"/>
    </sheetView>
  </sheetViews>
  <sheetFormatPr baseColWidth="10" defaultColWidth="10" defaultRowHeight="12.75" x14ac:dyDescent="0.2"/>
  <cols>
    <col min="1" max="1" width="1.7109375" style="3" customWidth="1"/>
    <col min="2" max="2" width="1.7109375" style="34" customWidth="1"/>
    <col min="3" max="3" width="7.7109375" style="1" hidden="1" customWidth="1"/>
    <col min="4" max="4" width="8" style="1" hidden="1" customWidth="1"/>
    <col min="5" max="5" width="7.7109375" style="1" hidden="1" customWidth="1"/>
    <col min="6" max="6" width="10.28515625" style="1" customWidth="1"/>
    <col min="7" max="7" width="12.42578125" style="2" customWidth="1"/>
    <col min="8" max="8" width="8.140625" style="57" hidden="1" customWidth="1"/>
    <col min="9" max="9" width="9.5703125" style="3" bestFit="1" customWidth="1"/>
    <col min="10" max="10" width="10.28515625" style="235" bestFit="1" customWidth="1"/>
    <col min="11" max="12" width="12.28515625" style="235" hidden="1" customWidth="1"/>
    <col min="13" max="13" width="15.42578125" style="3" bestFit="1" customWidth="1"/>
    <col min="14" max="14" width="14.140625" style="3" bestFit="1" customWidth="1"/>
    <col min="15" max="15" width="15.85546875" style="3" bestFit="1" customWidth="1"/>
    <col min="16" max="16" width="13.28515625" style="3" bestFit="1" customWidth="1"/>
    <col min="17" max="17" width="17.28515625" style="3" customWidth="1"/>
    <col min="18" max="19" width="10" style="3" hidden="1" customWidth="1"/>
    <col min="20" max="20" width="21.7109375" style="3" hidden="1" customWidth="1"/>
    <col min="21" max="21" width="10" style="3"/>
    <col min="22" max="22" width="12.28515625" style="235" customWidth="1"/>
    <col min="23" max="23" width="13.28515625" style="3" bestFit="1" customWidth="1"/>
    <col min="24" max="24" width="14" style="3" customWidth="1"/>
    <col min="25" max="16384" width="10" style="3"/>
  </cols>
  <sheetData>
    <row r="1" spans="2:24" ht="15" customHeight="1" x14ac:dyDescent="0.2">
      <c r="C1" s="3"/>
      <c r="E1" s="2"/>
      <c r="F1" s="57"/>
      <c r="G1" s="3"/>
      <c r="H1" s="3"/>
    </row>
    <row r="2" spans="2:24" ht="15" customHeight="1" x14ac:dyDescent="0.2">
      <c r="B2" s="71"/>
      <c r="C2" s="58"/>
      <c r="E2" s="2"/>
      <c r="F2" s="57"/>
      <c r="G2" s="58"/>
      <c r="H2" s="3"/>
      <c r="N2" s="4"/>
      <c r="Q2" s="81" t="s">
        <v>0</v>
      </c>
      <c r="T2" s="4" t="s">
        <v>0</v>
      </c>
    </row>
    <row r="3" spans="2:24" ht="15" customHeight="1" x14ac:dyDescent="0.2">
      <c r="B3" s="72"/>
      <c r="C3" s="5"/>
      <c r="D3" s="59"/>
      <c r="E3" s="2"/>
      <c r="F3" s="60"/>
      <c r="G3" s="5"/>
      <c r="H3" s="3"/>
      <c r="N3" s="5"/>
      <c r="Q3" s="79" t="str">
        <f>'Información proyecto'!C3</f>
        <v>Versión: 0.1</v>
      </c>
      <c r="T3" s="5" t="s">
        <v>1</v>
      </c>
    </row>
    <row r="4" spans="2:24" ht="1.5" customHeight="1" x14ac:dyDescent="0.2">
      <c r="C4" s="7"/>
      <c r="D4" s="20"/>
      <c r="E4" s="20"/>
      <c r="F4" s="20"/>
      <c r="G4" s="7"/>
      <c r="H4" s="7"/>
      <c r="I4" s="7"/>
      <c r="J4" s="78"/>
      <c r="K4" s="78"/>
      <c r="L4" s="78"/>
      <c r="M4" s="7"/>
      <c r="N4" s="7"/>
      <c r="O4" s="7"/>
      <c r="P4" s="7"/>
      <c r="Q4" s="78"/>
      <c r="R4" s="7"/>
      <c r="S4" s="7"/>
      <c r="T4" s="7"/>
    </row>
    <row r="5" spans="2:24" ht="15" customHeight="1" x14ac:dyDescent="0.2">
      <c r="C5" s="3"/>
      <c r="D5" s="11"/>
      <c r="E5" s="11"/>
      <c r="F5" s="11"/>
      <c r="G5" s="3"/>
      <c r="H5" s="3"/>
      <c r="N5" s="8"/>
      <c r="Q5" s="80" t="str">
        <f>'Información proyecto'!C5</f>
        <v>Proyecto: Generador de formatos</v>
      </c>
      <c r="T5" s="8" t="s">
        <v>2</v>
      </c>
    </row>
    <row r="6" spans="2:24" x14ac:dyDescent="0.2">
      <c r="B6" s="260"/>
      <c r="C6" s="261"/>
      <c r="D6" s="261"/>
      <c r="E6" s="261"/>
      <c r="F6" s="261"/>
      <c r="G6" s="261"/>
      <c r="H6" s="261"/>
      <c r="I6" s="262"/>
      <c r="J6" s="262"/>
      <c r="K6" s="262"/>
      <c r="L6" s="262"/>
      <c r="M6" s="262"/>
      <c r="N6" s="262"/>
      <c r="O6" s="262"/>
      <c r="P6" s="262"/>
      <c r="Q6" s="262"/>
      <c r="R6" s="262"/>
      <c r="S6" s="262"/>
      <c r="T6" s="262"/>
    </row>
    <row r="7" spans="2:24" x14ac:dyDescent="0.2">
      <c r="B7" s="260"/>
      <c r="C7" s="489" t="s">
        <v>58</v>
      </c>
      <c r="D7" s="489"/>
      <c r="E7" s="489"/>
      <c r="F7" s="489"/>
      <c r="G7" s="489"/>
      <c r="H7" s="489"/>
      <c r="I7" s="489"/>
      <c r="J7" s="489"/>
      <c r="K7" s="489"/>
      <c r="L7" s="489"/>
      <c r="M7" s="489"/>
      <c r="N7" s="489"/>
      <c r="O7" s="489"/>
      <c r="P7" s="489"/>
      <c r="Q7" s="489"/>
      <c r="R7" s="489"/>
      <c r="S7" s="489"/>
      <c r="T7" s="489"/>
    </row>
    <row r="8" spans="2:24" ht="18.75" customHeight="1" x14ac:dyDescent="0.2">
      <c r="B8" s="260"/>
      <c r="C8" s="261"/>
      <c r="D8" s="261"/>
      <c r="E8" s="261"/>
      <c r="F8" s="261"/>
      <c r="G8" s="262"/>
      <c r="H8" s="262"/>
      <c r="I8" s="262"/>
      <c r="J8" s="262"/>
      <c r="K8" s="262"/>
      <c r="L8" s="262"/>
      <c r="M8" s="262"/>
      <c r="N8" s="262"/>
      <c r="O8" s="262"/>
      <c r="P8" s="262"/>
      <c r="Q8" s="262"/>
      <c r="R8" s="262"/>
      <c r="S8" s="262"/>
      <c r="T8" s="262"/>
    </row>
    <row r="9" spans="2:24" x14ac:dyDescent="0.2">
      <c r="B9" s="260"/>
      <c r="C9" s="488" t="s">
        <v>59</v>
      </c>
      <c r="D9" s="488"/>
      <c r="E9" s="488"/>
      <c r="F9" s="488"/>
      <c r="G9" s="488"/>
      <c r="H9" s="488"/>
      <c r="I9" s="488"/>
      <c r="J9" s="488"/>
      <c r="K9" s="488"/>
      <c r="L9" s="488"/>
      <c r="M9" s="488"/>
      <c r="N9" s="488"/>
      <c r="O9" s="488"/>
      <c r="P9" s="488"/>
      <c r="Q9" s="488"/>
      <c r="R9" s="488"/>
      <c r="S9" s="488"/>
      <c r="T9" s="488"/>
    </row>
    <row r="10" spans="2:24" x14ac:dyDescent="0.2">
      <c r="B10" s="260"/>
      <c r="C10" s="490"/>
      <c r="D10" s="490"/>
      <c r="E10" s="490"/>
      <c r="F10" s="490"/>
      <c r="G10" s="490"/>
      <c r="H10" s="490"/>
      <c r="I10" s="262"/>
      <c r="J10" s="262"/>
      <c r="K10" s="262"/>
      <c r="L10" s="262"/>
      <c r="M10" s="262"/>
      <c r="N10" s="262"/>
      <c r="O10" s="262"/>
      <c r="P10" s="262"/>
      <c r="Q10" s="262"/>
      <c r="R10" s="262"/>
      <c r="S10" s="262"/>
      <c r="T10" s="262"/>
    </row>
    <row r="11" spans="2:24" s="68" customFormat="1" ht="22.5" customHeight="1" x14ac:dyDescent="0.25">
      <c r="B11" s="263"/>
      <c r="C11" s="264"/>
      <c r="D11" s="265"/>
      <c r="E11" s="264"/>
      <c r="F11" s="264"/>
      <c r="G11" s="264"/>
      <c r="H11" s="266"/>
      <c r="I11" s="264"/>
      <c r="J11" s="264"/>
      <c r="K11" s="264"/>
      <c r="L11" s="264"/>
      <c r="M11" s="264"/>
      <c r="N11" s="264"/>
      <c r="O11" s="389" t="s">
        <v>258</v>
      </c>
      <c r="P11" s="486">
        <f>Inversión!$K$19</f>
        <v>399740</v>
      </c>
      <c r="Q11" s="487"/>
      <c r="R11" s="264"/>
      <c r="S11" s="264"/>
      <c r="T11" s="264"/>
      <c r="V11" s="375" t="s">
        <v>100</v>
      </c>
    </row>
    <row r="12" spans="2:24" s="69" customFormat="1" x14ac:dyDescent="0.2">
      <c r="B12" s="268"/>
      <c r="C12" s="269"/>
      <c r="D12" s="270"/>
      <c r="E12" s="269"/>
      <c r="F12" s="271"/>
      <c r="G12" s="271"/>
      <c r="H12" s="272"/>
      <c r="I12" s="271"/>
      <c r="J12" s="271"/>
      <c r="K12" s="271"/>
      <c r="L12" s="271"/>
      <c r="M12" s="271"/>
      <c r="N12" s="271"/>
      <c r="O12" s="273"/>
      <c r="P12" s="264"/>
      <c r="Q12" s="269"/>
      <c r="R12" s="269"/>
      <c r="S12" s="269"/>
      <c r="T12" s="269"/>
      <c r="V12" s="372" t="s">
        <v>485</v>
      </c>
      <c r="W12" s="376">
        <v>5</v>
      </c>
      <c r="X12" s="382">
        <f>'Fechas y costos'!F12</f>
        <v>44285.467187499999</v>
      </c>
    </row>
    <row r="13" spans="2:24" s="70" customFormat="1" ht="38.25" x14ac:dyDescent="0.2">
      <c r="B13" s="274"/>
      <c r="C13" s="275" t="s">
        <v>62</v>
      </c>
      <c r="D13" s="275" t="s">
        <v>63</v>
      </c>
      <c r="E13" s="275" t="s">
        <v>64</v>
      </c>
      <c r="F13" s="368" t="s">
        <v>65</v>
      </c>
      <c r="G13" s="368" t="s">
        <v>513</v>
      </c>
      <c r="H13" s="255" t="s">
        <v>67</v>
      </c>
      <c r="I13" s="255" t="s">
        <v>413</v>
      </c>
      <c r="J13" s="368" t="s">
        <v>470</v>
      </c>
      <c r="K13" s="255" t="s">
        <v>469</v>
      </c>
      <c r="L13" s="255" t="s">
        <v>469</v>
      </c>
      <c r="M13" s="255" t="s">
        <v>68</v>
      </c>
      <c r="N13" s="255" t="s">
        <v>60</v>
      </c>
      <c r="O13" s="255" t="s">
        <v>69</v>
      </c>
      <c r="P13" s="255" t="s">
        <v>70</v>
      </c>
      <c r="Q13" s="255" t="s">
        <v>10</v>
      </c>
      <c r="R13" s="275" t="s">
        <v>71</v>
      </c>
      <c r="S13" s="275" t="s">
        <v>72</v>
      </c>
      <c r="T13" s="275" t="s">
        <v>73</v>
      </c>
      <c r="V13" s="377" t="s">
        <v>486</v>
      </c>
      <c r="W13" s="378">
        <f>Inversión!I10</f>
        <v>506</v>
      </c>
      <c r="X13" s="377"/>
    </row>
    <row r="14" spans="2:24" s="68" customFormat="1" ht="20.100000000000001" customHeight="1" x14ac:dyDescent="0.25">
      <c r="B14" s="263"/>
      <c r="C14" s="276">
        <v>0</v>
      </c>
      <c r="D14" s="276"/>
      <c r="E14" s="276"/>
      <c r="F14" s="277" t="s">
        <v>74</v>
      </c>
      <c r="G14" s="296">
        <f>'Fechas y costos'!E12</f>
        <v>44181</v>
      </c>
      <c r="H14" s="277"/>
      <c r="I14" s="367">
        <v>152</v>
      </c>
      <c r="J14" s="278">
        <v>790</v>
      </c>
      <c r="K14" s="279">
        <f>I14*(J14-J14*(1-L14))</f>
        <v>0</v>
      </c>
      <c r="L14" s="390">
        <v>0</v>
      </c>
      <c r="M14" s="279">
        <f>I14*(J14-J14*L14)</f>
        <v>120080</v>
      </c>
      <c r="N14" s="279">
        <f>ROUNDUP(M14*0.16,2)</f>
        <v>19212.8</v>
      </c>
      <c r="O14" s="279">
        <f>M14+N14</f>
        <v>139292.79999999999</v>
      </c>
      <c r="P14" s="279">
        <f>P11-M14</f>
        <v>279660</v>
      </c>
      <c r="Q14" s="277" t="s">
        <v>351</v>
      </c>
      <c r="R14" s="280"/>
      <c r="S14" s="280"/>
      <c r="T14" s="281"/>
      <c r="V14" s="378" t="s">
        <v>487</v>
      </c>
      <c r="W14" s="378">
        <f>W13*0.3</f>
        <v>151.79999999999998</v>
      </c>
      <c r="X14" s="379">
        <f>P11*0.3</f>
        <v>119922</v>
      </c>
    </row>
    <row r="15" spans="2:24" s="68" customFormat="1" ht="20.100000000000001" customHeight="1" x14ac:dyDescent="0.25">
      <c r="B15" s="263"/>
      <c r="C15" s="282"/>
      <c r="D15" s="282"/>
      <c r="E15" s="282"/>
      <c r="F15" s="297">
        <v>1</v>
      </c>
      <c r="G15" s="296">
        <f>G14+44</f>
        <v>44225</v>
      </c>
      <c r="H15" s="277"/>
      <c r="I15" s="297">
        <v>61</v>
      </c>
      <c r="J15" s="278">
        <v>790</v>
      </c>
      <c r="K15" s="279">
        <f t="shared" ref="K15:K20" si="0">I15*(J15-J15*(1-L15))</f>
        <v>0</v>
      </c>
      <c r="L15" s="390">
        <v>0</v>
      </c>
      <c r="M15" s="279">
        <f t="shared" ref="M15:M20" si="1">I15*(J15-J15*L15)</f>
        <v>48190</v>
      </c>
      <c r="N15" s="279">
        <f t="shared" ref="N15" si="2">ROUNDUP(M15*0.16,2)</f>
        <v>7710.4</v>
      </c>
      <c r="O15" s="279">
        <f>M15+N15</f>
        <v>55900.4</v>
      </c>
      <c r="P15" s="279">
        <f t="shared" ref="P15:P17" si="3">P14-M15</f>
        <v>231470</v>
      </c>
      <c r="Q15" s="277" t="s">
        <v>75</v>
      </c>
      <c r="R15" s="283"/>
      <c r="S15" s="283"/>
      <c r="T15" s="284"/>
      <c r="V15" s="373" t="s">
        <v>488</v>
      </c>
      <c r="W15" s="373">
        <f>(W13*0.6)/W12</f>
        <v>60.719999999999992</v>
      </c>
      <c r="X15" s="374">
        <f>P11*0.6/W12</f>
        <v>47968.800000000003</v>
      </c>
    </row>
    <row r="16" spans="2:24" s="68" customFormat="1" ht="20.100000000000001" customHeight="1" x14ac:dyDescent="0.25">
      <c r="B16" s="263"/>
      <c r="C16" s="276"/>
      <c r="D16" s="276"/>
      <c r="E16" s="276"/>
      <c r="F16" s="297">
        <v>2</v>
      </c>
      <c r="G16" s="296">
        <f>G15+16</f>
        <v>44241</v>
      </c>
      <c r="H16" s="277"/>
      <c r="I16" s="297">
        <v>61</v>
      </c>
      <c r="J16" s="278">
        <v>790</v>
      </c>
      <c r="K16" s="279">
        <f t="shared" si="0"/>
        <v>0</v>
      </c>
      <c r="L16" s="390">
        <v>0</v>
      </c>
      <c r="M16" s="279">
        <f t="shared" si="1"/>
        <v>48190</v>
      </c>
      <c r="N16" s="279">
        <f t="shared" ref="N16" si="4">ROUNDUP(M16*0.16,2)</f>
        <v>7710.4</v>
      </c>
      <c r="O16" s="279">
        <f t="shared" ref="O16" si="5">M16+N16</f>
        <v>55900.4</v>
      </c>
      <c r="P16" s="279">
        <f t="shared" si="3"/>
        <v>183280</v>
      </c>
      <c r="Q16" s="277" t="s">
        <v>75</v>
      </c>
      <c r="R16" s="280"/>
      <c r="S16" s="280"/>
      <c r="T16" s="281"/>
      <c r="V16" s="373"/>
      <c r="W16" s="373"/>
      <c r="X16" s="373"/>
    </row>
    <row r="17" spans="2:24" s="68" customFormat="1" ht="20.100000000000001" customHeight="1" x14ac:dyDescent="0.25">
      <c r="B17" s="263"/>
      <c r="C17" s="282"/>
      <c r="D17" s="282"/>
      <c r="E17" s="282"/>
      <c r="F17" s="297">
        <v>3</v>
      </c>
      <c r="G17" s="296">
        <f t="shared" ref="G17:G19" si="6">G16+14</f>
        <v>44255</v>
      </c>
      <c r="H17" s="277"/>
      <c r="I17" s="297">
        <v>61</v>
      </c>
      <c r="J17" s="278">
        <v>790</v>
      </c>
      <c r="K17" s="279">
        <f t="shared" si="0"/>
        <v>0</v>
      </c>
      <c r="L17" s="390">
        <v>0</v>
      </c>
      <c r="M17" s="279">
        <f t="shared" si="1"/>
        <v>48190</v>
      </c>
      <c r="N17" s="279">
        <f t="shared" ref="N17:N19" si="7">ROUNDUP(M17*0.16,2)</f>
        <v>7710.4</v>
      </c>
      <c r="O17" s="279">
        <f t="shared" ref="O17:O19" si="8">M17+N17</f>
        <v>55900.4</v>
      </c>
      <c r="P17" s="279">
        <f t="shared" si="3"/>
        <v>135090</v>
      </c>
      <c r="Q17" s="277" t="s">
        <v>75</v>
      </c>
      <c r="R17" s="283"/>
      <c r="S17" s="283"/>
      <c r="T17" s="284"/>
      <c r="V17" s="373"/>
      <c r="W17" s="373"/>
      <c r="X17" s="373"/>
    </row>
    <row r="18" spans="2:24" s="68" customFormat="1" ht="20.100000000000001" customHeight="1" x14ac:dyDescent="0.25">
      <c r="B18" s="263"/>
      <c r="C18" s="276"/>
      <c r="D18" s="276"/>
      <c r="E18" s="276"/>
      <c r="F18" s="297">
        <v>4</v>
      </c>
      <c r="G18" s="296">
        <f t="shared" si="6"/>
        <v>44269</v>
      </c>
      <c r="H18" s="277"/>
      <c r="I18" s="297">
        <v>61</v>
      </c>
      <c r="J18" s="278">
        <v>790</v>
      </c>
      <c r="K18" s="279">
        <f t="shared" si="0"/>
        <v>0</v>
      </c>
      <c r="L18" s="390">
        <v>0</v>
      </c>
      <c r="M18" s="279">
        <f t="shared" si="1"/>
        <v>48190</v>
      </c>
      <c r="N18" s="279">
        <f t="shared" si="7"/>
        <v>7710.4</v>
      </c>
      <c r="O18" s="279">
        <f t="shared" si="8"/>
        <v>55900.4</v>
      </c>
      <c r="P18" s="279">
        <f>P17-M18</f>
        <v>86900</v>
      </c>
      <c r="Q18" s="277" t="s">
        <v>75</v>
      </c>
      <c r="R18" s="280"/>
      <c r="S18" s="280"/>
      <c r="T18" s="281"/>
      <c r="V18" s="373"/>
      <c r="W18" s="373"/>
      <c r="X18" s="373"/>
    </row>
    <row r="19" spans="2:24" s="68" customFormat="1" ht="20.100000000000001" customHeight="1" x14ac:dyDescent="0.25">
      <c r="B19" s="263"/>
      <c r="C19" s="282"/>
      <c r="D19" s="282"/>
      <c r="E19" s="282"/>
      <c r="F19" s="297">
        <v>5</v>
      </c>
      <c r="G19" s="296">
        <f t="shared" si="6"/>
        <v>44283</v>
      </c>
      <c r="H19" s="277"/>
      <c r="I19" s="297">
        <v>61</v>
      </c>
      <c r="J19" s="278">
        <v>790</v>
      </c>
      <c r="K19" s="279">
        <f t="shared" si="0"/>
        <v>0</v>
      </c>
      <c r="L19" s="390">
        <v>0</v>
      </c>
      <c r="M19" s="279">
        <f t="shared" si="1"/>
        <v>48190</v>
      </c>
      <c r="N19" s="279">
        <f t="shared" si="7"/>
        <v>7710.4</v>
      </c>
      <c r="O19" s="279">
        <f t="shared" si="8"/>
        <v>55900.4</v>
      </c>
      <c r="P19" s="279">
        <f>P18-M19</f>
        <v>38710</v>
      </c>
      <c r="Q19" s="277" t="s">
        <v>75</v>
      </c>
      <c r="R19" s="283"/>
      <c r="S19" s="283"/>
      <c r="T19" s="284"/>
      <c r="V19" s="373"/>
      <c r="W19" s="373"/>
      <c r="X19" s="373"/>
    </row>
    <row r="20" spans="2:24" s="68" customFormat="1" ht="20.100000000000001" customHeight="1" x14ac:dyDescent="0.25">
      <c r="B20" s="263"/>
      <c r="C20" s="276">
        <v>1</v>
      </c>
      <c r="D20" s="276"/>
      <c r="E20" s="276"/>
      <c r="F20" s="277" t="s">
        <v>61</v>
      </c>
      <c r="G20" s="296">
        <f>G19+17</f>
        <v>44300</v>
      </c>
      <c r="H20" s="277"/>
      <c r="I20" s="297">
        <v>49</v>
      </c>
      <c r="J20" s="278">
        <v>790</v>
      </c>
      <c r="K20" s="279">
        <f t="shared" si="0"/>
        <v>0</v>
      </c>
      <c r="L20" s="390">
        <v>0</v>
      </c>
      <c r="M20" s="279">
        <f t="shared" si="1"/>
        <v>38710</v>
      </c>
      <c r="N20" s="279">
        <f t="shared" ref="N20" si="9">ROUNDUP(M20*0.16,2)</f>
        <v>6193.6</v>
      </c>
      <c r="O20" s="279">
        <f>M20+N20</f>
        <v>44903.6</v>
      </c>
      <c r="P20" s="279">
        <f>P19-M20</f>
        <v>0</v>
      </c>
      <c r="Q20" s="277" t="s">
        <v>352</v>
      </c>
      <c r="R20" s="280"/>
      <c r="S20" s="280"/>
      <c r="T20" s="281"/>
      <c r="V20" s="378" t="s">
        <v>489</v>
      </c>
      <c r="W20" s="378">
        <f>W13*0.1</f>
        <v>50.6</v>
      </c>
      <c r="X20" s="379">
        <f>P11*0.1</f>
        <v>39974</v>
      </c>
    </row>
    <row r="21" spans="2:24" s="70" customFormat="1" ht="25.5" customHeight="1" x14ac:dyDescent="0.2">
      <c r="B21" s="274"/>
      <c r="C21" s="285"/>
      <c r="D21" s="286"/>
      <c r="E21" s="285"/>
      <c r="F21" s="287"/>
      <c r="G21" s="287"/>
      <c r="H21" s="288"/>
      <c r="I21" s="335">
        <f>SUM(I14:I20)</f>
        <v>506</v>
      </c>
      <c r="J21" s="107"/>
      <c r="K21" s="107"/>
      <c r="L21" s="107"/>
      <c r="M21" s="252">
        <f>SUM(M14:M20)</f>
        <v>399740</v>
      </c>
      <c r="N21" s="252">
        <f>SUM(N14:N20)</f>
        <v>63958.400000000001</v>
      </c>
      <c r="O21" s="252">
        <f>SUM(O14:O20)</f>
        <v>463698.4</v>
      </c>
      <c r="P21" s="291"/>
      <c r="Q21" s="263"/>
      <c r="R21" s="264"/>
      <c r="S21" s="264"/>
      <c r="T21" s="285"/>
    </row>
    <row r="22" spans="2:24" x14ac:dyDescent="0.2">
      <c r="C22" s="67"/>
      <c r="D22" s="67"/>
      <c r="E22" s="67"/>
      <c r="F22" s="67"/>
      <c r="G22" s="26"/>
      <c r="J22" s="107"/>
      <c r="K22" s="107"/>
      <c r="L22" s="107"/>
      <c r="N22" s="262"/>
    </row>
    <row r="23" spans="2:24" s="57" customFormat="1" x14ac:dyDescent="0.2">
      <c r="B23" s="75"/>
      <c r="C23" s="25"/>
      <c r="D23" s="25"/>
      <c r="E23" s="25"/>
      <c r="F23" s="25"/>
      <c r="G23" s="26"/>
      <c r="J23" s="107"/>
      <c r="K23" s="107"/>
      <c r="L23" s="107"/>
      <c r="M23" s="254"/>
      <c r="N23" s="241"/>
      <c r="V23" s="107"/>
    </row>
    <row r="24" spans="2:24" s="1" customFormat="1" x14ac:dyDescent="0.2">
      <c r="B24" s="74"/>
      <c r="G24" s="2"/>
      <c r="H24" s="57"/>
      <c r="I24" s="3"/>
      <c r="J24" s="235"/>
      <c r="K24" s="235"/>
      <c r="L24" s="235"/>
      <c r="M24" s="3"/>
      <c r="N24" s="3"/>
      <c r="V24" s="192"/>
    </row>
    <row r="25" spans="2:24" s="1" customFormat="1" x14ac:dyDescent="0.2">
      <c r="B25" s="74"/>
      <c r="G25" s="2"/>
      <c r="H25" s="57"/>
      <c r="I25" s="3"/>
      <c r="J25" s="235"/>
      <c r="K25" s="235"/>
      <c r="L25" s="235"/>
      <c r="M25" s="3"/>
      <c r="N25" s="3"/>
      <c r="V25" s="192"/>
    </row>
    <row r="26" spans="2:24" s="1" customFormat="1" ht="30" customHeight="1" x14ac:dyDescent="0.2">
      <c r="B26" s="74"/>
      <c r="G26" s="2"/>
      <c r="H26" s="57"/>
      <c r="I26" s="3"/>
      <c r="J26" s="235"/>
      <c r="K26" s="235"/>
      <c r="L26" s="235"/>
      <c r="M26" s="3"/>
      <c r="N26" s="3"/>
      <c r="V26" s="192"/>
    </row>
    <row r="27" spans="2:24" s="1" customFormat="1" x14ac:dyDescent="0.2">
      <c r="B27" s="74"/>
      <c r="G27" s="2"/>
      <c r="H27" s="57"/>
      <c r="I27" s="3"/>
      <c r="J27" s="235"/>
      <c r="K27" s="235"/>
      <c r="L27" s="235"/>
      <c r="M27" s="262"/>
      <c r="N27" s="3"/>
      <c r="V27" s="192"/>
    </row>
    <row r="28" spans="2:24" s="1" customFormat="1" x14ac:dyDescent="0.2">
      <c r="B28" s="74"/>
      <c r="G28" s="2"/>
      <c r="H28" s="57"/>
      <c r="I28" s="3"/>
      <c r="J28" s="235"/>
      <c r="K28" s="235"/>
      <c r="L28" s="235"/>
      <c r="M28" s="3"/>
      <c r="N28" s="3"/>
      <c r="V28" s="192"/>
    </row>
    <row r="29" spans="2:24" s="1" customFormat="1" x14ac:dyDescent="0.2">
      <c r="B29" s="74"/>
      <c r="G29" s="2"/>
      <c r="H29" s="57"/>
      <c r="I29" s="3"/>
      <c r="J29" s="235"/>
      <c r="K29" s="235"/>
      <c r="L29" s="235"/>
      <c r="M29" s="3"/>
      <c r="N29" s="3"/>
      <c r="V29" s="192"/>
    </row>
    <row r="30" spans="2:24" s="1" customFormat="1" x14ac:dyDescent="0.2">
      <c r="B30" s="74"/>
      <c r="G30" s="2"/>
      <c r="H30" s="57"/>
      <c r="I30" s="3"/>
      <c r="J30" s="235"/>
      <c r="K30" s="235"/>
      <c r="L30" s="235"/>
      <c r="M30" s="3"/>
      <c r="N30" s="3"/>
      <c r="V30" s="192"/>
    </row>
    <row r="31" spans="2:24" s="1" customFormat="1" x14ac:dyDescent="0.2">
      <c r="B31" s="74"/>
      <c r="G31" s="2"/>
      <c r="H31" s="57"/>
      <c r="I31" s="3"/>
      <c r="J31" s="235"/>
      <c r="K31" s="235"/>
      <c r="L31" s="235"/>
      <c r="M31" s="3"/>
      <c r="N31" s="3"/>
      <c r="V31" s="192"/>
    </row>
  </sheetData>
  <mergeCells count="4">
    <mergeCell ref="P11:Q11"/>
    <mergeCell ref="C9:T9"/>
    <mergeCell ref="C7:T7"/>
    <mergeCell ref="C10:H10"/>
  </mergeCells>
  <conditionalFormatting sqref="R14">
    <cfRule type="iconSet" priority="188">
      <iconSet iconSet="3Symbols2" showValue="0">
        <cfvo type="percent" val="0"/>
        <cfvo type="num" val="-1" gte="0"/>
        <cfvo type="num" val="0" gte="0"/>
      </iconSet>
    </cfRule>
  </conditionalFormatting>
  <conditionalFormatting sqref="S14">
    <cfRule type="iconSet" priority="187">
      <iconSet iconSet="3Symbols2" showValue="0">
        <cfvo type="percent" val="0"/>
        <cfvo type="num" val="-1" gte="0"/>
        <cfvo type="num" val="0" gte="0"/>
      </iconSet>
    </cfRule>
  </conditionalFormatting>
  <conditionalFormatting sqref="S17">
    <cfRule type="iconSet" priority="126">
      <iconSet iconSet="3Symbols2" showValue="0">
        <cfvo type="percent" val="0"/>
        <cfvo type="num" val="-1" gte="0"/>
        <cfvo type="num" val="0" gte="0"/>
      </iconSet>
    </cfRule>
  </conditionalFormatting>
  <conditionalFormatting sqref="R17">
    <cfRule type="iconSet" priority="125">
      <iconSet iconSet="3Symbols2" showValue="0">
        <cfvo type="percent" val="0"/>
        <cfvo type="num" val="-1" gte="0"/>
        <cfvo type="num" val="0" gte="0"/>
      </iconSet>
    </cfRule>
  </conditionalFormatting>
  <conditionalFormatting sqref="S15">
    <cfRule type="iconSet" priority="118">
      <iconSet iconSet="3Symbols2" showValue="0">
        <cfvo type="percent" val="0"/>
        <cfvo type="num" val="-1" gte="0"/>
        <cfvo type="num" val="0" gte="0"/>
      </iconSet>
    </cfRule>
  </conditionalFormatting>
  <conditionalFormatting sqref="R15">
    <cfRule type="iconSet" priority="117">
      <iconSet iconSet="3Symbols2" showValue="0">
        <cfvo type="percent" val="0"/>
        <cfvo type="num" val="-1" gte="0"/>
        <cfvo type="num" val="0" gte="0"/>
      </iconSet>
    </cfRule>
  </conditionalFormatting>
  <conditionalFormatting sqref="R16">
    <cfRule type="iconSet" priority="116">
      <iconSet iconSet="3Symbols2" showValue="0">
        <cfvo type="percent" val="0"/>
        <cfvo type="num" val="-1" gte="0"/>
        <cfvo type="num" val="0" gte="0"/>
      </iconSet>
    </cfRule>
  </conditionalFormatting>
  <conditionalFormatting sqref="S16">
    <cfRule type="iconSet" priority="115">
      <iconSet iconSet="3Symbols2" showValue="0">
        <cfvo type="percent" val="0"/>
        <cfvo type="num" val="-1" gte="0"/>
        <cfvo type="num" val="0" gte="0"/>
      </iconSet>
    </cfRule>
  </conditionalFormatting>
  <conditionalFormatting sqref="R20">
    <cfRule type="iconSet" priority="72">
      <iconSet iconSet="3Symbols2" showValue="0">
        <cfvo type="percent" val="0"/>
        <cfvo type="num" val="-1" gte="0"/>
        <cfvo type="num" val="0" gte="0"/>
      </iconSet>
    </cfRule>
  </conditionalFormatting>
  <conditionalFormatting sqref="S20">
    <cfRule type="iconSet" priority="71">
      <iconSet iconSet="3Symbols2" showValue="0">
        <cfvo type="percent" val="0"/>
        <cfvo type="num" val="-1" gte="0"/>
        <cfvo type="num" val="0" gte="0"/>
      </iconSet>
    </cfRule>
  </conditionalFormatting>
  <conditionalFormatting sqref="S19">
    <cfRule type="iconSet" priority="36">
      <iconSet iconSet="3Symbols2" showValue="0">
        <cfvo type="percent" val="0"/>
        <cfvo type="num" val="-1" gte="0"/>
        <cfvo type="num" val="0" gte="0"/>
      </iconSet>
    </cfRule>
  </conditionalFormatting>
  <conditionalFormatting sqref="R19">
    <cfRule type="iconSet" priority="35">
      <iconSet iconSet="3Symbols2" showValue="0">
        <cfvo type="percent" val="0"/>
        <cfvo type="num" val="-1" gte="0"/>
        <cfvo type="num" val="0" gte="0"/>
      </iconSet>
    </cfRule>
  </conditionalFormatting>
  <conditionalFormatting sqref="R18">
    <cfRule type="iconSet" priority="34">
      <iconSet iconSet="3Symbols2" showValue="0">
        <cfvo type="percent" val="0"/>
        <cfvo type="num" val="-1" gte="0"/>
        <cfvo type="num" val="0" gte="0"/>
      </iconSet>
    </cfRule>
  </conditionalFormatting>
  <conditionalFormatting sqref="S18">
    <cfRule type="iconSet" priority="33">
      <iconSet iconSet="3Symbols2" showValue="0">
        <cfvo type="percent" val="0"/>
        <cfvo type="num" val="-1" gte="0"/>
        <cfvo type="num" val="0" gte="0"/>
      </iconSet>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S1048560"/>
  <sheetViews>
    <sheetView showGridLines="0" topLeftCell="A6" zoomScale="90" zoomScaleNormal="90" workbookViewId="0">
      <selection activeCell="P5" sqref="P5"/>
    </sheetView>
  </sheetViews>
  <sheetFormatPr baseColWidth="10" defaultColWidth="10" defaultRowHeight="12.75" x14ac:dyDescent="0.2"/>
  <cols>
    <col min="1" max="1" width="1.7109375" style="235" customWidth="1"/>
    <col min="2" max="2" width="1.7109375" style="34" customWidth="1"/>
    <col min="3" max="3" width="7.7109375" style="192" hidden="1" customWidth="1"/>
    <col min="4" max="4" width="8" style="192" hidden="1" customWidth="1"/>
    <col min="5" max="5" width="7.7109375" style="192" hidden="1" customWidth="1"/>
    <col min="6" max="6" width="14.140625" style="192" bestFit="1" customWidth="1"/>
    <col min="7" max="7" width="25.28515625" style="193" bestFit="1" customWidth="1"/>
    <col min="8" max="8" width="8.140625" style="107" hidden="1" customWidth="1"/>
    <col min="9" max="9" width="9.5703125" style="235" hidden="1" customWidth="1"/>
    <col min="10" max="10" width="15.140625" style="235" customWidth="1"/>
    <col min="11" max="11" width="16.28515625" style="235" customWidth="1"/>
    <col min="12" max="12" width="15.5703125" style="235" customWidth="1"/>
    <col min="13" max="13" width="16.28515625" style="235" customWidth="1"/>
    <col min="14" max="14" width="16" style="235" bestFit="1" customWidth="1"/>
    <col min="15" max="15" width="13.28515625" style="235" bestFit="1" customWidth="1"/>
    <col min="16" max="16" width="17.28515625" style="235" customWidth="1"/>
    <col min="17" max="18" width="10" style="235" hidden="1" customWidth="1"/>
    <col min="19" max="19" width="21.7109375" style="235" hidden="1" customWidth="1"/>
    <col min="20" max="20" width="10" style="235"/>
    <col min="21" max="21" width="13.28515625" style="235" bestFit="1" customWidth="1"/>
    <col min="22" max="16384" width="10" style="235"/>
  </cols>
  <sheetData>
    <row r="1" spans="2:19" ht="15" customHeight="1" x14ac:dyDescent="0.2">
      <c r="C1" s="235"/>
      <c r="E1" s="193"/>
      <c r="F1" s="107"/>
      <c r="G1" s="235"/>
      <c r="H1" s="235"/>
    </row>
    <row r="2" spans="2:19" ht="15" customHeight="1" x14ac:dyDescent="0.2">
      <c r="B2" s="71"/>
      <c r="C2" s="58"/>
      <c r="E2" s="193"/>
      <c r="F2" s="107"/>
      <c r="G2" s="58"/>
      <c r="H2" s="235"/>
      <c r="M2" s="81"/>
      <c r="P2" s="81" t="s">
        <v>0</v>
      </c>
      <c r="S2" s="81" t="s">
        <v>0</v>
      </c>
    </row>
    <row r="3" spans="2:19" ht="15" customHeight="1" x14ac:dyDescent="0.2">
      <c r="B3" s="72"/>
      <c r="C3" s="79"/>
      <c r="D3" s="59"/>
      <c r="E3" s="193"/>
      <c r="F3" s="60"/>
      <c r="G3" s="79"/>
      <c r="H3" s="235"/>
      <c r="M3" s="79"/>
      <c r="P3" s="79" t="str">
        <f>'Información proyecto'!C3</f>
        <v>Versión: 0.1</v>
      </c>
      <c r="S3" s="79" t="s">
        <v>1</v>
      </c>
    </row>
    <row r="4" spans="2:19" ht="1.5" customHeight="1" x14ac:dyDescent="0.2">
      <c r="C4" s="78"/>
      <c r="D4" s="196"/>
      <c r="E4" s="196"/>
      <c r="F4" s="196"/>
      <c r="G4" s="78"/>
      <c r="H4" s="78"/>
      <c r="I4" s="78"/>
      <c r="J4" s="78"/>
      <c r="K4" s="78"/>
      <c r="L4" s="78"/>
      <c r="M4" s="78"/>
      <c r="N4" s="78"/>
      <c r="O4" s="78"/>
      <c r="P4" s="78"/>
      <c r="Q4" s="78"/>
      <c r="R4" s="78"/>
      <c r="S4" s="78"/>
    </row>
    <row r="5" spans="2:19" ht="15" customHeight="1" x14ac:dyDescent="0.2">
      <c r="C5" s="235"/>
      <c r="D5" s="11"/>
      <c r="E5" s="11"/>
      <c r="F5" s="11"/>
      <c r="G5" s="235"/>
      <c r="H5" s="235"/>
      <c r="M5" s="80"/>
      <c r="P5" s="80" t="str">
        <f>'Información proyecto'!C5</f>
        <v>Proyecto: Generador de formatos</v>
      </c>
      <c r="S5" s="80" t="s">
        <v>2</v>
      </c>
    </row>
    <row r="6" spans="2:19" x14ac:dyDescent="0.2">
      <c r="B6" s="260"/>
      <c r="C6" s="370"/>
      <c r="D6" s="370"/>
      <c r="E6" s="370"/>
      <c r="F6" s="370"/>
      <c r="G6" s="370"/>
      <c r="H6" s="370"/>
      <c r="I6" s="262"/>
      <c r="J6" s="262"/>
      <c r="K6" s="262"/>
      <c r="L6" s="262"/>
      <c r="M6" s="262"/>
      <c r="N6" s="262"/>
      <c r="O6" s="262"/>
      <c r="P6" s="262"/>
      <c r="Q6" s="262"/>
      <c r="R6" s="262"/>
      <c r="S6" s="262"/>
    </row>
    <row r="7" spans="2:19" x14ac:dyDescent="0.2">
      <c r="B7" s="260"/>
      <c r="C7" s="489" t="s">
        <v>58</v>
      </c>
      <c r="D7" s="489"/>
      <c r="E7" s="489"/>
      <c r="F7" s="489"/>
      <c r="G7" s="489"/>
      <c r="H7" s="489"/>
      <c r="I7" s="489"/>
      <c r="J7" s="489"/>
      <c r="K7" s="489"/>
      <c r="L7" s="489"/>
      <c r="M7" s="489"/>
      <c r="N7" s="489"/>
      <c r="O7" s="489"/>
      <c r="P7" s="489"/>
      <c r="Q7" s="489"/>
      <c r="R7" s="489"/>
      <c r="S7" s="489"/>
    </row>
    <row r="8" spans="2:19" ht="18.75" customHeight="1" x14ac:dyDescent="0.2">
      <c r="B8" s="260"/>
      <c r="C8" s="370"/>
      <c r="D8" s="370"/>
      <c r="E8" s="370"/>
      <c r="F8" s="370"/>
      <c r="G8" s="262"/>
      <c r="H8" s="262"/>
      <c r="I8" s="262"/>
      <c r="J8" s="262"/>
      <c r="K8" s="262"/>
      <c r="L8" s="262"/>
      <c r="M8" s="262"/>
      <c r="N8" s="262"/>
      <c r="O8" s="262"/>
      <c r="P8" s="262"/>
      <c r="Q8" s="262"/>
      <c r="R8" s="262"/>
      <c r="S8" s="262"/>
    </row>
    <row r="9" spans="2:19" x14ac:dyDescent="0.2">
      <c r="B9" s="260"/>
      <c r="C9" s="488" t="s">
        <v>59</v>
      </c>
      <c r="D9" s="488"/>
      <c r="E9" s="488"/>
      <c r="F9" s="488"/>
      <c r="G9" s="488"/>
      <c r="H9" s="488"/>
      <c r="I9" s="488"/>
      <c r="J9" s="488"/>
      <c r="K9" s="488"/>
      <c r="L9" s="488"/>
      <c r="M9" s="488"/>
      <c r="N9" s="488"/>
      <c r="O9" s="488"/>
      <c r="P9" s="488"/>
      <c r="Q9" s="488"/>
      <c r="R9" s="488"/>
      <c r="S9" s="488"/>
    </row>
    <row r="10" spans="2:19" x14ac:dyDescent="0.2">
      <c r="B10" s="260"/>
      <c r="C10" s="491"/>
      <c r="D10" s="491"/>
      <c r="E10" s="491"/>
      <c r="F10" s="491"/>
      <c r="G10" s="491"/>
      <c r="H10" s="491"/>
      <c r="I10" s="262"/>
      <c r="J10" s="262"/>
      <c r="K10" s="262"/>
      <c r="L10" s="262"/>
      <c r="M10" s="262"/>
      <c r="N10" s="262"/>
      <c r="O10" s="262"/>
      <c r="P10" s="262"/>
      <c r="Q10" s="262"/>
      <c r="R10" s="262"/>
      <c r="S10" s="262"/>
    </row>
    <row r="11" spans="2:19" s="192" customFormat="1" ht="18" x14ac:dyDescent="0.2">
      <c r="B11" s="74"/>
      <c r="F11" s="264"/>
      <c r="G11" s="264"/>
      <c r="H11" s="266"/>
      <c r="I11" s="264"/>
      <c r="J11" s="264"/>
      <c r="K11" s="264"/>
      <c r="L11" s="267" t="s">
        <v>258</v>
      </c>
      <c r="M11" s="492">
        <f>Inversión!$K$19</f>
        <v>399740</v>
      </c>
      <c r="N11" s="493"/>
    </row>
    <row r="12" spans="2:19" s="192" customFormat="1" x14ac:dyDescent="0.2">
      <c r="B12" s="74"/>
      <c r="F12" s="271"/>
      <c r="G12" s="271"/>
      <c r="H12" s="272"/>
      <c r="I12" s="271"/>
      <c r="J12" s="271"/>
      <c r="K12" s="271"/>
      <c r="L12" s="273"/>
      <c r="M12" s="264"/>
      <c r="N12" s="269"/>
    </row>
    <row r="13" spans="2:19" s="192" customFormat="1" ht="30" customHeight="1" x14ac:dyDescent="0.2">
      <c r="B13" s="74"/>
      <c r="F13" s="255" t="s">
        <v>65</v>
      </c>
      <c r="G13" s="255" t="s">
        <v>66</v>
      </c>
      <c r="H13" s="255" t="s">
        <v>67</v>
      </c>
      <c r="I13" s="255" t="s">
        <v>480</v>
      </c>
      <c r="J13" s="255" t="s">
        <v>481</v>
      </c>
      <c r="K13" s="255" t="s">
        <v>482</v>
      </c>
      <c r="L13" s="255" t="s">
        <v>483</v>
      </c>
      <c r="M13" s="255" t="s">
        <v>484</v>
      </c>
      <c r="N13" s="255" t="s">
        <v>10</v>
      </c>
    </row>
    <row r="14" spans="2:19" s="192" customFormat="1" ht="17.25" customHeight="1" x14ac:dyDescent="0.2">
      <c r="B14" s="74"/>
      <c r="F14" s="277" t="s">
        <v>74</v>
      </c>
      <c r="G14" s="296">
        <f>'Fechas y costos'!E12</f>
        <v>44181</v>
      </c>
      <c r="H14" s="277"/>
      <c r="I14" s="278"/>
      <c r="J14" s="279">
        <f>ROUNDUP($M$11*0.3,2)</f>
        <v>119922</v>
      </c>
      <c r="K14" s="279">
        <f>ROUNDUP(J14*0.16,2)</f>
        <v>19187.52</v>
      </c>
      <c r="L14" s="279">
        <f>J14+K14</f>
        <v>139109.51999999999</v>
      </c>
      <c r="M14" s="279">
        <f>M11-J14</f>
        <v>279818</v>
      </c>
      <c r="N14" s="277" t="s">
        <v>351</v>
      </c>
    </row>
    <row r="15" spans="2:19" s="192" customFormat="1" ht="17.25" customHeight="1" x14ac:dyDescent="0.2">
      <c r="B15" s="74"/>
      <c r="F15" s="297">
        <v>1</v>
      </c>
      <c r="G15" s="296">
        <f>G14+7</f>
        <v>44188</v>
      </c>
      <c r="H15" s="277"/>
      <c r="I15" s="277"/>
      <c r="J15" s="279">
        <f>ROUNDUP(($M$11-($J$14+$J$28))/$F$27,0)</f>
        <v>18450</v>
      </c>
      <c r="K15" s="279">
        <f t="shared" ref="K15:K28" si="0">ROUNDUP(J15*0.16,2)</f>
        <v>2952</v>
      </c>
      <c r="L15" s="279">
        <f>J15+K15</f>
        <v>21402</v>
      </c>
      <c r="M15" s="279">
        <f t="shared" ref="M15:M28" si="1">M14-J15</f>
        <v>261368</v>
      </c>
      <c r="N15" s="277" t="s">
        <v>75</v>
      </c>
    </row>
    <row r="16" spans="2:19" s="192" customFormat="1" ht="17.25" customHeight="1" x14ac:dyDescent="0.2">
      <c r="B16" s="74"/>
      <c r="F16" s="297">
        <v>2</v>
      </c>
      <c r="G16" s="296">
        <f t="shared" ref="G16:G26" si="2">G15+7</f>
        <v>44195</v>
      </c>
      <c r="H16" s="277"/>
      <c r="I16" s="278"/>
      <c r="J16" s="279">
        <f t="shared" ref="J16:J26" si="3">$J$15</f>
        <v>18450</v>
      </c>
      <c r="K16" s="279">
        <f t="shared" si="0"/>
        <v>2952</v>
      </c>
      <c r="L16" s="279">
        <f t="shared" ref="L16:L27" si="4">J16+K16</f>
        <v>21402</v>
      </c>
      <c r="M16" s="279">
        <f t="shared" si="1"/>
        <v>242918</v>
      </c>
      <c r="N16" s="277" t="s">
        <v>75</v>
      </c>
    </row>
    <row r="17" spans="2:14" s="192" customFormat="1" ht="17.25" customHeight="1" x14ac:dyDescent="0.2">
      <c r="B17" s="74"/>
      <c r="F17" s="297">
        <v>3</v>
      </c>
      <c r="G17" s="296">
        <f t="shared" si="2"/>
        <v>44202</v>
      </c>
      <c r="H17" s="277"/>
      <c r="I17" s="277"/>
      <c r="J17" s="279">
        <f t="shared" si="3"/>
        <v>18450</v>
      </c>
      <c r="K17" s="279">
        <f t="shared" si="0"/>
        <v>2952</v>
      </c>
      <c r="L17" s="279">
        <f t="shared" si="4"/>
        <v>21402</v>
      </c>
      <c r="M17" s="279">
        <f t="shared" si="1"/>
        <v>224468</v>
      </c>
      <c r="N17" s="277" t="s">
        <v>75</v>
      </c>
    </row>
    <row r="18" spans="2:14" s="192" customFormat="1" ht="17.25" customHeight="1" x14ac:dyDescent="0.2">
      <c r="B18" s="74"/>
      <c r="F18" s="297">
        <v>4</v>
      </c>
      <c r="G18" s="296">
        <f t="shared" si="2"/>
        <v>44209</v>
      </c>
      <c r="H18" s="277"/>
      <c r="I18" s="278"/>
      <c r="J18" s="279">
        <f t="shared" si="3"/>
        <v>18450</v>
      </c>
      <c r="K18" s="279">
        <f t="shared" si="0"/>
        <v>2952</v>
      </c>
      <c r="L18" s="279">
        <f t="shared" si="4"/>
        <v>21402</v>
      </c>
      <c r="M18" s="279">
        <f t="shared" si="1"/>
        <v>206018</v>
      </c>
      <c r="N18" s="277" t="s">
        <v>75</v>
      </c>
    </row>
    <row r="19" spans="2:14" ht="17.25" customHeight="1" x14ac:dyDescent="0.2">
      <c r="F19" s="297">
        <v>5</v>
      </c>
      <c r="G19" s="296">
        <f t="shared" si="2"/>
        <v>44216</v>
      </c>
      <c r="H19" s="277"/>
      <c r="I19" s="277"/>
      <c r="J19" s="279">
        <f t="shared" si="3"/>
        <v>18450</v>
      </c>
      <c r="K19" s="279">
        <f t="shared" si="0"/>
        <v>2952</v>
      </c>
      <c r="L19" s="279">
        <f t="shared" si="4"/>
        <v>21402</v>
      </c>
      <c r="M19" s="279">
        <f t="shared" si="1"/>
        <v>187568</v>
      </c>
      <c r="N19" s="277" t="s">
        <v>75</v>
      </c>
    </row>
    <row r="20" spans="2:14" ht="17.25" customHeight="1" x14ac:dyDescent="0.2">
      <c r="F20" s="297">
        <v>6</v>
      </c>
      <c r="G20" s="296">
        <f t="shared" si="2"/>
        <v>44223</v>
      </c>
      <c r="H20" s="277"/>
      <c r="I20" s="278"/>
      <c r="J20" s="279">
        <f t="shared" si="3"/>
        <v>18450</v>
      </c>
      <c r="K20" s="279">
        <f t="shared" si="0"/>
        <v>2952</v>
      </c>
      <c r="L20" s="279">
        <f t="shared" si="4"/>
        <v>21402</v>
      </c>
      <c r="M20" s="279">
        <f t="shared" si="1"/>
        <v>169118</v>
      </c>
      <c r="N20" s="277" t="s">
        <v>75</v>
      </c>
    </row>
    <row r="21" spans="2:14" ht="17.25" customHeight="1" x14ac:dyDescent="0.2">
      <c r="F21" s="297">
        <v>7</v>
      </c>
      <c r="G21" s="296">
        <f t="shared" si="2"/>
        <v>44230</v>
      </c>
      <c r="H21" s="277"/>
      <c r="I21" s="277"/>
      <c r="J21" s="279">
        <f t="shared" si="3"/>
        <v>18450</v>
      </c>
      <c r="K21" s="279">
        <f t="shared" si="0"/>
        <v>2952</v>
      </c>
      <c r="L21" s="279">
        <f t="shared" si="4"/>
        <v>21402</v>
      </c>
      <c r="M21" s="279">
        <f t="shared" si="1"/>
        <v>150668</v>
      </c>
      <c r="N21" s="277" t="s">
        <v>75</v>
      </c>
    </row>
    <row r="22" spans="2:14" ht="17.25" customHeight="1" x14ac:dyDescent="0.2">
      <c r="F22" s="297">
        <v>8</v>
      </c>
      <c r="G22" s="296">
        <f t="shared" si="2"/>
        <v>44237</v>
      </c>
      <c r="H22" s="277"/>
      <c r="I22" s="278"/>
      <c r="J22" s="279">
        <f t="shared" si="3"/>
        <v>18450</v>
      </c>
      <c r="K22" s="279">
        <f t="shared" si="0"/>
        <v>2952</v>
      </c>
      <c r="L22" s="279">
        <f t="shared" si="4"/>
        <v>21402</v>
      </c>
      <c r="M22" s="279">
        <f t="shared" si="1"/>
        <v>132218</v>
      </c>
      <c r="N22" s="277" t="s">
        <v>75</v>
      </c>
    </row>
    <row r="23" spans="2:14" ht="17.25" customHeight="1" x14ac:dyDescent="0.2">
      <c r="F23" s="297">
        <v>9</v>
      </c>
      <c r="G23" s="296">
        <f t="shared" si="2"/>
        <v>44244</v>
      </c>
      <c r="H23" s="277"/>
      <c r="I23" s="277"/>
      <c r="J23" s="279">
        <f t="shared" si="3"/>
        <v>18450</v>
      </c>
      <c r="K23" s="279">
        <f t="shared" si="0"/>
        <v>2952</v>
      </c>
      <c r="L23" s="279">
        <f t="shared" si="4"/>
        <v>21402</v>
      </c>
      <c r="M23" s="279">
        <f t="shared" si="1"/>
        <v>113768</v>
      </c>
      <c r="N23" s="277" t="s">
        <v>75</v>
      </c>
    </row>
    <row r="24" spans="2:14" ht="17.25" customHeight="1" x14ac:dyDescent="0.2">
      <c r="F24" s="297">
        <v>10</v>
      </c>
      <c r="G24" s="296">
        <f t="shared" si="2"/>
        <v>44251</v>
      </c>
      <c r="H24" s="277"/>
      <c r="I24" s="278"/>
      <c r="J24" s="279">
        <f t="shared" si="3"/>
        <v>18450</v>
      </c>
      <c r="K24" s="279">
        <f t="shared" si="0"/>
        <v>2952</v>
      </c>
      <c r="L24" s="279">
        <f t="shared" si="4"/>
        <v>21402</v>
      </c>
      <c r="M24" s="279">
        <f t="shared" si="1"/>
        <v>95318</v>
      </c>
      <c r="N24" s="277" t="s">
        <v>75</v>
      </c>
    </row>
    <row r="25" spans="2:14" ht="17.25" customHeight="1" x14ac:dyDescent="0.2">
      <c r="F25" s="297">
        <v>11</v>
      </c>
      <c r="G25" s="296">
        <f t="shared" si="2"/>
        <v>44258</v>
      </c>
      <c r="H25" s="277"/>
      <c r="I25" s="277"/>
      <c r="J25" s="279">
        <f t="shared" si="3"/>
        <v>18450</v>
      </c>
      <c r="K25" s="279">
        <f t="shared" si="0"/>
        <v>2952</v>
      </c>
      <c r="L25" s="279">
        <f t="shared" si="4"/>
        <v>21402</v>
      </c>
      <c r="M25" s="279">
        <f t="shared" si="1"/>
        <v>76868</v>
      </c>
      <c r="N25" s="277" t="s">
        <v>75</v>
      </c>
    </row>
    <row r="26" spans="2:14" ht="17.25" customHeight="1" x14ac:dyDescent="0.2">
      <c r="F26" s="297">
        <v>12</v>
      </c>
      <c r="G26" s="296">
        <f t="shared" si="2"/>
        <v>44265</v>
      </c>
      <c r="H26" s="277"/>
      <c r="I26" s="278"/>
      <c r="J26" s="279">
        <f t="shared" si="3"/>
        <v>18450</v>
      </c>
      <c r="K26" s="279">
        <f t="shared" si="0"/>
        <v>2952</v>
      </c>
      <c r="L26" s="279">
        <f t="shared" si="4"/>
        <v>21402</v>
      </c>
      <c r="M26" s="279">
        <f t="shared" si="1"/>
        <v>58418</v>
      </c>
      <c r="N26" s="277" t="s">
        <v>75</v>
      </c>
    </row>
    <row r="27" spans="2:14" ht="17.25" customHeight="1" x14ac:dyDescent="0.2">
      <c r="F27" s="297">
        <v>13</v>
      </c>
      <c r="G27" s="296">
        <f>G26+7</f>
        <v>44272</v>
      </c>
      <c r="H27" s="277"/>
      <c r="I27" s="277"/>
      <c r="J27" s="279">
        <f>M26-J28</f>
        <v>18444</v>
      </c>
      <c r="K27" s="279">
        <f t="shared" si="0"/>
        <v>2951.04</v>
      </c>
      <c r="L27" s="279">
        <f t="shared" si="4"/>
        <v>21395.040000000001</v>
      </c>
      <c r="M27" s="279">
        <f t="shared" si="1"/>
        <v>39974</v>
      </c>
      <c r="N27" s="277" t="s">
        <v>75</v>
      </c>
    </row>
    <row r="28" spans="2:14" ht="17.25" customHeight="1" x14ac:dyDescent="0.2">
      <c r="F28" s="277" t="s">
        <v>61</v>
      </c>
      <c r="G28" s="296">
        <f t="shared" ref="G28" si="5">G27+7</f>
        <v>44279</v>
      </c>
      <c r="H28" s="277"/>
      <c r="I28" s="278"/>
      <c r="J28" s="279">
        <f>ROUNDUP($M$11*0.1,2)</f>
        <v>39974</v>
      </c>
      <c r="K28" s="279">
        <f t="shared" si="0"/>
        <v>6395.84</v>
      </c>
      <c r="L28" s="279">
        <f>J28+K28</f>
        <v>46369.84</v>
      </c>
      <c r="M28" s="279">
        <f t="shared" si="1"/>
        <v>0</v>
      </c>
      <c r="N28" s="277" t="s">
        <v>352</v>
      </c>
    </row>
    <row r="29" spans="2:14" ht="30" customHeight="1" x14ac:dyDescent="0.2">
      <c r="F29" s="287"/>
      <c r="G29" s="287"/>
      <c r="H29" s="288"/>
      <c r="I29" s="289"/>
      <c r="J29" s="290">
        <f>SUM(J14:J28)</f>
        <v>399740</v>
      </c>
      <c r="K29" s="290">
        <f>SUM(K14:K28)</f>
        <v>63958.400000000009</v>
      </c>
      <c r="L29" s="290">
        <f>SUM(L14:L28)</f>
        <v>463698.4</v>
      </c>
      <c r="M29" s="291"/>
      <c r="N29" s="263"/>
    </row>
    <row r="30" spans="2:14" x14ac:dyDescent="0.2">
      <c r="F30" s="67"/>
      <c r="G30" s="26"/>
      <c r="K30" s="262"/>
    </row>
    <row r="31" spans="2:14" x14ac:dyDescent="0.2">
      <c r="F31" s="25"/>
      <c r="G31" s="26"/>
      <c r="I31" s="107"/>
      <c r="J31" s="107"/>
      <c r="K31" s="241"/>
      <c r="L31" s="107"/>
      <c r="M31" s="107"/>
      <c r="N31" s="107"/>
    </row>
    <row r="32" spans="2:14" x14ac:dyDescent="0.2">
      <c r="L32" s="192"/>
      <c r="M32" s="192"/>
      <c r="N32" s="192"/>
    </row>
    <row r="33" spans="12:14" x14ac:dyDescent="0.2">
      <c r="L33" s="192"/>
      <c r="M33" s="192"/>
      <c r="N33" s="192"/>
    </row>
    <row r="1048560" spans="10:10" x14ac:dyDescent="0.2">
      <c r="J1048560" s="278"/>
    </row>
  </sheetData>
  <mergeCells count="4">
    <mergeCell ref="C7:S7"/>
    <mergeCell ref="C9:S9"/>
    <mergeCell ref="C10:H10"/>
    <mergeCell ref="M11:N1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2</vt:i4>
      </vt:variant>
    </vt:vector>
  </HeadingPairs>
  <TitlesOfParts>
    <vt:vector size="13" baseType="lpstr">
      <vt:lpstr>Información proyecto</vt:lpstr>
      <vt:lpstr>Modelo</vt:lpstr>
      <vt:lpstr>Alcance y tiempo</vt:lpstr>
      <vt:lpstr>Fechas y costos</vt:lpstr>
      <vt:lpstr>Inversión</vt:lpstr>
      <vt:lpstr>Anexo 1 - Calendario</vt:lpstr>
      <vt:lpstr>Anexo 2 - Flujo de pago</vt:lpstr>
      <vt:lpstr>Anexo 2 - Flujo de pago (2)</vt:lpstr>
      <vt:lpstr>Anexo 3 - Poliza Software</vt:lpstr>
      <vt:lpstr>Anexo 4 - Hosting</vt:lpstr>
      <vt:lpstr>Anexo 5 - Implementación</vt:lpstr>
      <vt:lpstr>'Alcance y tiempo'!Área_de_impresión</vt:lpstr>
      <vt:lpstr>'Información proyecto'!Área_de_impresión</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LAPAXSIS-08</dc:creator>
  <cp:lastModifiedBy>LAPAXSIS-00</cp:lastModifiedBy>
  <dcterms:created xsi:type="dcterms:W3CDTF">2011-08-15T18:32:04Z</dcterms:created>
  <dcterms:modified xsi:type="dcterms:W3CDTF">2020-12-15T15:29:11Z</dcterms:modified>
</cp:coreProperties>
</file>