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workbookPassword="CF6B" lockStructure="1"/>
  <bookViews>
    <workbookView xWindow="-10" yWindow="-10" windowWidth="9680" windowHeight="8110" activeTab="1"/>
  </bookViews>
  <sheets>
    <sheet name="Setup" sheetId="1" r:id="rId1"/>
    <sheet name="Fixtures" sheetId="2" r:id="rId2"/>
    <sheet name="Language" sheetId="3" state="hidden" r:id="rId3"/>
    <sheet name="Dummy Table" sheetId="4" state="hidden" r:id="rId4"/>
    <sheet name="Tie Breaker Regulation" sheetId="5" r:id="rId5"/>
    <sheet name="About" sheetId="6" r:id="rId6"/>
    <sheet name="License" sheetId="7" r:id="rId7"/>
  </sheets>
  <definedNames>
    <definedName name="Cities">"                                                © 2020 | journalSHEET.com"</definedName>
    <definedName name="Countries">Language!$C$1:$H$1</definedName>
    <definedName name="Country">Setup!$C$9:$C$32</definedName>
    <definedName name="GroupA">#REF!</definedName>
    <definedName name="GroupB">#REF!</definedName>
    <definedName name="GroupC">#REF!</definedName>
    <definedName name="GroupD">#REF!</definedName>
    <definedName name="GroupE">#REF!</definedName>
    <definedName name="GroupF">#REF!</definedName>
    <definedName name="GroupG">#REF!</definedName>
    <definedName name="GroupH">#REF!</definedName>
    <definedName name="Location">#REF!</definedName>
    <definedName name="PoolTeam">'Dummy Table'!$B$50:$B$75</definedName>
    <definedName name="_xlnm.Print_Area" localSheetId="1">Fixtures!$B$3:$AC$58</definedName>
    <definedName name="_xlnm.Print_Area" localSheetId="4">'Tie Breaker Regulation'!$A$1:$N$46</definedName>
    <definedName name="Team">'Dummy Table'!$EH$7:$EH$38</definedName>
    <definedName name="TimezoneData">Setup!$D$5</definedName>
    <definedName name="TimezoneList">'Dummy Table'!$EO$8:$EO$57</definedName>
    <definedName name="Venues">'Dummy Table'!$C$50:$C$59</definedName>
  </definedNames>
  <calcPr calcId="145621"/>
</workbook>
</file>

<file path=xl/calcChain.xml><?xml version="1.0" encoding="utf-8"?>
<calcChain xmlns="http://schemas.openxmlformats.org/spreadsheetml/2006/main">
  <c r="J42" i="2" l="1"/>
  <c r="J41" i="2"/>
  <c r="J40" i="2"/>
  <c r="J39" i="2"/>
  <c r="J38" i="2"/>
  <c r="J37" i="2"/>
  <c r="J32" i="2"/>
  <c r="J31" i="2"/>
  <c r="G42" i="2"/>
  <c r="G41" i="2"/>
  <c r="G40" i="2"/>
  <c r="G39" i="2"/>
  <c r="G38" i="2"/>
  <c r="G37" i="2"/>
  <c r="G32" i="2"/>
  <c r="G31" i="2"/>
  <c r="EH73" i="4" l="1"/>
  <c r="EJ73" i="4" s="1"/>
  <c r="EH72" i="4"/>
  <c r="EJ72" i="4" s="1"/>
  <c r="EJ71" i="4"/>
  <c r="EH71" i="4"/>
  <c r="EH70" i="4"/>
  <c r="EJ70" i="4" s="1"/>
  <c r="EH69" i="4"/>
  <c r="EJ69" i="4" s="1"/>
  <c r="EH68" i="4"/>
  <c r="EJ68" i="4" s="1"/>
  <c r="EH67" i="4"/>
  <c r="EJ67" i="4" s="1"/>
  <c r="EH66" i="4"/>
  <c r="EJ66" i="4" s="1"/>
  <c r="EH65" i="4"/>
  <c r="EJ65" i="4" s="1"/>
  <c r="EH64" i="4"/>
  <c r="EJ64" i="4" s="1"/>
  <c r="EH63" i="4"/>
  <c r="EJ63" i="4" s="1"/>
  <c r="EJ62" i="4"/>
  <c r="EH62" i="4"/>
  <c r="EH61" i="4"/>
  <c r="EJ61" i="4" s="1"/>
  <c r="EH60" i="4"/>
  <c r="EJ60" i="4" s="1"/>
  <c r="EH59" i="4"/>
  <c r="EJ59" i="4" s="1"/>
  <c r="EJ58" i="4"/>
  <c r="EH58" i="4"/>
  <c r="EH57" i="4"/>
  <c r="EJ57" i="4" s="1"/>
  <c r="EH56" i="4"/>
  <c r="EJ56" i="4" s="1"/>
  <c r="EJ55" i="4"/>
  <c r="EH55" i="4"/>
  <c r="EH54" i="4"/>
  <c r="EJ54" i="4" s="1"/>
  <c r="EH53" i="4"/>
  <c r="EJ53" i="4" s="1"/>
  <c r="EH52" i="4"/>
  <c r="EJ52" i="4" s="1"/>
  <c r="EH51" i="4"/>
  <c r="EJ51" i="4" s="1"/>
  <c r="EH50" i="4"/>
  <c r="EJ50" i="4" s="1"/>
  <c r="EH49" i="4"/>
  <c r="EJ49" i="4" s="1"/>
  <c r="EH48" i="4"/>
  <c r="EJ48" i="4" s="1"/>
  <c r="EJ47" i="4"/>
  <c r="EH47" i="4"/>
  <c r="EH46" i="4"/>
  <c r="EJ46" i="4" s="1"/>
  <c r="EJ45" i="4"/>
  <c r="EH45" i="4"/>
  <c r="EH44" i="4"/>
  <c r="EJ44" i="4" s="1"/>
  <c r="EJ43" i="4"/>
  <c r="EH43" i="4"/>
  <c r="EH42" i="4"/>
  <c r="EJ42" i="4" s="1"/>
  <c r="EJ41" i="4"/>
  <c r="EH41" i="4"/>
  <c r="EH40" i="4"/>
  <c r="EJ40" i="4" s="1"/>
  <c r="DB38" i="4"/>
  <c r="DA38" i="4"/>
  <c r="DD38" i="4" s="1"/>
  <c r="DE38" i="4" s="1"/>
  <c r="DB37" i="4"/>
  <c r="DA37" i="4"/>
  <c r="DD37" i="4" s="1"/>
  <c r="DE37" i="4" s="1"/>
  <c r="S37" i="4"/>
  <c r="CC40" i="4" s="1"/>
  <c r="CT40" i="4" s="1"/>
  <c r="DB36" i="4"/>
  <c r="DA36" i="4"/>
  <c r="DD36" i="4" s="1"/>
  <c r="DE36" i="4" s="1"/>
  <c r="DD35" i="4"/>
  <c r="DE35" i="4" s="1"/>
  <c r="DB35" i="4"/>
  <c r="DA35" i="4"/>
  <c r="DD34" i="4"/>
  <c r="DE34" i="4" s="1"/>
  <c r="DB34" i="4"/>
  <c r="DA34" i="4"/>
  <c r="DB33" i="4"/>
  <c r="DA33" i="4"/>
  <c r="DD33" i="4" s="1"/>
  <c r="DE33" i="4" s="1"/>
  <c r="DB32" i="4"/>
  <c r="DA32" i="4"/>
  <c r="DD32" i="4" s="1"/>
  <c r="DE32" i="4" s="1"/>
  <c r="DB31" i="4"/>
  <c r="DA31" i="4"/>
  <c r="DD31" i="4" s="1"/>
  <c r="DE31" i="4" s="1"/>
  <c r="S31" i="4"/>
  <c r="DB30" i="4"/>
  <c r="DA30" i="4"/>
  <c r="DD30" i="4" s="1"/>
  <c r="DE30" i="4" s="1"/>
  <c r="CC30" i="4"/>
  <c r="DB29" i="4"/>
  <c r="DA29" i="4"/>
  <c r="DD29" i="4" s="1"/>
  <c r="DE29" i="4" s="1"/>
  <c r="DB28" i="4"/>
  <c r="DA28" i="4"/>
  <c r="DD28" i="4" s="1"/>
  <c r="DE28" i="4" s="1"/>
  <c r="DD27" i="4"/>
  <c r="DE27" i="4" s="1"/>
  <c r="DB27" i="4"/>
  <c r="DA27" i="4"/>
  <c r="DB26" i="4"/>
  <c r="DD26" i="4" s="1"/>
  <c r="DE26" i="4" s="1"/>
  <c r="DA26" i="4"/>
  <c r="DB25" i="4"/>
  <c r="DA25" i="4"/>
  <c r="DD25" i="4" s="1"/>
  <c r="DE25" i="4" s="1"/>
  <c r="S25" i="4"/>
  <c r="CC28" i="4" s="1"/>
  <c r="CV29" i="4" s="1"/>
  <c r="DB24" i="4"/>
  <c r="DA24" i="4"/>
  <c r="DD24" i="4" s="1"/>
  <c r="DE24" i="4" s="1"/>
  <c r="DD23" i="4"/>
  <c r="DE23" i="4" s="1"/>
  <c r="DB23" i="4"/>
  <c r="DA23" i="4"/>
  <c r="DD22" i="4"/>
  <c r="DE22" i="4" s="1"/>
  <c r="DB22" i="4"/>
  <c r="DA22" i="4"/>
  <c r="DD21" i="4"/>
  <c r="DE21" i="4" s="1"/>
  <c r="DB21" i="4"/>
  <c r="DA21" i="4"/>
  <c r="DB20" i="4"/>
  <c r="DA20" i="4"/>
  <c r="DD20" i="4" s="1"/>
  <c r="DE20" i="4" s="1"/>
  <c r="DB19" i="4"/>
  <c r="DA19" i="4"/>
  <c r="DD19" i="4" s="1"/>
  <c r="DE19" i="4" s="1"/>
  <c r="DD18" i="4"/>
  <c r="DE18" i="4" s="1"/>
  <c r="DB18" i="4"/>
  <c r="DA18" i="4"/>
  <c r="S18" i="4"/>
  <c r="CC21" i="4" s="1"/>
  <c r="DB17" i="4"/>
  <c r="DA17" i="4"/>
  <c r="DD17" i="4" s="1"/>
  <c r="DE17" i="4" s="1"/>
  <c r="DD16" i="4"/>
  <c r="DE16" i="4" s="1"/>
  <c r="DB16" i="4"/>
  <c r="DA16" i="4"/>
  <c r="DD15" i="4"/>
  <c r="DE15" i="4" s="1"/>
  <c r="DB15" i="4"/>
  <c r="DA15" i="4"/>
  <c r="DB14" i="4"/>
  <c r="DA14" i="4"/>
  <c r="DD14" i="4" s="1"/>
  <c r="DE14" i="4" s="1"/>
  <c r="DB13" i="4"/>
  <c r="DA13" i="4"/>
  <c r="DD13" i="4" s="1"/>
  <c r="DE13" i="4" s="1"/>
  <c r="DD12" i="4"/>
  <c r="DE12" i="4" s="1"/>
  <c r="DB12" i="4"/>
  <c r="DA12" i="4"/>
  <c r="DB11" i="4"/>
  <c r="DD11" i="4" s="1"/>
  <c r="DE11" i="4" s="1"/>
  <c r="DA11" i="4"/>
  <c r="S11" i="4"/>
  <c r="S12" i="4" s="1"/>
  <c r="DB10" i="4"/>
  <c r="DD10" i="4" s="1"/>
  <c r="DE10" i="4" s="1"/>
  <c r="DA10" i="4"/>
  <c r="DB9" i="4"/>
  <c r="DA9" i="4"/>
  <c r="DD9" i="4" s="1"/>
  <c r="DE9" i="4" s="1"/>
  <c r="DB8" i="4"/>
  <c r="DA8" i="4"/>
  <c r="DD8" i="4" s="1"/>
  <c r="DE8" i="4" s="1"/>
  <c r="EK7" i="4"/>
  <c r="EM19" i="4" s="1"/>
  <c r="F19" i="2" s="1"/>
  <c r="E19" i="2" s="1"/>
  <c r="DB7" i="4"/>
  <c r="DA7" i="4"/>
  <c r="DD7" i="4" s="1"/>
  <c r="DE7" i="4" s="1"/>
  <c r="DD6" i="4"/>
  <c r="DE6" i="4" s="1"/>
  <c r="DB6" i="4"/>
  <c r="DA6" i="4"/>
  <c r="DD5" i="4"/>
  <c r="DE5" i="4" s="1"/>
  <c r="DB5" i="4"/>
  <c r="DA5" i="4"/>
  <c r="DB4" i="4"/>
  <c r="DA4" i="4"/>
  <c r="DD4" i="4" s="1"/>
  <c r="DE4" i="4" s="1"/>
  <c r="S4" i="4"/>
  <c r="CC7" i="4" s="1"/>
  <c r="DB3" i="4"/>
  <c r="DA3" i="4"/>
  <c r="DD3" i="4" s="1"/>
  <c r="DE3" i="4" s="1"/>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G58" i="2" s="1"/>
  <c r="H1" i="3"/>
  <c r="J58" i="2"/>
  <c r="C58" i="2"/>
  <c r="G57" i="2"/>
  <c r="G56" i="2"/>
  <c r="J55" i="2"/>
  <c r="J54" i="2"/>
  <c r="J53" i="2"/>
  <c r="J52" i="2"/>
  <c r="C52" i="2"/>
  <c r="O46" i="2"/>
  <c r="B43" i="2"/>
  <c r="CZ38" i="4"/>
  <c r="CZ37" i="4"/>
  <c r="DC36" i="4"/>
  <c r="CZ36" i="4"/>
  <c r="DC35" i="4"/>
  <c r="CZ35" i="4"/>
  <c r="P38" i="2"/>
  <c r="DC34" i="4"/>
  <c r="CZ34" i="4"/>
  <c r="O37" i="2"/>
  <c r="DC33" i="4"/>
  <c r="CZ33" i="4"/>
  <c r="J36" i="2"/>
  <c r="DC32" i="4" s="1"/>
  <c r="G36" i="2"/>
  <c r="CZ32" i="4" s="1"/>
  <c r="J35" i="2"/>
  <c r="DC31" i="4" s="1"/>
  <c r="G35" i="2"/>
  <c r="CZ31" i="4" s="1"/>
  <c r="J34" i="2"/>
  <c r="DC30" i="4" s="1"/>
  <c r="G34" i="2"/>
  <c r="CZ30" i="4" s="1"/>
  <c r="J33" i="2"/>
  <c r="DC29" i="4" s="1"/>
  <c r="G33" i="2"/>
  <c r="CZ29" i="4" s="1"/>
  <c r="DC28" i="4"/>
  <c r="CZ28" i="4"/>
  <c r="O31" i="2"/>
  <c r="DC27" i="4"/>
  <c r="CZ27" i="4"/>
  <c r="J30" i="2"/>
  <c r="DC26" i="4" s="1"/>
  <c r="G30" i="2"/>
  <c r="CZ26" i="4" s="1"/>
  <c r="J29" i="2"/>
  <c r="DC25" i="4" s="1"/>
  <c r="G29" i="2"/>
  <c r="CZ25" i="4" s="1"/>
  <c r="J28" i="2"/>
  <c r="DC24" i="4" s="1"/>
  <c r="G28" i="2"/>
  <c r="CZ24" i="4" s="1"/>
  <c r="J27" i="2"/>
  <c r="DC23" i="4" s="1"/>
  <c r="G27" i="2"/>
  <c r="CZ23" i="4" s="1"/>
  <c r="O26" i="2"/>
  <c r="J26" i="2"/>
  <c r="DC22" i="4" s="1"/>
  <c r="G26" i="2"/>
  <c r="CZ22" i="4" s="1"/>
  <c r="J25" i="2"/>
  <c r="DC21" i="4" s="1"/>
  <c r="G25" i="2"/>
  <c r="CZ21" i="4" s="1"/>
  <c r="J24" i="2"/>
  <c r="DC20" i="4" s="1"/>
  <c r="G24" i="2"/>
  <c r="CZ20" i="4" s="1"/>
  <c r="J23" i="2"/>
  <c r="DC19" i="4" s="1"/>
  <c r="G23" i="2"/>
  <c r="CZ19" i="4" s="1"/>
  <c r="J22" i="2"/>
  <c r="DC18" i="4" s="1"/>
  <c r="G22" i="2"/>
  <c r="CZ18" i="4" s="1"/>
  <c r="O21" i="2"/>
  <c r="J21" i="2"/>
  <c r="DC17" i="4" s="1"/>
  <c r="G21" i="2"/>
  <c r="CZ17" i="4" s="1"/>
  <c r="J20" i="2"/>
  <c r="DC16" i="4" s="1"/>
  <c r="G20" i="2"/>
  <c r="CZ16" i="4" s="1"/>
  <c r="J19" i="2"/>
  <c r="DC15" i="4" s="1"/>
  <c r="G19" i="2"/>
  <c r="CZ15" i="4" s="1"/>
  <c r="J18" i="2"/>
  <c r="G18" i="2"/>
  <c r="J17" i="2"/>
  <c r="G17" i="2"/>
  <c r="O16" i="2"/>
  <c r="J16" i="2"/>
  <c r="G16" i="2"/>
  <c r="J15" i="2"/>
  <c r="G15" i="2"/>
  <c r="J14" i="2"/>
  <c r="G14" i="2"/>
  <c r="J13" i="2"/>
  <c r="G13" i="2"/>
  <c r="J12" i="2"/>
  <c r="G12" i="2"/>
  <c r="O11" i="2"/>
  <c r="J11" i="2"/>
  <c r="G11" i="2"/>
  <c r="J10" i="2"/>
  <c r="G10" i="2"/>
  <c r="EH11" i="4" s="1"/>
  <c r="B11" i="4" s="1"/>
  <c r="J9" i="2"/>
  <c r="EH14" i="4" s="1"/>
  <c r="B14" i="4" s="1"/>
  <c r="G9" i="2"/>
  <c r="EH13" i="4" s="1"/>
  <c r="B13" i="4" s="1"/>
  <c r="J8" i="2"/>
  <c r="EH10" i="4" s="1"/>
  <c r="B7" i="4" s="1"/>
  <c r="G8" i="2"/>
  <c r="EH9" i="4" s="1"/>
  <c r="B6" i="4" s="1"/>
  <c r="J7" i="2"/>
  <c r="EH8" i="4" s="1"/>
  <c r="B5" i="4" s="1"/>
  <c r="G7" i="2"/>
  <c r="EH7" i="4" s="1"/>
  <c r="B4" i="4" s="1"/>
  <c r="O6" i="2"/>
  <c r="B6" i="2"/>
  <c r="O5" i="2"/>
  <c r="M5" i="2"/>
  <c r="J5" i="2"/>
  <c r="H5" i="2"/>
  <c r="G5" i="2"/>
  <c r="F5" i="2"/>
  <c r="E5" i="2"/>
  <c r="B5" i="2"/>
  <c r="B3" i="2"/>
  <c r="D99" i="1"/>
  <c r="H93" i="3" s="1"/>
  <c r="D98" i="1"/>
  <c r="H92" i="3" s="1"/>
  <c r="D97" i="1"/>
  <c r="H91" i="3" s="1"/>
  <c r="D96" i="1"/>
  <c r="H90" i="3" s="1"/>
  <c r="D95" i="1"/>
  <c r="H89" i="3" s="1"/>
  <c r="D94" i="1"/>
  <c r="H88" i="3" s="1"/>
  <c r="D93" i="1"/>
  <c r="H87" i="3" s="1"/>
  <c r="D92" i="1"/>
  <c r="H86" i="3" s="1"/>
  <c r="D91" i="1"/>
  <c r="H85" i="3" s="1"/>
  <c r="D90" i="1"/>
  <c r="H84" i="3" s="1"/>
  <c r="D89" i="1"/>
  <c r="H83" i="3" s="1"/>
  <c r="D88" i="1"/>
  <c r="H82" i="3" s="1"/>
  <c r="D87" i="1"/>
  <c r="H81" i="3" s="1"/>
  <c r="D86" i="1"/>
  <c r="H80" i="3" s="1"/>
  <c r="D85" i="1"/>
  <c r="H79" i="3" s="1"/>
  <c r="D84" i="1"/>
  <c r="H78" i="3" s="1"/>
  <c r="D83" i="1"/>
  <c r="H77" i="3" s="1"/>
  <c r="D82" i="1"/>
  <c r="H76" i="3" s="1"/>
  <c r="D81" i="1"/>
  <c r="H75" i="3" s="1"/>
  <c r="D80" i="1"/>
  <c r="H74" i="3" s="1"/>
  <c r="D79" i="1"/>
  <c r="H73" i="3" s="1"/>
  <c r="D78" i="1"/>
  <c r="H72" i="3" s="1"/>
  <c r="D77" i="1"/>
  <c r="H71" i="3" s="1"/>
  <c r="D76" i="1"/>
  <c r="H70" i="3" s="1"/>
  <c r="D75" i="1"/>
  <c r="H69" i="3" s="1"/>
  <c r="D74" i="1"/>
  <c r="H68" i="3" s="1"/>
  <c r="D73" i="1"/>
  <c r="H67" i="3" s="1"/>
  <c r="D72" i="1"/>
  <c r="H66" i="3" s="1"/>
  <c r="D71" i="1"/>
  <c r="H65" i="3" s="1"/>
  <c r="D70" i="1"/>
  <c r="H64" i="3" s="1"/>
  <c r="D69" i="1"/>
  <c r="H63" i="3" s="1"/>
  <c r="D68" i="1"/>
  <c r="H62" i="3" s="1"/>
  <c r="D67" i="1"/>
  <c r="H61" i="3" s="1"/>
  <c r="D66" i="1"/>
  <c r="H60" i="3" s="1"/>
  <c r="D65" i="1"/>
  <c r="H59" i="3" s="1"/>
  <c r="D64" i="1"/>
  <c r="H58" i="3" s="1"/>
  <c r="D63" i="1"/>
  <c r="H57" i="3" s="1"/>
  <c r="D62" i="1"/>
  <c r="H56" i="3" s="1"/>
  <c r="D61" i="1"/>
  <c r="H55" i="3" s="1"/>
  <c r="D60" i="1"/>
  <c r="H54" i="3" s="1"/>
  <c r="D59" i="1"/>
  <c r="H53" i="3" s="1"/>
  <c r="D58" i="1"/>
  <c r="H52" i="3" s="1"/>
  <c r="D57" i="1"/>
  <c r="H51" i="3" s="1"/>
  <c r="D56" i="1"/>
  <c r="H50" i="3" s="1"/>
  <c r="D55" i="1"/>
  <c r="H49" i="3" s="1"/>
  <c r="D54" i="1"/>
  <c r="H48" i="3" s="1"/>
  <c r="D53" i="1"/>
  <c r="H47" i="3" s="1"/>
  <c r="D52" i="1"/>
  <c r="H46" i="3" s="1"/>
  <c r="D51" i="1"/>
  <c r="H45" i="3" s="1"/>
  <c r="D50" i="1"/>
  <c r="H44" i="3" s="1"/>
  <c r="D49" i="1"/>
  <c r="H43" i="3" s="1"/>
  <c r="D48" i="1"/>
  <c r="H42" i="3" s="1"/>
  <c r="D47" i="1"/>
  <c r="H41" i="3" s="1"/>
  <c r="D46" i="1"/>
  <c r="H40" i="3" s="1"/>
  <c r="D45" i="1"/>
  <c r="H39" i="3" s="1"/>
  <c r="D44" i="1"/>
  <c r="H38" i="3" s="1"/>
  <c r="D43" i="1"/>
  <c r="H37" i="3" s="1"/>
  <c r="D42" i="1"/>
  <c r="H36" i="3" s="1"/>
  <c r="D41" i="1"/>
  <c r="H35" i="3" s="1"/>
  <c r="D40" i="1"/>
  <c r="H34" i="3" s="1"/>
  <c r="D39" i="1"/>
  <c r="H33" i="3" s="1"/>
  <c r="D38" i="1"/>
  <c r="H32" i="3" s="1"/>
  <c r="D37" i="1"/>
  <c r="H31" i="3" s="1"/>
  <c r="D36" i="1"/>
  <c r="H30" i="3" s="1"/>
  <c r="D35" i="1"/>
  <c r="H29" i="3" s="1"/>
  <c r="D34" i="1"/>
  <c r="H28" i="3" s="1"/>
  <c r="D33" i="1"/>
  <c r="H27" i="3" s="1"/>
  <c r="D32" i="1"/>
  <c r="H26" i="3" s="1"/>
  <c r="D31" i="1"/>
  <c r="H25" i="3" s="1"/>
  <c r="D30" i="1"/>
  <c r="H24" i="3" s="1"/>
  <c r="D29" i="1"/>
  <c r="H23" i="3" s="1"/>
  <c r="D28" i="1"/>
  <c r="H22" i="3" s="1"/>
  <c r="D27" i="1"/>
  <c r="H21" i="3" s="1"/>
  <c r="D26" i="1"/>
  <c r="H20" i="3" s="1"/>
  <c r="D25" i="1"/>
  <c r="H19" i="3" s="1"/>
  <c r="D24" i="1"/>
  <c r="H18" i="3" s="1"/>
  <c r="D23" i="1"/>
  <c r="H17" i="3" s="1"/>
  <c r="D22" i="1"/>
  <c r="H16" i="3" s="1"/>
  <c r="D21" i="1"/>
  <c r="H15" i="3" s="1"/>
  <c r="D20" i="1"/>
  <c r="H14" i="3" s="1"/>
  <c r="D19" i="1"/>
  <c r="H13" i="3" s="1"/>
  <c r="D18" i="1"/>
  <c r="H12" i="3" s="1"/>
  <c r="D17" i="1"/>
  <c r="H11" i="3" s="1"/>
  <c r="D16" i="1"/>
  <c r="H10" i="3" s="1"/>
  <c r="D15" i="1"/>
  <c r="H9" i="3" s="1"/>
  <c r="D14" i="1"/>
  <c r="H8" i="3" s="1"/>
  <c r="D13" i="1"/>
  <c r="H7" i="3" s="1"/>
  <c r="D12" i="1"/>
  <c r="H6" i="3" s="1"/>
  <c r="D11" i="1"/>
  <c r="H5" i="3" s="1"/>
  <c r="D10" i="1"/>
  <c r="H4" i="3" s="1"/>
  <c r="D9" i="1"/>
  <c r="H3" i="3" s="1"/>
  <c r="CL40" i="4" l="1"/>
  <c r="EH27" i="4"/>
  <c r="B37" i="4" s="1"/>
  <c r="CZ14" i="4"/>
  <c r="EH12" i="4"/>
  <c r="B12" i="4" s="1"/>
  <c r="DC6" i="4"/>
  <c r="EH21" i="4"/>
  <c r="B27" i="4" s="1"/>
  <c r="CZ7" i="4"/>
  <c r="EH20" i="4"/>
  <c r="B26" i="4" s="1"/>
  <c r="DC10" i="4"/>
  <c r="EH25" i="4"/>
  <c r="B33" i="4" s="1"/>
  <c r="CZ11" i="4"/>
  <c r="EH28" i="4"/>
  <c r="B38" i="4" s="1"/>
  <c r="DC14" i="4"/>
  <c r="DC37" i="4"/>
  <c r="C44" i="2"/>
  <c r="O48" i="2"/>
  <c r="G52" i="2"/>
  <c r="G53" i="2"/>
  <c r="G54" i="2"/>
  <c r="G55" i="2"/>
  <c r="DC4" i="4"/>
  <c r="EH22" i="4"/>
  <c r="B28" i="4" s="1"/>
  <c r="DC7" i="4"/>
  <c r="EH23" i="4"/>
  <c r="B31" i="4" s="1"/>
  <c r="CZ12" i="4"/>
  <c r="CZ4" i="4"/>
  <c r="S5" i="4"/>
  <c r="CZ6" i="4"/>
  <c r="CZ8" i="4"/>
  <c r="EH17" i="4"/>
  <c r="B20" i="4" s="1"/>
  <c r="EH26" i="4"/>
  <c r="B34" i="4" s="1"/>
  <c r="DC11" i="4"/>
  <c r="EH18" i="4"/>
  <c r="B21" i="4" s="1"/>
  <c r="DC8" i="4"/>
  <c r="EH15" i="4"/>
  <c r="B18" i="4" s="1"/>
  <c r="CZ9" i="4"/>
  <c r="EH24" i="4"/>
  <c r="B32" i="4" s="1"/>
  <c r="DC12" i="4"/>
  <c r="EH29" i="4"/>
  <c r="B39" i="4" s="1"/>
  <c r="CZ13" i="4"/>
  <c r="DC38" i="4"/>
  <c r="C56" i="2"/>
  <c r="J56" i="2"/>
  <c r="J57" i="2"/>
  <c r="DC3" i="4"/>
  <c r="DC5" i="4"/>
  <c r="G7" i="4" s="1"/>
  <c r="DC9" i="4"/>
  <c r="EH16" i="4"/>
  <c r="B19" i="4" s="1"/>
  <c r="CZ10" i="4"/>
  <c r="EH19" i="4"/>
  <c r="B25" i="4" s="1"/>
  <c r="EH30" i="4"/>
  <c r="B40" i="4" s="1"/>
  <c r="DC13" i="4"/>
  <c r="CZ3" i="4"/>
  <c r="CT7" i="4"/>
  <c r="CP7" i="4"/>
  <c r="CL7" i="4"/>
  <c r="CS7" i="4"/>
  <c r="CO7" i="4"/>
  <c r="CK7" i="4"/>
  <c r="CV7" i="4"/>
  <c r="CR7" i="4"/>
  <c r="CJ7" i="4"/>
  <c r="CN7" i="4" s="1"/>
  <c r="CU7" i="4"/>
  <c r="CQ7" i="4"/>
  <c r="CM7" i="4"/>
  <c r="CZ5" i="4"/>
  <c r="CH28" i="4" s="1"/>
  <c r="EM13" i="4"/>
  <c r="F13" i="2" s="1"/>
  <c r="E13" i="2" s="1"/>
  <c r="CC14" i="4"/>
  <c r="EM15" i="4"/>
  <c r="F15" i="2" s="1"/>
  <c r="E15" i="2" s="1"/>
  <c r="EM17" i="4"/>
  <c r="F17" i="2" s="1"/>
  <c r="E17" i="2" s="1"/>
  <c r="EM18" i="4"/>
  <c r="F18" i="2" s="1"/>
  <c r="E18" i="2" s="1"/>
  <c r="EM58" i="4"/>
  <c r="F58" i="2" s="1"/>
  <c r="E58" i="2" s="1"/>
  <c r="EM57" i="4"/>
  <c r="F57" i="2" s="1"/>
  <c r="E57" i="2" s="1"/>
  <c r="EM55" i="4"/>
  <c r="F55" i="2" s="1"/>
  <c r="E55" i="2" s="1"/>
  <c r="EM49" i="4"/>
  <c r="F49" i="2" s="1"/>
  <c r="E49" i="2" s="1"/>
  <c r="EM56" i="4"/>
  <c r="F56" i="2" s="1"/>
  <c r="E56" i="2" s="1"/>
  <c r="EM51" i="4"/>
  <c r="F51" i="2" s="1"/>
  <c r="E51" i="2" s="1"/>
  <c r="EM48" i="4"/>
  <c r="F48" i="2" s="1"/>
  <c r="E48" i="2" s="1"/>
  <c r="EM54" i="4"/>
  <c r="F54" i="2" s="1"/>
  <c r="E54" i="2" s="1"/>
  <c r="EM39" i="4"/>
  <c r="F39" i="2" s="1"/>
  <c r="E39" i="2" s="1"/>
  <c r="EM36" i="4"/>
  <c r="F36" i="2" s="1"/>
  <c r="E36" i="2" s="1"/>
  <c r="EM40" i="4"/>
  <c r="F40" i="2" s="1"/>
  <c r="E40" i="2" s="1"/>
  <c r="EM33" i="4"/>
  <c r="F33" i="2" s="1"/>
  <c r="E33" i="2" s="1"/>
  <c r="EM53" i="4"/>
  <c r="F53" i="2" s="1"/>
  <c r="E53" i="2" s="1"/>
  <c r="EM50" i="4"/>
  <c r="F50" i="2" s="1"/>
  <c r="E50" i="2" s="1"/>
  <c r="EM45" i="4"/>
  <c r="F45" i="2" s="1"/>
  <c r="E45" i="2" s="1"/>
  <c r="EM44" i="4"/>
  <c r="F44" i="2" s="1"/>
  <c r="E44" i="2" s="1"/>
  <c r="EM43" i="4"/>
  <c r="EM41" i="4"/>
  <c r="F41" i="2" s="1"/>
  <c r="E41" i="2" s="1"/>
  <c r="EM52" i="4"/>
  <c r="F52" i="2" s="1"/>
  <c r="E52" i="2" s="1"/>
  <c r="EM47" i="4"/>
  <c r="F47" i="2" s="1"/>
  <c r="E47" i="2" s="1"/>
  <c r="EM46" i="4"/>
  <c r="F46" i="2" s="1"/>
  <c r="E46" i="2" s="1"/>
  <c r="EM42" i="4"/>
  <c r="F42" i="2" s="1"/>
  <c r="E42" i="2" s="1"/>
  <c r="EM34" i="4"/>
  <c r="F34" i="2" s="1"/>
  <c r="E34" i="2" s="1"/>
  <c r="EM30" i="4"/>
  <c r="F30" i="2" s="1"/>
  <c r="E30" i="2" s="1"/>
  <c r="EM28" i="4"/>
  <c r="F28" i="2" s="1"/>
  <c r="E28" i="2" s="1"/>
  <c r="EM38" i="4"/>
  <c r="F38" i="2" s="1"/>
  <c r="E38" i="2" s="1"/>
  <c r="EM27" i="4"/>
  <c r="F27" i="2" s="1"/>
  <c r="E27" i="2" s="1"/>
  <c r="EM35" i="4"/>
  <c r="F35" i="2" s="1"/>
  <c r="E35" i="2" s="1"/>
  <c r="EM32" i="4"/>
  <c r="F32" i="2" s="1"/>
  <c r="E32" i="2" s="1"/>
  <c r="EM29" i="4"/>
  <c r="F29" i="2" s="1"/>
  <c r="E29" i="2" s="1"/>
  <c r="EM37" i="4"/>
  <c r="F37" i="2" s="1"/>
  <c r="E37" i="2" s="1"/>
  <c r="EM26" i="4"/>
  <c r="F26" i="2" s="1"/>
  <c r="E26" i="2" s="1"/>
  <c r="EM31" i="4"/>
  <c r="F31" i="2" s="1"/>
  <c r="E31" i="2" s="1"/>
  <c r="EM23" i="4"/>
  <c r="F23" i="2" s="1"/>
  <c r="E23" i="2" s="1"/>
  <c r="EM21" i="4"/>
  <c r="F21" i="2" s="1"/>
  <c r="E21" i="2" s="1"/>
  <c r="EM25" i="4"/>
  <c r="F25" i="2" s="1"/>
  <c r="E25" i="2" s="1"/>
  <c r="EM24" i="4"/>
  <c r="F24" i="2" s="1"/>
  <c r="E24" i="2" s="1"/>
  <c r="EM22" i="4"/>
  <c r="F22" i="2" s="1"/>
  <c r="E22" i="2" s="1"/>
  <c r="EM8" i="4"/>
  <c r="F8" i="2" s="1"/>
  <c r="E8" i="2" s="1"/>
  <c r="EM12" i="4"/>
  <c r="F12" i="2" s="1"/>
  <c r="E12" i="2" s="1"/>
  <c r="CV21" i="4"/>
  <c r="CR21" i="4"/>
  <c r="CJ21" i="4"/>
  <c r="CN21" i="4" s="1"/>
  <c r="CU21" i="4"/>
  <c r="CQ21" i="4"/>
  <c r="CM21" i="4"/>
  <c r="CT21" i="4"/>
  <c r="CP21" i="4"/>
  <c r="CL21" i="4"/>
  <c r="CS21" i="4"/>
  <c r="CO21" i="4"/>
  <c r="CK21" i="4"/>
  <c r="S19" i="4"/>
  <c r="EM20" i="4"/>
  <c r="F20" i="2" s="1"/>
  <c r="E20" i="2" s="1"/>
  <c r="EM7" i="4"/>
  <c r="F7" i="2" s="1"/>
  <c r="E7" i="2" s="1"/>
  <c r="EM9" i="4"/>
  <c r="F9" i="2" s="1"/>
  <c r="E9" i="2" s="1"/>
  <c r="EM11" i="4"/>
  <c r="F11" i="2" s="1"/>
  <c r="E11" i="2" s="1"/>
  <c r="EM14" i="4"/>
  <c r="F14" i="2" s="1"/>
  <c r="E14" i="2" s="1"/>
  <c r="EM16" i="4"/>
  <c r="F16" i="2" s="1"/>
  <c r="E16" i="2" s="1"/>
  <c r="EM10" i="4"/>
  <c r="F10" i="2" s="1"/>
  <c r="E10" i="2" s="1"/>
  <c r="CC34" i="4"/>
  <c r="S32" i="4"/>
  <c r="CT28" i="4"/>
  <c r="CP28" i="4"/>
  <c r="CL28" i="4"/>
  <c r="CS28" i="4"/>
  <c r="CO28" i="4"/>
  <c r="CK28" i="4"/>
  <c r="CV28" i="4"/>
  <c r="CR28" i="4"/>
  <c r="CJ28" i="4"/>
  <c r="CN28" i="4" s="1"/>
  <c r="S26" i="4"/>
  <c r="CM28" i="4"/>
  <c r="CQ28" i="4"/>
  <c r="CU28" i="4"/>
  <c r="S38" i="4"/>
  <c r="CP40" i="4"/>
  <c r="CS40" i="4"/>
  <c r="CO40" i="4"/>
  <c r="CK40" i="4"/>
  <c r="CV40" i="4"/>
  <c r="CR40" i="4"/>
  <c r="CJ40" i="4"/>
  <c r="CN40" i="4" s="1"/>
  <c r="CU40" i="4"/>
  <c r="CQ40" i="4"/>
  <c r="CM40" i="4"/>
  <c r="D14" i="4" l="1"/>
  <c r="CG21" i="4"/>
  <c r="CD21" i="4"/>
  <c r="CE7" i="4"/>
  <c r="CF7" i="4"/>
  <c r="CG7" i="4"/>
  <c r="CD7" i="4"/>
  <c r="C7" i="4"/>
  <c r="E14" i="4"/>
  <c r="CE21" i="4"/>
  <c r="CF21" i="4"/>
  <c r="CH7" i="4"/>
  <c r="CI7" i="4" s="1"/>
  <c r="CH40" i="4"/>
  <c r="CH21" i="4"/>
  <c r="CI21" i="4" s="1"/>
  <c r="CE40" i="4"/>
  <c r="CF40" i="4"/>
  <c r="CG40" i="4"/>
  <c r="CI40" i="4" s="1"/>
  <c r="CD40" i="4"/>
  <c r="CE28" i="4"/>
  <c r="CF28" i="4"/>
  <c r="CG28" i="4"/>
  <c r="CI28" i="4" s="1"/>
  <c r="G4" i="4"/>
  <c r="E7" i="4"/>
  <c r="F39" i="4"/>
  <c r="E39" i="4"/>
  <c r="C39" i="4"/>
  <c r="G39" i="4"/>
  <c r="D39" i="4"/>
  <c r="G18" i="4"/>
  <c r="C18" i="4"/>
  <c r="F18" i="4"/>
  <c r="E18" i="4"/>
  <c r="D18" i="4"/>
  <c r="G13" i="4"/>
  <c r="F13" i="4"/>
  <c r="D34" i="4"/>
  <c r="F34" i="4"/>
  <c r="E34" i="4"/>
  <c r="C34" i="4"/>
  <c r="G34" i="4"/>
  <c r="G38" i="4"/>
  <c r="C38" i="4"/>
  <c r="F38" i="4"/>
  <c r="E38" i="4"/>
  <c r="D38" i="4"/>
  <c r="F26" i="4"/>
  <c r="D26" i="4"/>
  <c r="C26" i="4"/>
  <c r="G26" i="4"/>
  <c r="E26" i="4"/>
  <c r="E12" i="4"/>
  <c r="D12" i="4"/>
  <c r="G12" i="4"/>
  <c r="C12" i="4"/>
  <c r="F12" i="4"/>
  <c r="E11" i="4"/>
  <c r="D11" i="4"/>
  <c r="D6" i="4"/>
  <c r="G5" i="4"/>
  <c r="D4" i="4"/>
  <c r="CV14" i="4"/>
  <c r="CR14" i="4"/>
  <c r="CJ14" i="4"/>
  <c r="CN14" i="4" s="1"/>
  <c r="CF14" i="4"/>
  <c r="CU14" i="4"/>
  <c r="CQ14" i="4"/>
  <c r="CM14" i="4"/>
  <c r="CE14" i="4"/>
  <c r="CT14" i="4"/>
  <c r="CP14" i="4"/>
  <c r="CL14" i="4"/>
  <c r="CH14" i="4"/>
  <c r="CD14" i="4"/>
  <c r="CS14" i="4"/>
  <c r="CO14" i="4"/>
  <c r="CK14" i="4"/>
  <c r="CG14" i="4"/>
  <c r="G19" i="4"/>
  <c r="C19" i="4"/>
  <c r="F19" i="4"/>
  <c r="H19" i="4" s="1"/>
  <c r="E19" i="4"/>
  <c r="D19" i="4"/>
  <c r="CD28" i="4"/>
  <c r="CT34" i="4"/>
  <c r="CP34" i="4"/>
  <c r="CL34" i="4"/>
  <c r="CH34" i="4"/>
  <c r="CS34" i="4"/>
  <c r="CO34" i="4"/>
  <c r="CK34" i="4"/>
  <c r="CG34" i="4"/>
  <c r="CQ34" i="4"/>
  <c r="CV34" i="4"/>
  <c r="CU34" i="4"/>
  <c r="CM34" i="4"/>
  <c r="CR34" i="4"/>
  <c r="CJ34" i="4"/>
  <c r="CN34" i="4" s="1"/>
  <c r="D40" i="4"/>
  <c r="G40" i="4"/>
  <c r="C40" i="4"/>
  <c r="F40" i="4"/>
  <c r="E40" i="4"/>
  <c r="F14" i="4"/>
  <c r="D13" i="4"/>
  <c r="F7" i="4"/>
  <c r="H7" i="4" s="1"/>
  <c r="G20" i="4"/>
  <c r="C20" i="4"/>
  <c r="F20" i="4"/>
  <c r="H20" i="4" s="1"/>
  <c r="E20" i="4"/>
  <c r="D20" i="4"/>
  <c r="D28" i="4"/>
  <c r="G28" i="4"/>
  <c r="C28" i="4"/>
  <c r="F28" i="4"/>
  <c r="E28" i="4"/>
  <c r="F11" i="4"/>
  <c r="F6" i="4"/>
  <c r="E5" i="4"/>
  <c r="F4" i="4"/>
  <c r="G25" i="4"/>
  <c r="C25" i="4"/>
  <c r="F25" i="4"/>
  <c r="E25" i="4"/>
  <c r="D25" i="4"/>
  <c r="C14" i="4"/>
  <c r="I14" i="4" s="1"/>
  <c r="G32" i="4"/>
  <c r="C32" i="4"/>
  <c r="F32" i="4"/>
  <c r="E32" i="4"/>
  <c r="D32" i="4"/>
  <c r="G21" i="4"/>
  <c r="C21" i="4"/>
  <c r="F21" i="4"/>
  <c r="D21" i="4"/>
  <c r="E21" i="4"/>
  <c r="D7" i="4"/>
  <c r="F33" i="4"/>
  <c r="E33" i="4"/>
  <c r="D33" i="4"/>
  <c r="G33" i="4"/>
  <c r="C33" i="4"/>
  <c r="G27" i="4"/>
  <c r="C27" i="4"/>
  <c r="F27" i="4"/>
  <c r="E27" i="4"/>
  <c r="D27" i="4"/>
  <c r="D37" i="4"/>
  <c r="G37" i="4"/>
  <c r="C37" i="4"/>
  <c r="F37" i="4"/>
  <c r="E37" i="4"/>
  <c r="C11" i="4"/>
  <c r="C6" i="4"/>
  <c r="E6" i="4"/>
  <c r="F5" i="4"/>
  <c r="H5" i="4" s="1"/>
  <c r="C4" i="4"/>
  <c r="E4" i="4"/>
  <c r="G14" i="4"/>
  <c r="C13" i="4"/>
  <c r="E13" i="4"/>
  <c r="D31" i="4"/>
  <c r="G31" i="4"/>
  <c r="C31" i="4"/>
  <c r="F31" i="4"/>
  <c r="E31" i="4"/>
  <c r="G11" i="4"/>
  <c r="G6" i="4"/>
  <c r="D5" i="4"/>
  <c r="C5" i="4"/>
  <c r="CI34" i="4" l="1"/>
  <c r="I7" i="4"/>
  <c r="H4" i="4"/>
  <c r="H38" i="4"/>
  <c r="H18" i="4"/>
  <c r="I4" i="4"/>
  <c r="I11" i="4"/>
  <c r="I12" i="4"/>
  <c r="I38" i="4"/>
  <c r="H27" i="4"/>
  <c r="H32" i="4"/>
  <c r="H40" i="4"/>
  <c r="I5" i="4"/>
  <c r="I6" i="4"/>
  <c r="I33" i="4"/>
  <c r="I34" i="4"/>
  <c r="H13" i="4"/>
  <c r="I25" i="4"/>
  <c r="H33" i="4"/>
  <c r="I32" i="4"/>
  <c r="I31" i="4"/>
  <c r="I13" i="4"/>
  <c r="I37" i="4"/>
  <c r="I21" i="4"/>
  <c r="H25" i="4"/>
  <c r="H11" i="4"/>
  <c r="I28" i="4"/>
  <c r="H12" i="4"/>
  <c r="CI14" i="4"/>
  <c r="I26" i="4"/>
  <c r="H39" i="4"/>
  <c r="H34" i="4"/>
  <c r="I18" i="4"/>
  <c r="I39" i="4"/>
  <c r="H37" i="4"/>
  <c r="I19" i="4"/>
  <c r="H31" i="4"/>
  <c r="I27" i="4"/>
  <c r="H21" i="4"/>
  <c r="H6" i="4"/>
  <c r="H28" i="4"/>
  <c r="I20" i="4"/>
  <c r="H14" i="4"/>
  <c r="I40" i="4"/>
  <c r="H26" i="4"/>
  <c r="K6" i="4" l="1"/>
  <c r="K13" i="4"/>
  <c r="I47" i="4"/>
  <c r="K12" i="4"/>
  <c r="K11" i="4"/>
  <c r="K4" i="4"/>
  <c r="K14" i="4"/>
  <c r="I52" i="4"/>
  <c r="K5" i="4"/>
  <c r="K7" i="4"/>
  <c r="I54" i="4"/>
  <c r="I53" i="4"/>
  <c r="I44" i="4"/>
  <c r="I72" i="4"/>
  <c r="I74" i="4"/>
  <c r="I73" i="4"/>
  <c r="I71" i="4"/>
  <c r="K34" i="4"/>
  <c r="K33" i="4"/>
  <c r="K32" i="4"/>
  <c r="K31" i="4"/>
  <c r="I51" i="4"/>
  <c r="I45" i="4"/>
  <c r="I80" i="4"/>
  <c r="I78" i="4"/>
  <c r="I77" i="4"/>
  <c r="I79" i="4"/>
  <c r="K39" i="4"/>
  <c r="K38" i="4"/>
  <c r="K40" i="4"/>
  <c r="K37" i="4"/>
  <c r="I46" i="4"/>
  <c r="I60" i="4"/>
  <c r="I61" i="4"/>
  <c r="I58" i="4"/>
  <c r="I59" i="4"/>
  <c r="K21" i="4"/>
  <c r="K20" i="4"/>
  <c r="K19" i="4"/>
  <c r="K18" i="4"/>
  <c r="I67" i="4"/>
  <c r="I68" i="4"/>
  <c r="I65" i="4"/>
  <c r="I66" i="4"/>
  <c r="K27" i="4"/>
  <c r="K26" i="4"/>
  <c r="K25" i="4"/>
  <c r="K28" i="4"/>
  <c r="M13" i="4" l="1"/>
  <c r="M4" i="4"/>
  <c r="M7" i="4"/>
  <c r="M6" i="4"/>
  <c r="M14" i="4"/>
  <c r="M12" i="4"/>
  <c r="M11" i="4"/>
  <c r="M5" i="4"/>
  <c r="M21" i="4"/>
  <c r="M20" i="4"/>
  <c r="M19" i="4"/>
  <c r="M18" i="4"/>
  <c r="M38" i="4"/>
  <c r="M40" i="4"/>
  <c r="M37" i="4"/>
  <c r="M39" i="4"/>
  <c r="M27" i="4"/>
  <c r="M28" i="4"/>
  <c r="M25" i="4"/>
  <c r="M26" i="4"/>
  <c r="M34" i="4"/>
  <c r="M33" i="4"/>
  <c r="M32" i="4"/>
  <c r="M31" i="4"/>
  <c r="N7" i="4" l="1"/>
  <c r="O7" i="4" s="1"/>
  <c r="R4" i="4" s="1"/>
  <c r="R5" i="4" s="1"/>
  <c r="N5" i="4"/>
  <c r="O5" i="4" s="1"/>
  <c r="N13" i="4"/>
  <c r="O13" i="4" s="1"/>
  <c r="N14" i="4"/>
  <c r="O14" i="4" s="1"/>
  <c r="R11" i="4" s="1"/>
  <c r="R12" i="4" s="1"/>
  <c r="N12" i="4"/>
  <c r="O12" i="4" s="1"/>
  <c r="N11" i="4"/>
  <c r="O11" i="4" s="1"/>
  <c r="N6" i="4"/>
  <c r="O6" i="4" s="1"/>
  <c r="N4" i="4"/>
  <c r="O4" i="4" s="1"/>
  <c r="N34" i="4"/>
  <c r="O34" i="4" s="1"/>
  <c r="R31" i="4" s="1"/>
  <c r="N33" i="4"/>
  <c r="O33" i="4" s="1"/>
  <c r="N31" i="4"/>
  <c r="O31" i="4" s="1"/>
  <c r="N32" i="4"/>
  <c r="O32" i="4" s="1"/>
  <c r="N21" i="4"/>
  <c r="O21" i="4" s="1"/>
  <c r="N20" i="4"/>
  <c r="O20" i="4" s="1"/>
  <c r="N19" i="4"/>
  <c r="O19" i="4" s="1"/>
  <c r="N18" i="4"/>
  <c r="O18" i="4" s="1"/>
  <c r="N28" i="4"/>
  <c r="O28" i="4" s="1"/>
  <c r="N27" i="4"/>
  <c r="O27" i="4" s="1"/>
  <c r="N26" i="4"/>
  <c r="O26" i="4" s="1"/>
  <c r="N25" i="4"/>
  <c r="O25" i="4" s="1"/>
  <c r="N40" i="4"/>
  <c r="O40" i="4" s="1"/>
  <c r="N37" i="4"/>
  <c r="O37" i="4" s="1"/>
  <c r="N38" i="4"/>
  <c r="O38" i="4" s="1"/>
  <c r="N39" i="4"/>
  <c r="O39" i="4" s="1"/>
  <c r="Q37" i="4" s="1"/>
  <c r="BI6" i="4"/>
  <c r="R37" i="4" l="1"/>
  <c r="Q4" i="4"/>
  <c r="AO5" i="4" s="1"/>
  <c r="Q31" i="4"/>
  <c r="Q32" i="4" s="1"/>
  <c r="R25" i="4"/>
  <c r="BI27" i="4" s="1"/>
  <c r="R18" i="4"/>
  <c r="R19" i="4" s="1"/>
  <c r="Q18" i="4"/>
  <c r="Q19" i="4" s="1"/>
  <c r="Q25" i="4"/>
  <c r="AO26" i="4" s="1"/>
  <c r="BI13" i="4"/>
  <c r="BQ13" i="4" s="1"/>
  <c r="Q11" i="4"/>
  <c r="Q5" i="4"/>
  <c r="AO6" i="4" s="1"/>
  <c r="P11" i="4"/>
  <c r="P4" i="4"/>
  <c r="P37" i="4"/>
  <c r="U37" i="4" s="1"/>
  <c r="P25" i="4"/>
  <c r="P26" i="4" s="1"/>
  <c r="P18" i="4"/>
  <c r="P19" i="4" s="1"/>
  <c r="P31" i="4"/>
  <c r="P32" i="4" s="1"/>
  <c r="BY6" i="4"/>
  <c r="BU6" i="4"/>
  <c r="BQ6" i="4"/>
  <c r="CA6" i="4"/>
  <c r="BW6" i="4"/>
  <c r="BS6" i="4"/>
  <c r="BZ6" i="4"/>
  <c r="BR6" i="4"/>
  <c r="BX6" i="4"/>
  <c r="BP6" i="4"/>
  <c r="BT6" i="4" s="1"/>
  <c r="BV6" i="4"/>
  <c r="CB6" i="4"/>
  <c r="BI39" i="4"/>
  <c r="R38" i="4"/>
  <c r="BI20" i="4"/>
  <c r="BI7" i="4"/>
  <c r="BL6" i="4" s="1"/>
  <c r="R6" i="4"/>
  <c r="AX5" i="4"/>
  <c r="AW5" i="4"/>
  <c r="AY5" i="4"/>
  <c r="Q38" i="4"/>
  <c r="AO38" i="4"/>
  <c r="R13" i="4"/>
  <c r="BI14" i="4"/>
  <c r="BJ13" i="4" s="1"/>
  <c r="Q6" i="4"/>
  <c r="BI33" i="4"/>
  <c r="R32" i="4"/>
  <c r="BR13" i="4" l="1"/>
  <c r="AO32" i="4"/>
  <c r="BS13" i="4"/>
  <c r="R26" i="4"/>
  <c r="BI28" i="4" s="1"/>
  <c r="BK27" i="4" s="1"/>
  <c r="Q26" i="4"/>
  <c r="Q27" i="4" s="1"/>
  <c r="AO19" i="4"/>
  <c r="AY19" i="4" s="1"/>
  <c r="U25" i="4"/>
  <c r="AD25" i="4" s="1"/>
  <c r="P38" i="4"/>
  <c r="P39" i="4" s="1"/>
  <c r="Q12" i="4"/>
  <c r="AO12" i="4"/>
  <c r="U11" i="4"/>
  <c r="P12" i="4"/>
  <c r="BN13" i="4"/>
  <c r="U18" i="4"/>
  <c r="AC18" i="4" s="1"/>
  <c r="BN6" i="4"/>
  <c r="P5" i="4"/>
  <c r="U4" i="4"/>
  <c r="U31" i="4"/>
  <c r="AC31" i="4" s="1"/>
  <c r="CB33" i="4"/>
  <c r="BX33" i="4"/>
  <c r="BP33" i="4"/>
  <c r="BT33" i="4" s="1"/>
  <c r="CA33" i="4"/>
  <c r="BV33" i="4"/>
  <c r="BQ33" i="4"/>
  <c r="BZ33" i="4"/>
  <c r="BU33" i="4"/>
  <c r="BY33" i="4"/>
  <c r="BS33" i="4"/>
  <c r="BW33" i="4"/>
  <c r="BR33" i="4"/>
  <c r="AE37" i="4"/>
  <c r="AD37" i="4"/>
  <c r="AC37" i="4"/>
  <c r="AX32" i="4"/>
  <c r="AW32" i="4"/>
  <c r="AY32" i="4"/>
  <c r="BI40" i="4"/>
  <c r="BK39" i="4" s="1"/>
  <c r="R39" i="4"/>
  <c r="BK13" i="4"/>
  <c r="BP13" i="4" s="1"/>
  <c r="BT13" i="4" s="1"/>
  <c r="BL13" i="4"/>
  <c r="BM13" i="4"/>
  <c r="AO33" i="4"/>
  <c r="Q33" i="4"/>
  <c r="BZ7" i="4"/>
  <c r="BV7" i="4"/>
  <c r="BR7" i="4"/>
  <c r="BN7" i="4"/>
  <c r="BJ7" i="4"/>
  <c r="BY7" i="4"/>
  <c r="BU7" i="4"/>
  <c r="BQ7" i="4"/>
  <c r="BM7" i="4"/>
  <c r="CB7" i="4"/>
  <c r="BX7" i="4"/>
  <c r="BP7" i="4"/>
  <c r="BT7" i="4" s="1"/>
  <c r="BL7" i="4"/>
  <c r="CA7" i="4"/>
  <c r="BW7" i="4"/>
  <c r="BS7" i="4"/>
  <c r="BK7" i="4"/>
  <c r="BR39" i="4"/>
  <c r="BQ39" i="4"/>
  <c r="BS39" i="4"/>
  <c r="BK6" i="4"/>
  <c r="AW19" i="4"/>
  <c r="BJ6" i="4"/>
  <c r="AO20" i="4"/>
  <c r="Q20" i="4"/>
  <c r="AX26" i="4"/>
  <c r="AW26" i="4"/>
  <c r="AY26" i="4"/>
  <c r="AC25" i="4"/>
  <c r="AE25" i="4"/>
  <c r="AO7" i="4"/>
  <c r="AP6" i="4" s="1"/>
  <c r="Q7" i="4"/>
  <c r="BL14" i="4"/>
  <c r="BS14" i="4"/>
  <c r="BK14" i="4"/>
  <c r="BR14" i="4"/>
  <c r="BN14" i="4"/>
  <c r="BJ14" i="4"/>
  <c r="BQ14" i="4"/>
  <c r="BM14" i="4"/>
  <c r="AX38" i="4"/>
  <c r="AW38" i="4"/>
  <c r="AY38" i="4"/>
  <c r="BI21" i="4"/>
  <c r="BJ20" i="4" s="1"/>
  <c r="R20" i="4"/>
  <c r="BI34" i="4"/>
  <c r="R33" i="4"/>
  <c r="P20" i="4"/>
  <c r="U19" i="4"/>
  <c r="P27" i="4"/>
  <c r="U26" i="4"/>
  <c r="AW6" i="4"/>
  <c r="AY6" i="4"/>
  <c r="AX6" i="4"/>
  <c r="AO39" i="4"/>
  <c r="Q39" i="4"/>
  <c r="BR20" i="4"/>
  <c r="BQ20" i="4"/>
  <c r="BS20" i="4"/>
  <c r="BS27" i="4"/>
  <c r="BR27" i="4"/>
  <c r="BQ27" i="4"/>
  <c r="BM6" i="4"/>
  <c r="BO6" i="4" s="1"/>
  <c r="U32" i="4"/>
  <c r="P33" i="4"/>
  <c r="R27" i="4" l="1"/>
  <c r="AO27" i="4"/>
  <c r="AX19" i="4"/>
  <c r="U38" i="4"/>
  <c r="AC38" i="4" s="1"/>
  <c r="BP14" i="4"/>
  <c r="BT14" i="4" s="1"/>
  <c r="BU14" i="4" s="1"/>
  <c r="AX12" i="4"/>
  <c r="AW12" i="4"/>
  <c r="AY12" i="4"/>
  <c r="Q13" i="4"/>
  <c r="AO13" i="4"/>
  <c r="BL39" i="4"/>
  <c r="BM39" i="4"/>
  <c r="BJ39" i="4"/>
  <c r="BP39" i="4" s="1"/>
  <c r="BT39" i="4" s="1"/>
  <c r="BO13" i="4"/>
  <c r="BN39" i="4"/>
  <c r="AD18" i="4"/>
  <c r="AE31" i="4"/>
  <c r="AE18" i="4"/>
  <c r="U12" i="4"/>
  <c r="P13" i="4"/>
  <c r="AD31" i="4"/>
  <c r="AE11" i="4"/>
  <c r="AD11" i="4"/>
  <c r="AC11" i="4"/>
  <c r="BO7" i="4"/>
  <c r="AE4" i="4"/>
  <c r="AD4" i="4"/>
  <c r="AC4" i="4"/>
  <c r="P6" i="4"/>
  <c r="U5" i="4"/>
  <c r="BL27" i="4"/>
  <c r="BM27" i="4"/>
  <c r="BJ27" i="4"/>
  <c r="BP27" i="4" s="1"/>
  <c r="BT27" i="4" s="1"/>
  <c r="BL20" i="4"/>
  <c r="BN27" i="4"/>
  <c r="BK20" i="4"/>
  <c r="BP20" i="4" s="1"/>
  <c r="BT20" i="4" s="1"/>
  <c r="BM20" i="4"/>
  <c r="AQ6" i="4"/>
  <c r="AV6" i="4" s="1"/>
  <c r="AR6" i="4"/>
  <c r="AT6" i="4"/>
  <c r="AX39" i="4"/>
  <c r="AW39" i="4"/>
  <c r="AY39" i="4"/>
  <c r="P28" i="4"/>
  <c r="U28" i="4" s="1"/>
  <c r="U27" i="4"/>
  <c r="BZ34" i="4"/>
  <c r="BV34" i="4"/>
  <c r="BR34" i="4"/>
  <c r="BN34" i="4"/>
  <c r="BJ34" i="4"/>
  <c r="BY34" i="4"/>
  <c r="BU34" i="4"/>
  <c r="BQ34" i="4"/>
  <c r="BM34" i="4"/>
  <c r="CA34" i="4"/>
  <c r="BS34" i="4"/>
  <c r="BK34" i="4"/>
  <c r="BX34" i="4"/>
  <c r="BP34" i="4"/>
  <c r="BT34" i="4" s="1"/>
  <c r="BW34" i="4"/>
  <c r="CB34" i="4"/>
  <c r="BL34" i="4"/>
  <c r="BL21" i="4"/>
  <c r="BS21" i="4"/>
  <c r="BK21" i="4"/>
  <c r="BR21" i="4"/>
  <c r="BN21" i="4"/>
  <c r="BJ21" i="4"/>
  <c r="BQ21" i="4"/>
  <c r="BM21" i="4"/>
  <c r="Q21" i="4"/>
  <c r="AO21" i="4"/>
  <c r="AR19" i="4" s="1"/>
  <c r="AO28" i="4"/>
  <c r="AR27" i="4" s="1"/>
  <c r="Q28" i="4"/>
  <c r="U39" i="4"/>
  <c r="P40" i="4"/>
  <c r="U40" i="4" s="1"/>
  <c r="BJ33" i="4"/>
  <c r="AX7" i="4"/>
  <c r="AT7" i="4"/>
  <c r="AW7" i="4"/>
  <c r="AS7" i="4"/>
  <c r="AY7" i="4"/>
  <c r="AQ7" i="4"/>
  <c r="AR7" i="4"/>
  <c r="AP7" i="4"/>
  <c r="AV7" i="4" s="1"/>
  <c r="AZ7" i="4" s="1"/>
  <c r="AP5" i="4"/>
  <c r="AS5" i="4"/>
  <c r="AR5" i="4"/>
  <c r="AQ5" i="4"/>
  <c r="AX20" i="4"/>
  <c r="AW20" i="4"/>
  <c r="AY20" i="4"/>
  <c r="AO34" i="4"/>
  <c r="AT32" i="4" s="1"/>
  <c r="Q34" i="4"/>
  <c r="BN33" i="4"/>
  <c r="AD19" i="4"/>
  <c r="AC19" i="4"/>
  <c r="AE19" i="4"/>
  <c r="U33" i="4"/>
  <c r="P34" i="4"/>
  <c r="U34" i="4" s="1"/>
  <c r="BN20" i="4"/>
  <c r="AS6" i="4"/>
  <c r="P21" i="4"/>
  <c r="U21" i="4" s="1"/>
  <c r="U20" i="4"/>
  <c r="BQ28" i="4"/>
  <c r="BM28" i="4"/>
  <c r="BL28" i="4"/>
  <c r="BN28" i="4"/>
  <c r="BS28" i="4"/>
  <c r="BK28" i="4"/>
  <c r="BR28" i="4"/>
  <c r="BJ28" i="4"/>
  <c r="AY33" i="4"/>
  <c r="AX33" i="4"/>
  <c r="AW33" i="4"/>
  <c r="BM33" i="4"/>
  <c r="AD32" i="4"/>
  <c r="AC32" i="4"/>
  <c r="AE32" i="4"/>
  <c r="AO40" i="4"/>
  <c r="AT39" i="4" s="1"/>
  <c r="Q40" i="4"/>
  <c r="AC26" i="4"/>
  <c r="AE26" i="4"/>
  <c r="AD26" i="4"/>
  <c r="BO14" i="4"/>
  <c r="BY14" i="4" s="1"/>
  <c r="AY27" i="4"/>
  <c r="AX27" i="4"/>
  <c r="AW27" i="4"/>
  <c r="AD38" i="4"/>
  <c r="BQ40" i="4"/>
  <c r="BM40" i="4"/>
  <c r="BL40" i="4"/>
  <c r="BS40" i="4"/>
  <c r="BK40" i="4"/>
  <c r="BR40" i="4"/>
  <c r="BN40" i="4"/>
  <c r="BJ40" i="4"/>
  <c r="BK33" i="4"/>
  <c r="BL33" i="4"/>
  <c r="AT5" i="4"/>
  <c r="AE38" i="4" l="1"/>
  <c r="BO39" i="4"/>
  <c r="BP40" i="4"/>
  <c r="BT40" i="4" s="1"/>
  <c r="BU40" i="4" s="1"/>
  <c r="BP21" i="4"/>
  <c r="BT21" i="4" s="1"/>
  <c r="BU20" i="4" s="1"/>
  <c r="BP28" i="4"/>
  <c r="BT28" i="4" s="1"/>
  <c r="BU28" i="4" s="1"/>
  <c r="BU13" i="4"/>
  <c r="BU21" i="4"/>
  <c r="BV13" i="4"/>
  <c r="BX13" i="4"/>
  <c r="BY13" i="4"/>
  <c r="BW13" i="4"/>
  <c r="BW14" i="4"/>
  <c r="BZ13" i="4"/>
  <c r="BV14" i="4"/>
  <c r="BZ14" i="4"/>
  <c r="BX14" i="4"/>
  <c r="AX13" i="4"/>
  <c r="AY13" i="4"/>
  <c r="AW13" i="4"/>
  <c r="Q14" i="4"/>
  <c r="AO14" i="4"/>
  <c r="AV5" i="4"/>
  <c r="AZ5" i="4" s="1"/>
  <c r="AZ6" i="4"/>
  <c r="AU6" i="4"/>
  <c r="V26" i="4"/>
  <c r="AU7" i="4"/>
  <c r="AS32" i="4"/>
  <c r="AU32" i="4" s="1"/>
  <c r="Y37" i="4"/>
  <c r="AQ32" i="4"/>
  <c r="AP33" i="4"/>
  <c r="Y26" i="4"/>
  <c r="Z25" i="4"/>
  <c r="Z26" i="4"/>
  <c r="Y25" i="4"/>
  <c r="P14" i="4"/>
  <c r="U14" i="4" s="1"/>
  <c r="U13" i="4"/>
  <c r="X26" i="4"/>
  <c r="AE12" i="4"/>
  <c r="AD12" i="4"/>
  <c r="AC12" i="4"/>
  <c r="BO20" i="4"/>
  <c r="P7" i="4"/>
  <c r="U7" i="4" s="1"/>
  <c r="U6" i="4"/>
  <c r="V38" i="4"/>
  <c r="X25" i="4"/>
  <c r="AP27" i="4"/>
  <c r="AS27" i="4"/>
  <c r="AT27" i="4"/>
  <c r="AQ27" i="4"/>
  <c r="Z32" i="4"/>
  <c r="AC5" i="4"/>
  <c r="AE5" i="4"/>
  <c r="AD5" i="4"/>
  <c r="W32" i="4"/>
  <c r="Y38" i="4"/>
  <c r="BO27" i="4"/>
  <c r="V37" i="4"/>
  <c r="X37" i="4"/>
  <c r="AQ33" i="4"/>
  <c r="AS33" i="4"/>
  <c r="BO28" i="4"/>
  <c r="V18" i="4"/>
  <c r="X38" i="4"/>
  <c r="Z38" i="4"/>
  <c r="W26" i="4"/>
  <c r="AB26" i="4" s="1"/>
  <c r="AF26" i="4" s="1"/>
  <c r="W25" i="4"/>
  <c r="V32" i="4"/>
  <c r="Z37" i="4"/>
  <c r="AS19" i="4"/>
  <c r="AQ20" i="4"/>
  <c r="AR32" i="4"/>
  <c r="W38" i="4"/>
  <c r="AP19" i="4"/>
  <c r="AP20" i="4"/>
  <c r="AV20" i="4" s="1"/>
  <c r="AS20" i="4"/>
  <c r="AT20" i="4"/>
  <c r="AP32" i="4"/>
  <c r="AV32" i="4" s="1"/>
  <c r="AT33" i="4"/>
  <c r="AT19" i="4"/>
  <c r="AQ19" i="4"/>
  <c r="AR20" i="4"/>
  <c r="BO34" i="4"/>
  <c r="BO40" i="4"/>
  <c r="BY40" i="4" s="1"/>
  <c r="X32" i="4"/>
  <c r="Y32" i="4"/>
  <c r="BO33" i="4"/>
  <c r="AR33" i="4"/>
  <c r="Z19" i="4"/>
  <c r="AD39" i="4"/>
  <c r="Z39" i="4"/>
  <c r="V39" i="4"/>
  <c r="AC39" i="4"/>
  <c r="Y39" i="4"/>
  <c r="AE39" i="4"/>
  <c r="W39" i="4"/>
  <c r="X39" i="4"/>
  <c r="AR38" i="4"/>
  <c r="AC28" i="4"/>
  <c r="Y28" i="4"/>
  <c r="X28" i="4"/>
  <c r="Z28" i="4"/>
  <c r="AE28" i="4"/>
  <c r="W28" i="4"/>
  <c r="AD28" i="4"/>
  <c r="V28" i="4"/>
  <c r="AC20" i="4"/>
  <c r="Y20" i="4"/>
  <c r="W20" i="4"/>
  <c r="V20" i="4"/>
  <c r="AE20" i="4"/>
  <c r="Z20" i="4"/>
  <c r="AD20" i="4"/>
  <c r="X20" i="4"/>
  <c r="AX34" i="4"/>
  <c r="AT34" i="4"/>
  <c r="AP34" i="4"/>
  <c r="AV34" i="4" s="1"/>
  <c r="AZ34" i="4" s="1"/>
  <c r="AW34" i="4"/>
  <c r="AS34" i="4"/>
  <c r="AR34" i="4"/>
  <c r="AY34" i="4"/>
  <c r="AQ34" i="4"/>
  <c r="AW28" i="4"/>
  <c r="AS28" i="4"/>
  <c r="AR28" i="4"/>
  <c r="AY28" i="4"/>
  <c r="AQ28" i="4"/>
  <c r="AX28" i="4"/>
  <c r="AP28" i="4"/>
  <c r="AT28" i="4"/>
  <c r="AT26" i="4"/>
  <c r="AS26" i="4"/>
  <c r="AP26" i="4"/>
  <c r="AR26" i="4"/>
  <c r="Y18" i="4"/>
  <c r="BO21" i="4"/>
  <c r="AR39" i="4"/>
  <c r="AS39" i="4"/>
  <c r="AU39" i="4" s="1"/>
  <c r="AP39" i="4"/>
  <c r="W37" i="4"/>
  <c r="X21" i="4"/>
  <c r="AE21" i="4"/>
  <c r="W21" i="4"/>
  <c r="AD21" i="4"/>
  <c r="Z21" i="4"/>
  <c r="AC21" i="4"/>
  <c r="Y21" i="4"/>
  <c r="V21" i="4"/>
  <c r="CD34" i="4"/>
  <c r="AD34" i="4"/>
  <c r="Z34" i="4"/>
  <c r="V34" i="4"/>
  <c r="AC34" i="4"/>
  <c r="Y34" i="4"/>
  <c r="AE34" i="4"/>
  <c r="W34" i="4"/>
  <c r="CF34" i="4"/>
  <c r="CE34" i="4"/>
  <c r="X34" i="4"/>
  <c r="AU5" i="4"/>
  <c r="AR21" i="4"/>
  <c r="AY21" i="4"/>
  <c r="AQ21" i="4"/>
  <c r="AX21" i="4"/>
  <c r="AT21" i="4"/>
  <c r="AP21" i="4"/>
  <c r="AV21" i="4" s="1"/>
  <c r="AW21" i="4"/>
  <c r="AS21" i="4"/>
  <c r="X18" i="4"/>
  <c r="AQ39" i="4"/>
  <c r="AQ26" i="4"/>
  <c r="AW40" i="4"/>
  <c r="AS40" i="4"/>
  <c r="AR40" i="4"/>
  <c r="AY40" i="4"/>
  <c r="AQ40" i="4"/>
  <c r="AX40" i="4"/>
  <c r="AT40" i="4"/>
  <c r="AP40" i="4"/>
  <c r="AP38" i="4"/>
  <c r="AS38" i="4"/>
  <c r="AQ38" i="4"/>
  <c r="AT38" i="4"/>
  <c r="X33" i="4"/>
  <c r="AE33" i="4"/>
  <c r="Z33" i="4"/>
  <c r="AD33" i="4"/>
  <c r="Y33" i="4"/>
  <c r="AC33" i="4"/>
  <c r="W33" i="4"/>
  <c r="V33" i="4"/>
  <c r="W31" i="4"/>
  <c r="Z31" i="4"/>
  <c r="X31" i="4"/>
  <c r="V31" i="4"/>
  <c r="Y31" i="4"/>
  <c r="W19" i="4"/>
  <c r="X19" i="4"/>
  <c r="Y19" i="4"/>
  <c r="V19" i="4"/>
  <c r="AC40" i="4"/>
  <c r="Y40" i="4"/>
  <c r="X40" i="4"/>
  <c r="AE40" i="4"/>
  <c r="W40" i="4"/>
  <c r="V40" i="4"/>
  <c r="AD40" i="4"/>
  <c r="Z40" i="4"/>
  <c r="W18" i="4"/>
  <c r="AE27" i="4"/>
  <c r="W27" i="4"/>
  <c r="AD27" i="4"/>
  <c r="Z27" i="4"/>
  <c r="V27" i="4"/>
  <c r="Y27" i="4"/>
  <c r="X27" i="4"/>
  <c r="AC27" i="4"/>
  <c r="Z18" i="4"/>
  <c r="V25" i="4"/>
  <c r="AV38" i="4" l="1"/>
  <c r="BU39" i="4"/>
  <c r="BZ21" i="4"/>
  <c r="BW39" i="4"/>
  <c r="BZ40" i="4"/>
  <c r="BY28" i="4"/>
  <c r="BZ39" i="4"/>
  <c r="BW40" i="4"/>
  <c r="BX39" i="4"/>
  <c r="BV40" i="4"/>
  <c r="BX40" i="4"/>
  <c r="BV39" i="4"/>
  <c r="BY39" i="4"/>
  <c r="AV40" i="4"/>
  <c r="AZ40" i="4" s="1"/>
  <c r="AV39" i="4"/>
  <c r="AZ38" i="4"/>
  <c r="AV33" i="4"/>
  <c r="AZ32" i="4"/>
  <c r="BU27" i="4"/>
  <c r="BZ27" i="4"/>
  <c r="BW27" i="4"/>
  <c r="BY27" i="4"/>
  <c r="BZ28" i="4"/>
  <c r="BX27" i="4"/>
  <c r="BV28" i="4"/>
  <c r="BV27" i="4"/>
  <c r="BW28" i="4"/>
  <c r="BX28" i="4"/>
  <c r="BY20" i="4"/>
  <c r="BW20" i="4"/>
  <c r="BX20" i="4"/>
  <c r="BV21" i="4"/>
  <c r="BV20" i="4"/>
  <c r="BW21" i="4"/>
  <c r="BZ20" i="4"/>
  <c r="BX21" i="4"/>
  <c r="BY21" i="4"/>
  <c r="AZ21" i="4"/>
  <c r="AZ20" i="4"/>
  <c r="AV19" i="4"/>
  <c r="AV28" i="4"/>
  <c r="AZ28" i="4" s="1"/>
  <c r="CA13" i="4"/>
  <c r="AV27" i="4"/>
  <c r="AZ27" i="4" s="1"/>
  <c r="AV26" i="4"/>
  <c r="CA14" i="4"/>
  <c r="CB13" i="4"/>
  <c r="AQ12" i="4"/>
  <c r="AS13" i="4"/>
  <c r="AR14" i="4"/>
  <c r="AQ14" i="4"/>
  <c r="AT14" i="4"/>
  <c r="AW14" i="4"/>
  <c r="AP12" i="4"/>
  <c r="AY14" i="4"/>
  <c r="AX14" i="4"/>
  <c r="AS12" i="4"/>
  <c r="AP13" i="4"/>
  <c r="AP14" i="4"/>
  <c r="AV14" i="4" s="1"/>
  <c r="AS14" i="4"/>
  <c r="AU14" i="4" s="1"/>
  <c r="AQ13" i="4"/>
  <c r="AR12" i="4"/>
  <c r="AR13" i="4"/>
  <c r="AT13" i="4"/>
  <c r="AT12" i="4"/>
  <c r="AN46" i="4"/>
  <c r="AO46" i="4" s="1"/>
  <c r="AX46" i="4" s="1"/>
  <c r="BB7" i="4"/>
  <c r="BC7" i="4"/>
  <c r="AN45" i="4"/>
  <c r="AO45" i="4" s="1"/>
  <c r="BE7" i="4"/>
  <c r="BF5" i="4"/>
  <c r="BA5" i="4"/>
  <c r="BC5" i="4"/>
  <c r="BB5" i="4"/>
  <c r="BE5" i="4"/>
  <c r="BD5" i="4"/>
  <c r="BA7" i="4"/>
  <c r="BD7" i="4"/>
  <c r="AN47" i="4"/>
  <c r="AO47" i="4" s="1"/>
  <c r="BF7" i="4"/>
  <c r="BA6" i="4"/>
  <c r="BF6" i="4"/>
  <c r="BC6" i="4"/>
  <c r="BE6" i="4"/>
  <c r="BD6" i="4"/>
  <c r="BB6" i="4"/>
  <c r="AU19" i="4"/>
  <c r="AA25" i="4"/>
  <c r="AA37" i="4"/>
  <c r="AA38" i="4"/>
  <c r="AA26" i="4"/>
  <c r="AB38" i="4"/>
  <c r="AF38" i="4" s="1"/>
  <c r="AB32" i="4"/>
  <c r="AF32" i="4" s="1"/>
  <c r="AU27" i="4"/>
  <c r="X4" i="4"/>
  <c r="X14" i="4"/>
  <c r="Z14" i="4"/>
  <c r="AE14" i="4"/>
  <c r="V14" i="4"/>
  <c r="W14" i="4"/>
  <c r="AC14" i="4"/>
  <c r="AD14" i="4"/>
  <c r="Y14" i="4"/>
  <c r="AA32" i="4"/>
  <c r="Y4" i="4"/>
  <c r="Z13" i="4"/>
  <c r="X13" i="4"/>
  <c r="Z11" i="4"/>
  <c r="Z12" i="4"/>
  <c r="X12" i="4"/>
  <c r="Y12" i="4"/>
  <c r="V13" i="4"/>
  <c r="AE13" i="4"/>
  <c r="V11" i="4"/>
  <c r="V12" i="4"/>
  <c r="AC13" i="4"/>
  <c r="W13" i="4"/>
  <c r="Y11" i="4"/>
  <c r="AD13" i="4"/>
  <c r="Y13" i="4"/>
  <c r="W11" i="4"/>
  <c r="X11" i="4"/>
  <c r="W12" i="4"/>
  <c r="AB25" i="4"/>
  <c r="AF25" i="4" s="1"/>
  <c r="AB37" i="4"/>
  <c r="AF37" i="4" s="1"/>
  <c r="X5" i="4"/>
  <c r="AC6" i="4"/>
  <c r="AD6" i="4"/>
  <c r="Z6" i="4"/>
  <c r="V6" i="4"/>
  <c r="W4" i="4"/>
  <c r="W5" i="4"/>
  <c r="Y6" i="4"/>
  <c r="X6" i="4"/>
  <c r="V4" i="4"/>
  <c r="AB4" i="4" s="1"/>
  <c r="AF4" i="4" s="1"/>
  <c r="Z4" i="4"/>
  <c r="Z5" i="4"/>
  <c r="AE6" i="4"/>
  <c r="W6" i="4"/>
  <c r="V5" i="4"/>
  <c r="AB5" i="4" s="1"/>
  <c r="AF5" i="4" s="1"/>
  <c r="Y5" i="4"/>
  <c r="AC7" i="4"/>
  <c r="Z7" i="4"/>
  <c r="Y7" i="4"/>
  <c r="X7" i="4"/>
  <c r="W7" i="4"/>
  <c r="AE7" i="4"/>
  <c r="AD7" i="4"/>
  <c r="V7" i="4"/>
  <c r="AA19" i="4"/>
  <c r="AU33" i="4"/>
  <c r="AA21" i="4"/>
  <c r="AB18" i="4"/>
  <c r="AF18" i="4" s="1"/>
  <c r="AA39" i="4"/>
  <c r="AB27" i="4"/>
  <c r="AF27" i="4" s="1"/>
  <c r="AB21" i="4"/>
  <c r="AF21" i="4" s="1"/>
  <c r="AB20" i="4"/>
  <c r="AF20" i="4" s="1"/>
  <c r="AA40" i="4"/>
  <c r="AB33" i="4"/>
  <c r="AF33" i="4" s="1"/>
  <c r="AB28" i="4"/>
  <c r="AF28" i="4" s="1"/>
  <c r="AA34" i="4"/>
  <c r="AB40" i="4"/>
  <c r="AF40" i="4" s="1"/>
  <c r="AB31" i="4"/>
  <c r="AF31" i="4" s="1"/>
  <c r="AB39" i="4"/>
  <c r="AU20" i="4"/>
  <c r="AA20" i="4"/>
  <c r="AU40" i="4"/>
  <c r="AB34" i="4"/>
  <c r="AF34" i="4" s="1"/>
  <c r="AU26" i="4"/>
  <c r="AA27" i="4"/>
  <c r="AB19" i="4"/>
  <c r="AF19" i="4" s="1"/>
  <c r="AA31" i="4"/>
  <c r="AA33" i="4"/>
  <c r="AU28" i="4"/>
  <c r="AA28" i="4"/>
  <c r="AU38" i="4"/>
  <c r="AN78" i="4" s="1"/>
  <c r="AO78" i="4" s="1"/>
  <c r="AU21" i="4"/>
  <c r="AN61" i="4" s="1"/>
  <c r="AO61" i="4" s="1"/>
  <c r="AA18" i="4"/>
  <c r="AU34" i="4"/>
  <c r="AV12" i="4" l="1"/>
  <c r="CA39" i="4"/>
  <c r="CA40" i="4"/>
  <c r="CB39" i="4" s="1"/>
  <c r="CB40" i="4"/>
  <c r="CA20" i="4"/>
  <c r="AN80" i="4"/>
  <c r="AO80" i="4" s="1"/>
  <c r="AP80" i="4" s="1"/>
  <c r="AW78" i="4"/>
  <c r="AY78" i="4"/>
  <c r="AX78" i="4"/>
  <c r="AZ39" i="4"/>
  <c r="BF38" i="4" s="1"/>
  <c r="AN79" i="4"/>
  <c r="AO79" i="4" s="1"/>
  <c r="BA40" i="4"/>
  <c r="BC40" i="4"/>
  <c r="BE40" i="4"/>
  <c r="AN72" i="4"/>
  <c r="AO72" i="4" s="1"/>
  <c r="AY72" i="4" s="1"/>
  <c r="CA28" i="4"/>
  <c r="AN74" i="4"/>
  <c r="AO74" i="4" s="1"/>
  <c r="AZ33" i="4"/>
  <c r="BB32" i="4" s="1"/>
  <c r="AN73" i="4"/>
  <c r="AO73" i="4" s="1"/>
  <c r="BC34" i="4"/>
  <c r="BA34" i="4"/>
  <c r="CA27" i="4"/>
  <c r="CA21" i="4"/>
  <c r="CB20" i="4" s="1"/>
  <c r="CB21" i="4"/>
  <c r="AN60" i="4"/>
  <c r="AO60" i="4" s="1"/>
  <c r="AX60" i="4" s="1"/>
  <c r="AY61" i="4"/>
  <c r="AX61" i="4"/>
  <c r="AW61" i="4"/>
  <c r="CB14" i="4"/>
  <c r="BA20" i="4"/>
  <c r="AN68" i="4"/>
  <c r="AO68" i="4" s="1"/>
  <c r="AY68" i="4" s="1"/>
  <c r="AZ19" i="4"/>
  <c r="BE20" i="4" s="1"/>
  <c r="AN59" i="4"/>
  <c r="AO59" i="4" s="1"/>
  <c r="AQ61" i="4" s="1"/>
  <c r="BF21" i="4"/>
  <c r="BD21" i="4"/>
  <c r="BC21" i="4"/>
  <c r="BE21" i="4"/>
  <c r="AN67" i="4"/>
  <c r="AO67" i="4" s="1"/>
  <c r="AZ26" i="4"/>
  <c r="BB27" i="4" s="1"/>
  <c r="AN66" i="4"/>
  <c r="AO66" i="4" s="1"/>
  <c r="AZ14" i="4"/>
  <c r="AZ12" i="4"/>
  <c r="AV13" i="4"/>
  <c r="AU13" i="4"/>
  <c r="AU12" i="4"/>
  <c r="AY46" i="4"/>
  <c r="AW46" i="4"/>
  <c r="AR46" i="4"/>
  <c r="AW47" i="4"/>
  <c r="AR47" i="4"/>
  <c r="AP47" i="4"/>
  <c r="AS47" i="4"/>
  <c r="AY47" i="4"/>
  <c r="AQ47" i="4"/>
  <c r="AT47" i="4"/>
  <c r="AX47" i="4"/>
  <c r="AQ46" i="4"/>
  <c r="AP46" i="4"/>
  <c r="AW45" i="4"/>
  <c r="AY45" i="4"/>
  <c r="AX45" i="4"/>
  <c r="AN43" i="4"/>
  <c r="AS45" i="4"/>
  <c r="AQ45" i="4"/>
  <c r="AP45" i="4"/>
  <c r="AR45" i="4"/>
  <c r="AT45" i="4"/>
  <c r="AT46" i="4"/>
  <c r="AS46" i="4"/>
  <c r="AA6" i="4"/>
  <c r="AB14" i="4"/>
  <c r="AF14" i="4" s="1"/>
  <c r="AA11" i="4"/>
  <c r="AB13" i="4"/>
  <c r="AF13" i="4" s="1"/>
  <c r="T77" i="4"/>
  <c r="U77" i="4" s="1"/>
  <c r="AE77" i="4" s="1"/>
  <c r="AA12" i="4"/>
  <c r="AA14" i="4"/>
  <c r="AB12" i="4"/>
  <c r="AF12" i="4" s="1"/>
  <c r="AB11" i="4"/>
  <c r="AF11" i="4" s="1"/>
  <c r="AA4" i="4"/>
  <c r="AF39" i="4"/>
  <c r="AK38" i="4" s="1"/>
  <c r="T66" i="4"/>
  <c r="U66" i="4" s="1"/>
  <c r="AD66" i="4" s="1"/>
  <c r="AA7" i="4"/>
  <c r="AA5" i="4"/>
  <c r="AA13" i="4"/>
  <c r="T73" i="4"/>
  <c r="U73" i="4" s="1"/>
  <c r="AE73" i="4" s="1"/>
  <c r="T80" i="4"/>
  <c r="U80" i="4" s="1"/>
  <c r="AC80" i="4" s="1"/>
  <c r="AB7" i="4"/>
  <c r="AB6" i="4"/>
  <c r="T68" i="4"/>
  <c r="U68" i="4" s="1"/>
  <c r="AD68" i="4" s="1"/>
  <c r="AG20" i="4"/>
  <c r="T78" i="4"/>
  <c r="U78" i="4" s="1"/>
  <c r="AL32" i="4"/>
  <c r="T65" i="4"/>
  <c r="U65" i="4" s="1"/>
  <c r="AC65" i="4" s="1"/>
  <c r="T79" i="4"/>
  <c r="U79" i="4" s="1"/>
  <c r="AC79" i="4" s="1"/>
  <c r="AJ32" i="4"/>
  <c r="AI32" i="4"/>
  <c r="AK32" i="4"/>
  <c r="T67" i="4"/>
  <c r="U67" i="4" s="1"/>
  <c r="AH20" i="4"/>
  <c r="T74" i="4"/>
  <c r="U74" i="4" s="1"/>
  <c r="AE74" i="4" s="1"/>
  <c r="AG21" i="4"/>
  <c r="AK21" i="4"/>
  <c r="AK20" i="4"/>
  <c r="T58" i="4"/>
  <c r="U58" i="4" s="1"/>
  <c r="AL25" i="4"/>
  <c r="AK25" i="4"/>
  <c r="AH25" i="4"/>
  <c r="AG25" i="4"/>
  <c r="AJ25" i="4"/>
  <c r="AI25" i="4"/>
  <c r="AL26" i="4"/>
  <c r="AG26" i="4"/>
  <c r="AH26" i="4"/>
  <c r="AJ26" i="4"/>
  <c r="AK26" i="4"/>
  <c r="AI26" i="4"/>
  <c r="T72" i="4"/>
  <c r="U72" i="4" s="1"/>
  <c r="AH32" i="4"/>
  <c r="AH21" i="4"/>
  <c r="AL21" i="4"/>
  <c r="AI20" i="4"/>
  <c r="T60" i="4"/>
  <c r="U60" i="4" s="1"/>
  <c r="AH18" i="4"/>
  <c r="AK18" i="4"/>
  <c r="AG18" i="4"/>
  <c r="AJ18" i="4"/>
  <c r="AI18" i="4"/>
  <c r="AL18" i="4"/>
  <c r="T71" i="4"/>
  <c r="U71" i="4" s="1"/>
  <c r="AI21" i="4"/>
  <c r="AJ20" i="4"/>
  <c r="AL33" i="4"/>
  <c r="AI33" i="4"/>
  <c r="AH33" i="4"/>
  <c r="AG33" i="4"/>
  <c r="AK33" i="4"/>
  <c r="AJ33" i="4"/>
  <c r="T61" i="4"/>
  <c r="U61" i="4" s="1"/>
  <c r="AL19" i="4"/>
  <c r="AH19" i="4"/>
  <c r="AK19" i="4"/>
  <c r="AG19" i="4"/>
  <c r="AJ19" i="4"/>
  <c r="AI19" i="4"/>
  <c r="AI31" i="4"/>
  <c r="AH31" i="4"/>
  <c r="AK31" i="4"/>
  <c r="AG31" i="4"/>
  <c r="AL31" i="4"/>
  <c r="AJ31" i="4"/>
  <c r="AG32" i="4"/>
  <c r="AG28" i="4"/>
  <c r="AJ28" i="4"/>
  <c r="AH28" i="4"/>
  <c r="AL28" i="4"/>
  <c r="AK28" i="4"/>
  <c r="AI28" i="4"/>
  <c r="AJ21" i="4"/>
  <c r="AG27" i="4"/>
  <c r="AK27" i="4"/>
  <c r="AL27" i="4"/>
  <c r="AI27" i="4"/>
  <c r="AH27" i="4"/>
  <c r="AJ27" i="4"/>
  <c r="AL20" i="4"/>
  <c r="T59" i="4"/>
  <c r="U59" i="4" s="1"/>
  <c r="AG34" i="4"/>
  <c r="AL34" i="4"/>
  <c r="AI34" i="4"/>
  <c r="AH34" i="4"/>
  <c r="AK34" i="4"/>
  <c r="AJ34" i="4"/>
  <c r="BA38" i="4" l="1"/>
  <c r="BC20" i="4"/>
  <c r="AN52" i="4"/>
  <c r="AO52" i="4" s="1"/>
  <c r="AT72" i="4"/>
  <c r="BA32" i="4"/>
  <c r="BF32" i="4"/>
  <c r="AW60" i="4"/>
  <c r="BD32" i="4"/>
  <c r="BC32" i="4"/>
  <c r="AS80" i="4"/>
  <c r="CB27" i="4"/>
  <c r="AW80" i="4"/>
  <c r="AR78" i="4"/>
  <c r="AR80" i="4"/>
  <c r="AS78" i="4"/>
  <c r="AY80" i="4"/>
  <c r="AX80" i="4"/>
  <c r="BB40" i="4"/>
  <c r="BD40" i="4"/>
  <c r="BC38" i="4"/>
  <c r="BD38" i="4"/>
  <c r="AP78" i="4"/>
  <c r="BB38" i="4"/>
  <c r="BF40" i="4"/>
  <c r="AY79" i="4"/>
  <c r="AX79" i="4"/>
  <c r="AW79" i="4"/>
  <c r="AR79" i="4"/>
  <c r="AS79" i="4"/>
  <c r="AQ79" i="4"/>
  <c r="AT79" i="4"/>
  <c r="AQ78" i="4"/>
  <c r="AT78" i="4"/>
  <c r="AQ80" i="4"/>
  <c r="AV80" i="4" s="1"/>
  <c r="AZ80" i="4" s="1"/>
  <c r="BE39" i="4"/>
  <c r="BD39" i="4"/>
  <c r="BC39" i="4"/>
  <c r="BF39" i="4"/>
  <c r="BA39" i="4"/>
  <c r="BB39" i="4"/>
  <c r="BE38" i="4"/>
  <c r="AT80" i="4"/>
  <c r="AU80" i="4" s="1"/>
  <c r="AP79" i="4"/>
  <c r="AX72" i="4"/>
  <c r="AW72" i="4"/>
  <c r="BD33" i="4"/>
  <c r="BE33" i="4"/>
  <c r="BB33" i="4"/>
  <c r="BF33" i="4"/>
  <c r="BC33" i="4"/>
  <c r="BA33" i="4"/>
  <c r="AR73" i="4"/>
  <c r="AT74" i="4"/>
  <c r="AP74" i="4"/>
  <c r="AW74" i="4"/>
  <c r="AY74" i="4"/>
  <c r="AR74" i="4"/>
  <c r="AS74" i="4"/>
  <c r="AQ74" i="4"/>
  <c r="AV74" i="4" s="1"/>
  <c r="AZ74" i="4" s="1"/>
  <c r="AX74" i="4"/>
  <c r="AR72" i="4"/>
  <c r="CB28" i="4"/>
  <c r="BE32" i="4"/>
  <c r="BE34" i="4"/>
  <c r="AP72" i="4"/>
  <c r="BD34" i="4"/>
  <c r="AQ72" i="4"/>
  <c r="AX73" i="4"/>
  <c r="AW73" i="4"/>
  <c r="AY73" i="4"/>
  <c r="AQ73" i="4"/>
  <c r="AS73" i="4"/>
  <c r="AT73" i="4"/>
  <c r="AP73" i="4"/>
  <c r="BB34" i="4"/>
  <c r="AS72" i="4"/>
  <c r="AU72" i="4" s="1"/>
  <c r="BF34" i="4"/>
  <c r="AY60" i="4"/>
  <c r="BD28" i="4"/>
  <c r="AT60" i="4"/>
  <c r="BB20" i="4"/>
  <c r="AT61" i="4"/>
  <c r="AP61" i="4"/>
  <c r="AV61" i="4" s="1"/>
  <c r="AZ61" i="4" s="1"/>
  <c r="BE28" i="4"/>
  <c r="AX68" i="4"/>
  <c r="BB21" i="4"/>
  <c r="BA21" i="4"/>
  <c r="BD20" i="4"/>
  <c r="AP60" i="4"/>
  <c r="AT68" i="4"/>
  <c r="AW68" i="4"/>
  <c r="AY59" i="4"/>
  <c r="AX59" i="4"/>
  <c r="AW59" i="4"/>
  <c r="AS59" i="4"/>
  <c r="AT59" i="4"/>
  <c r="AP59" i="4"/>
  <c r="AQ59" i="4"/>
  <c r="AR59" i="4"/>
  <c r="AS60" i="4"/>
  <c r="AR61" i="4"/>
  <c r="BB19" i="4"/>
  <c r="BE19" i="4"/>
  <c r="BD19" i="4"/>
  <c r="BA19" i="4"/>
  <c r="BC19" i="4"/>
  <c r="BF19" i="4"/>
  <c r="BF20" i="4"/>
  <c r="AR60" i="4"/>
  <c r="AS61" i="4"/>
  <c r="AU61" i="4" s="1"/>
  <c r="AQ60" i="4"/>
  <c r="BF27" i="4"/>
  <c r="AS68" i="4"/>
  <c r="BB28" i="4"/>
  <c r="BD27" i="4"/>
  <c r="BC28" i="4"/>
  <c r="BF28" i="4"/>
  <c r="BC27" i="4"/>
  <c r="AR68" i="4"/>
  <c r="BE27" i="4"/>
  <c r="BA28" i="4"/>
  <c r="AY66" i="4"/>
  <c r="AW66" i="4"/>
  <c r="AX66" i="4"/>
  <c r="AS66" i="4"/>
  <c r="AT66" i="4"/>
  <c r="AP66" i="4"/>
  <c r="AQ66" i="4"/>
  <c r="AW67" i="4"/>
  <c r="AY67" i="4"/>
  <c r="AX67" i="4"/>
  <c r="AQ67" i="4"/>
  <c r="AS67" i="4"/>
  <c r="AR67" i="4"/>
  <c r="AP67" i="4"/>
  <c r="AT67" i="4"/>
  <c r="AQ68" i="4"/>
  <c r="BF26" i="4"/>
  <c r="BA26" i="4"/>
  <c r="BE26" i="4"/>
  <c r="BC26" i="4"/>
  <c r="BB26" i="4"/>
  <c r="BD26" i="4"/>
  <c r="BA27" i="4"/>
  <c r="AP68" i="4"/>
  <c r="AV68" i="4" s="1"/>
  <c r="AZ68" i="4" s="1"/>
  <c r="AR66" i="4"/>
  <c r="AN54" i="4"/>
  <c r="AO54" i="4" s="1"/>
  <c r="AY54" i="4" s="1"/>
  <c r="AY52" i="4"/>
  <c r="AW52" i="4"/>
  <c r="AX52" i="4"/>
  <c r="AZ13" i="4"/>
  <c r="BA12" i="4" s="1"/>
  <c r="AN53" i="4"/>
  <c r="AO53" i="4" s="1"/>
  <c r="BF14" i="4"/>
  <c r="BD14" i="4"/>
  <c r="AE66" i="4"/>
  <c r="AU46" i="4"/>
  <c r="AI38" i="4"/>
  <c r="AJ40" i="4"/>
  <c r="AV47" i="4"/>
  <c r="AZ47" i="4" s="1"/>
  <c r="AV45" i="4"/>
  <c r="AZ45" i="4" s="1"/>
  <c r="AJ37" i="4"/>
  <c r="AI39" i="4"/>
  <c r="AU45" i="4"/>
  <c r="AK37" i="4"/>
  <c r="AJ39" i="4"/>
  <c r="AV46" i="4"/>
  <c r="AZ46" i="4" s="1"/>
  <c r="BA47" i="4" s="1"/>
  <c r="AU47" i="4"/>
  <c r="BF47" i="4" s="1"/>
  <c r="AG11" i="4"/>
  <c r="AC73" i="4"/>
  <c r="X77" i="4"/>
  <c r="AD79" i="4"/>
  <c r="AD73" i="4"/>
  <c r="W80" i="4"/>
  <c r="AD77" i="4"/>
  <c r="AD65" i="4"/>
  <c r="AC77" i="4"/>
  <c r="AE65" i="4"/>
  <c r="AE68" i="4"/>
  <c r="AJ38" i="4"/>
  <c r="AG37" i="4"/>
  <c r="AG40" i="4"/>
  <c r="AI12" i="4"/>
  <c r="AG39" i="4"/>
  <c r="AL39" i="4"/>
  <c r="AG38" i="4"/>
  <c r="AI37" i="4"/>
  <c r="AK39" i="4"/>
  <c r="AE79" i="4"/>
  <c r="AH40" i="4"/>
  <c r="AL40" i="4"/>
  <c r="AH38" i="4"/>
  <c r="AH37" i="4"/>
  <c r="AL38" i="4"/>
  <c r="AL37" i="4"/>
  <c r="AH39" i="4"/>
  <c r="AI40" i="4"/>
  <c r="AK40" i="4"/>
  <c r="AG12" i="4"/>
  <c r="AI13" i="4"/>
  <c r="AC68" i="4"/>
  <c r="X78" i="4"/>
  <c r="AG13" i="4"/>
  <c r="AC66" i="4"/>
  <c r="AC78" i="4"/>
  <c r="W68" i="4"/>
  <c r="AL13" i="4"/>
  <c r="AH12" i="4"/>
  <c r="AI11" i="4"/>
  <c r="AJ11" i="4"/>
  <c r="AK11" i="4"/>
  <c r="T52" i="4"/>
  <c r="U52" i="4" s="1"/>
  <c r="AH13" i="4"/>
  <c r="T53" i="4"/>
  <c r="U53" i="4" s="1"/>
  <c r="AJ13" i="4"/>
  <c r="AL12" i="4"/>
  <c r="AJ12" i="4"/>
  <c r="AK12" i="4"/>
  <c r="T54" i="4"/>
  <c r="U54" i="4" s="1"/>
  <c r="T51" i="4"/>
  <c r="U51" i="4" s="1"/>
  <c r="AK13" i="4"/>
  <c r="AK14" i="4"/>
  <c r="AJ14" i="4"/>
  <c r="AG14" i="4"/>
  <c r="AI14" i="4"/>
  <c r="AL14" i="4"/>
  <c r="AH14" i="4"/>
  <c r="V80" i="4"/>
  <c r="AE67" i="4"/>
  <c r="AH11" i="4"/>
  <c r="AL11" i="4"/>
  <c r="AD78" i="4"/>
  <c r="V79" i="4"/>
  <c r="X80" i="4"/>
  <c r="Z80" i="4"/>
  <c r="AE80" i="4"/>
  <c r="Z66" i="4"/>
  <c r="Y79" i="4"/>
  <c r="Y78" i="4"/>
  <c r="AF6" i="4"/>
  <c r="T46" i="4"/>
  <c r="U46" i="4" s="1"/>
  <c r="AD80" i="4"/>
  <c r="X66" i="4"/>
  <c r="W77" i="4"/>
  <c r="Z77" i="4"/>
  <c r="W79" i="4"/>
  <c r="AE78" i="4"/>
  <c r="W65" i="4"/>
  <c r="AF7" i="4"/>
  <c r="T47" i="4"/>
  <c r="U47" i="4" s="1"/>
  <c r="T44" i="4"/>
  <c r="U44" i="4" s="1"/>
  <c r="T45" i="4"/>
  <c r="U45" i="4" s="1"/>
  <c r="Y80" i="4"/>
  <c r="Y77" i="4"/>
  <c r="Z79" i="4"/>
  <c r="Z78" i="4"/>
  <c r="W78" i="4"/>
  <c r="Z65" i="4"/>
  <c r="V77" i="4"/>
  <c r="X79" i="4"/>
  <c r="V78" i="4"/>
  <c r="V67" i="4"/>
  <c r="W66" i="4"/>
  <c r="V66" i="4"/>
  <c r="X67" i="4"/>
  <c r="Z67" i="4"/>
  <c r="Z68" i="4"/>
  <c r="Y68" i="4"/>
  <c r="AD74" i="4"/>
  <c r="V65" i="4"/>
  <c r="X65" i="4"/>
  <c r="Y67" i="4"/>
  <c r="AD67" i="4"/>
  <c r="V68" i="4"/>
  <c r="AC74" i="4"/>
  <c r="Y66" i="4"/>
  <c r="T64" i="4"/>
  <c r="Y65" i="4"/>
  <c r="AC67" i="4"/>
  <c r="W67" i="4"/>
  <c r="X68" i="4"/>
  <c r="AD71" i="4"/>
  <c r="Z71" i="4"/>
  <c r="V71" i="4"/>
  <c r="X71" i="4"/>
  <c r="AE71" i="4"/>
  <c r="W71" i="4"/>
  <c r="T70" i="4"/>
  <c r="AC71" i="4"/>
  <c r="Y71" i="4"/>
  <c r="AE72" i="4"/>
  <c r="W72" i="4"/>
  <c r="AC72" i="4"/>
  <c r="Y72" i="4"/>
  <c r="AD72" i="4"/>
  <c r="V72" i="4"/>
  <c r="Z72" i="4"/>
  <c r="X72" i="4"/>
  <c r="Y73" i="4"/>
  <c r="Z73" i="4"/>
  <c r="X73" i="4"/>
  <c r="Z74" i="4"/>
  <c r="V74" i="4"/>
  <c r="AD59" i="4"/>
  <c r="Z59" i="4"/>
  <c r="V59" i="4"/>
  <c r="W59" i="4"/>
  <c r="AE59" i="4"/>
  <c r="Y59" i="4"/>
  <c r="AC59" i="4"/>
  <c r="X59" i="4"/>
  <c r="AD58" i="4"/>
  <c r="Z58" i="4"/>
  <c r="V58" i="4"/>
  <c r="T57" i="4"/>
  <c r="AC58" i="4"/>
  <c r="X58" i="4"/>
  <c r="W58" i="4"/>
  <c r="AE58" i="4"/>
  <c r="Y58" i="4"/>
  <c r="W73" i="4"/>
  <c r="AE60" i="4"/>
  <c r="W60" i="4"/>
  <c r="V60" i="4"/>
  <c r="Z60" i="4"/>
  <c r="AD60" i="4"/>
  <c r="Y60" i="4"/>
  <c r="X60" i="4"/>
  <c r="AC60" i="4"/>
  <c r="X61" i="4"/>
  <c r="AE61" i="4"/>
  <c r="W61" i="4"/>
  <c r="AD61" i="4"/>
  <c r="Z61" i="4"/>
  <c r="V61" i="4"/>
  <c r="AC61" i="4"/>
  <c r="Y61" i="4"/>
  <c r="V73" i="4"/>
  <c r="X74" i="4"/>
  <c r="W74" i="4"/>
  <c r="Y74" i="4"/>
  <c r="AV59" i="4" l="1"/>
  <c r="AZ59" i="4" s="1"/>
  <c r="AA66" i="4"/>
  <c r="AU74" i="4"/>
  <c r="AU78" i="4"/>
  <c r="AU68" i="4"/>
  <c r="T76" i="4"/>
  <c r="AN76" i="4"/>
  <c r="AU60" i="4"/>
  <c r="AV79" i="4"/>
  <c r="AZ79" i="4" s="1"/>
  <c r="AV78" i="4"/>
  <c r="AZ78" i="4" s="1"/>
  <c r="AU79" i="4"/>
  <c r="BD79" i="4" s="1"/>
  <c r="AN70" i="4"/>
  <c r="AU73" i="4"/>
  <c r="AN64" i="4"/>
  <c r="AV72" i="4"/>
  <c r="AZ72" i="4" s="1"/>
  <c r="BC74" i="4" s="1"/>
  <c r="AV73" i="4"/>
  <c r="AZ73" i="4" s="1"/>
  <c r="BE74" i="4"/>
  <c r="BA74" i="4"/>
  <c r="BD74" i="4"/>
  <c r="BB74" i="4"/>
  <c r="AN57" i="4"/>
  <c r="AU59" i="4"/>
  <c r="AV60" i="4"/>
  <c r="AZ60" i="4" s="1"/>
  <c r="BA61" i="4" s="1"/>
  <c r="BE61" i="4"/>
  <c r="BD61" i="4"/>
  <c r="BC61" i="4"/>
  <c r="BB61" i="4"/>
  <c r="AV67" i="4"/>
  <c r="AZ67" i="4" s="1"/>
  <c r="BA67" i="4" s="1"/>
  <c r="AV66" i="4"/>
  <c r="AZ66" i="4" s="1"/>
  <c r="AU67" i="4"/>
  <c r="AU66" i="4"/>
  <c r="AP54" i="4"/>
  <c r="AW54" i="4"/>
  <c r="BA14" i="4"/>
  <c r="BB12" i="4"/>
  <c r="AX54" i="4"/>
  <c r="BF12" i="4"/>
  <c r="AT54" i="4"/>
  <c r="AP52" i="4"/>
  <c r="AR54" i="4"/>
  <c r="BE14" i="4"/>
  <c r="BC14" i="4"/>
  <c r="BD12" i="4"/>
  <c r="BC12" i="4"/>
  <c r="AR52" i="4"/>
  <c r="BB14" i="4"/>
  <c r="AW53" i="4"/>
  <c r="AX53" i="4"/>
  <c r="AY53" i="4"/>
  <c r="AS53" i="4"/>
  <c r="AT53" i="4"/>
  <c r="AQ53" i="4"/>
  <c r="AR53" i="4"/>
  <c r="AQ52" i="4"/>
  <c r="AV52" i="4" s="1"/>
  <c r="AZ52" i="4" s="1"/>
  <c r="AT52" i="4"/>
  <c r="AS54" i="4"/>
  <c r="BE13" i="4"/>
  <c r="BD13" i="4"/>
  <c r="BC13" i="4"/>
  <c r="BF13" i="4"/>
  <c r="BB13" i="4"/>
  <c r="BA13" i="4"/>
  <c r="BE12" i="4"/>
  <c r="AS52" i="4"/>
  <c r="AQ54" i="4"/>
  <c r="AV54" i="4" s="1"/>
  <c r="AZ54" i="4" s="1"/>
  <c r="AP53" i="4"/>
  <c r="AV53" i="4" s="1"/>
  <c r="AZ53" i="4" s="1"/>
  <c r="BD45" i="4"/>
  <c r="BE45" i="4"/>
  <c r="BF45" i="4"/>
  <c r="BC47" i="4"/>
  <c r="BC45" i="4"/>
  <c r="BB45" i="4"/>
  <c r="BA46" i="4"/>
  <c r="BB46" i="4"/>
  <c r="BE46" i="4"/>
  <c r="BC46" i="4"/>
  <c r="BF46" i="4"/>
  <c r="BD46" i="4"/>
  <c r="BA45" i="4"/>
  <c r="BB47" i="4"/>
  <c r="BE47" i="4"/>
  <c r="BD47" i="4"/>
  <c r="AB80" i="4"/>
  <c r="AF80" i="4" s="1"/>
  <c r="AB68" i="4"/>
  <c r="AF68" i="4" s="1"/>
  <c r="AB77" i="4"/>
  <c r="AF77" i="4" s="1"/>
  <c r="AB79" i="4"/>
  <c r="AF79" i="4" s="1"/>
  <c r="AA79" i="4"/>
  <c r="AA80" i="4"/>
  <c r="AA77" i="4"/>
  <c r="AA68" i="4"/>
  <c r="AB66" i="4"/>
  <c r="AF66" i="4" s="1"/>
  <c r="AA65" i="4"/>
  <c r="AC54" i="4"/>
  <c r="Y54" i="4"/>
  <c r="X54" i="4"/>
  <c r="AD54" i="4"/>
  <c r="W54" i="4"/>
  <c r="Z54" i="4"/>
  <c r="AE54" i="4"/>
  <c r="V54" i="4"/>
  <c r="Y52" i="4"/>
  <c r="AC53" i="4"/>
  <c r="AD53" i="4"/>
  <c r="V53" i="4"/>
  <c r="Z53" i="4"/>
  <c r="AE53" i="4"/>
  <c r="Y53" i="4"/>
  <c r="X53" i="4"/>
  <c r="W53" i="4"/>
  <c r="AA74" i="4"/>
  <c r="AE51" i="4"/>
  <c r="AD51" i="4"/>
  <c r="Y51" i="4"/>
  <c r="W51" i="4"/>
  <c r="V51" i="4"/>
  <c r="Z51" i="4"/>
  <c r="T50" i="4"/>
  <c r="AC51" i="4"/>
  <c r="X51" i="4"/>
  <c r="AE52" i="4"/>
  <c r="AD52" i="4"/>
  <c r="AC52" i="4"/>
  <c r="Z52" i="4"/>
  <c r="W52" i="4"/>
  <c r="X52" i="4"/>
  <c r="V52" i="4"/>
  <c r="AA78" i="4"/>
  <c r="AI7" i="4"/>
  <c r="AK7" i="4"/>
  <c r="AH7" i="4"/>
  <c r="AJ7" i="4"/>
  <c r="AL7" i="4"/>
  <c r="AG7" i="4"/>
  <c r="W46" i="4"/>
  <c r="AC46" i="4"/>
  <c r="AD46" i="4"/>
  <c r="Y46" i="4"/>
  <c r="AE46" i="4"/>
  <c r="V46" i="4"/>
  <c r="X46" i="4"/>
  <c r="Z46" i="4"/>
  <c r="AB67" i="4"/>
  <c r="AF67" i="4" s="1"/>
  <c r="W45" i="4"/>
  <c r="AC45" i="4"/>
  <c r="AD45" i="4"/>
  <c r="Y45" i="4"/>
  <c r="X45" i="4"/>
  <c r="Z45" i="4"/>
  <c r="AE45" i="4"/>
  <c r="V45" i="4"/>
  <c r="AK6" i="4"/>
  <c r="AG6" i="4"/>
  <c r="AG5" i="4"/>
  <c r="AJ6" i="4"/>
  <c r="AI6" i="4"/>
  <c r="AG4" i="4"/>
  <c r="AL6" i="4"/>
  <c r="AH6" i="4"/>
  <c r="AI4" i="4"/>
  <c r="AL5" i="4"/>
  <c r="AK5" i="4"/>
  <c r="AI5" i="4"/>
  <c r="AH5" i="4"/>
  <c r="AJ5" i="4"/>
  <c r="AK4" i="4"/>
  <c r="AH4" i="4"/>
  <c r="AJ4" i="4"/>
  <c r="AL4" i="4"/>
  <c r="AB72" i="4"/>
  <c r="AF72" i="4" s="1"/>
  <c r="AB78" i="4"/>
  <c r="AF78" i="4" s="1"/>
  <c r="AD44" i="4"/>
  <c r="Y44" i="4"/>
  <c r="X44" i="4"/>
  <c r="Z44" i="4"/>
  <c r="AC44" i="4"/>
  <c r="W44" i="4"/>
  <c r="AE44" i="4"/>
  <c r="V44" i="4"/>
  <c r="AB65" i="4"/>
  <c r="AF65" i="4" s="1"/>
  <c r="AC47" i="4"/>
  <c r="X47" i="4"/>
  <c r="W47" i="4"/>
  <c r="V47" i="4"/>
  <c r="AD47" i="4"/>
  <c r="Y47" i="4"/>
  <c r="AE47" i="4"/>
  <c r="Z47" i="4"/>
  <c r="AB61" i="4"/>
  <c r="AF61" i="4" s="1"/>
  <c r="AA67" i="4"/>
  <c r="AB59" i="4"/>
  <c r="AF59" i="4" s="1"/>
  <c r="AB60" i="4"/>
  <c r="AF60" i="4" s="1"/>
  <c r="AA73" i="4"/>
  <c r="AA60" i="4"/>
  <c r="AB58" i="4"/>
  <c r="AF58" i="4" s="1"/>
  <c r="AB71" i="4"/>
  <c r="AF71" i="4" s="1"/>
  <c r="AB74" i="4"/>
  <c r="AF74" i="4" s="1"/>
  <c r="AB73" i="4"/>
  <c r="AF73" i="4" s="1"/>
  <c r="AA58" i="4"/>
  <c r="AA71" i="4"/>
  <c r="AA59" i="4"/>
  <c r="AA72" i="4"/>
  <c r="AA61" i="4"/>
  <c r="AU54" i="4" l="1"/>
  <c r="BC73" i="4"/>
  <c r="BD72" i="4"/>
  <c r="BC80" i="4"/>
  <c r="BA72" i="4"/>
  <c r="BF72" i="4"/>
  <c r="BB73" i="4"/>
  <c r="BC79" i="4"/>
  <c r="BF79" i="4"/>
  <c r="BA80" i="4"/>
  <c r="BE79" i="4"/>
  <c r="BB79" i="4"/>
  <c r="BE80" i="4"/>
  <c r="BA73" i="4"/>
  <c r="BD80" i="4"/>
  <c r="BE73" i="4"/>
  <c r="BB78" i="4"/>
  <c r="BF78" i="4"/>
  <c r="BD78" i="4"/>
  <c r="BA78" i="4"/>
  <c r="BE78" i="4"/>
  <c r="BC78" i="4"/>
  <c r="BA79" i="4"/>
  <c r="BF80" i="4"/>
  <c r="BB80" i="4"/>
  <c r="BC72" i="4"/>
  <c r="BE72" i="4"/>
  <c r="BF73" i="4"/>
  <c r="BB72" i="4"/>
  <c r="BD73" i="4"/>
  <c r="BF74" i="4"/>
  <c r="BG74" i="4" s="1"/>
  <c r="BG34" i="4" s="1"/>
  <c r="AN50" i="4"/>
  <c r="BB67" i="4"/>
  <c r="BF66" i="4"/>
  <c r="BC59" i="4"/>
  <c r="BE59" i="4"/>
  <c r="BF61" i="4"/>
  <c r="BG61" i="4" s="1"/>
  <c r="BG21" i="4" s="1"/>
  <c r="BA68" i="4"/>
  <c r="BC60" i="4"/>
  <c r="BA60" i="4"/>
  <c r="BE60" i="4"/>
  <c r="BD60" i="4"/>
  <c r="BB60" i="4"/>
  <c r="BF60" i="4"/>
  <c r="BA59" i="4"/>
  <c r="BF59" i="4"/>
  <c r="BB59" i="4"/>
  <c r="BD59" i="4"/>
  <c r="BA66" i="4"/>
  <c r="BD68" i="4"/>
  <c r="BD67" i="4"/>
  <c r="BC68" i="4"/>
  <c r="BC67" i="4"/>
  <c r="BE67" i="4"/>
  <c r="BE66" i="4"/>
  <c r="BE68" i="4"/>
  <c r="BB68" i="4"/>
  <c r="BF67" i="4"/>
  <c r="BB66" i="4"/>
  <c r="BC66" i="4"/>
  <c r="BF68" i="4"/>
  <c r="BD66" i="4"/>
  <c r="AU53" i="4"/>
  <c r="AU52" i="4"/>
  <c r="BD52" i="4"/>
  <c r="BA52" i="4"/>
  <c r="BF52" i="4"/>
  <c r="BC52" i="4"/>
  <c r="BE52" i="4"/>
  <c r="BB52" i="4"/>
  <c r="BE54" i="4"/>
  <c r="BA54" i="4"/>
  <c r="BF54" i="4"/>
  <c r="BD54" i="4"/>
  <c r="BB54" i="4"/>
  <c r="BC54" i="4"/>
  <c r="BA53" i="4"/>
  <c r="BD53" i="4"/>
  <c r="BE53" i="4"/>
  <c r="BF53" i="4"/>
  <c r="BB53" i="4"/>
  <c r="BC53" i="4"/>
  <c r="T43" i="4"/>
  <c r="BG45" i="4"/>
  <c r="BG5" i="4" s="1"/>
  <c r="BG47" i="4"/>
  <c r="BG7" i="4" s="1"/>
  <c r="BG46" i="4"/>
  <c r="BG6" i="4" s="1"/>
  <c r="BH7" i="4" s="1"/>
  <c r="AB46" i="4"/>
  <c r="AF46" i="4" s="1"/>
  <c r="AB52" i="4"/>
  <c r="AF52" i="4" s="1"/>
  <c r="AJ80" i="4"/>
  <c r="AL80" i="4"/>
  <c r="AK77" i="4"/>
  <c r="AG67" i="4"/>
  <c r="AB53" i="4"/>
  <c r="AF53" i="4" s="1"/>
  <c r="AB47" i="4"/>
  <c r="AF47" i="4" s="1"/>
  <c r="AB45" i="4"/>
  <c r="AF45" i="4" s="1"/>
  <c r="AB51" i="4"/>
  <c r="AF51" i="4" s="1"/>
  <c r="AA53" i="4"/>
  <c r="AA54" i="4"/>
  <c r="AH78" i="4"/>
  <c r="AA51" i="4"/>
  <c r="AA52" i="4"/>
  <c r="AB54" i="4"/>
  <c r="AF54" i="4" s="1"/>
  <c r="AK80" i="4"/>
  <c r="AH79" i="4"/>
  <c r="AI65" i="4"/>
  <c r="AG79" i="4"/>
  <c r="AG77" i="4"/>
  <c r="AI77" i="4"/>
  <c r="AG73" i="4"/>
  <c r="AA47" i="4"/>
  <c r="AL65" i="4"/>
  <c r="AI79" i="4"/>
  <c r="AL77" i="4"/>
  <c r="AG66" i="4"/>
  <c r="AG80" i="4"/>
  <c r="AJ67" i="4"/>
  <c r="AA44" i="4"/>
  <c r="AA45" i="4"/>
  <c r="AH80" i="4"/>
  <c r="AJ78" i="4"/>
  <c r="AJ79" i="4"/>
  <c r="AH77" i="4"/>
  <c r="AK68" i="4"/>
  <c r="AI78" i="4"/>
  <c r="AI67" i="4"/>
  <c r="AG61" i="4"/>
  <c r="AG65" i="4"/>
  <c r="AA46" i="4"/>
  <c r="AH68" i="4"/>
  <c r="AI68" i="4"/>
  <c r="AG68" i="4"/>
  <c r="AB44" i="4"/>
  <c r="AF44" i="4" s="1"/>
  <c r="AL79" i="4"/>
  <c r="AK78" i="4"/>
  <c r="AI80" i="4"/>
  <c r="AL66" i="4"/>
  <c r="AL78" i="4"/>
  <c r="AJ77" i="4"/>
  <c r="AK79" i="4"/>
  <c r="AG78" i="4"/>
  <c r="AG59" i="4"/>
  <c r="AI66" i="4"/>
  <c r="AH67" i="4"/>
  <c r="AH66" i="4"/>
  <c r="AJ65" i="4"/>
  <c r="AL68" i="4"/>
  <c r="AL67" i="4"/>
  <c r="AJ68" i="4"/>
  <c r="AH65" i="4"/>
  <c r="AJ66" i="4"/>
  <c r="AK65" i="4"/>
  <c r="AK67" i="4"/>
  <c r="AK66" i="4"/>
  <c r="AG74" i="4"/>
  <c r="AG72" i="4"/>
  <c r="AH61" i="4"/>
  <c r="AG71" i="4"/>
  <c r="AJ74" i="4"/>
  <c r="AG60" i="4"/>
  <c r="AG58" i="4"/>
  <c r="AK60" i="4"/>
  <c r="AK72" i="4"/>
  <c r="AI72" i="4"/>
  <c r="AI74" i="4"/>
  <c r="AL74" i="4"/>
  <c r="AK58" i="4"/>
  <c r="AH58" i="4"/>
  <c r="AI61" i="4"/>
  <c r="AJ58" i="4"/>
  <c r="AI59" i="4"/>
  <c r="AJ71" i="4"/>
  <c r="AK71" i="4"/>
  <c r="AI71" i="4"/>
  <c r="AI73" i="4"/>
  <c r="AK74" i="4"/>
  <c r="AL61" i="4"/>
  <c r="AJ59" i="4"/>
  <c r="AJ61" i="4"/>
  <c r="AK59" i="4"/>
  <c r="AL60" i="4"/>
  <c r="AK61" i="4"/>
  <c r="AH71" i="4"/>
  <c r="AL71" i="4"/>
  <c r="AK73" i="4"/>
  <c r="AH73" i="4"/>
  <c r="AL73" i="4"/>
  <c r="AH60" i="4"/>
  <c r="AI58" i="4"/>
  <c r="AL58" i="4"/>
  <c r="AJ60" i="4"/>
  <c r="AH59" i="4"/>
  <c r="AL72" i="4"/>
  <c r="AJ72" i="4"/>
  <c r="AH72" i="4"/>
  <c r="AH74" i="4"/>
  <c r="AJ73" i="4"/>
  <c r="AI60" i="4"/>
  <c r="AL59" i="4"/>
  <c r="BG72" i="4" l="1"/>
  <c r="BG32" i="4" s="1"/>
  <c r="BH33" i="4" s="1"/>
  <c r="BG78" i="4"/>
  <c r="BG38" i="4" s="1"/>
  <c r="BG79" i="4"/>
  <c r="BG39" i="4" s="1"/>
  <c r="BG73" i="4"/>
  <c r="BG33" i="4" s="1"/>
  <c r="BG80" i="4"/>
  <c r="BG40" i="4" s="1"/>
  <c r="BH34" i="4"/>
  <c r="BG60" i="4"/>
  <c r="BG20" i="4" s="1"/>
  <c r="BG59" i="4"/>
  <c r="BG19" i="4" s="1"/>
  <c r="BG68" i="4"/>
  <c r="BG28" i="4" s="1"/>
  <c r="BG66" i="4"/>
  <c r="BG26" i="4" s="1"/>
  <c r="BH27" i="4" s="1"/>
  <c r="BG67" i="4"/>
  <c r="BG27" i="4" s="1"/>
  <c r="BH5" i="4"/>
  <c r="BH6" i="4"/>
  <c r="BG54" i="4"/>
  <c r="BG14" i="4" s="1"/>
  <c r="BG52" i="4"/>
  <c r="BG12" i="4" s="1"/>
  <c r="BG53" i="4"/>
  <c r="BG13" i="4" s="1"/>
  <c r="AM80" i="4"/>
  <c r="AM40" i="4" s="1"/>
  <c r="AG45" i="4"/>
  <c r="AM67" i="4"/>
  <c r="AM27" i="4" s="1"/>
  <c r="AM77" i="4"/>
  <c r="AM37" i="4" s="1"/>
  <c r="AN40" i="4" s="1"/>
  <c r="AH53" i="4"/>
  <c r="AL52" i="4"/>
  <c r="AI53" i="4"/>
  <c r="AK53" i="4"/>
  <c r="AH52" i="4"/>
  <c r="AJ54" i="4"/>
  <c r="AJ51" i="4"/>
  <c r="AI52" i="4"/>
  <c r="AL53" i="4"/>
  <c r="AJ52" i="4"/>
  <c r="AI51" i="4"/>
  <c r="AG53" i="4"/>
  <c r="AH51" i="4"/>
  <c r="AK54" i="4"/>
  <c r="AK51" i="4"/>
  <c r="AK52" i="4"/>
  <c r="AI54" i="4"/>
  <c r="AH54" i="4"/>
  <c r="AJ53" i="4"/>
  <c r="AG51" i="4"/>
  <c r="AL51" i="4"/>
  <c r="AM66" i="4"/>
  <c r="AM26" i="4" s="1"/>
  <c r="AK47" i="4"/>
  <c r="AL54" i="4"/>
  <c r="AG54" i="4"/>
  <c r="AM65" i="4"/>
  <c r="AM25" i="4" s="1"/>
  <c r="AN28" i="4" s="1"/>
  <c r="AG52" i="4"/>
  <c r="AM79" i="4"/>
  <c r="AM39" i="4" s="1"/>
  <c r="AL47" i="4"/>
  <c r="AM78" i="4"/>
  <c r="AM38" i="4" s="1"/>
  <c r="AL45" i="4"/>
  <c r="AG44" i="4"/>
  <c r="AM68" i="4"/>
  <c r="AM28" i="4" s="1"/>
  <c r="AI46" i="4"/>
  <c r="AK46" i="4"/>
  <c r="AH46" i="4"/>
  <c r="AJ46" i="4"/>
  <c r="AK45" i="4"/>
  <c r="AL46" i="4"/>
  <c r="AK44" i="4"/>
  <c r="AI44" i="4"/>
  <c r="AG46" i="4"/>
  <c r="AJ44" i="4"/>
  <c r="AJ47" i="4"/>
  <c r="AH44" i="4"/>
  <c r="AL44" i="4"/>
  <c r="AI47" i="4"/>
  <c r="AH47" i="4"/>
  <c r="AH45" i="4"/>
  <c r="AJ45" i="4"/>
  <c r="AI45" i="4"/>
  <c r="AG47" i="4"/>
  <c r="AM71" i="4"/>
  <c r="AM31" i="4" s="1"/>
  <c r="AN34" i="4" s="1"/>
  <c r="AM60" i="4"/>
  <c r="AM20" i="4" s="1"/>
  <c r="AM73" i="4"/>
  <c r="AM33" i="4" s="1"/>
  <c r="AM58" i="4"/>
  <c r="AM18" i="4" s="1"/>
  <c r="AM74" i="4"/>
  <c r="AM34" i="4" s="1"/>
  <c r="AM59" i="4"/>
  <c r="AM19" i="4" s="1"/>
  <c r="AM61" i="4"/>
  <c r="AM21" i="4" s="1"/>
  <c r="AM72" i="4"/>
  <c r="AM32" i="4" s="1"/>
  <c r="BH32" i="4" l="1"/>
  <c r="CW34" i="4"/>
  <c r="BH38" i="4"/>
  <c r="BH39" i="4"/>
  <c r="BH40" i="4"/>
  <c r="CW40" i="4" s="1"/>
  <c r="BH28" i="4"/>
  <c r="CW28" i="4" s="1"/>
  <c r="BH26" i="4"/>
  <c r="BH19" i="4"/>
  <c r="BH20" i="4"/>
  <c r="BH21" i="4"/>
  <c r="BH12" i="4"/>
  <c r="BH13" i="4"/>
  <c r="BH14" i="4"/>
  <c r="AN37" i="4"/>
  <c r="CW37" i="4" s="1"/>
  <c r="AM51" i="4"/>
  <c r="AM11" i="4" s="1"/>
  <c r="AN14" i="4" s="1"/>
  <c r="AM53" i="4"/>
  <c r="AM13" i="4" s="1"/>
  <c r="AN26" i="4"/>
  <c r="AN38" i="4"/>
  <c r="AN39" i="4"/>
  <c r="CW39" i="4" s="1"/>
  <c r="AM52" i="4"/>
  <c r="AM12" i="4" s="1"/>
  <c r="AN27" i="4"/>
  <c r="CW27" i="4" s="1"/>
  <c r="AN25" i="4"/>
  <c r="CW25" i="4" s="1"/>
  <c r="AM54" i="4"/>
  <c r="AM14" i="4" s="1"/>
  <c r="AN19" i="4"/>
  <c r="CW19" i="4" s="1"/>
  <c r="AM44" i="4"/>
  <c r="AM4" i="4" s="1"/>
  <c r="AN7" i="4" s="1"/>
  <c r="CW7" i="4" s="1"/>
  <c r="AM46" i="4"/>
  <c r="AM6" i="4" s="1"/>
  <c r="AM45" i="4"/>
  <c r="AM5" i="4" s="1"/>
  <c r="AM47" i="4"/>
  <c r="AM7" i="4" s="1"/>
  <c r="AN21" i="4"/>
  <c r="AN18" i="4"/>
  <c r="CW18" i="4" s="1"/>
  <c r="AN31" i="4"/>
  <c r="CW31" i="4" s="1"/>
  <c r="AN20" i="4"/>
  <c r="CW20" i="4" s="1"/>
  <c r="AN33" i="4"/>
  <c r="CW33" i="4" s="1"/>
  <c r="AN32" i="4"/>
  <c r="CW32" i="4" s="1"/>
  <c r="CW21" i="4" l="1"/>
  <c r="CW26" i="4"/>
  <c r="A27" i="4" s="1"/>
  <c r="CW14" i="4"/>
  <c r="CW38" i="4"/>
  <c r="A38" i="4" s="1"/>
  <c r="A31" i="4"/>
  <c r="A20" i="4"/>
  <c r="AN6" i="4"/>
  <c r="CW6" i="4" s="1"/>
  <c r="A40" i="4"/>
  <c r="AN11" i="4"/>
  <c r="CW11" i="4" s="1"/>
  <c r="A26" i="4"/>
  <c r="AN4" i="4"/>
  <c r="CW4" i="4" s="1"/>
  <c r="AN12" i="4"/>
  <c r="CW12" i="4" s="1"/>
  <c r="A19" i="4"/>
  <c r="A18" i="4"/>
  <c r="A21" i="4"/>
  <c r="AN13" i="4"/>
  <c r="CW13" i="4" s="1"/>
  <c r="AN5" i="4"/>
  <c r="CW5" i="4" s="1"/>
  <c r="A32" i="4"/>
  <c r="A33" i="4"/>
  <c r="A34" i="4"/>
  <c r="A28" i="4" l="1"/>
  <c r="A25" i="4"/>
  <c r="P22" i="2" s="1"/>
  <c r="P18" i="2"/>
  <c r="P29" i="2"/>
  <c r="U29" i="2" s="1"/>
  <c r="A5" i="4"/>
  <c r="A37" i="4"/>
  <c r="P33" i="2" s="1"/>
  <c r="A39" i="4"/>
  <c r="P27" i="2"/>
  <c r="W27" i="2" s="1"/>
  <c r="P25" i="2"/>
  <c r="Z25" i="2" s="1"/>
  <c r="A11" i="4"/>
  <c r="A12" i="4"/>
  <c r="P20" i="2"/>
  <c r="Z20" i="2" s="1"/>
  <c r="P24" i="2"/>
  <c r="DH6" i="4" s="1"/>
  <c r="DP6" i="4" s="1"/>
  <c r="P19" i="2"/>
  <c r="A14" i="4"/>
  <c r="P17" i="2"/>
  <c r="V17" i="2" s="1"/>
  <c r="A7" i="4"/>
  <c r="A13" i="4"/>
  <c r="A6" i="4"/>
  <c r="P28" i="2"/>
  <c r="Z28" i="2" s="1"/>
  <c r="A4" i="4"/>
  <c r="P30" i="2"/>
  <c r="EJ26" i="4" s="1"/>
  <c r="V25" i="2"/>
  <c r="X25" i="2"/>
  <c r="EJ16" i="4"/>
  <c r="U18" i="2"/>
  <c r="X18" i="2"/>
  <c r="W18" i="2"/>
  <c r="V18" i="2"/>
  <c r="Z18" i="2"/>
  <c r="EJ17" i="4"/>
  <c r="X19" i="2"/>
  <c r="W19" i="2"/>
  <c r="DK5" i="4" s="1"/>
  <c r="V19" i="2"/>
  <c r="DJ5" i="4" s="1"/>
  <c r="DH5" i="4"/>
  <c r="DP5" i="4" s="1"/>
  <c r="Z19" i="2"/>
  <c r="DM5" i="4" s="1"/>
  <c r="U19" i="2"/>
  <c r="EJ23" i="4" l="1"/>
  <c r="P23" i="2"/>
  <c r="V29" i="2"/>
  <c r="DJ7" i="4" s="1"/>
  <c r="Z29" i="2"/>
  <c r="DM7" i="4" s="1"/>
  <c r="U27" i="2"/>
  <c r="W29" i="2"/>
  <c r="DK7" i="4" s="1"/>
  <c r="DH7" i="4"/>
  <c r="DP7" i="4" s="1"/>
  <c r="Z27" i="2"/>
  <c r="X29" i="2"/>
  <c r="DL7" i="4" s="1"/>
  <c r="EJ25" i="4"/>
  <c r="V27" i="2"/>
  <c r="X27" i="2"/>
  <c r="AA27" i="2" s="1"/>
  <c r="X22" i="2"/>
  <c r="Z22" i="2"/>
  <c r="EJ22" i="4"/>
  <c r="W25" i="2"/>
  <c r="P34" i="2"/>
  <c r="EJ29" i="4" s="1"/>
  <c r="P35" i="2"/>
  <c r="EJ30" i="4" s="1"/>
  <c r="V33" i="2"/>
  <c r="U33" i="2"/>
  <c r="U34" i="2"/>
  <c r="DI8" i="4" s="1"/>
  <c r="V35" i="2"/>
  <c r="U25" i="2"/>
  <c r="X33" i="2"/>
  <c r="V23" i="2"/>
  <c r="W23" i="2"/>
  <c r="U23" i="2"/>
  <c r="U22" i="2"/>
  <c r="W33" i="2"/>
  <c r="Z33" i="2"/>
  <c r="EJ28" i="4"/>
  <c r="P32" i="2"/>
  <c r="W34" i="2"/>
  <c r="DK8" i="4" s="1"/>
  <c r="EJ15" i="4"/>
  <c r="V22" i="2"/>
  <c r="EJ19" i="4"/>
  <c r="U24" i="2"/>
  <c r="DI6" i="4" s="1"/>
  <c r="W22" i="2"/>
  <c r="V24" i="2"/>
  <c r="DJ6" i="4" s="1"/>
  <c r="DH8" i="4"/>
  <c r="DP8" i="4" s="1"/>
  <c r="EJ21" i="4"/>
  <c r="Z17" i="2"/>
  <c r="X24" i="2"/>
  <c r="DL6" i="4" s="1"/>
  <c r="P13" i="2"/>
  <c r="EJ12" i="4" s="1"/>
  <c r="P12" i="2"/>
  <c r="W28" i="2"/>
  <c r="X17" i="2"/>
  <c r="V28" i="2"/>
  <c r="U17" i="2"/>
  <c r="P9" i="2"/>
  <c r="X9" i="2" s="1"/>
  <c r="Z24" i="2"/>
  <c r="DM6" i="4" s="1"/>
  <c r="V20" i="2"/>
  <c r="W17" i="2"/>
  <c r="W24" i="2"/>
  <c r="DK6" i="4" s="1"/>
  <c r="X20" i="2"/>
  <c r="AA20" i="2" s="1"/>
  <c r="W20" i="2"/>
  <c r="U20" i="2"/>
  <c r="EJ18" i="4"/>
  <c r="U30" i="2"/>
  <c r="U28" i="2"/>
  <c r="X28" i="2"/>
  <c r="AA28" i="2" s="1"/>
  <c r="EJ24" i="4"/>
  <c r="P8" i="2"/>
  <c r="Z8" i="2" s="1"/>
  <c r="P10" i="2"/>
  <c r="W10" i="2" s="1"/>
  <c r="P14" i="2"/>
  <c r="P15" i="2"/>
  <c r="P7" i="2"/>
  <c r="X7" i="2" s="1"/>
  <c r="V30" i="2"/>
  <c r="Z30" i="2"/>
  <c r="X30" i="2"/>
  <c r="W30" i="2"/>
  <c r="AA25" i="2"/>
  <c r="AB27" i="2"/>
  <c r="T27" i="2"/>
  <c r="AA29" i="2"/>
  <c r="DN7" i="4" s="1"/>
  <c r="AA18" i="2"/>
  <c r="AB25" i="2"/>
  <c r="T19" i="2"/>
  <c r="DI5" i="4"/>
  <c r="AB19" i="2"/>
  <c r="DO5" i="4" s="1"/>
  <c r="DI7" i="4"/>
  <c r="T29" i="2"/>
  <c r="AB29" i="2"/>
  <c r="DO7" i="4" s="1"/>
  <c r="T18" i="2"/>
  <c r="AB18" i="2"/>
  <c r="AA19" i="2"/>
  <c r="DN5" i="4" s="1"/>
  <c r="DL5" i="4"/>
  <c r="T25" i="2" l="1"/>
  <c r="AA33" i="2"/>
  <c r="X23" i="2"/>
  <c r="Z23" i="2"/>
  <c r="EJ20" i="4"/>
  <c r="X35" i="2"/>
  <c r="AB23" i="2"/>
  <c r="W35" i="2"/>
  <c r="Z35" i="2"/>
  <c r="AA22" i="2"/>
  <c r="U35" i="2"/>
  <c r="AB35" i="2" s="1"/>
  <c r="EJ9" i="4"/>
  <c r="Z34" i="2"/>
  <c r="DM8" i="4" s="1"/>
  <c r="V34" i="2"/>
  <c r="DJ8" i="4" s="1"/>
  <c r="X34" i="2"/>
  <c r="DL8" i="4" s="1"/>
  <c r="T23" i="2"/>
  <c r="T33" i="2"/>
  <c r="AB33" i="2"/>
  <c r="AB22" i="2"/>
  <c r="AB24" i="2"/>
  <c r="DO6" i="4" s="1"/>
  <c r="W32" i="2"/>
  <c r="V32" i="2"/>
  <c r="Z32" i="2"/>
  <c r="X32" i="2"/>
  <c r="EJ27" i="4"/>
  <c r="U32" i="2"/>
  <c r="T22" i="2"/>
  <c r="U9" i="2"/>
  <c r="DI3" i="4" s="1"/>
  <c r="V9" i="2"/>
  <c r="DJ3" i="4" s="1"/>
  <c r="W9" i="2"/>
  <c r="DK3" i="4" s="1"/>
  <c r="T24" i="2"/>
  <c r="V13" i="2"/>
  <c r="AA17" i="2"/>
  <c r="AA24" i="2"/>
  <c r="DN6" i="4" s="1"/>
  <c r="Z9" i="2"/>
  <c r="DM3" i="4" s="1"/>
  <c r="DH3" i="4"/>
  <c r="DP3" i="4" s="1"/>
  <c r="X13" i="2"/>
  <c r="U13" i="2"/>
  <c r="Z13" i="2"/>
  <c r="W13" i="2"/>
  <c r="AB28" i="2"/>
  <c r="V12" i="2"/>
  <c r="EJ11" i="4"/>
  <c r="W12" i="2"/>
  <c r="X12" i="2"/>
  <c r="Z12" i="2"/>
  <c r="U12" i="2"/>
  <c r="T17" i="2"/>
  <c r="AB17" i="2"/>
  <c r="T20" i="2"/>
  <c r="AB20" i="2"/>
  <c r="V7" i="2"/>
  <c r="AB30" i="2"/>
  <c r="X8" i="2"/>
  <c r="AA8" i="2" s="1"/>
  <c r="U8" i="2"/>
  <c r="U7" i="2"/>
  <c r="EJ10" i="4"/>
  <c r="T28" i="2"/>
  <c r="W8" i="2"/>
  <c r="V8" i="2"/>
  <c r="U10" i="2"/>
  <c r="Z10" i="2"/>
  <c r="EJ8" i="4"/>
  <c r="X10" i="2"/>
  <c r="EJ7" i="4"/>
  <c r="AA30" i="2"/>
  <c r="Z7" i="2"/>
  <c r="AA7" i="2" s="1"/>
  <c r="V10" i="2"/>
  <c r="W7" i="2"/>
  <c r="EJ14" i="4"/>
  <c r="Z15" i="2"/>
  <c r="W15" i="2"/>
  <c r="X15" i="2"/>
  <c r="V15" i="2"/>
  <c r="U15" i="2"/>
  <c r="V14" i="2"/>
  <c r="DJ4" i="4" s="1"/>
  <c r="DH4" i="4"/>
  <c r="DP4" i="4" s="1"/>
  <c r="U14" i="2"/>
  <c r="W14" i="2"/>
  <c r="DK4" i="4" s="1"/>
  <c r="EJ13" i="4"/>
  <c r="Z14" i="2"/>
  <c r="DM4" i="4" s="1"/>
  <c r="X14" i="2"/>
  <c r="DL3" i="4"/>
  <c r="T30" i="2"/>
  <c r="AA23" i="2" l="1"/>
  <c r="AB34" i="2"/>
  <c r="DO8" i="4" s="1"/>
  <c r="T34" i="2"/>
  <c r="T35" i="2"/>
  <c r="AA35" i="2"/>
  <c r="AA34" i="2"/>
  <c r="DN8" i="4" s="1"/>
  <c r="T9" i="2"/>
  <c r="G50" i="2"/>
  <c r="AA9" i="2"/>
  <c r="DN3" i="4" s="1"/>
  <c r="AB9" i="2"/>
  <c r="DO3" i="4" s="1"/>
  <c r="G48" i="2"/>
  <c r="AA32" i="2"/>
  <c r="T32" i="2"/>
  <c r="AB32" i="2"/>
  <c r="J45" i="2"/>
  <c r="G46" i="2"/>
  <c r="AB13" i="2"/>
  <c r="T13" i="2"/>
  <c r="AA13" i="2"/>
  <c r="AA12" i="2"/>
  <c r="T12" i="2"/>
  <c r="AB12" i="2"/>
  <c r="AB8" i="2"/>
  <c r="AB7" i="2"/>
  <c r="T7" i="2"/>
  <c r="AA10" i="2"/>
  <c r="G51" i="2"/>
  <c r="T10" i="2"/>
  <c r="T8" i="2"/>
  <c r="AB10" i="2"/>
  <c r="AA15" i="2"/>
  <c r="AB15" i="2"/>
  <c r="T15" i="2"/>
  <c r="DL4" i="4"/>
  <c r="AA14" i="2"/>
  <c r="DN4" i="4" s="1"/>
  <c r="AB14" i="2"/>
  <c r="DO4" i="4" s="1"/>
  <c r="DQ3" i="4" s="1"/>
  <c r="DI4" i="4"/>
  <c r="T14" i="2"/>
  <c r="J48" i="2"/>
  <c r="G49" i="2" l="1"/>
  <c r="J50" i="2"/>
  <c r="G44" i="2"/>
  <c r="G45" i="2"/>
  <c r="DQ7" i="4"/>
  <c r="DQ6" i="4"/>
  <c r="DQ4" i="4"/>
  <c r="J44" i="2"/>
  <c r="G47" i="2"/>
  <c r="DQ5" i="4"/>
  <c r="DQ8" i="4"/>
  <c r="DR3" i="4" l="1"/>
  <c r="DS8" i="4"/>
  <c r="DT7" i="4"/>
  <c r="DS4" i="4"/>
  <c r="DR8" i="4"/>
  <c r="DR7" i="4"/>
  <c r="DS3" i="4"/>
  <c r="DR6" i="4"/>
  <c r="DS6" i="4"/>
  <c r="DS5" i="4"/>
  <c r="DT5" i="4"/>
  <c r="DS7" i="4"/>
  <c r="DT4" i="4"/>
  <c r="DT6" i="4"/>
  <c r="DT8" i="4"/>
  <c r="DU8" i="4" s="1"/>
  <c r="DR4" i="4"/>
  <c r="DR5" i="4"/>
  <c r="DT3" i="4"/>
  <c r="DU3" i="4" l="1"/>
  <c r="DU7" i="4"/>
  <c r="DU5" i="4"/>
  <c r="DU6" i="4"/>
  <c r="DU4" i="4"/>
  <c r="P40" i="2" l="1"/>
  <c r="W40" i="2" s="1"/>
  <c r="AC40" i="2"/>
  <c r="DR12" i="4" s="1"/>
  <c r="DR24" i="4" s="1"/>
  <c r="P41" i="2"/>
  <c r="X41" i="2" s="1"/>
  <c r="P43" i="2"/>
  <c r="T43" i="2" s="1"/>
  <c r="AC44" i="2"/>
  <c r="P39" i="2"/>
  <c r="V39" i="2" s="1"/>
  <c r="AA41" i="2"/>
  <c r="AC43" i="2"/>
  <c r="AC42" i="2"/>
  <c r="DT12" i="4" s="1"/>
  <c r="DR25" i="4"/>
  <c r="DR22" i="4"/>
  <c r="DR17" i="4"/>
  <c r="DR20" i="4"/>
  <c r="DR15" i="4"/>
  <c r="DR26" i="4"/>
  <c r="DR19" i="4"/>
  <c r="DR23" i="4"/>
  <c r="DR14" i="4"/>
  <c r="P44" i="2"/>
  <c r="W39" i="2"/>
  <c r="AC39" i="2"/>
  <c r="DQ12" i="4" s="1"/>
  <c r="DR27" i="4"/>
  <c r="DR13" i="4"/>
  <c r="AC41" i="2"/>
  <c r="DS12" i="4" s="1"/>
  <c r="P42" i="2"/>
  <c r="Z40" i="2" l="1"/>
  <c r="AB40" i="2"/>
  <c r="T40" i="2"/>
  <c r="X40" i="2"/>
  <c r="V40" i="2"/>
  <c r="U40" i="2"/>
  <c r="AA40" i="2"/>
  <c r="T41" i="2"/>
  <c r="AB41" i="2"/>
  <c r="Z41" i="2"/>
  <c r="W41" i="2"/>
  <c r="V41" i="2"/>
  <c r="DR18" i="4"/>
  <c r="U41" i="2"/>
  <c r="DR16" i="4"/>
  <c r="DR21" i="4"/>
  <c r="V43" i="2"/>
  <c r="AB43" i="2"/>
  <c r="Z43" i="2"/>
  <c r="AB39" i="2"/>
  <c r="U43" i="2"/>
  <c r="X43" i="2"/>
  <c r="X39" i="2"/>
  <c r="T39" i="2"/>
  <c r="U39" i="2"/>
  <c r="W43" i="2"/>
  <c r="AA43" i="2"/>
  <c r="Z39" i="2"/>
  <c r="AA39" i="2"/>
  <c r="AA42" i="2"/>
  <c r="X42" i="2"/>
  <c r="V42" i="2"/>
  <c r="T42" i="2"/>
  <c r="W42" i="2"/>
  <c r="AB42" i="2"/>
  <c r="Z42" i="2"/>
  <c r="U42" i="2"/>
  <c r="DS27" i="4"/>
  <c r="DS23" i="4"/>
  <c r="DS18" i="4"/>
  <c r="DS16" i="4"/>
  <c r="DS24" i="4"/>
  <c r="DS21" i="4"/>
  <c r="DS14" i="4"/>
  <c r="DS26" i="4"/>
  <c r="DS19" i="4"/>
  <c r="DS17" i="4"/>
  <c r="DS20" i="4"/>
  <c r="DS13" i="4"/>
  <c r="DS22" i="4"/>
  <c r="DS25" i="4"/>
  <c r="DS15" i="4"/>
  <c r="U44" i="2"/>
  <c r="W44" i="2"/>
  <c r="X44" i="2"/>
  <c r="AA44" i="2"/>
  <c r="Z44" i="2"/>
  <c r="AB44" i="2"/>
  <c r="T44" i="2"/>
  <c r="V44" i="2"/>
  <c r="DT21" i="4"/>
  <c r="DT24" i="4"/>
  <c r="DT23" i="4"/>
  <c r="DT27" i="4"/>
  <c r="DT20" i="4"/>
  <c r="DT19" i="4"/>
  <c r="DT22" i="4"/>
  <c r="DT16" i="4"/>
  <c r="DT17" i="4"/>
  <c r="DT26" i="4"/>
  <c r="DT25" i="4"/>
  <c r="DT18" i="4"/>
  <c r="DT15" i="4"/>
  <c r="DT14" i="4"/>
  <c r="DT13" i="4"/>
  <c r="DQ25" i="4"/>
  <c r="DQ22" i="4"/>
  <c r="DQ14" i="4"/>
  <c r="DQ17" i="4"/>
  <c r="DQ23" i="4"/>
  <c r="DQ27" i="4"/>
  <c r="DQ20" i="4"/>
  <c r="DQ15" i="4"/>
  <c r="DQ24" i="4"/>
  <c r="DQ18" i="4"/>
  <c r="DQ16" i="4"/>
  <c r="DQ21" i="4"/>
  <c r="DQ26" i="4"/>
  <c r="DQ19" i="4"/>
  <c r="DQ13" i="4"/>
  <c r="DU26" i="4" l="1"/>
  <c r="DU24" i="4"/>
  <c r="DU19" i="4"/>
  <c r="DU18" i="4"/>
  <c r="DU27" i="4"/>
  <c r="DU16" i="4"/>
  <c r="DU23" i="4"/>
  <c r="DU25" i="4"/>
  <c r="DU22" i="4"/>
  <c r="DU21" i="4"/>
  <c r="DU17" i="4"/>
  <c r="DU15" i="4"/>
  <c r="J46" i="2" s="1"/>
  <c r="DU13" i="4"/>
  <c r="DU20" i="4"/>
  <c r="J47" i="2" s="1"/>
  <c r="DU14" i="4"/>
  <c r="J49" i="2" l="1"/>
  <c r="J51" i="2"/>
</calcChain>
</file>

<file path=xl/sharedStrings.xml><?xml version="1.0" encoding="utf-8"?>
<sst xmlns="http://schemas.openxmlformats.org/spreadsheetml/2006/main" count="1564" uniqueCount="899">
  <si>
    <t>SETUP</t>
  </si>
  <si>
    <t>Select Your Time</t>
  </si>
  <si>
    <t>+6</t>
  </si>
  <si>
    <t>t</t>
  </si>
  <si>
    <t>Select time difference between Match local time and your local time. Date and time in Matches worksheet will be adjusted accordingly</t>
  </si>
  <si>
    <t>Select Language</t>
  </si>
  <si>
    <t>English</t>
  </si>
  <si>
    <t>Select your language. Language in Matches worksheet will be adjusted accordingly</t>
  </si>
  <si>
    <r>
      <t xml:space="preserve">Language Name </t>
    </r>
    <r>
      <rPr>
        <sz val="11"/>
        <color theme="0"/>
        <rFont val="Wingdings 3"/>
        <family val="1"/>
        <charset val="2"/>
      </rPr>
      <t>u</t>
    </r>
  </si>
  <si>
    <t>NEW WORLD</t>
  </si>
  <si>
    <t>Original Language (English)</t>
  </si>
  <si>
    <t>Your Language Translation</t>
  </si>
  <si>
    <t>To set schedule language to your language do the following :</t>
  </si>
  <si>
    <t>Austria</t>
  </si>
  <si>
    <t>Set title of your language in cell D7 (Arabic, Chinese, Portuguese, etc)</t>
  </si>
  <si>
    <t>Belgium</t>
  </si>
  <si>
    <t>Type your translation in column D (cell D9 : D99)</t>
  </si>
  <si>
    <t>Croatia</t>
  </si>
  <si>
    <t>Change language selection in cell D6 to your language name title</t>
  </si>
  <si>
    <t>Czech Republic</t>
  </si>
  <si>
    <t>Denmark</t>
  </si>
  <si>
    <t>England</t>
  </si>
  <si>
    <t>Finland</t>
  </si>
  <si>
    <t>France</t>
  </si>
  <si>
    <t>Germany</t>
  </si>
  <si>
    <t>Hungary</t>
  </si>
  <si>
    <t>Italy</t>
  </si>
  <si>
    <t>Netherlands</t>
  </si>
  <si>
    <t>North Macedonia</t>
  </si>
  <si>
    <t>Poland</t>
  </si>
  <si>
    <t>Portugal</t>
  </si>
  <si>
    <t>Russia</t>
  </si>
  <si>
    <t>Scotland</t>
  </si>
  <si>
    <t>Slovakia</t>
  </si>
  <si>
    <t>Spain</t>
  </si>
  <si>
    <t>Sweden</t>
  </si>
  <si>
    <t>Switzerland</t>
  </si>
  <si>
    <t>Turkey</t>
  </si>
  <si>
    <t>Ukraine</t>
  </si>
  <si>
    <t>Wales</t>
  </si>
  <si>
    <t>Language</t>
  </si>
  <si>
    <t>Timezone</t>
  </si>
  <si>
    <t>Group Stages</t>
  </si>
  <si>
    <t>Venue</t>
  </si>
  <si>
    <t>Standings</t>
  </si>
  <si>
    <t>Group</t>
  </si>
  <si>
    <t>Date</t>
  </si>
  <si>
    <t>Country</t>
  </si>
  <si>
    <t>Score</t>
  </si>
  <si>
    <t>Time</t>
  </si>
  <si>
    <t>Round of 16</t>
  </si>
  <si>
    <t>Quarter Finals</t>
  </si>
  <si>
    <t>Semi Finals</t>
  </si>
  <si>
    <t>Final</t>
  </si>
  <si>
    <t>Winner</t>
  </si>
  <si>
    <t>Runner Up</t>
  </si>
  <si>
    <t>Normal Time</t>
  </si>
  <si>
    <t>Extra Time</t>
  </si>
  <si>
    <t>Penalty Shoot Out</t>
  </si>
  <si>
    <t>Champion</t>
  </si>
  <si>
    <t>M#</t>
  </si>
  <si>
    <t>Group A Winner</t>
  </si>
  <si>
    <t>Group B Winner</t>
  </si>
  <si>
    <t>Group C Winner</t>
  </si>
  <si>
    <t>Group D Winner</t>
  </si>
  <si>
    <t>Group E Winner</t>
  </si>
  <si>
    <t>Group F Winner</t>
  </si>
  <si>
    <t>Group A Runner Up</t>
  </si>
  <si>
    <t>Group B Runner Up</t>
  </si>
  <si>
    <t>Group C Runner Up</t>
  </si>
  <si>
    <t>Group D Runner Up</t>
  </si>
  <si>
    <t>Group E Runner Up</t>
  </si>
  <si>
    <t>Group F Runner Up</t>
  </si>
  <si>
    <t>Match 37 Winner</t>
  </si>
  <si>
    <t>Match 38 Winner</t>
  </si>
  <si>
    <t>Match 39 Winner</t>
  </si>
  <si>
    <t>Match 40 Winner</t>
  </si>
  <si>
    <t>Match 41 Winner</t>
  </si>
  <si>
    <t>Match 42 Winner</t>
  </si>
  <si>
    <t>Match 43 Winner</t>
  </si>
  <si>
    <t>Match 44 Winner</t>
  </si>
  <si>
    <t>Match 45 Winner</t>
  </si>
  <si>
    <t>Match 46 Winner</t>
  </si>
  <si>
    <t>Match 47 Winner</t>
  </si>
  <si>
    <t>Match 48 Winner</t>
  </si>
  <si>
    <t>Match 49 Winner</t>
  </si>
  <si>
    <t>Match 50 Winner</t>
  </si>
  <si>
    <t>Match 51 Winner</t>
  </si>
  <si>
    <t>UEFA EURO 2020 Fixtures</t>
  </si>
  <si>
    <t>Group A</t>
  </si>
  <si>
    <t>Group B</t>
  </si>
  <si>
    <t>Group C</t>
  </si>
  <si>
    <t>Group D</t>
  </si>
  <si>
    <t>Group E</t>
  </si>
  <si>
    <t>Group F</t>
  </si>
  <si>
    <t>Win</t>
  </si>
  <si>
    <t>Draw</t>
  </si>
  <si>
    <t>Lose</t>
  </si>
  <si>
    <t>For</t>
  </si>
  <si>
    <t>Against</t>
  </si>
  <si>
    <t>Points</t>
  </si>
  <si>
    <t>Knock Out Rounds</t>
  </si>
  <si>
    <t>Group D/E/F 3rd Place</t>
  </si>
  <si>
    <t>Group A/D/E/F 3rd Place</t>
  </si>
  <si>
    <t>Group A/B/C 3rd Place</t>
  </si>
  <si>
    <t>Group A/B/C/D 3rd Place</t>
  </si>
  <si>
    <t>Group A-F 3rd Place Standings</t>
  </si>
  <si>
    <t>P</t>
  </si>
  <si>
    <t>W</t>
  </si>
  <si>
    <t>D</t>
  </si>
  <si>
    <t>L</t>
  </si>
  <si>
    <t>F</t>
  </si>
  <si>
    <t>A</t>
  </si>
  <si>
    <t>GD</t>
  </si>
  <si>
    <t>Pts</t>
  </si>
  <si>
    <t>Olimpico, Rome</t>
  </si>
  <si>
    <t>-</t>
  </si>
  <si>
    <t>Baki Olimpiya, Baku</t>
  </si>
  <si>
    <t>B</t>
  </si>
  <si>
    <t>Parken, Copenhagen</t>
  </si>
  <si>
    <t>Gazprom Arena, St Petersburg</t>
  </si>
  <si>
    <t>Wembley, London</t>
  </si>
  <si>
    <t>C</t>
  </si>
  <si>
    <t>National Arena, Bucharest</t>
  </si>
  <si>
    <t>Johan Cruijff Arena, Amsterdam</t>
  </si>
  <si>
    <t>Hampden Park, Glasgow</t>
  </si>
  <si>
    <t>E</t>
  </si>
  <si>
    <t>Aviva, Dublin</t>
  </si>
  <si>
    <t>Estadio de San Mames, Bilbao</t>
  </si>
  <si>
    <t>Puskas Arena, Budapest</t>
  </si>
  <si>
    <t>Allianz Arena, Munich</t>
  </si>
  <si>
    <t>+/-</t>
  </si>
  <si>
    <t>G</t>
  </si>
  <si>
    <t>PSO</t>
  </si>
  <si>
    <t>© 2020 | journalSHEET.com</t>
  </si>
  <si>
    <t>Notes :</t>
  </si>
  <si>
    <t>l</t>
  </si>
  <si>
    <t>Fill full time scores in column H and I</t>
  </si>
  <si>
    <t>Fill penalty shoot out scores in column K and L</t>
  </si>
  <si>
    <t>Group standings and best 3rd place standings will be calculated automatically based on official UEFA Tie Breaker regulation</t>
  </si>
  <si>
    <t>Pairing teams in Knock Out rounds will be placed automatically</t>
  </si>
  <si>
    <t>Color meaning :</t>
  </si>
  <si>
    <t>Team Name</t>
  </si>
  <si>
    <t>Won in Full Time</t>
  </si>
  <si>
    <t>Lose in Full Time</t>
  </si>
  <si>
    <t>Won by Penalty Shoot Out</t>
  </si>
  <si>
    <t>Lose by Penalty Shoot Out</t>
  </si>
  <si>
    <t>Country Language</t>
  </si>
  <si>
    <t>French</t>
  </si>
  <si>
    <t>German/Deutsch</t>
  </si>
  <si>
    <t>Italian</t>
  </si>
  <si>
    <t>Spanish</t>
  </si>
  <si>
    <t>Autriche</t>
  </si>
  <si>
    <t>Österreich</t>
  </si>
  <si>
    <t>Belgique</t>
  </si>
  <si>
    <t>Belgien</t>
  </si>
  <si>
    <t>Belgio</t>
  </si>
  <si>
    <t>Bélgica</t>
  </si>
  <si>
    <t>Croatie</t>
  </si>
  <si>
    <t>Kroatien</t>
  </si>
  <si>
    <t>Croazia</t>
  </si>
  <si>
    <t>Croacia</t>
  </si>
  <si>
    <t>République Tchèque</t>
  </si>
  <si>
    <t>Tschechien</t>
  </si>
  <si>
    <t>Repubblica Ceca</t>
  </si>
  <si>
    <t>República Checa</t>
  </si>
  <si>
    <t>Danemark</t>
  </si>
  <si>
    <t>Dänemark</t>
  </si>
  <si>
    <t>Danimarca</t>
  </si>
  <si>
    <t>Dinamarca</t>
  </si>
  <si>
    <t>Angleterre</t>
  </si>
  <si>
    <t>Inghilterra</t>
  </si>
  <si>
    <t>Inglaterra</t>
  </si>
  <si>
    <t>Finlande</t>
  </si>
  <si>
    <t>Finnland</t>
  </si>
  <si>
    <t>Finlandia</t>
  </si>
  <si>
    <t>Frankreich</t>
  </si>
  <si>
    <t>Francia</t>
  </si>
  <si>
    <t>l'Allemagne</t>
  </si>
  <si>
    <t>Deutschland</t>
  </si>
  <si>
    <t>Germania</t>
  </si>
  <si>
    <t>Alemania</t>
  </si>
  <si>
    <t>Hongrie</t>
  </si>
  <si>
    <t>Ungarn</t>
  </si>
  <si>
    <t>Ungheria</t>
  </si>
  <si>
    <t>Hungría</t>
  </si>
  <si>
    <t>Italie</t>
  </si>
  <si>
    <t>Italien</t>
  </si>
  <si>
    <t>Italia</t>
  </si>
  <si>
    <t>Pays-Bas</t>
  </si>
  <si>
    <t>Niederlande</t>
  </si>
  <si>
    <t>Olandia</t>
  </si>
  <si>
    <t>Países Bajos</t>
  </si>
  <si>
    <t>Macédoine du Nord</t>
  </si>
  <si>
    <t>Nordmakedonien</t>
  </si>
  <si>
    <t>Macedonia del Nord</t>
  </si>
  <si>
    <t>Macedonia del Norte</t>
  </si>
  <si>
    <t>Pologne</t>
  </si>
  <si>
    <t>Polen</t>
  </si>
  <si>
    <t>Polonia</t>
  </si>
  <si>
    <t>le Portugal</t>
  </si>
  <si>
    <t>Portogallo</t>
  </si>
  <si>
    <t>Russie</t>
  </si>
  <si>
    <t>Russland</t>
  </si>
  <si>
    <t>Rusia</t>
  </si>
  <si>
    <t>Écosse</t>
  </si>
  <si>
    <t>Schottland</t>
  </si>
  <si>
    <t>Scozia</t>
  </si>
  <si>
    <t>Escocia</t>
  </si>
  <si>
    <t>Slovaquie</t>
  </si>
  <si>
    <t>Slowakei</t>
  </si>
  <si>
    <t>Slovacchia</t>
  </si>
  <si>
    <t>Eslovaquia</t>
  </si>
  <si>
    <t>l'Espagne</t>
  </si>
  <si>
    <t>Spanien</t>
  </si>
  <si>
    <t>Spagna</t>
  </si>
  <si>
    <t>España</t>
  </si>
  <si>
    <t>la Suède</t>
  </si>
  <si>
    <t>Schweden</t>
  </si>
  <si>
    <t>Svezia</t>
  </si>
  <si>
    <t>Suecia</t>
  </si>
  <si>
    <t>Suisse</t>
  </si>
  <si>
    <t>Schweiz</t>
  </si>
  <si>
    <t>Svizzera</t>
  </si>
  <si>
    <t>Suiza</t>
  </si>
  <si>
    <t>Turquie</t>
  </si>
  <si>
    <t>Turkei</t>
  </si>
  <si>
    <t>Turchia</t>
  </si>
  <si>
    <t>Turquia</t>
  </si>
  <si>
    <t>Ucraina</t>
  </si>
  <si>
    <t>Ucrania</t>
  </si>
  <si>
    <t>Pays de Galles</t>
  </si>
  <si>
    <t>Galles</t>
  </si>
  <si>
    <t>Gales</t>
  </si>
  <si>
    <t>Langue</t>
  </si>
  <si>
    <t>Sprache</t>
  </si>
  <si>
    <t>Lingua</t>
  </si>
  <si>
    <t>idioma</t>
  </si>
  <si>
    <t>Fuseau horaire</t>
  </si>
  <si>
    <t>Zeitzone</t>
  </si>
  <si>
    <t>Fuso orario</t>
  </si>
  <si>
    <t>Zona horaria</t>
  </si>
  <si>
    <t>Phase de groupes</t>
  </si>
  <si>
    <t>Gruppenphase</t>
  </si>
  <si>
    <t>Stadi di gruppo</t>
  </si>
  <si>
    <t>Etapas del Grupo</t>
  </si>
  <si>
    <t>Lieu</t>
  </si>
  <si>
    <t>Tagungsort</t>
  </si>
  <si>
    <t>Sede</t>
  </si>
  <si>
    <t>Lugar de encuentro</t>
  </si>
  <si>
    <t>Classements</t>
  </si>
  <si>
    <t>Platzierungen</t>
  </si>
  <si>
    <t>Classifiche</t>
  </si>
  <si>
    <t>Tabla de posiciones</t>
  </si>
  <si>
    <t>Groupe</t>
  </si>
  <si>
    <t>Gruppe</t>
  </si>
  <si>
    <t>Gruppo</t>
  </si>
  <si>
    <t>Grupo</t>
  </si>
  <si>
    <t>date</t>
  </si>
  <si>
    <t>Datum</t>
  </si>
  <si>
    <t>Data</t>
  </si>
  <si>
    <t>Fecha</t>
  </si>
  <si>
    <t>Pays</t>
  </si>
  <si>
    <t>Land</t>
  </si>
  <si>
    <t>Nazione</t>
  </si>
  <si>
    <t>País</t>
  </si>
  <si>
    <t>But</t>
  </si>
  <si>
    <t>Ergebnis</t>
  </si>
  <si>
    <t>Punto</t>
  </si>
  <si>
    <t>Puntuación</t>
  </si>
  <si>
    <t>Temps</t>
  </si>
  <si>
    <t>Zeit</t>
  </si>
  <si>
    <t>Orario</t>
  </si>
  <si>
    <t>Hora</t>
  </si>
  <si>
    <t>Cycle de 16</t>
  </si>
  <si>
    <t>Runde der letzten 16</t>
  </si>
  <si>
    <t>Ottavi di 16</t>
  </si>
  <si>
    <t>Ronda de 16</t>
  </si>
  <si>
    <t>Quarts de finale</t>
  </si>
  <si>
    <t>Viertel Finale</t>
  </si>
  <si>
    <t>Quarti di finale</t>
  </si>
  <si>
    <t>Cuartos de final</t>
  </si>
  <si>
    <t>Demi-finales</t>
  </si>
  <si>
    <t>Semifinale</t>
  </si>
  <si>
    <t>Semifinali</t>
  </si>
  <si>
    <t>Semifinales</t>
  </si>
  <si>
    <t>Finale</t>
  </si>
  <si>
    <t>Definitivo</t>
  </si>
  <si>
    <t>Gagnant</t>
  </si>
  <si>
    <t>Gewinner</t>
  </si>
  <si>
    <t>Vincitore</t>
  </si>
  <si>
    <t>Ganador</t>
  </si>
  <si>
    <t>Finaliste</t>
  </si>
  <si>
    <t>Verfolger, Zweitplatzierter, Vizemeister</t>
  </si>
  <si>
    <t>Secondo classificato</t>
  </si>
  <si>
    <t>Subcampeón</t>
  </si>
  <si>
    <t>Durée normale</t>
  </si>
  <si>
    <t>Normalzeit</t>
  </si>
  <si>
    <t>Tempo normale</t>
  </si>
  <si>
    <t>Tiempo normal</t>
  </si>
  <si>
    <t>Du temps en plus</t>
  </si>
  <si>
    <t>Extra Zeit</t>
  </si>
  <si>
    <t>Tempo extra</t>
  </si>
  <si>
    <t>Tiempo adicional</t>
  </si>
  <si>
    <t>Tir au pénalty</t>
  </si>
  <si>
    <t>Elfmeterschießen</t>
  </si>
  <si>
    <t>Calcio di rigore</t>
  </si>
  <si>
    <t>Campione</t>
  </si>
  <si>
    <t>Campeón</t>
  </si>
  <si>
    <t>Match #</t>
  </si>
  <si>
    <t>Rencontre #</t>
  </si>
  <si>
    <t>Spiel #</t>
  </si>
  <si>
    <t>Incontro #</t>
  </si>
  <si>
    <t>Juego #</t>
  </si>
  <si>
    <t>Vainqueur du groupe A</t>
  </si>
  <si>
    <t>Gruppe A Winner</t>
  </si>
  <si>
    <t>Gruppo A Vincitore</t>
  </si>
  <si>
    <t>Grupo A Ganador</t>
  </si>
  <si>
    <t>Vainqueur du groupe B</t>
  </si>
  <si>
    <t>Gruppe B Sieger</t>
  </si>
  <si>
    <t>Gruppo B Vincitore</t>
  </si>
  <si>
    <t>Grupo B Ganador</t>
  </si>
  <si>
    <t>Groupe C Vainqueur</t>
  </si>
  <si>
    <t>Gruppe C Sieger</t>
  </si>
  <si>
    <t>Gruppo C Vincitore</t>
  </si>
  <si>
    <t>Grupo C Ganador</t>
  </si>
  <si>
    <t>Groupe D Vainqueur</t>
  </si>
  <si>
    <t>Gruppe D Sieger</t>
  </si>
  <si>
    <t>Vincitore Gruppo D</t>
  </si>
  <si>
    <t>Grupo D Ganador</t>
  </si>
  <si>
    <t>Vainqueur Groupe E</t>
  </si>
  <si>
    <t>Gruppe E Gewinner</t>
  </si>
  <si>
    <t>Vincitore Gruppo E</t>
  </si>
  <si>
    <t>Grupo E Ganador</t>
  </si>
  <si>
    <t>Groupe F Vainqueur</t>
  </si>
  <si>
    <t>Gruppe F Winner</t>
  </si>
  <si>
    <t>Vincitore Gruppo F</t>
  </si>
  <si>
    <t>Grupo F Ganador</t>
  </si>
  <si>
    <t>Groupe A Runner Up</t>
  </si>
  <si>
    <t>Gruppe A Runner Up</t>
  </si>
  <si>
    <t>Gruppo A Runner Up</t>
  </si>
  <si>
    <t>Grupo A Finalista</t>
  </si>
  <si>
    <t>Groupe B Runner Up</t>
  </si>
  <si>
    <t>Gruppe B Runner Up</t>
  </si>
  <si>
    <t>Gruppo B Runner Up</t>
  </si>
  <si>
    <t>Grupo B Finalista</t>
  </si>
  <si>
    <t>Groupe C Runner Up</t>
  </si>
  <si>
    <t>Gruppe C Runner Up</t>
  </si>
  <si>
    <t>Gruppo C Runner Up</t>
  </si>
  <si>
    <t>Grupo C Finalista</t>
  </si>
  <si>
    <t>Groupe D Runner Up</t>
  </si>
  <si>
    <t>Gruppe D Runner Up</t>
  </si>
  <si>
    <t>Gruppo D Runner Up</t>
  </si>
  <si>
    <t>Grupo D Finalista</t>
  </si>
  <si>
    <t>Groupe E Runner Up</t>
  </si>
  <si>
    <t>Gruppe E Runner Up</t>
  </si>
  <si>
    <t>Gruppo E Runner Up</t>
  </si>
  <si>
    <t>Grupo E Finalista</t>
  </si>
  <si>
    <t>Groupe F Runner Up</t>
  </si>
  <si>
    <t>Gruppe F Runner Up</t>
  </si>
  <si>
    <t>Gruppo F Runner Up</t>
  </si>
  <si>
    <t>Grupo F Finalista</t>
  </si>
  <si>
    <t>Vainqueur match 37</t>
  </si>
  <si>
    <t>Spiel 37 Sieger</t>
  </si>
  <si>
    <t>Partita 37 Vincitore</t>
  </si>
  <si>
    <t>Partido 37 Ganador</t>
  </si>
  <si>
    <t>Vainqueur match 38</t>
  </si>
  <si>
    <t>Spiel 38 Sieger</t>
  </si>
  <si>
    <t>Partita 38 Vincitore</t>
  </si>
  <si>
    <t>Partido 38 Ganador</t>
  </si>
  <si>
    <t>Vainqueur match 39</t>
  </si>
  <si>
    <t>Spiel 39 Sieger</t>
  </si>
  <si>
    <t>Partita 39 Vincitore</t>
  </si>
  <si>
    <t>Partido 39 Ganador</t>
  </si>
  <si>
    <t>Vainqueur match 40</t>
  </si>
  <si>
    <t>Spiel 40 Sieger</t>
  </si>
  <si>
    <t>Partita 40 Vincitore</t>
  </si>
  <si>
    <t>Partido 40 Ganador</t>
  </si>
  <si>
    <t>Vainqueur match 41</t>
  </si>
  <si>
    <t>Spiel 41 Sieger</t>
  </si>
  <si>
    <t>Partita 41 Vincitore</t>
  </si>
  <si>
    <t>Partido 41 Ganador</t>
  </si>
  <si>
    <t>Vainqueur match 42</t>
  </si>
  <si>
    <t>Spiel 42 Sieger</t>
  </si>
  <si>
    <t>Partita 42 Vincitore</t>
  </si>
  <si>
    <t>Partido 42 Ganador</t>
  </si>
  <si>
    <t>Vainqueur match 43</t>
  </si>
  <si>
    <t>Spiel 43 Sieger</t>
  </si>
  <si>
    <t>Partita 43 Vincitore</t>
  </si>
  <si>
    <t>Partido 43 Ganador</t>
  </si>
  <si>
    <t>Vainqueur match 44</t>
  </si>
  <si>
    <t>Spiel 44 Sieger</t>
  </si>
  <si>
    <t>Partita 44 Vincitore</t>
  </si>
  <si>
    <t>Partido 44 Ganador</t>
  </si>
  <si>
    <t>Vainqueur match 45</t>
  </si>
  <si>
    <t>Spiel 45 Sieger</t>
  </si>
  <si>
    <t>Partita 45 Vincitore</t>
  </si>
  <si>
    <t>Partido 45 Ganador</t>
  </si>
  <si>
    <t>Vainqueur match 46</t>
  </si>
  <si>
    <t>Spiel 46 Sieger</t>
  </si>
  <si>
    <t>Partita 46 Vincitore</t>
  </si>
  <si>
    <t>Partido 46 Ganador</t>
  </si>
  <si>
    <t>Vainqueur match 47</t>
  </si>
  <si>
    <t>Spiel 47 Sieger</t>
  </si>
  <si>
    <t>Partita 47 Vincitore</t>
  </si>
  <si>
    <t>Partido 47 Ganador</t>
  </si>
  <si>
    <t>Vainqueur match 48</t>
  </si>
  <si>
    <t>Spiel 48 Sieger</t>
  </si>
  <si>
    <t>Partita 48 Vincitore</t>
  </si>
  <si>
    <t>Partido 48 Ganador</t>
  </si>
  <si>
    <t>Vainqueur match 49</t>
  </si>
  <si>
    <t>Spiel 49 Sieger</t>
  </si>
  <si>
    <t>Partita 49 Vincitore</t>
  </si>
  <si>
    <t>Partido 49 Ganador</t>
  </si>
  <si>
    <t>Vainqueur match 50</t>
  </si>
  <si>
    <t>Spiel 50 Sieger</t>
  </si>
  <si>
    <t>Partita 50 Vincitore</t>
  </si>
  <si>
    <t>Partido 50 Ganador</t>
  </si>
  <si>
    <t>Vainqueur match 51</t>
  </si>
  <si>
    <t>Spiel 51 Sieger</t>
  </si>
  <si>
    <t>Partita 51 Vincitore</t>
  </si>
  <si>
    <t>Partido 51 Ganador</t>
  </si>
  <si>
    <t>Euro 2020 Fixtures</t>
  </si>
  <si>
    <t>Euro 2020 Horaire et Feuille de pointage</t>
  </si>
  <si>
    <t>Euro 2020 Spielplan</t>
  </si>
  <si>
    <t>Euro 2020 Pianificazione e Score Sheet</t>
  </si>
  <si>
    <t>Euro 2020 Horario y Score Hoja</t>
  </si>
  <si>
    <t>Groupe A</t>
  </si>
  <si>
    <t>Gruppe A</t>
  </si>
  <si>
    <t>Gruppo A</t>
  </si>
  <si>
    <t>Grupo A</t>
  </si>
  <si>
    <t>Groupe B</t>
  </si>
  <si>
    <t>Gruppe B</t>
  </si>
  <si>
    <t>Gruppo B</t>
  </si>
  <si>
    <t>Grupo B</t>
  </si>
  <si>
    <t>Groupe C</t>
  </si>
  <si>
    <t>Gruppe C</t>
  </si>
  <si>
    <t>Gruppo C</t>
  </si>
  <si>
    <t>Grupo C</t>
  </si>
  <si>
    <t>Groupe D</t>
  </si>
  <si>
    <t>Gruppe D</t>
  </si>
  <si>
    <t>Gruppo D</t>
  </si>
  <si>
    <t>Grupo D</t>
  </si>
  <si>
    <t>Groupe E</t>
  </si>
  <si>
    <t>Gruppe E</t>
  </si>
  <si>
    <t>Gruppo E</t>
  </si>
  <si>
    <t>Grupo E</t>
  </si>
  <si>
    <t>Groupe F</t>
  </si>
  <si>
    <t>Gruppe F</t>
  </si>
  <si>
    <t>Gruppo F</t>
  </si>
  <si>
    <t>Grupo F</t>
  </si>
  <si>
    <t>Gagner</t>
  </si>
  <si>
    <t>Gewinnen</t>
  </si>
  <si>
    <t>Vincere</t>
  </si>
  <si>
    <t>Ganar</t>
  </si>
  <si>
    <t>Dessiner</t>
  </si>
  <si>
    <t>Zeichnen</t>
  </si>
  <si>
    <t>Disegnare</t>
  </si>
  <si>
    <t>Dibujar</t>
  </si>
  <si>
    <t>Perdre</t>
  </si>
  <si>
    <t>Verlieren</t>
  </si>
  <si>
    <t>Perdere</t>
  </si>
  <si>
    <t>Perder</t>
  </si>
  <si>
    <t>Pour</t>
  </si>
  <si>
    <t>Für</t>
  </si>
  <si>
    <t>Per</t>
  </si>
  <si>
    <t>por</t>
  </si>
  <si>
    <t>Contre</t>
  </si>
  <si>
    <t>Gegen</t>
  </si>
  <si>
    <t>Contro</t>
  </si>
  <si>
    <t>En contra</t>
  </si>
  <si>
    <t>Des points</t>
  </si>
  <si>
    <t>Punkte</t>
  </si>
  <si>
    <t>Punti</t>
  </si>
  <si>
    <t>Puntos</t>
  </si>
  <si>
    <t>Knock Out rounds</t>
  </si>
  <si>
    <t>Knock Out Runden</t>
  </si>
  <si>
    <t>Knock Out Rondas</t>
  </si>
  <si>
    <t>Groupe D/E/F Troisième place</t>
  </si>
  <si>
    <t>Gruppe D/E/F Dritter Platz</t>
  </si>
  <si>
    <t>Gruppo D/E/F Third Place</t>
  </si>
  <si>
    <t>Grupo D/E/F Tercer lugar</t>
  </si>
  <si>
    <t>Groupe A/D/E/F Troisième place</t>
  </si>
  <si>
    <t>Gruppe A/D/E/F Dritter Platz</t>
  </si>
  <si>
    <t>Gruppo A/D/E/F Third Place</t>
  </si>
  <si>
    <t>Grupo A/D/E/F Tercer lugar</t>
  </si>
  <si>
    <t>Groupe A/B/C Troisième place</t>
  </si>
  <si>
    <t>Gruppe A/B/C Dritter Platz</t>
  </si>
  <si>
    <t>Gruppo A/B/C Third Place</t>
  </si>
  <si>
    <t>Grupo A/B/C Tercer lugar</t>
  </si>
  <si>
    <t>Groupe A/B/C/D Troisième place</t>
  </si>
  <si>
    <t>Gruppe A/B/C/D Dritter Platz</t>
  </si>
  <si>
    <t>Gruppo A/B/C/D Terzo Posto</t>
  </si>
  <si>
    <t>Grupo A/B/C/D Tercer lugar</t>
  </si>
  <si>
    <t>Groupe A-F Troisième place Classements</t>
  </si>
  <si>
    <t>Gruppe A-F Dritter Platz Entwicklung</t>
  </si>
  <si>
    <t>Gruppo A-F Third Place Classifiche</t>
  </si>
  <si>
    <t>Grupo A-F Tercer Lugar Clasificación</t>
  </si>
  <si>
    <t>Rule</t>
  </si>
  <si>
    <t>table rank 1</t>
  </si>
  <si>
    <t>table rank 2</t>
  </si>
  <si>
    <t>table rank 3</t>
  </si>
  <si>
    <t>table rank 4</t>
  </si>
  <si>
    <t>GS</t>
  </si>
  <si>
    <t>GA</t>
  </si>
  <si>
    <t>Koef</t>
  </si>
  <si>
    <t>Pts Rank</t>
  </si>
  <si>
    <t>GD Rank</t>
  </si>
  <si>
    <t>GS Rank</t>
  </si>
  <si>
    <t>Koef Rank</t>
  </si>
  <si>
    <t>Diff</t>
  </si>
  <si>
    <t>UEFA Rank</t>
  </si>
  <si>
    <t>rankall points</t>
  </si>
  <si>
    <t>rerank</t>
  </si>
  <si>
    <t>rank 1</t>
  </si>
  <si>
    <t>rank 2</t>
  </si>
  <si>
    <t>rank 3</t>
  </si>
  <si>
    <t>rank 4</t>
  </si>
  <si>
    <t>Team</t>
  </si>
  <si>
    <t>Sdif</t>
  </si>
  <si>
    <t>SGS</t>
  </si>
  <si>
    <t>R</t>
  </si>
  <si>
    <t>Sdiff</t>
  </si>
  <si>
    <t>FR</t>
  </si>
  <si>
    <t>B7</t>
  </si>
  <si>
    <t>Name of the Time Zone</t>
  </si>
  <si>
    <t>B8</t>
  </si>
  <si>
    <t>Dateline Standard Time</t>
  </si>
  <si>
    <t>(UTC-12:00) International Date Line West </t>
  </si>
  <si>
    <t>Y</t>
  </si>
  <si>
    <t>B9</t>
  </si>
  <si>
    <t>UTC-11</t>
  </si>
  <si>
    <t>(UTC-11:00) Coordinated Universal Time-11 </t>
  </si>
  <si>
    <t>B10</t>
  </si>
  <si>
    <t>Aleutian Standard Time</t>
  </si>
  <si>
    <t>(UTC-10:00) Aleutian Islands </t>
  </si>
  <si>
    <t>B11</t>
  </si>
  <si>
    <t>Hawaiian Standard Time</t>
  </si>
  <si>
    <t>(UTC-10:00) Hawaii </t>
  </si>
  <si>
    <t>Four best 3rd-placed teams combination</t>
  </si>
  <si>
    <t>1B</t>
  </si>
  <si>
    <t>1C</t>
  </si>
  <si>
    <t>1E</t>
  </si>
  <si>
    <t>1F</t>
  </si>
  <si>
    <t>B12</t>
  </si>
  <si>
    <t>Marquesas Standard Time</t>
  </si>
  <si>
    <t>(UTC-09:30) Marquesas Islands </t>
  </si>
  <si>
    <t>B13</t>
  </si>
  <si>
    <t>Alaskan Standard Time</t>
  </si>
  <si>
    <t>(UTC-09:00) Alaska </t>
  </si>
  <si>
    <t>B14</t>
  </si>
  <si>
    <t>UTC-09</t>
  </si>
  <si>
    <t>(UTC-09:00) Coordinated Universal Time-09 </t>
  </si>
  <si>
    <t>B15</t>
  </si>
  <si>
    <t>Pacific Standard Time (Mexico)</t>
  </si>
  <si>
    <t>(UTC-08:00) Baja California </t>
  </si>
  <si>
    <t>B16</t>
  </si>
  <si>
    <t>UTC-08</t>
  </si>
  <si>
    <t>(UTC-08:00) Coordinated Universal Time-08 </t>
  </si>
  <si>
    <t>B17</t>
  </si>
  <si>
    <t>Pacific Standard Time</t>
  </si>
  <si>
    <t>(UTC-08:00) Pacific Time (US &amp; Canada) </t>
  </si>
  <si>
    <t>B18</t>
  </si>
  <si>
    <t>US Mountain Standard Time</t>
  </si>
  <si>
    <t>(UTC-07:00) Arizona </t>
  </si>
  <si>
    <t>B19</t>
  </si>
  <si>
    <t>Mountain Standard Time (Mexico)</t>
  </si>
  <si>
    <t>(UTC-07:00) Chihuahua, La Paz, Mazatlan </t>
  </si>
  <si>
    <t>B20</t>
  </si>
  <si>
    <t>Mountain Standard Time</t>
  </si>
  <si>
    <t>(UTC-07:00) Mountain Time (US &amp; Canada) </t>
  </si>
  <si>
    <t>B21</t>
  </si>
  <si>
    <t>Central America Standard Time</t>
  </si>
  <si>
    <t>(UTC-06:00) Central America </t>
  </si>
  <si>
    <t>B22</t>
  </si>
  <si>
    <t>Central Standard Time</t>
  </si>
  <si>
    <t>(UTC-06:00) Central Time (US &amp; Canada) </t>
  </si>
  <si>
    <t>B23</t>
  </si>
  <si>
    <t>Easter Island Standard Time</t>
  </si>
  <si>
    <t>(UTC-06:00) Easter Island </t>
  </si>
  <si>
    <t>B24</t>
  </si>
  <si>
    <t>Central Standard Time (Mexico)</t>
  </si>
  <si>
    <t>(UTC-06:00) Guadalajara, Mexico City, Monterrey </t>
  </si>
  <si>
    <t>B25</t>
  </si>
  <si>
    <t>Canada Central Standard Time</t>
  </si>
  <si>
    <t>(UTC-06:00) Saskatchewan </t>
  </si>
  <si>
    <t>B26</t>
  </si>
  <si>
    <t>SA Pacific Standard Time</t>
  </si>
  <si>
    <t>(UTC-05:00) Bogota, Lima, Quito, Rio Branco </t>
  </si>
  <si>
    <t>B27</t>
  </si>
  <si>
    <t>Eastern Standard Time (Mexico)</t>
  </si>
  <si>
    <t>(UTC-05:00) Chetumal </t>
  </si>
  <si>
    <t>B28</t>
  </si>
  <si>
    <t>Eastern Standard Time</t>
  </si>
  <si>
    <t>(UTC-05:00) Eastern Time (US &amp; Canada) </t>
  </si>
  <si>
    <t>B29</t>
  </si>
  <si>
    <t>Haiti Standard Time</t>
  </si>
  <si>
    <t>(UTC-05:00) Haiti </t>
  </si>
  <si>
    <t>B30</t>
  </si>
  <si>
    <t>Cuba Standard Time</t>
  </si>
  <si>
    <t>(UTC-05:00) Havana </t>
  </si>
  <si>
    <t>US Eastern Standard Time</t>
  </si>
  <si>
    <t>(UTC-05:00) Indiana (East) </t>
  </si>
  <si>
    <t>Turks And Caicos Standard Time</t>
  </si>
  <si>
    <t>(UTC-05:00) Turks and Caicos </t>
  </si>
  <si>
    <t>+0.5</t>
  </si>
  <si>
    <t>Paraguay Standard Time</t>
  </si>
  <si>
    <t>(UTC-04:00) Asuncion </t>
  </si>
  <si>
    <t>+1</t>
  </si>
  <si>
    <t>Atlantic Standard Time</t>
  </si>
  <si>
    <t>(UTC-04:00) Atlantic Time (Canada) </t>
  </si>
  <si>
    <t>H</t>
  </si>
  <si>
    <t>+1.5</t>
  </si>
  <si>
    <t>Venezuela Standard Time</t>
  </si>
  <si>
    <t>(UTC-04:00) Caracas </t>
  </si>
  <si>
    <t>+2</t>
  </si>
  <si>
    <t>Central Brazilian Standard Time</t>
  </si>
  <si>
    <t>(UTC-04:00) Cuiaba </t>
  </si>
  <si>
    <t>+2.5</t>
  </si>
  <si>
    <t>SA Western Standard Time</t>
  </si>
  <si>
    <t>(UTC-04:00) Georgetown, La Paz, Manaus, San Juan </t>
  </si>
  <si>
    <t>+3</t>
  </si>
  <si>
    <t>Pacific SA Standard Time</t>
  </si>
  <si>
    <t>(UTC-04:00) Santiago </t>
  </si>
  <si>
    <t>+3.5</t>
  </si>
  <si>
    <t>Newfoundland Standard Time</t>
  </si>
  <si>
    <t>(UTC-03:30) Newfoundland </t>
  </si>
  <si>
    <t>+4</t>
  </si>
  <si>
    <t>Tocantins Standard Time</t>
  </si>
  <si>
    <t>(UTC-03:00) Araguaina </t>
  </si>
  <si>
    <t>+4.5</t>
  </si>
  <si>
    <t>E. South America Standard Time</t>
  </si>
  <si>
    <t>(UTC-03:00) Brasilia </t>
  </si>
  <si>
    <t>+5</t>
  </si>
  <si>
    <t>SA Eastern Standard Time</t>
  </si>
  <si>
    <t>(UTC-03:00) Cayenne, Fortaleza </t>
  </si>
  <si>
    <t>all the same</t>
  </si>
  <si>
    <t>points</t>
  </si>
  <si>
    <t>table rank-1 2</t>
  </si>
  <si>
    <t>table rank-2 2</t>
  </si>
  <si>
    <t>+5.5</t>
  </si>
  <si>
    <t>Argentina Standard Time</t>
  </si>
  <si>
    <t>(UTC-03:00) City of Buenos Aires </t>
  </si>
  <si>
    <t>Greenland Standard Time</t>
  </si>
  <si>
    <t>(UTC-03:00) Greenland </t>
  </si>
  <si>
    <t>+6.5</t>
  </si>
  <si>
    <t>Montevideo Standard Time</t>
  </si>
  <si>
    <t>(UTC-03:00) Montevideo </t>
  </si>
  <si>
    <t>+7</t>
  </si>
  <si>
    <t>Magallanes Standard Time</t>
  </si>
  <si>
    <t>(UTC-03:00) Punta Arenas </t>
  </si>
  <si>
    <t>+7.5</t>
  </si>
  <si>
    <t>Saint Pierre Standard Time</t>
  </si>
  <si>
    <t>(UTC-03:00) Saint Pierre and Miquelon </t>
  </si>
  <si>
    <t>+8</t>
  </si>
  <si>
    <t>Bahia Standard Time</t>
  </si>
  <si>
    <t>(UTC-03:00) Salvador </t>
  </si>
  <si>
    <t>+8.5</t>
  </si>
  <si>
    <t>UTC-02</t>
  </si>
  <si>
    <t>(UTC-02:00) Coordinated Universal Time-02 </t>
  </si>
  <si>
    <t>+9</t>
  </si>
  <si>
    <t>Azores Standard Time</t>
  </si>
  <si>
    <t>(UTC-01:00) Azores </t>
  </si>
  <si>
    <t>+9.5</t>
  </si>
  <si>
    <t>Cape Verde Standard Time</t>
  </si>
  <si>
    <t>(UTC-01:00) Cabo Verde Is. </t>
  </si>
  <si>
    <t>+10</t>
  </si>
  <si>
    <t>GMT Standard Time</t>
  </si>
  <si>
    <t>(UTC+00:00) Dublin, Edinburgh, Lisbon, London </t>
  </si>
  <si>
    <t>+10.5</t>
  </si>
  <si>
    <t>Greenwich Standard Time</t>
  </si>
  <si>
    <t>(UTC+00:00) Monrovia, Reykjavik </t>
  </si>
  <si>
    <t>+11</t>
  </si>
  <si>
    <t>Sao Tome Standard Time</t>
  </si>
  <si>
    <t>(UTC+00:00) Sao Tome </t>
  </si>
  <si>
    <t>+11.5</t>
  </si>
  <si>
    <t>Morocco Standard Time</t>
  </si>
  <si>
    <t>(UTC+01:00) Casablanca </t>
  </si>
  <si>
    <t>+12</t>
  </si>
  <si>
    <t>W. Europe Standard Time</t>
  </si>
  <si>
    <t>(UTC+01:00) Amsterdam, Berlin, Bern, Rome, Stockholm, Vienna </t>
  </si>
  <si>
    <t>Central Europe Standard Time</t>
  </si>
  <si>
    <t>(UTC+01:00) Belgrade, Bratislava, Budapest, Ljubljana, Prague </t>
  </si>
  <si>
    <t>Romance Standard Time</t>
  </si>
  <si>
    <t>(UTC+01:00) Brussels, Copenhagen, Madrid, Paris </t>
  </si>
  <si>
    <t>Central European Standard Time</t>
  </si>
  <si>
    <t>(UTC+01:00) Sarajevo, Skopje, Warsaw, Zagreb </t>
  </si>
  <si>
    <t>W. Central Africa Standard Time</t>
  </si>
  <si>
    <t>(UTC+01:00) West Central Africa </t>
  </si>
  <si>
    <t>Jordan Standard Time</t>
  </si>
  <si>
    <t>(UTC+02:00) Amman </t>
  </si>
  <si>
    <t>GTB Standard Time</t>
  </si>
  <si>
    <t>(UTC+02:00) Athens, Bucharest </t>
  </si>
  <si>
    <t>Middle East Standard Time</t>
  </si>
  <si>
    <t>(UTC+02:00) Beirut </t>
  </si>
  <si>
    <t>Egypt Standard Time</t>
  </si>
  <si>
    <t>(UTC+02:00) Cairo </t>
  </si>
  <si>
    <t>E. Europe Standard Time</t>
  </si>
  <si>
    <t>(UTC+02:00) Chisinau </t>
  </si>
  <si>
    <t>Syria Standard Time</t>
  </si>
  <si>
    <t>(UTC+02:00) Damascus </t>
  </si>
  <si>
    <t>West Bank Standard Time</t>
  </si>
  <si>
    <t>(UTC+02:00) Gaza, Hebron </t>
  </si>
  <si>
    <t>South Africa Standard Time</t>
  </si>
  <si>
    <t>(UTC+02:00) Harare, Pretoria </t>
  </si>
  <si>
    <t>FLE Standard Time</t>
  </si>
  <si>
    <t>(UTC+02:00) Helsinki, Kyiv, Riga, Sofia, Tallinn, Vilnius </t>
  </si>
  <si>
    <t>Israel Standard Time</t>
  </si>
  <si>
    <t>(UTC+02:00) Jerusalem </t>
  </si>
  <si>
    <t>Kaliningrad Standard Time</t>
  </si>
  <si>
    <t>(UTC+02:00) Kaliningrad </t>
  </si>
  <si>
    <t>Sudan Standard Time</t>
  </si>
  <si>
    <t>(UTC+02:00) Khartoum </t>
  </si>
  <si>
    <t>Libya Standard Time</t>
  </si>
  <si>
    <t>(UTC+02:00) Tripoli </t>
  </si>
  <si>
    <t>Namibia Standard Time</t>
  </si>
  <si>
    <t>(UTC+02:00) Windhoek </t>
  </si>
  <si>
    <t>Arabic Standard Time</t>
  </si>
  <si>
    <t>(UTC+03:00) Baghdad </t>
  </si>
  <si>
    <t>Turkey Standard Time</t>
  </si>
  <si>
    <t>(UTC+03:00) Istanbul </t>
  </si>
  <si>
    <t>Arab Standard Time</t>
  </si>
  <si>
    <t>(UTC+03:00) Kuwait, Riyadh </t>
  </si>
  <si>
    <t>Belarus Standard Time</t>
  </si>
  <si>
    <t>(UTC+03:00) Minsk </t>
  </si>
  <si>
    <t>Russian Standard Time</t>
  </si>
  <si>
    <t>(UTC+03:00) Moscow, St. Petersburg </t>
  </si>
  <si>
    <t>E. Africa Standard Time</t>
  </si>
  <si>
    <t>(UTC+03:00) Nairobi </t>
  </si>
  <si>
    <t>Iran Standard Time</t>
  </si>
  <si>
    <t>(UTC+03:30) Tehran </t>
  </si>
  <si>
    <t>Arabian Standard Time</t>
  </si>
  <si>
    <t>(UTC+04:00) Abu Dhabi, Muscat </t>
  </si>
  <si>
    <t>Astrakhan Standard Time</t>
  </si>
  <si>
    <t>(UTC+04:00) Astrakhan, Ulyanovsk </t>
  </si>
  <si>
    <t>Azerbaijan Standard Time</t>
  </si>
  <si>
    <t>(UTC+04:00) Baku </t>
  </si>
  <si>
    <t>Russia Time Zone 3</t>
  </si>
  <si>
    <t>(UTC+04:00) Izhevsk, Samara </t>
  </si>
  <si>
    <t>Mauritius Standard Time</t>
  </si>
  <si>
    <t>(UTC+04:00) Port Louis </t>
  </si>
  <si>
    <t>Saratov Standard Time</t>
  </si>
  <si>
    <t>(UTC+04:00) Saratov </t>
  </si>
  <si>
    <t>Georgian Standard Time</t>
  </si>
  <si>
    <t>(UTC+04:00) Tbilisi </t>
  </si>
  <si>
    <t>Volgograd Standard Time</t>
  </si>
  <si>
    <t>(UTC+04:00) Volgograd </t>
  </si>
  <si>
    <t>Caucasus Standard Time</t>
  </si>
  <si>
    <t>(UTC+04:00) Yerevan </t>
  </si>
  <si>
    <t>Afghanistan Standard Time</t>
  </si>
  <si>
    <t>(UTC+04:30) Kabul </t>
  </si>
  <si>
    <t>West Asia Standard Time</t>
  </si>
  <si>
    <t>(UTC+05:00) Ashgabat, Tashkent </t>
  </si>
  <si>
    <t>Ekaterinburg Standard Time</t>
  </si>
  <si>
    <t>(UTC+05:00) Ekaterinburg </t>
  </si>
  <si>
    <t>Pakistan Standard Time</t>
  </si>
  <si>
    <t>(UTC+05:00) Islamabad, Karachi </t>
  </si>
  <si>
    <t>Qyzylorda Standard Time</t>
  </si>
  <si>
    <t>(UTC+05:00) Qyzylorda </t>
  </si>
  <si>
    <t>India Standard Time</t>
  </si>
  <si>
    <t>(UTC+05:30) Chennai, Kolkata, Mumbai, New Delhi </t>
  </si>
  <si>
    <t>Sri Lanka Standard Time</t>
  </si>
  <si>
    <t>(UTC+05:30) Sri Jayawardenepura </t>
  </si>
  <si>
    <t>Nepal Standard Time</t>
  </si>
  <si>
    <t>(UTC+05:45) Kathmandu </t>
  </si>
  <si>
    <t>Central Asia Standard Time</t>
  </si>
  <si>
    <t>(UTC+06:00) Astana </t>
  </si>
  <si>
    <t>Bangladesh Standard Time</t>
  </si>
  <si>
    <t>(UTC+06:00) Dhaka </t>
  </si>
  <si>
    <t>Omsk Standard Time</t>
  </si>
  <si>
    <t>(UTC+06:00) Omsk </t>
  </si>
  <si>
    <t>Myanmar Standard Time</t>
  </si>
  <si>
    <t>(UTC+06:30) Yangon (Rangoon) </t>
  </si>
  <si>
    <t>SE Asia Standard Time</t>
  </si>
  <si>
    <t>(UTC+07:00) Bangkok, Hanoi, Jakarta </t>
  </si>
  <si>
    <t>Altai Standard Time</t>
  </si>
  <si>
    <t>(UTC+07:00) Barnaul, Gorno-Altaysk </t>
  </si>
  <si>
    <t>W. Mongolia Standard Time</t>
  </si>
  <si>
    <t>(UTC+07:00) Hovd </t>
  </si>
  <si>
    <t>North Asia Standard Time</t>
  </si>
  <si>
    <t>(UTC+07:00) Krasnoyarsk </t>
  </si>
  <si>
    <t>N. Central Asia Standard Time</t>
  </si>
  <si>
    <t>(UTC+07:00) Novosibirsk </t>
  </si>
  <si>
    <t>Tomsk Standard Time</t>
  </si>
  <si>
    <t>(UTC+07:00) Tomsk </t>
  </si>
  <si>
    <t>China Standard Time</t>
  </si>
  <si>
    <t>(UTC+08:00) Beijing, Chongqing, Hong Kong, Urumqi </t>
  </si>
  <si>
    <t>North Asia East Standard Time</t>
  </si>
  <si>
    <t>(UTC+08:00) Irkutsk </t>
  </si>
  <si>
    <t>Singapore Standard Time</t>
  </si>
  <si>
    <t>(UTC+08:00) Kuala Lumpur, Singapore </t>
  </si>
  <si>
    <t>W. Australia Standard Time</t>
  </si>
  <si>
    <t>(UTC+08:00) Perth </t>
  </si>
  <si>
    <t>Taipei Standard Time</t>
  </si>
  <si>
    <t>(UTC+08:00) Taipei </t>
  </si>
  <si>
    <t>Ulaanbaatar Standard Time</t>
  </si>
  <si>
    <t>(UTC+08:00) Ulaanbaatar </t>
  </si>
  <si>
    <t>Aus Central W. Standard Time</t>
  </si>
  <si>
    <t>(UTC+08:45) Eucla </t>
  </si>
  <si>
    <t>Transbaikal Standard Time</t>
  </si>
  <si>
    <t>(UTC+09:00) Chita </t>
  </si>
  <si>
    <t>Tokyo Standard Time</t>
  </si>
  <si>
    <t>(UTC+09:00) Osaka, Sapporo, Tokyo </t>
  </si>
  <si>
    <t>North Korea Standard Time</t>
  </si>
  <si>
    <t>(UTC+09:00) Pyongyang </t>
  </si>
  <si>
    <t>Korea Standard Time</t>
  </si>
  <si>
    <t>(UTC+09:00) Seoul </t>
  </si>
  <si>
    <t>Yakutsk Standard Time</t>
  </si>
  <si>
    <t>(UTC+09:00) Yakutsk </t>
  </si>
  <si>
    <t>Cen. Australia Standard Time</t>
  </si>
  <si>
    <t>(UTC+09:30) Adelaide </t>
  </si>
  <si>
    <t>AUS Central Standard Time</t>
  </si>
  <si>
    <t>(UTC+09:30) Darwin </t>
  </si>
  <si>
    <t>E. Australia Standard Time</t>
  </si>
  <si>
    <t>(UTC+10:00) Brisbane </t>
  </si>
  <si>
    <t>AUS Eastern Standard Time</t>
  </si>
  <si>
    <t>(UTC+10:00) Canberra, Melbourne, Sydney </t>
  </si>
  <si>
    <t>West Pacific Standard Time</t>
  </si>
  <si>
    <t>(UTC+10:00) Guam, Port Moresby </t>
  </si>
  <si>
    <t>Tasmania Standard Time</t>
  </si>
  <si>
    <t>(UTC+10:00) Hobart </t>
  </si>
  <si>
    <t>Vladivostok Standard Time</t>
  </si>
  <si>
    <t>(UTC+10:00) Vladivostok </t>
  </si>
  <si>
    <t>Lord Howe Standard Time</t>
  </si>
  <si>
    <t>(UTC+10:30) Lord Howe Island </t>
  </si>
  <si>
    <t>Bougainville Standard Time</t>
  </si>
  <si>
    <t>(UTC+11:00) Bougainville Island </t>
  </si>
  <si>
    <t>Russia Time Zone 10</t>
  </si>
  <si>
    <t>(UTC+11:00) Chokurdakh </t>
  </si>
  <si>
    <t>Magadan Standard Time</t>
  </si>
  <si>
    <t>(UTC+11:00) Magadan </t>
  </si>
  <si>
    <t>Norfolk Standard Time</t>
  </si>
  <si>
    <t>(UTC+11:00) Norfolk Island </t>
  </si>
  <si>
    <t>Sakhalin Standard Time</t>
  </si>
  <si>
    <t>(UTC+11:00) Sakhalin </t>
  </si>
  <si>
    <t>Central Pacific Standard Time</t>
  </si>
  <si>
    <t>(UTC+11:00) Solomon Is., New Caledonia </t>
  </si>
  <si>
    <t>Russia Time Zone 11</t>
  </si>
  <si>
    <t>(UTC+12:00) Anadyr, Petropavlovsk-Kamchatsky </t>
  </si>
  <si>
    <t>New Zealand Standard Time</t>
  </si>
  <si>
    <t>(UTC+12:00) Auckland, Wellington </t>
  </si>
  <si>
    <t>UTC+12</t>
  </si>
  <si>
    <t>(UTC+12:00) Coordinated Universal Time+12 </t>
  </si>
  <si>
    <t>Fiji Standard Time</t>
  </si>
  <si>
    <t>(UTC+12:00) Fiji </t>
  </si>
  <si>
    <t>Chatham Islands Standard Time</t>
  </si>
  <si>
    <t>(UTC+12:45) Chatham Islands </t>
  </si>
  <si>
    <t>UTC+13</t>
  </si>
  <si>
    <t>(UTC+13:00) Coordinated Universal Time+13 </t>
  </si>
  <si>
    <t>Tonga Standard Time</t>
  </si>
  <si>
    <t>(UTC+13:00) Nuku’alofa </t>
  </si>
  <si>
    <t>Samoa Standard Time</t>
  </si>
  <si>
    <t>(UTC+13:00) Samoa </t>
  </si>
  <si>
    <t>Line Islands Standard Time</t>
  </si>
  <si>
    <t>(UTC+14:00) Kiritimati Island </t>
  </si>
  <si>
    <t>TIE BREAKER REGULATION</t>
  </si>
  <si>
    <t>Tie Breaker applied to group matches</t>
  </si>
  <si>
    <t>If two or more teams are equal on points on completion of the group matches, the following tie-breaking criteria are applied:</t>
  </si>
  <si>
    <t>1. Higher number of points obtained in the matches played between the teams in question;</t>
  </si>
  <si>
    <t>2. Superior goal difference resulting from the matches played between the teams in question;</t>
  </si>
  <si>
    <t>3. Higher number of goals scored in the matches played between the teams in question;</t>
  </si>
  <si>
    <t>4. If, after having applied criteria 1 to 3, teams still have an equal ranking, criteria 1 to 3 are reapplied exclusively to the matches between the teams who are still level to determine their final rankings.[a] If this procedure does not lead to a decision, criteria 5 to 10 apply;</t>
  </si>
  <si>
    <t>5. Superior goal difference in all group matches;</t>
  </si>
  <si>
    <t>6. Higher number of goals scored in all group matches;</t>
  </si>
  <si>
    <t>7. Higher number of wins in all group matches;</t>
  </si>
  <si>
    <t>8. If on the last round of the group stage, two teams are facing each other and each has the same number of points, as well as the same number of goals scored and conceded, and the score finishes level in their match, their ranking is determined by a penalty shoot-out. (This criterion is not used if more than two teams have the same number of points.);</t>
  </si>
  <si>
    <t>9. Lower disciplinary points total in all group matches (1 point for a single yellow card, 3 points for a red card as a consequence of two yellow cards, 3 points for a direct red card, 4 points for a yellow card followed by a direct red card);</t>
  </si>
  <si>
    <t>10. Higher position in the European Qualifiers overall ranking.</t>
  </si>
  <si>
    <t xml:space="preserve">*Only tie-breaker 1-7 are applied in this Euro 2020 Fixtures automatically. If after tie-breaker 7, teams still have equal rankings, tie-breaker 10 will be applied </t>
  </si>
  <si>
    <t>The specific match-ups involving the third-placed teams depend on which four third-placed teams will qualify for the round of 16:</t>
  </si>
  <si>
    <t>Third-placed teams qualify from groups</t>
  </si>
  <si>
    <t>vs</t>
  </si>
  <si>
    <t>u</t>
  </si>
  <si>
    <t>3A</t>
  </si>
  <si>
    <t>3D</t>
  </si>
  <si>
    <t>3B</t>
  </si>
  <si>
    <t>3C</t>
  </si>
  <si>
    <t>3E</t>
  </si>
  <si>
    <t>3F</t>
  </si>
  <si>
    <t>ABOUT</t>
  </si>
  <si>
    <t>Editiion</t>
  </si>
  <si>
    <t>:</t>
  </si>
  <si>
    <t>Euro 2020 Fixtures | Model 2</t>
  </si>
  <si>
    <t>Version</t>
  </si>
  <si>
    <t>License</t>
  </si>
  <si>
    <t>Single User</t>
  </si>
  <si>
    <t>Product Info</t>
  </si>
  <si>
    <t>https://journalsheet.com</t>
  </si>
  <si>
    <t>Support</t>
  </si>
  <si>
    <t>support@journalsheet.com</t>
  </si>
  <si>
    <t>EURO 2020 FIXTURES | FULLY EDITABLE</t>
  </si>
  <si>
    <t>Copyrights ©</t>
  </si>
  <si>
    <t>2020 | journalSHEET.com</t>
  </si>
  <si>
    <t>US$ 8</t>
  </si>
  <si>
    <t>You can purchase the Unprotected Version if you plan to learn the formula or used it for your commercial business (put your own logo, place it in your coffee shop etc)</t>
  </si>
  <si>
    <t>Go to journalSHEET.com for other Euro 2020 spreadsheets</t>
  </si>
  <si>
    <t>LICENSE</t>
  </si>
  <si>
    <t>2.43</t>
  </si>
  <si>
    <t>Match order number for group final matches may be different from order in other schedules but it won't affect calculation since they are played at the same time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</si>
</sst>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409]d\-mmm;@"/>
    <numFmt numFmtId="165" formatCode="hh:mm;@"/>
    <numFmt numFmtId="166" formatCode="m/d/yy\ h:mm;@"/>
    <numFmt numFmtId="167" formatCode="m/d/yy\ hh:mm;@"/>
    <numFmt numFmtId="168" formatCode="\+#,##0_);\(&quot;$&quot;#,##0\)"/>
  </numFmts>
  <fonts count="34" x14ac:knownFonts="1">
    <font>
      <sz val="10"/>
      <name val="Arial"/>
    </font>
    <font>
      <b/>
      <sz val="11"/>
      <color theme="0"/>
      <name val="Calibri"/>
      <family val="2"/>
      <scheme val="minor"/>
    </font>
    <font>
      <sz val="11"/>
      <color rgb="FFFF0000"/>
      <name val="Calibri"/>
      <family val="2"/>
      <scheme val="minor"/>
    </font>
    <font>
      <sz val="11"/>
      <color theme="0"/>
      <name val="Calibri"/>
      <family val="2"/>
      <scheme val="minor"/>
    </font>
    <font>
      <sz val="11"/>
      <name val="Calibri"/>
      <family val="2"/>
      <scheme val="minor"/>
    </font>
    <font>
      <sz val="11"/>
      <color indexed="10"/>
      <name val="Calibri"/>
      <family val="2"/>
      <scheme val="minor"/>
    </font>
    <font>
      <sz val="11"/>
      <color indexed="9"/>
      <name val="Calibri"/>
      <family val="2"/>
      <scheme val="minor"/>
    </font>
    <font>
      <b/>
      <sz val="28"/>
      <name val="Calibri"/>
      <family val="2"/>
      <scheme val="minor"/>
    </font>
    <font>
      <sz val="11"/>
      <name val="Wingdings 3"/>
      <family val="1"/>
      <charset val="2"/>
    </font>
    <font>
      <sz val="11"/>
      <color theme="0"/>
      <name val="Wingdings 3"/>
      <family val="1"/>
      <charset val="2"/>
    </font>
    <font>
      <b/>
      <sz val="11"/>
      <name val="Calibri"/>
      <family val="2"/>
      <scheme val="minor"/>
    </font>
    <font>
      <b/>
      <sz val="10"/>
      <color theme="0"/>
      <name val="Calibri"/>
      <family val="2"/>
      <scheme val="minor"/>
    </font>
    <font>
      <b/>
      <sz val="12"/>
      <color theme="0"/>
      <name val="Calibri"/>
      <family val="2"/>
      <scheme val="minor"/>
    </font>
    <font>
      <sz val="10"/>
      <name val="Calibri"/>
      <family val="2"/>
      <scheme val="minor"/>
    </font>
    <font>
      <b/>
      <sz val="11"/>
      <color rgb="FF0000FF"/>
      <name val="Calibri"/>
      <family val="2"/>
      <scheme val="minor"/>
    </font>
    <font>
      <sz val="11"/>
      <color theme="1" tint="0.249977111117893"/>
      <name val="Calibri"/>
      <family val="2"/>
      <scheme val="minor"/>
    </font>
    <font>
      <sz val="18"/>
      <color theme="0"/>
      <name val="Calibri"/>
      <family val="2"/>
      <scheme val="minor"/>
    </font>
    <font>
      <b/>
      <sz val="20"/>
      <color theme="8" tint="-0.499984740745262"/>
      <name val="Calibri"/>
      <family val="2"/>
      <scheme val="minor"/>
    </font>
    <font>
      <sz val="20"/>
      <color theme="8" tint="-0.499984740745262"/>
      <name val="Calibri"/>
      <family val="2"/>
      <scheme val="minor"/>
    </font>
    <font>
      <sz val="11"/>
      <name val="Wingdings"/>
      <charset val="2"/>
    </font>
    <font>
      <i/>
      <sz val="11"/>
      <color theme="1" tint="0.499984740745262"/>
      <name val="Calibri"/>
      <family val="2"/>
      <scheme val="minor"/>
    </font>
    <font>
      <i/>
      <sz val="11"/>
      <color rgb="FF0000FF"/>
      <name val="Calibri"/>
      <family val="2"/>
      <scheme val="minor"/>
    </font>
    <font>
      <sz val="10"/>
      <color theme="1"/>
      <name val="Calibri"/>
      <family val="2"/>
      <scheme val="minor"/>
    </font>
    <font>
      <sz val="10"/>
      <color theme="0"/>
      <name val="Calibri"/>
      <family val="2"/>
      <scheme val="minor"/>
    </font>
    <font>
      <sz val="11"/>
      <color rgb="FF0000FF"/>
      <name val="Calibri"/>
      <family val="2"/>
      <scheme val="minor"/>
    </font>
    <font>
      <u/>
      <sz val="10"/>
      <color indexed="12"/>
      <name val="Arial"/>
      <family val="2"/>
    </font>
    <font>
      <u/>
      <sz val="11"/>
      <color theme="0"/>
      <name val="Calibri"/>
      <family val="2"/>
      <scheme val="minor"/>
    </font>
    <font>
      <u/>
      <sz val="11"/>
      <color theme="0" tint="-4.9989318521683403E-2"/>
      <name val="Calibri"/>
      <family val="2"/>
      <scheme val="minor"/>
    </font>
    <font>
      <sz val="12"/>
      <name val="Calibri"/>
      <family val="2"/>
      <scheme val="minor"/>
    </font>
    <font>
      <sz val="11"/>
      <color theme="0" tint="-4.9989318521683403E-2"/>
      <name val="Calibri"/>
      <family val="2"/>
      <scheme val="minor"/>
    </font>
    <font>
      <b/>
      <sz val="20"/>
      <name val="Calibri"/>
      <family val="2"/>
      <scheme val="minor"/>
    </font>
    <font>
      <u/>
      <sz val="12"/>
      <color indexed="12"/>
      <name val="Calibri"/>
      <family val="2"/>
      <scheme val="minor"/>
    </font>
    <font>
      <b/>
      <sz val="12"/>
      <name val="Calibri"/>
      <family val="2"/>
      <scheme val="minor"/>
    </font>
    <font>
      <sz val="10"/>
      <color theme="0"/>
      <name val="Arial"/>
      <family val="2"/>
    </font>
  </fonts>
  <fills count="22">
    <fill>
      <patternFill patternType="none"/>
    </fill>
    <fill>
      <patternFill patternType="gray125"/>
    </fill>
    <fill>
      <patternFill patternType="solid">
        <fgColor theme="8" tint="-0.499984740745262"/>
        <bgColor indexed="64"/>
      </patternFill>
    </fill>
    <fill>
      <patternFill patternType="solid">
        <fgColor theme="8" tint="0.79998168889431442"/>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3" tint="-0.249977111117893"/>
        <bgColor indexed="64"/>
      </patternFill>
    </fill>
    <fill>
      <patternFill patternType="solid">
        <fgColor theme="8" tint="0.59999389629810485"/>
        <bgColor indexed="64"/>
      </patternFill>
    </fill>
    <fill>
      <patternFill patternType="solid">
        <fgColor theme="2"/>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theme="8" tint="-0.499984740745262"/>
      </left>
      <right/>
      <top style="thin">
        <color theme="8" tint="-0.499984740745262"/>
      </top>
      <bottom style="thin">
        <color theme="8" tint="-0.499984740745262"/>
      </bottom>
      <diagonal/>
    </border>
    <border>
      <left/>
      <right/>
      <top style="thin">
        <color theme="8" tint="-0.499984740745262"/>
      </top>
      <bottom style="thin">
        <color theme="8" tint="-0.499984740745262"/>
      </bottom>
      <diagonal/>
    </border>
    <border>
      <left/>
      <right style="thin">
        <color theme="8" tint="-0.499984740745262"/>
      </right>
      <top style="thin">
        <color theme="8" tint="-0.499984740745262"/>
      </top>
      <bottom style="thin">
        <color theme="8" tint="-0.499984740745262"/>
      </bottom>
      <diagonal/>
    </border>
    <border>
      <left style="thin">
        <color theme="8" tint="-0.499984740745262"/>
      </left>
      <right/>
      <top style="thin">
        <color theme="8" tint="-0.499984740745262"/>
      </top>
      <bottom/>
      <diagonal/>
    </border>
    <border>
      <left/>
      <right/>
      <top style="thin">
        <color theme="8" tint="-0.499984740745262"/>
      </top>
      <bottom/>
      <diagonal/>
    </border>
    <border>
      <left/>
      <right style="medium">
        <color theme="0"/>
      </right>
      <top style="thin">
        <color theme="8" tint="-0.499984740745262"/>
      </top>
      <bottom style="medium">
        <color theme="0"/>
      </bottom>
      <diagonal/>
    </border>
    <border>
      <left style="medium">
        <color theme="0"/>
      </left>
      <right/>
      <top style="thin">
        <color theme="8" tint="-0.499984740745262"/>
      </top>
      <bottom style="medium">
        <color theme="0"/>
      </bottom>
      <diagonal/>
    </border>
    <border>
      <left/>
      <right style="thin">
        <color theme="8" tint="-0.499984740745262"/>
      </right>
      <top style="thin">
        <color theme="8" tint="-0.499984740745262"/>
      </top>
      <bottom/>
      <diagonal/>
    </border>
    <border>
      <left style="thin">
        <color theme="8" tint="-0.499984740745262"/>
      </left>
      <right/>
      <top/>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style="thin">
        <color theme="8" tint="-0.499984740745262"/>
      </right>
      <top/>
      <bottom/>
      <diagonal/>
    </border>
    <border>
      <left style="thin">
        <color theme="8" tint="-0.499984740745262"/>
      </left>
      <right/>
      <top/>
      <bottom style="thin">
        <color theme="8" tint="-0.499984740745262"/>
      </bottom>
      <diagonal/>
    </border>
    <border>
      <left/>
      <right/>
      <top/>
      <bottom style="thin">
        <color theme="8" tint="-0.499984740745262"/>
      </bottom>
      <diagonal/>
    </border>
    <border>
      <left/>
      <right style="medium">
        <color theme="0"/>
      </right>
      <top style="medium">
        <color theme="0"/>
      </top>
      <bottom style="thin">
        <color theme="8" tint="-0.499984740745262"/>
      </bottom>
      <diagonal/>
    </border>
    <border>
      <left style="medium">
        <color theme="0"/>
      </left>
      <right/>
      <top style="medium">
        <color theme="0"/>
      </top>
      <bottom style="thin">
        <color theme="8" tint="-0.499984740745262"/>
      </bottom>
      <diagonal/>
    </border>
    <border>
      <left/>
      <right style="thin">
        <color theme="8" tint="-0.499984740745262"/>
      </right>
      <top/>
      <bottom style="thin">
        <color theme="8" tint="-0.499984740745262"/>
      </bottom>
      <diagonal/>
    </border>
    <border>
      <left/>
      <right style="medium">
        <color theme="0"/>
      </right>
      <top style="thin">
        <color theme="8" tint="-0.499984740745262"/>
      </top>
      <bottom style="thin">
        <color theme="8" tint="-0.499984740745262"/>
      </bottom>
      <diagonal/>
    </border>
    <border>
      <left style="medium">
        <color theme="0"/>
      </left>
      <right/>
      <top style="thin">
        <color theme="8" tint="-0.499984740745262"/>
      </top>
      <bottom style="thin">
        <color theme="8" tint="-0.49998474074526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theme="8" tint="-0.499984740745262"/>
      </left>
      <right/>
      <top style="double">
        <color theme="8" tint="-0.499984740745262"/>
      </top>
      <bottom/>
      <diagonal/>
    </border>
    <border>
      <left/>
      <right/>
      <top style="double">
        <color theme="8" tint="-0.499984740745262"/>
      </top>
      <bottom/>
      <diagonal/>
    </border>
    <border>
      <left/>
      <right style="double">
        <color theme="8" tint="-0.499984740745262"/>
      </right>
      <top style="double">
        <color theme="8" tint="-0.499984740745262"/>
      </top>
      <bottom/>
      <diagonal/>
    </border>
    <border>
      <left style="double">
        <color theme="8" tint="-0.499984740745262"/>
      </left>
      <right/>
      <top/>
      <bottom/>
      <diagonal/>
    </border>
    <border>
      <left/>
      <right style="double">
        <color theme="8" tint="-0.499984740745262"/>
      </right>
      <top/>
      <bottom/>
      <diagonal/>
    </border>
    <border>
      <left style="double">
        <color theme="8" tint="-0.499984740745262"/>
      </left>
      <right/>
      <top/>
      <bottom style="double">
        <color theme="8" tint="-0.499984740745262"/>
      </bottom>
      <diagonal/>
    </border>
    <border>
      <left/>
      <right/>
      <top/>
      <bottom style="double">
        <color theme="8" tint="-0.499984740745262"/>
      </bottom>
      <diagonal/>
    </border>
    <border>
      <left/>
      <right style="double">
        <color theme="8" tint="-0.499984740745262"/>
      </right>
      <top/>
      <bottom style="double">
        <color theme="8" tint="-0.499984740745262"/>
      </bottom>
      <diagonal/>
    </border>
  </borders>
  <cellStyleXfs count="2">
    <xf numFmtId="0" fontId="0" fillId="0" borderId="0"/>
    <xf numFmtId="0" fontId="25" fillId="0" borderId="0" applyNumberFormat="0" applyFill="0" applyBorder="0" applyAlignment="0" applyProtection="0">
      <alignment vertical="top"/>
      <protection locked="0"/>
    </xf>
  </cellStyleXfs>
  <cellXfs count="284">
    <xf numFmtId="0" fontId="0" fillId="0" borderId="0" xfId="0"/>
    <xf numFmtId="0" fontId="4" fillId="2" borderId="0" xfId="0" applyFont="1" applyFill="1" applyAlignment="1">
      <alignment vertical="center"/>
    </xf>
    <xf numFmtId="0" fontId="4" fillId="0" borderId="0" xfId="0" applyFont="1" applyBorder="1" applyProtection="1">
      <protection hidden="1"/>
    </xf>
    <xf numFmtId="0" fontId="4" fillId="0" borderId="0" xfId="0" applyFont="1" applyBorder="1" applyAlignment="1" applyProtection="1">
      <alignment wrapText="1"/>
      <protection hidden="1"/>
    </xf>
    <xf numFmtId="0" fontId="4" fillId="0" borderId="0" xfId="0" applyFont="1" applyBorder="1" applyAlignment="1" applyProtection="1">
      <protection hidden="1"/>
    </xf>
    <xf numFmtId="0" fontId="5" fillId="0" borderId="0" xfId="0" applyFont="1" applyBorder="1" applyProtection="1">
      <protection hidden="1"/>
    </xf>
    <xf numFmtId="0" fontId="6" fillId="0" borderId="0" xfId="0" applyFont="1" applyBorder="1" applyProtection="1">
      <protection hidden="1"/>
    </xf>
    <xf numFmtId="0" fontId="6" fillId="0" borderId="0" xfId="0" applyFont="1" applyFill="1" applyBorder="1" applyProtection="1">
      <protection hidden="1"/>
    </xf>
    <xf numFmtId="0" fontId="3" fillId="0" borderId="0" xfId="0" applyFont="1" applyBorder="1" applyAlignment="1" applyProtection="1">
      <alignment horizontal="left" indent="1"/>
      <protection hidden="1"/>
    </xf>
    <xf numFmtId="0" fontId="3" fillId="0" borderId="0" xfId="0" applyFont="1" applyBorder="1" applyAlignment="1" applyProtection="1">
      <alignment horizontal="center"/>
      <protection locked="0"/>
    </xf>
    <xf numFmtId="0" fontId="2" fillId="0" borderId="0" xfId="0" applyFont="1" applyBorder="1" applyProtection="1">
      <protection hidden="1"/>
    </xf>
    <xf numFmtId="0" fontId="4" fillId="0" borderId="0" xfId="0" applyFont="1" applyFill="1" applyBorder="1" applyAlignment="1" applyProtection="1">
      <alignment vertical="center"/>
      <protection hidden="1"/>
    </xf>
    <xf numFmtId="0" fontId="7" fillId="0" borderId="0" xfId="0" applyFont="1" applyFill="1" applyBorder="1" applyAlignment="1" applyProtection="1">
      <alignment vertical="center"/>
      <protection hidden="1"/>
    </xf>
    <xf numFmtId="0" fontId="4" fillId="0" borderId="0" xfId="0" applyFont="1" applyFill="1" applyBorder="1" applyProtection="1">
      <protection hidden="1"/>
    </xf>
    <xf numFmtId="0" fontId="4" fillId="0" borderId="0" xfId="0" applyFont="1" applyFill="1" applyBorder="1" applyAlignment="1" applyProtection="1">
      <alignment wrapText="1"/>
      <protection hidden="1"/>
    </xf>
    <xf numFmtId="0" fontId="4" fillId="0" borderId="0" xfId="0" applyFont="1" applyFill="1" applyBorder="1" applyAlignment="1" applyProtection="1">
      <protection hidden="1"/>
    </xf>
    <xf numFmtId="0" fontId="4" fillId="0" borderId="0" xfId="0" applyFont="1" applyFill="1" applyBorder="1" applyAlignment="1" applyProtection="1">
      <alignment horizontal="left" indent="1"/>
      <protection hidden="1"/>
    </xf>
    <xf numFmtId="0" fontId="4" fillId="0" borderId="0" xfId="0" applyFont="1" applyFill="1" applyBorder="1" applyAlignment="1" applyProtection="1">
      <alignment horizontal="center"/>
      <protection locked="0"/>
    </xf>
    <xf numFmtId="0" fontId="4" fillId="0" borderId="0" xfId="0" applyFont="1" applyBorder="1" applyAlignment="1" applyProtection="1">
      <alignment vertical="center"/>
      <protection hidden="1"/>
    </xf>
    <xf numFmtId="0" fontId="4" fillId="0" borderId="0" xfId="0" applyFont="1" applyBorder="1" applyAlignment="1" applyProtection="1">
      <alignment vertical="center" wrapText="1"/>
      <protection hidden="1"/>
    </xf>
    <xf numFmtId="0" fontId="5" fillId="0" borderId="0" xfId="0" applyFont="1" applyFill="1" applyBorder="1" applyProtection="1">
      <protection hidden="1"/>
    </xf>
    <xf numFmtId="0" fontId="5" fillId="0" borderId="0" xfId="0" applyFont="1" applyBorder="1" applyAlignment="1" applyProtection="1">
      <alignment vertical="center"/>
      <protection hidden="1"/>
    </xf>
    <xf numFmtId="0" fontId="3" fillId="0" borderId="0" xfId="0" applyFont="1" applyProtection="1">
      <protection hidden="1"/>
    </xf>
    <xf numFmtId="0" fontId="4" fillId="0" borderId="0" xfId="0" applyFont="1" applyAlignment="1">
      <alignment vertical="center"/>
    </xf>
    <xf numFmtId="0" fontId="4" fillId="0" borderId="1" xfId="0" applyFont="1" applyBorder="1" applyAlignment="1">
      <alignment vertical="center"/>
    </xf>
    <xf numFmtId="0" fontId="4" fillId="0" borderId="1" xfId="0" applyFont="1" applyBorder="1" applyAlignment="1" applyProtection="1">
      <alignment horizontal="center" vertical="center"/>
      <protection locked="0"/>
    </xf>
    <xf numFmtId="0" fontId="8" fillId="0" borderId="0" xfId="0" applyFont="1" applyAlignment="1">
      <alignment vertical="center"/>
    </xf>
    <xf numFmtId="0" fontId="4" fillId="3" borderId="2" xfId="0" applyFont="1" applyFill="1" applyBorder="1" applyProtection="1">
      <protection locked="0"/>
    </xf>
    <xf numFmtId="0" fontId="3" fillId="4" borderId="1" xfId="0" applyFont="1" applyFill="1" applyBorder="1" applyAlignment="1">
      <alignment horizontal="right" vertical="center"/>
    </xf>
    <xf numFmtId="0" fontId="4" fillId="5" borderId="1" xfId="0" applyFont="1" applyFill="1" applyBorder="1" applyAlignment="1" applyProtection="1">
      <alignment vertical="center"/>
      <protection locked="0"/>
    </xf>
    <xf numFmtId="0" fontId="4" fillId="0" borderId="0" xfId="0" applyFont="1" applyProtection="1">
      <protection hidden="1"/>
    </xf>
    <xf numFmtId="0" fontId="1" fillId="2" borderId="3" xfId="0" applyFont="1" applyFill="1" applyBorder="1" applyAlignment="1">
      <alignment vertical="center"/>
    </xf>
    <xf numFmtId="0" fontId="1" fillId="2" borderId="4" xfId="0" applyFont="1" applyFill="1" applyBorder="1" applyAlignment="1" applyProtection="1">
      <alignment vertical="center"/>
      <protection locked="0"/>
    </xf>
    <xf numFmtId="0" fontId="10" fillId="0" borderId="0" xfId="0" applyFont="1" applyAlignment="1">
      <alignment vertical="center"/>
    </xf>
    <xf numFmtId="0" fontId="4" fillId="0" borderId="5" xfId="0" applyFont="1" applyBorder="1" applyAlignment="1">
      <alignment vertical="center"/>
    </xf>
    <xf numFmtId="0" fontId="4" fillId="5" borderId="2" xfId="0" applyFont="1" applyFill="1" applyBorder="1" applyAlignment="1" applyProtection="1">
      <alignment vertical="center"/>
      <protection locked="0"/>
    </xf>
    <xf numFmtId="0" fontId="4" fillId="0" borderId="0" xfId="0" applyFont="1" applyAlignment="1">
      <alignment vertical="center" wrapText="1"/>
    </xf>
    <xf numFmtId="0" fontId="4" fillId="0" borderId="6" xfId="0" applyFont="1" applyBorder="1" applyAlignment="1">
      <alignment vertical="center"/>
    </xf>
    <xf numFmtId="0" fontId="4" fillId="2" borderId="0" xfId="0" applyFont="1" applyFill="1" applyAlignment="1">
      <alignment horizontal="center" vertical="center"/>
    </xf>
    <xf numFmtId="0" fontId="1" fillId="4" borderId="7" xfId="0" applyNumberFormat="1" applyFont="1" applyFill="1" applyBorder="1" applyAlignment="1" applyProtection="1">
      <alignment horizontal="left" vertical="center"/>
      <protection hidden="1"/>
    </xf>
    <xf numFmtId="0" fontId="3" fillId="4" borderId="8" xfId="0" applyNumberFormat="1" applyFont="1" applyFill="1" applyBorder="1" applyAlignment="1" applyProtection="1">
      <alignment vertical="center"/>
      <protection hidden="1"/>
    </xf>
    <xf numFmtId="0" fontId="1" fillId="4" borderId="8" xfId="0" applyNumberFormat="1" applyFont="1" applyFill="1" applyBorder="1" applyAlignment="1" applyProtection="1">
      <alignment horizontal="center" vertical="center"/>
      <protection hidden="1"/>
    </xf>
    <xf numFmtId="0" fontId="1" fillId="4" borderId="8" xfId="0" applyNumberFormat="1" applyFont="1" applyFill="1" applyBorder="1" applyAlignment="1" applyProtection="1">
      <alignment horizontal="center" vertical="center" wrapText="1"/>
      <protection hidden="1"/>
    </xf>
    <xf numFmtId="0" fontId="1" fillId="4" borderId="8" xfId="0" applyNumberFormat="1" applyFont="1" applyFill="1" applyBorder="1" applyAlignment="1" applyProtection="1">
      <alignment horizontal="right" vertical="center"/>
      <protection hidden="1"/>
    </xf>
    <xf numFmtId="0" fontId="1" fillId="4" borderId="8" xfId="0" applyNumberFormat="1" applyFont="1" applyFill="1" applyBorder="1" applyAlignment="1" applyProtection="1">
      <alignment horizontal="left" vertical="center"/>
      <protection hidden="1"/>
    </xf>
    <xf numFmtId="0" fontId="1" fillId="4" borderId="9" xfId="0" applyNumberFormat="1" applyFont="1" applyFill="1" applyBorder="1" applyAlignment="1" applyProtection="1">
      <alignment vertical="center"/>
      <protection hidden="1"/>
    </xf>
    <xf numFmtId="0" fontId="11" fillId="0" borderId="0" xfId="0" applyFont="1" applyFill="1" applyBorder="1" applyAlignment="1" applyProtection="1">
      <alignment vertical="center"/>
      <protection hidden="1"/>
    </xf>
    <xf numFmtId="0" fontId="1" fillId="4" borderId="0" xfId="0" applyFont="1" applyFill="1" applyBorder="1" applyAlignment="1" applyProtection="1">
      <alignment vertical="center"/>
      <protection hidden="1"/>
    </xf>
    <xf numFmtId="0" fontId="12" fillId="4" borderId="0" xfId="0" applyFont="1" applyFill="1" applyBorder="1" applyAlignment="1" applyProtection="1">
      <alignment vertical="center"/>
      <protection hidden="1"/>
    </xf>
    <xf numFmtId="0" fontId="1" fillId="2" borderId="7" xfId="0" applyFont="1" applyFill="1" applyBorder="1" applyAlignment="1" applyProtection="1">
      <alignment horizontal="left" vertical="center"/>
      <protection hidden="1"/>
    </xf>
    <xf numFmtId="0" fontId="3" fillId="2" borderId="8" xfId="0" applyFont="1" applyFill="1" applyBorder="1" applyAlignment="1" applyProtection="1">
      <alignment vertical="center"/>
      <protection hidden="1"/>
    </xf>
    <xf numFmtId="0" fontId="1" fillId="2" borderId="8" xfId="0" applyFont="1" applyFill="1" applyBorder="1" applyAlignment="1" applyProtection="1">
      <alignment horizontal="center" vertical="center"/>
      <protection hidden="1"/>
    </xf>
    <xf numFmtId="0" fontId="1" fillId="2" borderId="8" xfId="0" applyFont="1" applyFill="1" applyBorder="1" applyAlignment="1" applyProtection="1">
      <alignment horizontal="center" vertical="center" wrapText="1"/>
      <protection hidden="1"/>
    </xf>
    <xf numFmtId="0" fontId="1" fillId="2" borderId="8" xfId="0" applyFont="1" applyFill="1" applyBorder="1" applyAlignment="1" applyProtection="1">
      <alignment horizontal="right" vertical="center"/>
      <protection hidden="1"/>
    </xf>
    <xf numFmtId="0" fontId="1" fillId="2" borderId="8" xfId="0" applyFont="1" applyFill="1" applyBorder="1" applyAlignment="1" applyProtection="1">
      <alignment horizontal="left" vertical="center"/>
      <protection hidden="1"/>
    </xf>
    <xf numFmtId="0" fontId="1" fillId="2" borderId="9" xfId="0" applyFont="1" applyFill="1" applyBorder="1" applyAlignment="1" applyProtection="1">
      <alignment vertical="center"/>
      <protection hidden="1"/>
    </xf>
    <xf numFmtId="0" fontId="13" fillId="0" borderId="0" xfId="0" applyFont="1" applyBorder="1" applyAlignment="1" applyProtection="1">
      <alignment vertical="center"/>
      <protection hidden="1"/>
    </xf>
    <xf numFmtId="0" fontId="1" fillId="2" borderId="0" xfId="0" applyFont="1" applyFill="1" applyBorder="1" applyAlignment="1" applyProtection="1">
      <alignment horizontal="center" vertical="center"/>
      <protection hidden="1"/>
    </xf>
    <xf numFmtId="0" fontId="1" fillId="2" borderId="0" xfId="0" quotePrefix="1" applyFont="1" applyFill="1" applyBorder="1" applyAlignment="1" applyProtection="1">
      <alignment horizontal="center" vertical="center"/>
      <protection hidden="1"/>
    </xf>
    <xf numFmtId="0" fontId="3" fillId="2" borderId="0" xfId="0" applyFont="1" applyFill="1" applyBorder="1" applyAlignment="1" applyProtection="1">
      <alignment horizontal="center" vertical="center"/>
      <protection hidden="1"/>
    </xf>
    <xf numFmtId="0" fontId="4" fillId="3" borderId="10" xfId="0" applyFont="1" applyFill="1" applyBorder="1" applyAlignment="1" applyProtection="1">
      <alignment horizontal="center" vertical="center"/>
      <protection hidden="1"/>
    </xf>
    <xf numFmtId="164" fontId="4" fillId="0" borderId="11" xfId="0" applyNumberFormat="1" applyFont="1" applyBorder="1" applyAlignment="1" applyProtection="1">
      <alignment horizontal="right" vertical="center" wrapText="1" shrinkToFit="1"/>
      <protection hidden="1"/>
    </xf>
    <xf numFmtId="165" fontId="4" fillId="0" borderId="11" xfId="0" applyNumberFormat="1" applyFont="1" applyBorder="1" applyAlignment="1" applyProtection="1">
      <alignment horizontal="center" vertical="center"/>
      <protection hidden="1"/>
    </xf>
    <xf numFmtId="0" fontId="4" fillId="0" borderId="11" xfId="0" applyFont="1" applyBorder="1" applyAlignment="1" applyProtection="1">
      <alignment horizontal="right" vertical="center"/>
      <protection hidden="1"/>
    </xf>
    <xf numFmtId="0" fontId="4" fillId="6" borderId="12" xfId="0" applyFont="1" applyFill="1" applyBorder="1" applyAlignment="1" applyProtection="1">
      <alignment horizontal="center" vertical="center"/>
      <protection locked="0"/>
    </xf>
    <xf numFmtId="0" fontId="4" fillId="6" borderId="13" xfId="0" applyFont="1" applyFill="1" applyBorder="1" applyAlignment="1" applyProtection="1">
      <alignment horizontal="center" vertical="center"/>
      <protection locked="0"/>
    </xf>
    <xf numFmtId="0" fontId="4" fillId="0" borderId="11" xfId="0" applyFont="1" applyBorder="1" applyAlignment="1" applyProtection="1">
      <alignment vertical="center"/>
      <protection hidden="1"/>
    </xf>
    <xf numFmtId="0" fontId="4" fillId="0" borderId="14" xfId="0" applyFont="1" applyBorder="1" applyAlignment="1" applyProtection="1">
      <alignment vertical="center"/>
      <protection locked="0"/>
    </xf>
    <xf numFmtId="0" fontId="4" fillId="7" borderId="0" xfId="0" applyFont="1" applyFill="1" applyBorder="1" applyAlignment="1" applyProtection="1">
      <alignment horizontal="center" vertical="center"/>
      <protection hidden="1"/>
    </xf>
    <xf numFmtId="0" fontId="14" fillId="7" borderId="0" xfId="0" applyFont="1" applyFill="1" applyBorder="1" applyAlignment="1" applyProtection="1">
      <alignment horizontal="center" vertical="center"/>
      <protection hidden="1"/>
    </xf>
    <xf numFmtId="0" fontId="14" fillId="7" borderId="0" xfId="0" quotePrefix="1" applyFont="1" applyFill="1" applyBorder="1" applyAlignment="1" applyProtection="1">
      <alignment horizontal="center" vertical="center"/>
      <protection hidden="1"/>
    </xf>
    <xf numFmtId="0" fontId="4" fillId="0" borderId="0" xfId="0" applyFont="1" applyFill="1" applyBorder="1" applyAlignment="1" applyProtection="1">
      <alignment horizontal="center" vertical="center"/>
      <protection locked="0"/>
    </xf>
    <xf numFmtId="0" fontId="4" fillId="3" borderId="15" xfId="0" applyFont="1" applyFill="1" applyBorder="1" applyAlignment="1" applyProtection="1">
      <alignment horizontal="center" vertical="center"/>
      <protection hidden="1"/>
    </xf>
    <xf numFmtId="16" fontId="4" fillId="5" borderId="0" xfId="0" applyNumberFormat="1" applyFont="1" applyFill="1" applyBorder="1" applyAlignment="1" applyProtection="1">
      <alignment horizontal="right" vertical="center" wrapText="1" shrinkToFit="1"/>
      <protection hidden="1"/>
    </xf>
    <xf numFmtId="165" fontId="4" fillId="5" borderId="0" xfId="0" applyNumberFormat="1" applyFont="1" applyFill="1" applyBorder="1" applyAlignment="1" applyProtection="1">
      <alignment horizontal="center" vertical="center"/>
      <protection hidden="1"/>
    </xf>
    <xf numFmtId="0" fontId="4" fillId="5" borderId="0" xfId="0" applyFont="1" applyFill="1" applyBorder="1" applyAlignment="1" applyProtection="1">
      <alignment horizontal="right" vertical="center"/>
      <protection hidden="1"/>
    </xf>
    <xf numFmtId="0" fontId="4" fillId="6" borderId="16" xfId="0" applyFont="1" applyFill="1" applyBorder="1" applyAlignment="1" applyProtection="1">
      <alignment horizontal="center" vertical="center"/>
      <protection locked="0"/>
    </xf>
    <xf numFmtId="0" fontId="4" fillId="6" borderId="17" xfId="0" applyFont="1" applyFill="1" applyBorder="1" applyAlignment="1" applyProtection="1">
      <alignment horizontal="center" vertical="center"/>
      <protection locked="0"/>
    </xf>
    <xf numFmtId="0" fontId="4" fillId="5" borderId="0" xfId="0" applyFont="1" applyFill="1" applyBorder="1" applyAlignment="1" applyProtection="1">
      <alignment vertical="center"/>
      <protection hidden="1"/>
    </xf>
    <xf numFmtId="0" fontId="4" fillId="5" borderId="18" xfId="0" applyFont="1" applyFill="1" applyBorder="1" applyAlignment="1" applyProtection="1">
      <alignment vertical="center"/>
      <protection locked="0"/>
    </xf>
    <xf numFmtId="0" fontId="10" fillId="7" borderId="0" xfId="0" applyFont="1" applyFill="1" applyBorder="1" applyAlignment="1" applyProtection="1">
      <alignment horizontal="center" vertical="center"/>
      <protection hidden="1"/>
    </xf>
    <xf numFmtId="16" fontId="4" fillId="0" borderId="0" xfId="0" applyNumberFormat="1" applyFont="1" applyBorder="1" applyAlignment="1" applyProtection="1">
      <alignment horizontal="right" vertical="center" wrapText="1" shrinkToFit="1"/>
      <protection hidden="1"/>
    </xf>
    <xf numFmtId="165" fontId="4" fillId="0" borderId="0" xfId="0" applyNumberFormat="1" applyFont="1" applyBorder="1" applyAlignment="1" applyProtection="1">
      <alignment horizontal="center" vertical="center"/>
      <protection hidden="1"/>
    </xf>
    <xf numFmtId="0" fontId="4" fillId="0" borderId="0" xfId="0" applyFont="1" applyBorder="1" applyAlignment="1" applyProtection="1">
      <alignment horizontal="right" vertical="center"/>
      <protection hidden="1"/>
    </xf>
    <xf numFmtId="0" fontId="4" fillId="0" borderId="18" xfId="0" applyFont="1" applyBorder="1" applyAlignment="1" applyProtection="1">
      <alignment vertical="center"/>
      <protection locked="0"/>
    </xf>
    <xf numFmtId="0" fontId="4" fillId="8" borderId="0" xfId="0" applyFont="1" applyFill="1" applyBorder="1" applyAlignment="1" applyProtection="1">
      <alignment horizontal="center" vertical="center"/>
      <protection hidden="1"/>
    </xf>
    <xf numFmtId="0" fontId="4" fillId="0" borderId="0" xfId="0" applyFont="1" applyBorder="1" applyAlignment="1" applyProtection="1">
      <alignment horizontal="center" vertical="center"/>
      <protection hidden="1"/>
    </xf>
    <xf numFmtId="0" fontId="3" fillId="2" borderId="0" xfId="0" applyFont="1" applyFill="1" applyBorder="1" applyAlignment="1" applyProtection="1">
      <alignment horizontal="center" vertical="center"/>
      <protection locked="0"/>
    </xf>
    <xf numFmtId="0" fontId="4" fillId="9" borderId="0" xfId="0" applyFont="1" applyFill="1" applyBorder="1" applyAlignment="1" applyProtection="1">
      <alignment horizontal="center" vertical="center"/>
      <protection hidden="1"/>
    </xf>
    <xf numFmtId="0" fontId="14" fillId="9" borderId="0" xfId="0" applyFont="1" applyFill="1" applyBorder="1" applyAlignment="1" applyProtection="1">
      <alignment horizontal="center" vertical="center"/>
      <protection hidden="1"/>
    </xf>
    <xf numFmtId="0" fontId="14" fillId="9" borderId="0" xfId="0" quotePrefix="1" applyFont="1" applyFill="1" applyBorder="1" applyAlignment="1" applyProtection="1">
      <alignment horizontal="center" vertical="center"/>
      <protection hidden="1"/>
    </xf>
    <xf numFmtId="0" fontId="10" fillId="9" borderId="0" xfId="0" applyFont="1" applyFill="1" applyBorder="1" applyAlignment="1" applyProtection="1">
      <alignment horizontal="center" vertical="center"/>
      <protection hidden="1"/>
    </xf>
    <xf numFmtId="0" fontId="5" fillId="0" borderId="0" xfId="0" applyFont="1" applyFill="1" applyBorder="1" applyAlignment="1" applyProtection="1">
      <alignment vertical="center"/>
      <protection hidden="1"/>
    </xf>
    <xf numFmtId="0" fontId="4" fillId="10" borderId="0" xfId="0" applyFont="1" applyFill="1" applyBorder="1" applyAlignment="1" applyProtection="1">
      <alignment horizontal="center" vertical="center"/>
      <protection hidden="1"/>
    </xf>
    <xf numFmtId="0" fontId="13" fillId="0" borderId="0" xfId="0" applyFont="1" applyFill="1" applyBorder="1" applyAlignment="1" applyProtection="1">
      <alignment vertical="center"/>
      <protection hidden="1"/>
    </xf>
    <xf numFmtId="0" fontId="4" fillId="2" borderId="0" xfId="0" applyFont="1" applyFill="1" applyBorder="1" applyAlignment="1" applyProtection="1">
      <alignment horizontal="center" vertical="center"/>
      <protection locked="0"/>
    </xf>
    <xf numFmtId="0" fontId="4" fillId="11" borderId="0" xfId="0" applyFont="1" applyFill="1" applyBorder="1" applyAlignment="1" applyProtection="1">
      <alignment horizontal="center" vertical="center"/>
      <protection hidden="1"/>
    </xf>
    <xf numFmtId="0" fontId="14" fillId="11" borderId="0" xfId="0" applyFont="1" applyFill="1" applyBorder="1" applyAlignment="1" applyProtection="1">
      <alignment horizontal="center" vertical="center"/>
      <protection hidden="1"/>
    </xf>
    <xf numFmtId="0" fontId="14" fillId="11" borderId="0" xfId="0" quotePrefix="1" applyFont="1" applyFill="1" applyBorder="1" applyAlignment="1" applyProtection="1">
      <alignment horizontal="center" vertical="center"/>
      <protection hidden="1"/>
    </xf>
    <xf numFmtId="0" fontId="10" fillId="11" borderId="0" xfId="0" applyFont="1" applyFill="1" applyBorder="1" applyAlignment="1" applyProtection="1">
      <alignment horizontal="center" vertical="center"/>
      <protection hidden="1"/>
    </xf>
    <xf numFmtId="0" fontId="4" fillId="12" borderId="0" xfId="0" applyFont="1" applyFill="1" applyBorder="1" applyAlignment="1" applyProtection="1">
      <alignment horizontal="center" vertical="center"/>
      <protection hidden="1"/>
    </xf>
    <xf numFmtId="0" fontId="4" fillId="13" borderId="0" xfId="0" applyFont="1" applyFill="1" applyBorder="1" applyAlignment="1" applyProtection="1">
      <alignment horizontal="center" vertical="center"/>
      <protection hidden="1"/>
    </xf>
    <xf numFmtId="0" fontId="14" fillId="13" borderId="0" xfId="0" applyFont="1" applyFill="1" applyBorder="1" applyAlignment="1" applyProtection="1">
      <alignment horizontal="center" vertical="center"/>
      <protection hidden="1"/>
    </xf>
    <xf numFmtId="0" fontId="14" fillId="13" borderId="0" xfId="0" quotePrefix="1" applyFont="1" applyFill="1" applyBorder="1" applyAlignment="1" applyProtection="1">
      <alignment horizontal="center" vertical="center"/>
      <protection hidden="1"/>
    </xf>
    <xf numFmtId="0" fontId="10" fillId="13" borderId="0" xfId="0" applyFont="1" applyFill="1" applyBorder="1" applyAlignment="1" applyProtection="1">
      <alignment horizontal="center" vertical="center"/>
      <protection hidden="1"/>
    </xf>
    <xf numFmtId="0" fontId="4" fillId="14" borderId="0" xfId="0" applyFont="1" applyFill="1" applyBorder="1" applyAlignment="1" applyProtection="1">
      <alignment horizontal="center" vertical="center"/>
      <protection hidden="1"/>
    </xf>
    <xf numFmtId="0" fontId="4" fillId="15" borderId="0" xfId="0" applyFont="1" applyFill="1" applyBorder="1" applyAlignment="1" applyProtection="1">
      <alignment horizontal="center" vertical="center"/>
      <protection hidden="1"/>
    </xf>
    <xf numFmtId="0" fontId="14" fillId="15" borderId="0" xfId="0" applyFont="1" applyFill="1" applyBorder="1" applyAlignment="1" applyProtection="1">
      <alignment horizontal="center" vertical="center"/>
      <protection hidden="1"/>
    </xf>
    <xf numFmtId="0" fontId="14" fillId="15" borderId="0" xfId="0" quotePrefix="1" applyFont="1" applyFill="1" applyBorder="1" applyAlignment="1" applyProtection="1">
      <alignment horizontal="center" vertical="center"/>
      <protection hidden="1"/>
    </xf>
    <xf numFmtId="0" fontId="10" fillId="15" borderId="0" xfId="0" applyFont="1" applyFill="1" applyBorder="1" applyAlignment="1" applyProtection="1">
      <alignment horizontal="center" vertical="center"/>
      <protection hidden="1"/>
    </xf>
    <xf numFmtId="0" fontId="4" fillId="16" borderId="0" xfId="0" applyFont="1" applyFill="1" applyBorder="1" applyAlignment="1" applyProtection="1">
      <alignment horizontal="center" vertical="center"/>
      <protection hidden="1"/>
    </xf>
    <xf numFmtId="0" fontId="4" fillId="17" borderId="0" xfId="0" applyFont="1" applyFill="1" applyBorder="1" applyAlignment="1" applyProtection="1">
      <alignment horizontal="center" vertical="center"/>
      <protection hidden="1"/>
    </xf>
    <xf numFmtId="0" fontId="14" fillId="17" borderId="0" xfId="0" applyFont="1" applyFill="1" applyBorder="1" applyAlignment="1" applyProtection="1">
      <alignment horizontal="center" vertical="center"/>
      <protection hidden="1"/>
    </xf>
    <xf numFmtId="0" fontId="14" fillId="17" borderId="0" xfId="0" quotePrefix="1" applyFont="1" applyFill="1" applyBorder="1" applyAlignment="1" applyProtection="1">
      <alignment horizontal="center" vertical="center"/>
      <protection hidden="1"/>
    </xf>
    <xf numFmtId="0" fontId="10" fillId="17" borderId="0" xfId="0" applyFont="1" applyFill="1" applyBorder="1" applyAlignment="1" applyProtection="1">
      <alignment horizontal="center" vertical="center"/>
      <protection hidden="1"/>
    </xf>
    <xf numFmtId="0" fontId="4" fillId="18" borderId="0" xfId="0" applyFont="1" applyFill="1" applyBorder="1" applyAlignment="1" applyProtection="1">
      <alignment horizontal="center" vertical="center"/>
      <protection hidden="1"/>
    </xf>
    <xf numFmtId="0" fontId="1" fillId="4" borderId="0" xfId="0" applyFont="1" applyFill="1" applyBorder="1" applyAlignment="1" applyProtection="1">
      <alignment horizontal="left" vertical="center"/>
      <protection hidden="1"/>
    </xf>
    <xf numFmtId="0" fontId="3" fillId="4" borderId="0" xfId="0" applyFont="1" applyFill="1" applyBorder="1" applyAlignment="1" applyProtection="1">
      <alignment vertical="center"/>
      <protection hidden="1"/>
    </xf>
    <xf numFmtId="0" fontId="3" fillId="4" borderId="0" xfId="0" applyFont="1" applyFill="1" applyBorder="1" applyAlignment="1" applyProtection="1">
      <alignment horizontal="center" vertical="center"/>
      <protection hidden="1"/>
    </xf>
    <xf numFmtId="0" fontId="3" fillId="4" borderId="0" xfId="0" applyFont="1" applyFill="1" applyBorder="1" applyAlignment="1" applyProtection="1">
      <alignment horizontal="left" vertical="center" indent="1"/>
      <protection hidden="1"/>
    </xf>
    <xf numFmtId="0" fontId="3" fillId="19" borderId="0" xfId="0" applyFont="1" applyFill="1" applyBorder="1" applyAlignment="1" applyProtection="1">
      <alignment vertical="center"/>
      <protection hidden="1"/>
    </xf>
    <xf numFmtId="0" fontId="3" fillId="19" borderId="0" xfId="0" applyFont="1" applyFill="1" applyBorder="1" applyAlignment="1" applyProtection="1">
      <alignment horizontal="center" vertical="center"/>
      <protection hidden="1"/>
    </xf>
    <xf numFmtId="0" fontId="10" fillId="3" borderId="0" xfId="0" applyFont="1" applyFill="1" applyBorder="1" applyAlignment="1" applyProtection="1">
      <alignment horizontal="center" vertical="center"/>
      <protection hidden="1"/>
    </xf>
    <xf numFmtId="0" fontId="10" fillId="20" borderId="0" xfId="0" applyFont="1" applyFill="1" applyBorder="1" applyAlignment="1" applyProtection="1">
      <alignment horizontal="center" vertical="center"/>
      <protection hidden="1"/>
    </xf>
    <xf numFmtId="0" fontId="4" fillId="3" borderId="19" xfId="0" applyFont="1" applyFill="1" applyBorder="1" applyAlignment="1" applyProtection="1">
      <alignment horizontal="center" vertical="center"/>
      <protection hidden="1"/>
    </xf>
    <xf numFmtId="16" fontId="4" fillId="5" borderId="20" xfId="0" applyNumberFormat="1" applyFont="1" applyFill="1" applyBorder="1" applyAlignment="1" applyProtection="1">
      <alignment horizontal="right" vertical="center" wrapText="1" shrinkToFit="1"/>
      <protection hidden="1"/>
    </xf>
    <xf numFmtId="165" fontId="4" fillId="5" borderId="20" xfId="0" applyNumberFormat="1" applyFont="1" applyFill="1" applyBorder="1" applyAlignment="1" applyProtection="1">
      <alignment horizontal="center" vertical="center"/>
      <protection hidden="1"/>
    </xf>
    <xf numFmtId="0" fontId="4" fillId="5" borderId="20" xfId="0" applyFont="1" applyFill="1" applyBorder="1" applyAlignment="1" applyProtection="1">
      <alignment horizontal="right" vertical="center"/>
      <protection hidden="1"/>
    </xf>
    <xf numFmtId="0" fontId="4" fillId="6" borderId="21" xfId="0" applyFont="1" applyFill="1" applyBorder="1" applyAlignment="1" applyProtection="1">
      <alignment horizontal="center" vertical="center"/>
      <protection locked="0"/>
    </xf>
    <xf numFmtId="0" fontId="4" fillId="6" borderId="22" xfId="0" applyFont="1" applyFill="1" applyBorder="1" applyAlignment="1" applyProtection="1">
      <alignment horizontal="center" vertical="center"/>
      <protection locked="0"/>
    </xf>
    <xf numFmtId="0" fontId="4" fillId="5" borderId="20" xfId="0" applyFont="1" applyFill="1" applyBorder="1" applyAlignment="1" applyProtection="1">
      <alignment vertical="center"/>
      <protection hidden="1"/>
    </xf>
    <xf numFmtId="0" fontId="4" fillId="5" borderId="23" xfId="0" applyFont="1" applyFill="1" applyBorder="1" applyAlignment="1" applyProtection="1">
      <alignment vertical="center"/>
      <protection locked="0"/>
    </xf>
    <xf numFmtId="0" fontId="1" fillId="2" borderId="10" xfId="0" applyFont="1" applyFill="1" applyBorder="1" applyAlignment="1" applyProtection="1">
      <alignment horizontal="left" vertical="center"/>
      <protection hidden="1"/>
    </xf>
    <xf numFmtId="0" fontId="3" fillId="2" borderId="11" xfId="0" applyFont="1" applyFill="1" applyBorder="1" applyAlignment="1" applyProtection="1">
      <alignment vertical="center"/>
      <protection hidden="1"/>
    </xf>
    <xf numFmtId="0" fontId="1" fillId="2" borderId="11" xfId="0" applyFont="1" applyFill="1" applyBorder="1" applyAlignment="1" applyProtection="1">
      <alignment horizontal="center" vertical="center"/>
      <protection hidden="1"/>
    </xf>
    <xf numFmtId="0" fontId="1" fillId="2" borderId="11" xfId="0" applyFont="1" applyFill="1" applyBorder="1" applyAlignment="1" applyProtection="1">
      <alignment horizontal="center" vertical="center" wrapText="1"/>
      <protection hidden="1"/>
    </xf>
    <xf numFmtId="165" fontId="1" fillId="2" borderId="11" xfId="0" applyNumberFormat="1" applyFont="1" applyFill="1" applyBorder="1" applyAlignment="1" applyProtection="1">
      <alignment horizontal="center" vertical="center"/>
      <protection hidden="1"/>
    </xf>
    <xf numFmtId="0" fontId="1" fillId="2" borderId="11" xfId="0" applyFont="1" applyFill="1" applyBorder="1" applyAlignment="1" applyProtection="1">
      <alignment horizontal="right" vertical="center"/>
      <protection hidden="1"/>
    </xf>
    <xf numFmtId="0" fontId="1" fillId="2" borderId="11" xfId="0" applyFont="1" applyFill="1" applyBorder="1" applyAlignment="1" applyProtection="1">
      <alignment horizontal="center" vertical="center"/>
      <protection locked="0"/>
    </xf>
    <xf numFmtId="0" fontId="1" fillId="2" borderId="11" xfId="0" applyFont="1" applyFill="1" applyBorder="1" applyAlignment="1" applyProtection="1">
      <alignment horizontal="left" vertical="center"/>
      <protection hidden="1"/>
    </xf>
    <xf numFmtId="0" fontId="1" fillId="2" borderId="14" xfId="0" applyFont="1" applyFill="1" applyBorder="1" applyAlignment="1" applyProtection="1">
      <alignment vertical="center"/>
      <protection locked="0"/>
    </xf>
    <xf numFmtId="0" fontId="15" fillId="0" borderId="0" xfId="0" applyFont="1" applyFill="1" applyBorder="1" applyAlignment="1" applyProtection="1">
      <alignment horizontal="center" vertical="center"/>
      <protection hidden="1"/>
    </xf>
    <xf numFmtId="16" fontId="4" fillId="0" borderId="11" xfId="0" applyNumberFormat="1" applyFont="1" applyBorder="1" applyAlignment="1" applyProtection="1">
      <alignment horizontal="right" vertical="center" wrapText="1" shrinkToFit="1"/>
      <protection hidden="1"/>
    </xf>
    <xf numFmtId="0" fontId="4" fillId="0" borderId="12" xfId="0" applyFont="1" applyFill="1" applyBorder="1" applyAlignment="1" applyProtection="1">
      <alignment horizontal="center" vertical="center"/>
      <protection locked="0"/>
    </xf>
    <xf numFmtId="0" fontId="4" fillId="0" borderId="13" xfId="0" applyFont="1" applyFill="1" applyBorder="1" applyAlignment="1" applyProtection="1">
      <alignment horizontal="center" vertical="center"/>
      <protection locked="0"/>
    </xf>
    <xf numFmtId="0" fontId="4" fillId="0" borderId="14" xfId="0" applyFont="1" applyBorder="1" applyProtection="1">
      <protection locked="0"/>
    </xf>
    <xf numFmtId="0" fontId="4" fillId="5" borderId="16" xfId="0" applyFont="1" applyFill="1" applyBorder="1" applyAlignment="1" applyProtection="1">
      <alignment horizontal="center" vertical="center"/>
      <protection locked="0"/>
    </xf>
    <xf numFmtId="0" fontId="4" fillId="5" borderId="17" xfId="0" applyFont="1" applyFill="1" applyBorder="1" applyAlignment="1" applyProtection="1">
      <alignment horizontal="center" vertical="center"/>
      <protection locked="0"/>
    </xf>
    <xf numFmtId="0" fontId="4" fillId="5" borderId="18" xfId="0" applyFont="1" applyFill="1" applyBorder="1" applyProtection="1">
      <protection locked="0"/>
    </xf>
    <xf numFmtId="0" fontId="3" fillId="0" borderId="0" xfId="0" applyFont="1" applyBorder="1" applyAlignment="1" applyProtection="1">
      <alignment horizontal="left" vertical="center" indent="1"/>
      <protection hidden="1"/>
    </xf>
    <xf numFmtId="0" fontId="4" fillId="0" borderId="16" xfId="0" applyFont="1" applyFill="1" applyBorder="1" applyAlignment="1" applyProtection="1">
      <alignment horizontal="center" vertical="center"/>
      <protection locked="0"/>
    </xf>
    <xf numFmtId="0" fontId="4" fillId="0" borderId="17" xfId="0" applyFont="1" applyFill="1" applyBorder="1" applyAlignment="1" applyProtection="1">
      <alignment horizontal="center" vertical="center"/>
      <protection locked="0"/>
    </xf>
    <xf numFmtId="0" fontId="4" fillId="0" borderId="18" xfId="0" applyFont="1" applyBorder="1" applyProtection="1">
      <protection locked="0"/>
    </xf>
    <xf numFmtId="0" fontId="18" fillId="3" borderId="0" xfId="0" applyFont="1" applyFill="1" applyBorder="1" applyAlignment="1" applyProtection="1">
      <alignment vertical="center"/>
      <protection hidden="1"/>
    </xf>
    <xf numFmtId="0" fontId="4" fillId="5" borderId="21" xfId="0" applyFont="1" applyFill="1" applyBorder="1" applyAlignment="1" applyProtection="1">
      <alignment horizontal="center" vertical="center"/>
      <protection locked="0"/>
    </xf>
    <xf numFmtId="0" fontId="4" fillId="5" borderId="22" xfId="0" applyFont="1" applyFill="1" applyBorder="1" applyAlignment="1" applyProtection="1">
      <alignment horizontal="center" vertical="center"/>
      <protection locked="0"/>
    </xf>
    <xf numFmtId="0" fontId="4" fillId="5" borderId="23" xfId="0" applyFont="1" applyFill="1" applyBorder="1" applyProtection="1">
      <protection locked="0"/>
    </xf>
    <xf numFmtId="0" fontId="4" fillId="0" borderId="11" xfId="0" applyFont="1" applyBorder="1" applyAlignment="1" applyProtection="1">
      <alignment horizontal="right"/>
      <protection hidden="1"/>
    </xf>
    <xf numFmtId="0" fontId="4" fillId="0" borderId="11" xfId="0" applyFont="1" applyBorder="1" applyProtection="1">
      <protection hidden="1"/>
    </xf>
    <xf numFmtId="0" fontId="2" fillId="3" borderId="0" xfId="0" applyFont="1" applyFill="1" applyBorder="1" applyProtection="1">
      <protection hidden="1"/>
    </xf>
    <xf numFmtId="0" fontId="4" fillId="3" borderId="0" xfId="0" applyFont="1" applyFill="1" applyBorder="1" applyProtection="1">
      <protection hidden="1"/>
    </xf>
    <xf numFmtId="0" fontId="4" fillId="5" borderId="0" xfId="0" applyFont="1" applyFill="1" applyBorder="1" applyAlignment="1" applyProtection="1">
      <alignment horizontal="right"/>
      <protection hidden="1"/>
    </xf>
    <xf numFmtId="0" fontId="4" fillId="5" borderId="0" xfId="0" applyFont="1" applyFill="1" applyBorder="1" applyProtection="1">
      <protection hidden="1"/>
    </xf>
    <xf numFmtId="0" fontId="4" fillId="3" borderId="0" xfId="0" applyFont="1" applyFill="1" applyBorder="1" applyAlignment="1" applyProtection="1">
      <alignment vertical="center"/>
      <protection hidden="1"/>
    </xf>
    <xf numFmtId="0" fontId="3" fillId="3" borderId="0" xfId="0" applyFont="1" applyFill="1" applyBorder="1" applyAlignment="1" applyProtection="1">
      <alignment horizontal="center"/>
      <protection locked="0"/>
    </xf>
    <xf numFmtId="0" fontId="4" fillId="0" borderId="0" xfId="0" applyFont="1" applyBorder="1" applyAlignment="1" applyProtection="1">
      <alignment horizontal="right"/>
      <protection hidden="1"/>
    </xf>
    <xf numFmtId="0" fontId="5" fillId="3" borderId="0" xfId="0" applyFont="1" applyFill="1" applyBorder="1" applyProtection="1">
      <protection hidden="1"/>
    </xf>
    <xf numFmtId="0" fontId="3" fillId="3" borderId="0" xfId="0" applyFont="1" applyFill="1" applyBorder="1" applyAlignment="1" applyProtection="1">
      <alignment horizontal="left" indent="1"/>
      <protection hidden="1"/>
    </xf>
    <xf numFmtId="0" fontId="4" fillId="5" borderId="20" xfId="0" applyFont="1" applyFill="1" applyBorder="1" applyAlignment="1" applyProtection="1">
      <alignment horizontal="right"/>
      <protection hidden="1"/>
    </xf>
    <xf numFmtId="0" fontId="4" fillId="5" borderId="20" xfId="0" applyFont="1" applyFill="1" applyBorder="1" applyProtection="1">
      <protection hidden="1"/>
    </xf>
    <xf numFmtId="0" fontId="4" fillId="3" borderId="7" xfId="0" applyFont="1" applyFill="1" applyBorder="1" applyAlignment="1" applyProtection="1">
      <alignment horizontal="center" vertical="center"/>
      <protection hidden="1"/>
    </xf>
    <xf numFmtId="16" fontId="4" fillId="0" borderId="8" xfId="0" applyNumberFormat="1" applyFont="1" applyBorder="1" applyAlignment="1" applyProtection="1">
      <alignment horizontal="right" vertical="center" wrapText="1" shrinkToFit="1"/>
      <protection hidden="1"/>
    </xf>
    <xf numFmtId="165" fontId="4" fillId="0" borderId="8" xfId="0" applyNumberFormat="1" applyFont="1" applyBorder="1" applyAlignment="1" applyProtection="1">
      <alignment horizontal="center" vertical="center"/>
      <protection hidden="1"/>
    </xf>
    <xf numFmtId="0" fontId="4" fillId="0" borderId="8" xfId="0" applyFont="1" applyBorder="1" applyAlignment="1" applyProtection="1">
      <alignment horizontal="right"/>
      <protection hidden="1"/>
    </xf>
    <xf numFmtId="0" fontId="4" fillId="6" borderId="24" xfId="0" applyFont="1" applyFill="1" applyBorder="1" applyAlignment="1" applyProtection="1">
      <alignment horizontal="center" vertical="center"/>
      <protection locked="0"/>
    </xf>
    <xf numFmtId="0" fontId="4" fillId="6" borderId="25" xfId="0" applyFont="1" applyFill="1" applyBorder="1" applyAlignment="1" applyProtection="1">
      <alignment horizontal="center" vertical="center"/>
      <protection locked="0"/>
    </xf>
    <xf numFmtId="0" fontId="4" fillId="0" borderId="8" xfId="0" applyFont="1" applyBorder="1" applyProtection="1">
      <protection hidden="1"/>
    </xf>
    <xf numFmtId="0" fontId="4" fillId="0" borderId="24" xfId="0" applyFont="1" applyFill="1" applyBorder="1" applyAlignment="1" applyProtection="1">
      <alignment horizontal="center" vertical="center"/>
      <protection locked="0"/>
    </xf>
    <xf numFmtId="0" fontId="4" fillId="0" borderId="25" xfId="0" applyFont="1" applyFill="1" applyBorder="1" applyAlignment="1" applyProtection="1">
      <alignment horizontal="center" vertical="center"/>
      <protection locked="0"/>
    </xf>
    <xf numFmtId="0" fontId="4" fillId="0" borderId="9" xfId="0" applyFont="1" applyBorder="1" applyProtection="1">
      <protection locked="0"/>
    </xf>
    <xf numFmtId="0" fontId="13" fillId="0" borderId="0" xfId="0" applyFont="1" applyBorder="1" applyProtection="1">
      <protection hidden="1"/>
    </xf>
    <xf numFmtId="0" fontId="10" fillId="0" borderId="0" xfId="0" applyFont="1" applyBorder="1" applyProtection="1">
      <protection hidden="1"/>
    </xf>
    <xf numFmtId="0" fontId="19" fillId="0" borderId="0" xfId="0" applyFont="1" applyBorder="1" applyAlignment="1" applyProtection="1">
      <alignment horizontal="center"/>
      <protection hidden="1"/>
    </xf>
    <xf numFmtId="0" fontId="20" fillId="0" borderId="0" xfId="0" applyFont="1" applyBorder="1" applyProtection="1">
      <protection hidden="1"/>
    </xf>
    <xf numFmtId="0" fontId="14" fillId="0" borderId="0" xfId="0" applyFont="1" applyBorder="1" applyProtection="1">
      <protection hidden="1"/>
    </xf>
    <xf numFmtId="0" fontId="21" fillId="0" borderId="0" xfId="0" applyFont="1" applyBorder="1" applyProtection="1">
      <protection hidden="1"/>
    </xf>
    <xf numFmtId="0" fontId="22" fillId="0" borderId="1" xfId="0" applyFont="1" applyBorder="1" applyAlignment="1" applyProtection="1">
      <protection hidden="1"/>
    </xf>
    <xf numFmtId="0" fontId="22" fillId="0" borderId="0" xfId="0" applyFont="1" applyBorder="1" applyAlignment="1" applyProtection="1">
      <protection hidden="1"/>
    </xf>
    <xf numFmtId="0" fontId="22" fillId="0" borderId="1" xfId="0" applyFont="1" applyBorder="1" applyAlignment="1"/>
    <xf numFmtId="0" fontId="22" fillId="0" borderId="1" xfId="0" applyFont="1" applyBorder="1"/>
    <xf numFmtId="0" fontId="22" fillId="0" borderId="1" xfId="0" applyFont="1" applyBorder="1" applyAlignment="1" applyProtection="1">
      <alignment horizontal="left" vertical="center"/>
    </xf>
    <xf numFmtId="0" fontId="3" fillId="0" borderId="0" xfId="0" applyFont="1" applyFill="1" applyBorder="1" applyProtection="1">
      <protection hidden="1"/>
    </xf>
    <xf numFmtId="0" fontId="3" fillId="0" borderId="0" xfId="0" applyFont="1" applyFill="1" applyBorder="1" applyAlignment="1" applyProtection="1">
      <alignment horizontal="center"/>
      <protection hidden="1"/>
    </xf>
    <xf numFmtId="0" fontId="23" fillId="0" borderId="0" xfId="0" applyFont="1"/>
    <xf numFmtId="0" fontId="23" fillId="0" borderId="0" xfId="0" applyFont="1" applyBorder="1"/>
    <xf numFmtId="0" fontId="11" fillId="0" borderId="0" xfId="0" applyFont="1" applyFill="1" applyBorder="1" applyAlignment="1">
      <alignment horizontal="center"/>
    </xf>
    <xf numFmtId="0" fontId="23" fillId="0" borderId="0" xfId="0" applyFont="1" applyBorder="1" applyAlignment="1">
      <alignment horizontal="center" vertical="center" textRotation="255"/>
    </xf>
    <xf numFmtId="0" fontId="23" fillId="0" borderId="0" xfId="0" applyFont="1" applyBorder="1" applyAlignment="1">
      <alignment horizontal="left" vertical="center" indent="1"/>
    </xf>
    <xf numFmtId="0" fontId="23" fillId="0" borderId="0" xfId="0" applyFont="1" applyBorder="1" applyAlignment="1" applyProtection="1">
      <alignment horizontal="left" vertical="center" indent="1"/>
      <protection hidden="1"/>
    </xf>
    <xf numFmtId="166" fontId="3" fillId="0" borderId="0" xfId="0" applyNumberFormat="1" applyFont="1" applyFill="1" applyBorder="1" applyProtection="1">
      <protection hidden="1"/>
    </xf>
    <xf numFmtId="167" fontId="3" fillId="0" borderId="0" xfId="0" applyNumberFormat="1" applyFont="1" applyFill="1" applyBorder="1" applyProtection="1">
      <protection hidden="1"/>
    </xf>
    <xf numFmtId="0" fontId="3" fillId="0" borderId="26" xfId="0" applyFont="1" applyFill="1" applyBorder="1" applyProtection="1">
      <protection hidden="1"/>
    </xf>
    <xf numFmtId="0" fontId="3" fillId="0" borderId="27" xfId="0" applyFont="1" applyFill="1" applyBorder="1" applyProtection="1">
      <protection hidden="1"/>
    </xf>
    <xf numFmtId="0" fontId="3" fillId="0" borderId="0" xfId="0" applyFont="1" applyFill="1" applyBorder="1" applyAlignment="1">
      <alignment vertical="center" wrapText="1"/>
    </xf>
    <xf numFmtId="0" fontId="3" fillId="0" borderId="0" xfId="0" applyFont="1" applyFill="1" applyBorder="1" applyAlignment="1">
      <alignment horizontal="center" vertical="center"/>
    </xf>
    <xf numFmtId="0" fontId="3" fillId="0" borderId="0" xfId="0" applyFont="1" applyFill="1" applyBorder="1"/>
    <xf numFmtId="0" fontId="3" fillId="0" borderId="0" xfId="0" applyFont="1" applyFill="1" applyBorder="1" applyAlignment="1">
      <alignment horizontal="center"/>
    </xf>
    <xf numFmtId="0" fontId="1" fillId="0" borderId="0" xfId="0" applyFont="1" applyFill="1" applyBorder="1" applyAlignment="1">
      <alignment horizontal="center" vertical="center"/>
    </xf>
    <xf numFmtId="0" fontId="1" fillId="0" borderId="0" xfId="0" applyFont="1" applyFill="1" applyBorder="1" applyAlignment="1">
      <alignment horizontal="center"/>
    </xf>
    <xf numFmtId="168" fontId="3" fillId="0" borderId="27" xfId="0" applyNumberFormat="1" applyFont="1" applyFill="1" applyBorder="1" applyAlignment="1" applyProtection="1">
      <alignment horizontal="right"/>
      <protection hidden="1"/>
    </xf>
    <xf numFmtId="0" fontId="3" fillId="0" borderId="2" xfId="0" applyFont="1" applyFill="1" applyBorder="1" applyProtection="1">
      <protection hidden="1"/>
    </xf>
    <xf numFmtId="0" fontId="4" fillId="0" borderId="0" xfId="0" applyFont="1"/>
    <xf numFmtId="0" fontId="10" fillId="0" borderId="0" xfId="0" applyFont="1"/>
    <xf numFmtId="0" fontId="24" fillId="0" borderId="0" xfId="0" applyFont="1"/>
    <xf numFmtId="0" fontId="21" fillId="0" borderId="0" xfId="0" applyFont="1" applyAlignment="1">
      <alignment horizontal="left" vertical="top" wrapText="1"/>
    </xf>
    <xf numFmtId="0" fontId="4" fillId="0" borderId="1" xfId="0" applyFont="1" applyBorder="1" applyAlignment="1">
      <alignment horizontal="center"/>
    </xf>
    <xf numFmtId="0" fontId="8" fillId="0" borderId="0" xfId="0" applyFont="1" applyAlignment="1">
      <alignment horizontal="center"/>
    </xf>
    <xf numFmtId="0" fontId="3" fillId="2" borderId="0" xfId="0" applyFont="1" applyFill="1" applyBorder="1"/>
    <xf numFmtId="0" fontId="13" fillId="0" borderId="0" xfId="0" applyFont="1"/>
    <xf numFmtId="0" fontId="13" fillId="0" borderId="28" xfId="0" applyFont="1" applyBorder="1"/>
    <xf numFmtId="0" fontId="13" fillId="0" borderId="29" xfId="0" applyFont="1" applyBorder="1"/>
    <xf numFmtId="0" fontId="13" fillId="0" borderId="30" xfId="0" applyFont="1" applyBorder="1"/>
    <xf numFmtId="0" fontId="1" fillId="2" borderId="0" xfId="0" applyFont="1" applyFill="1" applyBorder="1" applyAlignment="1">
      <alignment vertical="center"/>
    </xf>
    <xf numFmtId="0" fontId="13" fillId="0" borderId="31" xfId="0" applyFont="1" applyBorder="1"/>
    <xf numFmtId="0" fontId="13" fillId="0" borderId="0" xfId="0" applyFont="1" applyBorder="1"/>
    <xf numFmtId="0" fontId="13" fillId="0" borderId="32" xfId="0" applyFont="1" applyBorder="1"/>
    <xf numFmtId="0" fontId="3" fillId="2" borderId="0" xfId="0" applyFont="1" applyFill="1" applyBorder="1" applyAlignment="1"/>
    <xf numFmtId="0" fontId="3" fillId="2" borderId="0" xfId="0" quotePrefix="1" applyFont="1" applyFill="1" applyBorder="1" applyAlignment="1">
      <alignment horizontal="left"/>
    </xf>
    <xf numFmtId="0" fontId="26" fillId="2" borderId="0" xfId="1" applyFont="1" applyFill="1" applyBorder="1" applyAlignment="1" applyProtection="1"/>
    <xf numFmtId="0" fontId="27" fillId="2" borderId="0" xfId="1" applyFont="1" applyFill="1" applyBorder="1" applyAlignment="1" applyProtection="1"/>
    <xf numFmtId="0" fontId="28" fillId="0" borderId="0" xfId="0" applyFont="1"/>
    <xf numFmtId="0" fontId="29" fillId="2" borderId="0" xfId="0" applyFont="1" applyFill="1" applyBorder="1" applyAlignment="1">
      <alignment horizontal="left"/>
    </xf>
    <xf numFmtId="0" fontId="13" fillId="3" borderId="31" xfId="0" applyFont="1" applyFill="1" applyBorder="1"/>
    <xf numFmtId="0" fontId="13" fillId="3" borderId="32" xfId="0" applyFont="1" applyFill="1" applyBorder="1"/>
    <xf numFmtId="0" fontId="13" fillId="3" borderId="33" xfId="0" applyFont="1" applyFill="1" applyBorder="1"/>
    <xf numFmtId="0" fontId="13" fillId="3" borderId="35" xfId="0" applyFont="1" applyFill="1" applyBorder="1"/>
    <xf numFmtId="0" fontId="32" fillId="0" borderId="0" xfId="0" applyFont="1"/>
    <xf numFmtId="0" fontId="33" fillId="0" borderId="0" xfId="0" applyFont="1"/>
    <xf numFmtId="0" fontId="3" fillId="4" borderId="8" xfId="0" applyFont="1" applyFill="1" applyBorder="1" applyAlignment="1" applyProtection="1">
      <alignment horizontal="center"/>
      <protection hidden="1"/>
    </xf>
    <xf numFmtId="0" fontId="3" fillId="4" borderId="11" xfId="0" applyFont="1" applyFill="1" applyBorder="1" applyAlignment="1" applyProtection="1">
      <alignment horizontal="center" vertical="center" wrapText="1"/>
      <protection hidden="1"/>
    </xf>
    <xf numFmtId="0" fontId="3" fillId="4" borderId="0" xfId="0" applyFont="1" applyFill="1" applyBorder="1" applyAlignment="1" applyProtection="1">
      <alignment horizontal="center" vertical="center" wrapText="1"/>
      <protection hidden="1"/>
    </xf>
    <xf numFmtId="0" fontId="3" fillId="4" borderId="20" xfId="0" applyFont="1" applyFill="1" applyBorder="1" applyAlignment="1" applyProtection="1">
      <alignment horizontal="center" vertical="center" wrapText="1"/>
      <protection hidden="1"/>
    </xf>
    <xf numFmtId="0" fontId="15" fillId="0" borderId="0" xfId="0" applyFont="1" applyFill="1" applyBorder="1" applyAlignment="1" applyProtection="1">
      <alignment horizontal="left" vertical="center"/>
      <protection locked="0" hidden="1"/>
    </xf>
    <xf numFmtId="0" fontId="16" fillId="2" borderId="0" xfId="0" applyFont="1" applyFill="1" applyBorder="1" applyAlignment="1" applyProtection="1">
      <alignment horizontal="left" vertical="center"/>
      <protection hidden="1"/>
    </xf>
    <xf numFmtId="0" fontId="17" fillId="3" borderId="0" xfId="0" applyFont="1" applyFill="1" applyBorder="1" applyAlignment="1" applyProtection="1">
      <alignment horizontal="left" vertical="center" wrapText="1" indent="1"/>
      <protection hidden="1"/>
    </xf>
    <xf numFmtId="0" fontId="4" fillId="0" borderId="0" xfId="0" applyFont="1" applyBorder="1" applyAlignment="1" applyProtection="1">
      <alignment horizontal="center" vertical="center"/>
      <protection hidden="1"/>
    </xf>
    <xf numFmtId="0" fontId="10" fillId="3" borderId="0" xfId="0" applyFont="1" applyFill="1" applyBorder="1" applyAlignment="1" applyProtection="1">
      <alignment horizontal="left" vertical="center"/>
      <protection locked="0" hidden="1"/>
    </xf>
    <xf numFmtId="0" fontId="4" fillId="5" borderId="20" xfId="0" applyFont="1" applyFill="1" applyBorder="1" applyAlignment="1" applyProtection="1">
      <alignment horizontal="center" vertical="center"/>
      <protection hidden="1"/>
    </xf>
    <xf numFmtId="0" fontId="1" fillId="4" borderId="11" xfId="0" applyFont="1" applyFill="1" applyBorder="1" applyAlignment="1" applyProtection="1">
      <alignment horizontal="center" vertical="center"/>
      <protection hidden="1"/>
    </xf>
    <xf numFmtId="0" fontId="4" fillId="5" borderId="0" xfId="0" applyFont="1" applyFill="1" applyBorder="1" applyAlignment="1" applyProtection="1">
      <alignment horizontal="center" vertical="center"/>
      <protection hidden="1"/>
    </xf>
    <xf numFmtId="0" fontId="10" fillId="17" borderId="0" xfId="0" applyFont="1" applyFill="1" applyBorder="1" applyAlignment="1" applyProtection="1">
      <alignment horizontal="left" vertical="center"/>
      <protection locked="0" hidden="1"/>
    </xf>
    <xf numFmtId="0" fontId="4" fillId="18" borderId="0" xfId="0" applyFont="1" applyFill="1" applyBorder="1" applyAlignment="1" applyProtection="1">
      <alignment horizontal="left" vertical="center"/>
      <protection locked="0" hidden="1"/>
    </xf>
    <xf numFmtId="0" fontId="4" fillId="0" borderId="0" xfId="0" applyFont="1" applyBorder="1" applyAlignment="1" applyProtection="1">
      <alignment horizontal="left" vertical="center"/>
      <protection locked="0" hidden="1"/>
    </xf>
    <xf numFmtId="0" fontId="1" fillId="2" borderId="0" xfId="0" applyFont="1" applyFill="1" applyBorder="1" applyAlignment="1" applyProtection="1">
      <alignment horizontal="left" vertical="center"/>
      <protection hidden="1"/>
    </xf>
    <xf numFmtId="0" fontId="14" fillId="17" borderId="0" xfId="0" applyFont="1" applyFill="1" applyBorder="1" applyAlignment="1" applyProtection="1">
      <alignment horizontal="left" vertical="center"/>
      <protection locked="0" hidden="1"/>
    </xf>
    <xf numFmtId="0" fontId="14" fillId="15" borderId="0" xfId="0" applyFont="1" applyFill="1" applyBorder="1" applyAlignment="1" applyProtection="1">
      <alignment horizontal="left" vertical="center"/>
      <protection locked="0" hidden="1"/>
    </xf>
    <xf numFmtId="0" fontId="10" fillId="15" borderId="0" xfId="0" applyFont="1" applyFill="1" applyBorder="1" applyAlignment="1" applyProtection="1">
      <alignment horizontal="left" vertical="center"/>
      <protection locked="0" hidden="1"/>
    </xf>
    <xf numFmtId="0" fontId="4" fillId="16" borderId="0" xfId="0" applyFont="1" applyFill="1" applyBorder="1" applyAlignment="1" applyProtection="1">
      <alignment horizontal="left" vertical="center"/>
      <protection locked="0" hidden="1"/>
    </xf>
    <xf numFmtId="0" fontId="4" fillId="14" borderId="0" xfId="0" applyFont="1" applyFill="1" applyBorder="1" applyAlignment="1" applyProtection="1">
      <alignment horizontal="left" vertical="center"/>
      <protection locked="0" hidden="1"/>
    </xf>
    <xf numFmtId="0" fontId="14" fillId="13" borderId="0" xfId="0" applyFont="1" applyFill="1" applyBorder="1" applyAlignment="1" applyProtection="1">
      <alignment horizontal="left" vertical="center"/>
      <protection locked="0" hidden="1"/>
    </xf>
    <xf numFmtId="0" fontId="10" fillId="13" borderId="0" xfId="0" applyFont="1" applyFill="1" applyBorder="1" applyAlignment="1" applyProtection="1">
      <alignment horizontal="left" vertical="center"/>
      <protection locked="0" hidden="1"/>
    </xf>
    <xf numFmtId="0" fontId="10" fillId="11" borderId="0" xfId="0" applyFont="1" applyFill="1" applyBorder="1" applyAlignment="1" applyProtection="1">
      <alignment horizontal="left" vertical="center"/>
      <protection locked="0" hidden="1"/>
    </xf>
    <xf numFmtId="0" fontId="4" fillId="12" borderId="0" xfId="0" applyFont="1" applyFill="1" applyBorder="1" applyAlignment="1" applyProtection="1">
      <alignment horizontal="left" vertical="center"/>
      <protection locked="0" hidden="1"/>
    </xf>
    <xf numFmtId="0" fontId="14" fillId="11" borderId="0" xfId="0" applyFont="1" applyFill="1" applyBorder="1" applyAlignment="1" applyProtection="1">
      <alignment horizontal="left" vertical="center"/>
      <protection locked="0" hidden="1"/>
    </xf>
    <xf numFmtId="0" fontId="14" fillId="9" borderId="0" xfId="0" applyFont="1" applyFill="1" applyBorder="1" applyAlignment="1" applyProtection="1">
      <alignment horizontal="left" vertical="center"/>
      <protection locked="0" hidden="1"/>
    </xf>
    <xf numFmtId="0" fontId="10" fillId="9" borderId="0" xfId="0" applyFont="1" applyFill="1" applyBorder="1" applyAlignment="1" applyProtection="1">
      <alignment horizontal="left" vertical="center"/>
      <protection locked="0" hidden="1"/>
    </xf>
    <xf numFmtId="0" fontId="4" fillId="10" borderId="0" xfId="0" applyFont="1" applyFill="1" applyBorder="1" applyAlignment="1" applyProtection="1">
      <alignment horizontal="left" vertical="center"/>
      <protection locked="0" hidden="1"/>
    </xf>
    <xf numFmtId="0" fontId="4" fillId="8" borderId="0" xfId="0" applyFont="1" applyFill="1" applyBorder="1" applyAlignment="1" applyProtection="1">
      <alignment horizontal="left" vertical="center"/>
      <protection locked="0" hidden="1"/>
    </xf>
    <xf numFmtId="0" fontId="1" fillId="4" borderId="8" xfId="0" applyNumberFormat="1" applyFont="1" applyFill="1" applyBorder="1" applyAlignment="1" applyProtection="1">
      <alignment horizontal="center" vertical="center"/>
      <protection hidden="1"/>
    </xf>
    <xf numFmtId="0" fontId="4" fillId="0" borderId="11" xfId="0" applyFont="1" applyBorder="1" applyAlignment="1" applyProtection="1">
      <alignment horizontal="center" vertical="center"/>
      <protection hidden="1"/>
    </xf>
    <xf numFmtId="0" fontId="14" fillId="7" borderId="0" xfId="0" applyFont="1" applyFill="1" applyBorder="1" applyAlignment="1" applyProtection="1">
      <alignment horizontal="left" vertical="center"/>
      <protection locked="0" hidden="1"/>
    </xf>
    <xf numFmtId="0" fontId="10" fillId="7" borderId="0" xfId="0" applyFont="1" applyFill="1" applyBorder="1" applyAlignment="1" applyProtection="1">
      <alignment horizontal="left" vertical="center"/>
      <protection locked="0" hidden="1"/>
    </xf>
    <xf numFmtId="0" fontId="11" fillId="0" borderId="0" xfId="0" applyFont="1" applyBorder="1" applyAlignment="1">
      <alignment horizontal="center" vertical="center" textRotation="255"/>
    </xf>
    <xf numFmtId="0" fontId="24" fillId="0" borderId="0" xfId="0" applyFont="1" applyAlignment="1">
      <alignment horizontal="left" vertical="top" wrapText="1"/>
    </xf>
    <xf numFmtId="0" fontId="4" fillId="0" borderId="0" xfId="0" applyFont="1" applyAlignment="1">
      <alignment horizontal="left" vertical="top" wrapText="1"/>
    </xf>
    <xf numFmtId="0" fontId="21" fillId="0" borderId="0" xfId="0" applyFont="1" applyAlignment="1">
      <alignment horizontal="left" vertical="top" wrapText="1"/>
    </xf>
    <xf numFmtId="0" fontId="4" fillId="21" borderId="1" xfId="0" applyFont="1" applyFill="1" applyBorder="1" applyAlignment="1">
      <alignment horizontal="center" vertical="center"/>
    </xf>
    <xf numFmtId="0" fontId="12" fillId="2" borderId="31"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32" xfId="0" applyFont="1" applyFill="1" applyBorder="1" applyAlignment="1">
      <alignment horizontal="center" vertical="center"/>
    </xf>
    <xf numFmtId="0" fontId="30" fillId="3" borderId="0" xfId="0" applyFont="1" applyFill="1" applyBorder="1" applyAlignment="1">
      <alignment horizontal="center" vertical="center"/>
    </xf>
    <xf numFmtId="0" fontId="30" fillId="3" borderId="34" xfId="0" applyFont="1" applyFill="1" applyBorder="1" applyAlignment="1">
      <alignment horizontal="center" vertical="center"/>
    </xf>
    <xf numFmtId="0" fontId="28" fillId="0" borderId="0" xfId="0" applyFont="1" applyAlignment="1">
      <alignment horizontal="left" vertical="top" wrapText="1"/>
    </xf>
    <xf numFmtId="0" fontId="31" fillId="0" borderId="0" xfId="1" applyFont="1" applyAlignment="1" applyProtection="1">
      <alignment horizontal="left"/>
    </xf>
  </cellXfs>
  <cellStyles count="2">
    <cellStyle name="Hyperlink" xfId="1" builtinId="8"/>
    <cellStyle name="Normal" xfId="0" builtinId="0"/>
  </cellStyles>
  <dxfs count="19">
    <dxf>
      <font>
        <color theme="0"/>
      </font>
    </dxf>
    <dxf>
      <font>
        <b/>
        <i val="0"/>
      </font>
    </dxf>
    <dxf>
      <font>
        <b val="0"/>
        <i/>
        <color theme="1" tint="0.499984740745262"/>
      </font>
    </dxf>
    <dxf>
      <font>
        <b/>
        <i val="0"/>
        <color rgb="FF0000FF"/>
      </font>
    </dxf>
    <dxf>
      <font>
        <b val="0"/>
        <i/>
        <color rgb="FF0000FF"/>
      </font>
    </dxf>
    <dxf>
      <font>
        <b/>
        <i val="0"/>
      </font>
    </dxf>
    <dxf>
      <font>
        <b val="0"/>
        <i/>
        <color theme="1" tint="0.499984740745262"/>
      </font>
    </dxf>
    <dxf>
      <font>
        <b val="0"/>
        <i/>
        <color rgb="FF0000FF"/>
      </font>
    </dxf>
    <dxf>
      <font>
        <b/>
        <i val="0"/>
        <color rgb="FF0000FF"/>
      </font>
    </dxf>
    <dxf>
      <font>
        <b/>
        <i val="0"/>
      </font>
    </dxf>
    <dxf>
      <font>
        <b val="0"/>
        <i/>
        <color theme="1" tint="0.499984740745262"/>
      </font>
    </dxf>
    <dxf>
      <font>
        <b/>
        <i val="0"/>
      </font>
    </dxf>
    <dxf>
      <font>
        <b val="0"/>
        <i/>
        <color theme="1" tint="0.499984740745262"/>
      </font>
    </dxf>
    <dxf>
      <font>
        <color rgb="FFFF0000"/>
      </font>
      <fill>
        <patternFill>
          <bgColor theme="9" tint="0.79998168889431442"/>
        </patternFill>
      </fill>
    </dxf>
    <dxf>
      <font>
        <color rgb="FFFF0000"/>
      </font>
      <fill>
        <patternFill>
          <bgColor theme="9" tint="0.79998168889431442"/>
        </patternFill>
      </fill>
    </dxf>
    <dxf>
      <font>
        <color rgb="FFFF0000"/>
      </font>
      <fill>
        <patternFill>
          <bgColor theme="9" tint="0.79998168889431442"/>
        </patternFill>
      </fill>
    </dxf>
    <dxf>
      <font>
        <color rgb="FFFF0000"/>
      </font>
      <fill>
        <patternFill>
          <bgColor theme="9" tint="0.79998168889431442"/>
        </patternFill>
      </fill>
    </dxf>
    <dxf>
      <font>
        <color rgb="FFFF0000"/>
      </font>
      <fill>
        <patternFill>
          <bgColor theme="9" tint="0.79998168889431442"/>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hyperlink" Target="https://journalsheet.com/product/js801ssxl-uefa-euro-2020-2021-predictor-game"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www.fatfreecartpro.com/ecom/gb.php?&amp;c=single&amp;cl=353533&amp;i=1703421" TargetMode="Externa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19</xdr:col>
      <xdr:colOff>177800</xdr:colOff>
      <xdr:row>45</xdr:row>
      <xdr:rowOff>177800</xdr:rowOff>
    </xdr:from>
    <xdr:to>
      <xdr:col>28</xdr:col>
      <xdr:colOff>131826</xdr:colOff>
      <xdr:row>57</xdr:row>
      <xdr:rowOff>44450</xdr:rowOff>
    </xdr:to>
    <xdr:pic>
      <xdr:nvPicPr>
        <xdr:cNvPr id="2" name="Picture 1">
          <a:extLst>
            <a:ext uri="{FF2B5EF4-FFF2-40B4-BE49-F238E27FC236}">
              <a16:creationId xmlns=""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83750" y="8299450"/>
          <a:ext cx="1827276" cy="2076450"/>
        </a:xfrm>
        <a:prstGeom prst="rect">
          <a:avLst/>
        </a:prstGeom>
      </xdr:spPr>
    </xdr:pic>
    <xdr:clientData/>
  </xdr:twoCellAnchor>
  <xdr:twoCellAnchor>
    <xdr:from>
      <xdr:col>14</xdr:col>
      <xdr:colOff>12700</xdr:colOff>
      <xdr:row>2</xdr:row>
      <xdr:rowOff>38100</xdr:rowOff>
    </xdr:from>
    <xdr:to>
      <xdr:col>28</xdr:col>
      <xdr:colOff>209550</xdr:colOff>
      <xdr:row>2</xdr:row>
      <xdr:rowOff>349250</xdr:rowOff>
    </xdr:to>
    <xdr:sp macro="" textlink="">
      <xdr:nvSpPr>
        <xdr:cNvPr id="3" name="Rounded Rectangle 2">
          <a:hlinkClick xmlns:r="http://schemas.openxmlformats.org/officeDocument/2006/relationships" r:id="rId2"/>
          <a:extLst>
            <a:ext uri="{FF2B5EF4-FFF2-40B4-BE49-F238E27FC236}">
              <a16:creationId xmlns="" xmlns:a16="http://schemas.microsoft.com/office/drawing/2014/main" id="{00000000-0008-0000-0100-000003000000}"/>
            </a:ext>
          </a:extLst>
        </xdr:cNvPr>
        <xdr:cNvSpPr/>
      </xdr:nvSpPr>
      <xdr:spPr>
        <a:xfrm>
          <a:off x="8039100" y="165100"/>
          <a:ext cx="3549650" cy="311150"/>
        </a:xfrm>
        <a:prstGeom prst="roundRect">
          <a:avLst>
            <a:gd name="adj" fmla="val 49320"/>
          </a:avLst>
        </a:prstGeom>
        <a:solidFill>
          <a:schemeClr val="accent5">
            <a:lumMod val="50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rgbClr val="FFFF00"/>
              </a:solidFill>
            </a:rPr>
            <a:t>PLAY</a:t>
          </a:r>
          <a:r>
            <a:rPr lang="en-US" sz="1200" baseline="0">
              <a:solidFill>
                <a:srgbClr val="FFFF00"/>
              </a:solidFill>
            </a:rPr>
            <a:t> EURO 2020 PREDICTOR GAME </a:t>
          </a:r>
          <a:r>
            <a:rPr lang="en-US" sz="1200" baseline="0">
              <a:solidFill>
                <a:srgbClr val="FFFF00"/>
              </a:solidFill>
              <a:sym typeface="Wingdings 3"/>
            </a:rPr>
            <a:t></a:t>
          </a:r>
          <a:r>
            <a:rPr lang="en-US" sz="1200" baseline="0">
              <a:solidFill>
                <a:srgbClr val="FFFF00"/>
              </a:solidFill>
            </a:rPr>
            <a:t> GET IT HERE</a:t>
          </a:r>
          <a:endParaRPr lang="en-US" sz="1200">
            <a:solidFill>
              <a:srgbClr val="FFFF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120650</xdr:colOff>
      <xdr:row>4</xdr:row>
      <xdr:rowOff>44450</xdr:rowOff>
    </xdr:from>
    <xdr:to>
      <xdr:col>4</xdr:col>
      <xdr:colOff>508370</xdr:colOff>
      <xdr:row>7</xdr:row>
      <xdr:rowOff>9354</xdr:rowOff>
    </xdr:to>
    <xdr:pic>
      <xdr:nvPicPr>
        <xdr:cNvPr id="2" name="Picture 1">
          <a:extLst>
            <a:ext uri="{FF2B5EF4-FFF2-40B4-BE49-F238E27FC236}">
              <a16:creationId xmlns=""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4950" y="615950"/>
          <a:ext cx="1664070" cy="536404"/>
        </a:xfrm>
        <a:prstGeom prst="rect">
          <a:avLst/>
        </a:prstGeom>
      </xdr:spPr>
    </xdr:pic>
    <xdr:clientData/>
  </xdr:twoCellAnchor>
  <xdr:twoCellAnchor editAs="oneCell">
    <xdr:from>
      <xdr:col>7</xdr:col>
      <xdr:colOff>133350</xdr:colOff>
      <xdr:row>4</xdr:row>
      <xdr:rowOff>63500</xdr:rowOff>
    </xdr:from>
    <xdr:to>
      <xdr:col>9</xdr:col>
      <xdr:colOff>825500</xdr:colOff>
      <xdr:row>10</xdr:row>
      <xdr:rowOff>158750</xdr:rowOff>
    </xdr:to>
    <xdr:pic>
      <xdr:nvPicPr>
        <xdr:cNvPr id="3" name="Picture 2">
          <a:hlinkClick xmlns:r="http://schemas.openxmlformats.org/officeDocument/2006/relationships" r:id="rId2"/>
          <a:extLst>
            <a:ext uri="{FF2B5EF4-FFF2-40B4-BE49-F238E27FC236}">
              <a16:creationId xmlns="" xmlns:a16="http://schemas.microsoft.com/office/drawing/2014/main" id="{00000000-0008-0000-0500-000004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7340" t="14228" r="18768" b="10789"/>
        <a:stretch/>
      </xdr:blipFill>
      <xdr:spPr>
        <a:xfrm>
          <a:off x="4933950" y="635000"/>
          <a:ext cx="2597150" cy="1238250"/>
        </a:xfrm>
        <a:prstGeom prst="rect">
          <a:avLst/>
        </a:prstGeom>
      </xdr:spPr>
    </xdr:pic>
    <xdr:clientData/>
  </xdr:twoCellAnchor>
  <xdr:twoCellAnchor>
    <xdr:from>
      <xdr:col>10</xdr:col>
      <xdr:colOff>590550</xdr:colOff>
      <xdr:row>4</xdr:row>
      <xdr:rowOff>12700</xdr:rowOff>
    </xdr:from>
    <xdr:to>
      <xdr:col>20</xdr:col>
      <xdr:colOff>241300</xdr:colOff>
      <xdr:row>14</xdr:row>
      <xdr:rowOff>6350</xdr:rowOff>
    </xdr:to>
    <xdr:sp macro="" textlink="">
      <xdr:nvSpPr>
        <xdr:cNvPr id="4" name="TextBox 3">
          <a:extLst>
            <a:ext uri="{FF2B5EF4-FFF2-40B4-BE49-F238E27FC236}">
              <a16:creationId xmlns="" xmlns:a16="http://schemas.microsoft.com/office/drawing/2014/main" id="{00000000-0008-0000-0500-000005000000}"/>
            </a:ext>
          </a:extLst>
        </xdr:cNvPr>
        <xdr:cNvSpPr txBox="1"/>
      </xdr:nvSpPr>
      <xdr:spPr>
        <a:xfrm>
          <a:off x="7842250" y="584200"/>
          <a:ext cx="5727700" cy="1898650"/>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tIns="0" rIns="45720" bIns="0" rtlCol="0" anchor="ctr"/>
        <a:lstStyle/>
        <a:p>
          <a:r>
            <a:rPr lang="en-US" sz="1800">
              <a:sym typeface="Wingdings"/>
            </a:rPr>
            <a:t></a:t>
          </a:r>
          <a:r>
            <a:rPr lang="en-US" sz="1100" b="1"/>
            <a:t>Click on BUY NOW button </a:t>
          </a:r>
          <a:r>
            <a:rPr lang="en-US" sz="1100"/>
            <a:t>to bring you to paypal website. You don't need to open a paypal account. You can pay with or without paypal account using paypal balance or credit card.</a:t>
          </a:r>
        </a:p>
        <a:p>
          <a:r>
            <a:rPr lang="en-US" sz="1800">
              <a:sym typeface="Wingdings"/>
            </a:rPr>
            <a:t></a:t>
          </a:r>
          <a:r>
            <a:rPr lang="en-US" sz="1100"/>
            <a:t>After successful transaction</a:t>
          </a:r>
          <a:r>
            <a:rPr lang="en-US" sz="1100" b="1"/>
            <a:t>, you will receive an email to download the file </a:t>
          </a:r>
          <a:r>
            <a:rPr lang="en-US" sz="1100"/>
            <a:t>to your paypal email address automatically</a:t>
          </a:r>
        </a:p>
        <a:p>
          <a:r>
            <a:rPr lang="en-US" sz="1800">
              <a:sym typeface="Wingdings"/>
            </a:rPr>
            <a:t></a:t>
          </a:r>
          <a:r>
            <a:rPr lang="en-US" sz="1100" b="1"/>
            <a:t>Check your SPAM folder</a:t>
          </a:r>
          <a:r>
            <a:rPr lang="en-US" sz="1100"/>
            <a:t> </a:t>
          </a:r>
          <a:r>
            <a:rPr lang="en-US" sz="1100" b="1"/>
            <a:t>if you don't receive the email in your inbox folder </a:t>
          </a:r>
          <a:r>
            <a:rPr lang="en-US" sz="1100"/>
            <a:t>after 15 minutes. Sometimes, security of your email system will direct the email that contains link to spam folder</a:t>
          </a:r>
        </a:p>
        <a:p>
          <a:r>
            <a:rPr lang="en-US" sz="1800">
              <a:sym typeface="Wingdings"/>
            </a:rPr>
            <a:t></a:t>
          </a:r>
          <a:r>
            <a:rPr lang="en-US" sz="1100"/>
            <a:t>Email us at </a:t>
          </a:r>
          <a:r>
            <a:rPr lang="en-US" sz="1100" b="1"/>
            <a:t>support@journalsheet.com</a:t>
          </a:r>
          <a:r>
            <a:rPr lang="en-US" sz="1100"/>
            <a:t> if you still don't receive it or you have issue on downloading the file</a:t>
          </a:r>
        </a:p>
      </xdr:txBody>
    </xdr:sp>
    <xdr:clientData/>
  </xdr:twoCellAnchor>
  <xdr:twoCellAnchor>
    <xdr:from>
      <xdr:col>9</xdr:col>
      <xdr:colOff>800100</xdr:colOff>
      <xdr:row>4</xdr:row>
      <xdr:rowOff>25400</xdr:rowOff>
    </xdr:from>
    <xdr:to>
      <xdr:col>11</xdr:col>
      <xdr:colOff>0</xdr:colOff>
      <xdr:row>6</xdr:row>
      <xdr:rowOff>127000</xdr:rowOff>
    </xdr:to>
    <xdr:sp macro="" textlink="">
      <xdr:nvSpPr>
        <xdr:cNvPr id="5" name="Chevron 4">
          <a:extLst>
            <a:ext uri="{FF2B5EF4-FFF2-40B4-BE49-F238E27FC236}">
              <a16:creationId xmlns="" xmlns:a16="http://schemas.microsoft.com/office/drawing/2014/main" id="{00000000-0008-0000-0500-000006000000}"/>
            </a:ext>
          </a:extLst>
        </xdr:cNvPr>
        <xdr:cNvSpPr/>
      </xdr:nvSpPr>
      <xdr:spPr>
        <a:xfrm rot="10800000">
          <a:off x="7505700" y="596900"/>
          <a:ext cx="336550" cy="482600"/>
        </a:xfrm>
        <a:prstGeom prst="chevron">
          <a:avLst/>
        </a:prstGeom>
        <a:solidFill>
          <a:schemeClr val="accent5">
            <a:lumMod val="5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63500</xdr:colOff>
      <xdr:row>4</xdr:row>
      <xdr:rowOff>50800</xdr:rowOff>
    </xdr:from>
    <xdr:to>
      <xdr:col>16</xdr:col>
      <xdr:colOff>63500</xdr:colOff>
      <xdr:row>79</xdr:row>
      <xdr:rowOff>31750</xdr:rowOff>
    </xdr:to>
    <xdr:sp macro="" textlink="">
      <xdr:nvSpPr>
        <xdr:cNvPr id="2" name="TextBox 1">
          <a:extLst>
            <a:ext uri="{FF2B5EF4-FFF2-40B4-BE49-F238E27FC236}">
              <a16:creationId xmlns="" xmlns:a16="http://schemas.microsoft.com/office/drawing/2014/main" id="{00000000-0008-0000-0600-000002000000}"/>
            </a:ext>
          </a:extLst>
        </xdr:cNvPr>
        <xdr:cNvSpPr txBox="1"/>
      </xdr:nvSpPr>
      <xdr:spPr>
        <a:xfrm>
          <a:off x="177800" y="622300"/>
          <a:ext cx="9144000" cy="1188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dk1"/>
              </a:solidFill>
              <a:effectLst/>
              <a:latin typeface="+mn-lt"/>
              <a:ea typeface="+mn-ea"/>
              <a:cs typeface="+mn-cs"/>
            </a:rPr>
            <a:t>SINGLE-USER LICENSE AGREEMENT FOR JOURNALSHEET.COM SPREADSHEET </a:t>
          </a:r>
          <a:endParaRPr lang="en-US" sz="1800">
            <a:effectLst/>
          </a:endParaRPr>
        </a:p>
        <a:p>
          <a:r>
            <a:rPr lang="en-US" sz="1100" b="1">
              <a:solidFill>
                <a:schemeClr val="dk1"/>
              </a:solidFill>
              <a:effectLst/>
              <a:latin typeface="+mn-lt"/>
              <a:ea typeface="+mn-ea"/>
              <a:cs typeface="+mn-cs"/>
            </a:rPr>
            <a:t/>
          </a:r>
          <a:br>
            <a:rPr lang="en-US" sz="1100" b="1">
              <a:solidFill>
                <a:schemeClr val="dk1"/>
              </a:solidFill>
              <a:effectLst/>
              <a:latin typeface="+mn-lt"/>
              <a:ea typeface="+mn-ea"/>
              <a:cs typeface="+mn-cs"/>
            </a:rPr>
          </a:br>
          <a:r>
            <a:rPr lang="en-US" sz="1400" b="1">
              <a:solidFill>
                <a:schemeClr val="dk1"/>
              </a:solidFill>
              <a:effectLst/>
              <a:latin typeface="+mn-lt"/>
              <a:ea typeface="+mn-ea"/>
              <a:cs typeface="+mn-cs"/>
            </a:rPr>
            <a:t>IMPORTANT </a:t>
          </a:r>
          <a:endParaRPr lang="en-US">
            <a:effectLst/>
          </a:endParaRPr>
        </a:p>
        <a:p>
          <a:r>
            <a:rPr lang="en-US" sz="1100" b="1">
              <a:solidFill>
                <a:schemeClr val="dk1"/>
              </a:solidFill>
              <a:effectLst/>
              <a:latin typeface="+mn-lt"/>
              <a:ea typeface="+mn-ea"/>
              <a:cs typeface="+mn-cs"/>
            </a:rPr>
            <a:t/>
          </a:r>
          <a:br>
            <a:rPr lang="en-US" sz="1100" b="1">
              <a:solidFill>
                <a:schemeClr val="dk1"/>
              </a:solidFill>
              <a:effectLst/>
              <a:latin typeface="+mn-lt"/>
              <a:ea typeface="+mn-ea"/>
              <a:cs typeface="+mn-cs"/>
            </a:rPr>
          </a:br>
          <a:r>
            <a:rPr lang="en-US" sz="1100" b="1">
              <a:solidFill>
                <a:schemeClr val="dk1"/>
              </a:solidFill>
              <a:effectLst/>
              <a:latin typeface="+mn-lt"/>
              <a:ea typeface="+mn-ea"/>
              <a:cs typeface="+mn-cs"/>
            </a:rPr>
            <a:t>PLEASE READ THE TERMS AND CONDITIONS OF THIS LICENSE AGREEMENT CAREFULLY BEFORE USING THIS SOFTWARE</a:t>
          </a:r>
          <a:endParaRPr lang="en-US">
            <a:effectLst/>
          </a:endParaRPr>
        </a:p>
        <a:p>
          <a:r>
            <a:rPr lang="en-US" sz="1100">
              <a:solidFill>
                <a:schemeClr val="dk1"/>
              </a:solidFill>
              <a:effectLst/>
              <a:latin typeface="+mn-lt"/>
              <a:ea typeface="+mn-ea"/>
              <a:cs typeface="+mn-cs"/>
            </a:rPr>
            <a:t>This is a legal agreement between you (either an individual or a single entity) and JOURNALSHEET.COM for the JOURNALSHEET.COM SPREADSHEET identified above which may include associated software components, media, printed materials, and "online" or electronic documentation ("JOURNALSHEET.COM SPREADSHEET "). By installing, copying, or otherwise using the JOURNALSHEET.COM SPREADSHEET, you agree to be bound by the terms of this agreement. This license agreement represents the entire agreement concerning the program between you and JOURNALSHEET.COM, (referred to as "licenser"), and it supersedes any prior proposal, representation, or understanding between the parties. If you do not agree to the terms of this agreement, do not install or use the JOURNALSHEET.COM SPREADSHEET.</a:t>
          </a:r>
        </a:p>
        <a:p>
          <a:endParaRPr lang="en-US">
            <a:effectLst/>
          </a:endParaRPr>
        </a:p>
        <a:p>
          <a:r>
            <a:rPr lang="en-US" sz="1100">
              <a:solidFill>
                <a:schemeClr val="dk1"/>
              </a:solidFill>
              <a:effectLst/>
              <a:latin typeface="+mn-lt"/>
              <a:ea typeface="+mn-ea"/>
              <a:cs typeface="+mn-cs"/>
            </a:rPr>
            <a:t>The JOURNALSHEET.COM SPREADSHEET is protected by copyright laws and international copyright treaties, as well as other intellectual property laws and treaties. The JOURNALSHEET.COM SPREADSHEET is licensed, not sold.</a:t>
          </a:r>
        </a:p>
        <a:p>
          <a:endParaRPr lang="en-US">
            <a:effectLst/>
          </a:endParaRPr>
        </a:p>
        <a:p>
          <a:r>
            <a:rPr lang="en-US" sz="1100" b="1">
              <a:solidFill>
                <a:schemeClr val="dk1"/>
              </a:solidFill>
              <a:effectLst/>
              <a:latin typeface="+mn-lt"/>
              <a:ea typeface="+mn-ea"/>
              <a:cs typeface="+mn-cs"/>
            </a:rPr>
            <a:t>1. GRANT OF LICENSE TO MULTI-USER.</a:t>
          </a:r>
          <a:endParaRPr lang="en-US">
            <a:effectLst/>
          </a:endParaRPr>
        </a:p>
        <a:p>
          <a:r>
            <a:rPr lang="en-US" sz="1100">
              <a:solidFill>
                <a:schemeClr val="dk1"/>
              </a:solidFill>
              <a:effectLst/>
              <a:latin typeface="+mn-lt"/>
              <a:ea typeface="+mn-ea"/>
              <a:cs typeface="+mn-cs"/>
            </a:rPr>
            <a:t>The JOURNALSHEET.COM SPREADSHEET is licensed as follows:</a:t>
          </a:r>
          <a:endParaRPr lang="en-US">
            <a:effectLst/>
          </a:endParaRPr>
        </a:p>
        <a:p>
          <a:r>
            <a:rPr lang="en-US" sz="1100">
              <a:solidFill>
                <a:schemeClr val="dk1"/>
              </a:solidFill>
              <a:effectLst/>
              <a:latin typeface="+mn-lt"/>
              <a:ea typeface="+mn-ea"/>
              <a:cs typeface="+mn-cs"/>
            </a:rPr>
            <a:t>(a) Installation and Use.</a:t>
          </a:r>
          <a:endParaRPr lang="en-US">
            <a:effectLst/>
          </a:endParaRPr>
        </a:p>
        <a:p>
          <a:r>
            <a:rPr lang="en-US" sz="1100">
              <a:solidFill>
                <a:schemeClr val="dk1"/>
              </a:solidFill>
              <a:effectLst/>
              <a:latin typeface="+mn-lt"/>
              <a:ea typeface="+mn-ea"/>
              <a:cs typeface="+mn-cs"/>
            </a:rPr>
            <a:t>JOURNALSHEET.COM grants you the right to install and use copies of the JOURNALSHEET.COM SPREADSHEET on computers within one particular specified location or on a network at a single site (e.g. office) and your running validly licensed copies of the office suite [Microsoft Excel 2007</a:t>
          </a:r>
          <a:r>
            <a:rPr lang="en-US" sz="1100" baseline="0">
              <a:solidFill>
                <a:schemeClr val="dk1"/>
              </a:solidFill>
              <a:effectLst/>
              <a:latin typeface="+mn-lt"/>
              <a:ea typeface="+mn-ea"/>
              <a:cs typeface="+mn-cs"/>
            </a:rPr>
            <a:t> - 2019</a:t>
          </a:r>
          <a:r>
            <a:rPr lang="en-US" sz="1100">
              <a:solidFill>
                <a:schemeClr val="dk1"/>
              </a:solidFill>
              <a:effectLst/>
              <a:latin typeface="+mn-lt"/>
              <a:ea typeface="+mn-ea"/>
              <a:cs typeface="+mn-cs"/>
            </a:rPr>
            <a:t>) and Windows Operating System</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[Windows NT, Windows 2003, Windows XP, Windows Vista, Windows 7, Windows 8, Windows 10 ] and</a:t>
          </a:r>
          <a:r>
            <a:rPr lang="en-US" sz="1100" baseline="0">
              <a:solidFill>
                <a:schemeClr val="dk1"/>
              </a:solidFill>
              <a:effectLst/>
              <a:latin typeface="+mn-lt"/>
              <a:ea typeface="+mn-ea"/>
              <a:cs typeface="+mn-cs"/>
            </a:rPr>
            <a:t> Mac Operating System </a:t>
          </a:r>
          <a:r>
            <a:rPr lang="en-US" sz="1100">
              <a:solidFill>
                <a:schemeClr val="dk1"/>
              </a:solidFill>
              <a:effectLst/>
              <a:latin typeface="+mn-lt"/>
              <a:ea typeface="+mn-ea"/>
              <a:cs typeface="+mn-cs"/>
            </a:rPr>
            <a:t>for which the JOURNALSHEET.COM SPREADSHEET was designed.</a:t>
          </a:r>
          <a:endParaRPr lang="en-US">
            <a:effectLst/>
          </a:endParaRPr>
        </a:p>
        <a:p>
          <a:r>
            <a:rPr lang="en-US" sz="1100">
              <a:solidFill>
                <a:schemeClr val="dk1"/>
              </a:solidFill>
              <a:effectLst/>
              <a:latin typeface="+mn-lt"/>
              <a:ea typeface="+mn-ea"/>
              <a:cs typeface="+mn-cs"/>
            </a:rPr>
            <a:t>(b) Backup Copies.</a:t>
          </a:r>
          <a:endParaRPr lang="en-US">
            <a:effectLst/>
          </a:endParaRPr>
        </a:p>
        <a:p>
          <a:r>
            <a:rPr lang="en-US" sz="1100">
              <a:solidFill>
                <a:schemeClr val="dk1"/>
              </a:solidFill>
              <a:effectLst/>
              <a:latin typeface="+mn-lt"/>
              <a:ea typeface="+mn-ea"/>
              <a:cs typeface="+mn-cs"/>
            </a:rPr>
            <a:t>You may also make copies of the JOURNALSHEET.COM SPREADSHEET as may be necessary for backup and archival purposes.</a:t>
          </a:r>
        </a:p>
        <a:p>
          <a:endParaRPr lang="en-US">
            <a:effectLst/>
          </a:endParaRPr>
        </a:p>
        <a:p>
          <a:r>
            <a:rPr lang="en-US" sz="1100" b="1">
              <a:solidFill>
                <a:schemeClr val="dk1"/>
              </a:solidFill>
              <a:effectLst/>
              <a:latin typeface="+mn-lt"/>
              <a:ea typeface="+mn-ea"/>
              <a:cs typeface="+mn-cs"/>
            </a:rPr>
            <a:t>2. DESCRIPTION OF OTHER RIGHTS AND LIMITATIONS.</a:t>
          </a:r>
          <a:endParaRPr lang="en-US">
            <a:effectLst/>
          </a:endParaRPr>
        </a:p>
        <a:p>
          <a:r>
            <a:rPr lang="en-US" sz="1100">
              <a:solidFill>
                <a:schemeClr val="dk1"/>
              </a:solidFill>
              <a:effectLst/>
              <a:latin typeface="+mn-lt"/>
              <a:ea typeface="+mn-ea"/>
              <a:cs typeface="+mn-cs"/>
            </a:rPr>
            <a:t>(a) Maintenance of Copyright Notices.</a:t>
          </a:r>
          <a:endParaRPr lang="en-US">
            <a:effectLst/>
          </a:endParaRPr>
        </a:p>
        <a:p>
          <a:r>
            <a:rPr lang="en-US" sz="1100">
              <a:solidFill>
                <a:schemeClr val="dk1"/>
              </a:solidFill>
              <a:effectLst/>
              <a:latin typeface="+mn-lt"/>
              <a:ea typeface="+mn-ea"/>
              <a:cs typeface="+mn-cs"/>
            </a:rPr>
            <a:t>You must not remove or alter any copyright notices on any and all copies of the JOURNALSHEET.COM SPREADSHEET.</a:t>
          </a:r>
          <a:endParaRPr lang="en-US">
            <a:effectLst/>
          </a:endParaRPr>
        </a:p>
        <a:p>
          <a:r>
            <a:rPr lang="en-US" sz="1100">
              <a:solidFill>
                <a:schemeClr val="dk1"/>
              </a:solidFill>
              <a:effectLst/>
              <a:latin typeface="+mn-lt"/>
              <a:ea typeface="+mn-ea"/>
              <a:cs typeface="+mn-cs"/>
            </a:rPr>
            <a:t>(b) Distribution.</a:t>
          </a:r>
          <a:endParaRPr lang="en-US">
            <a:effectLst/>
          </a:endParaRPr>
        </a:p>
        <a:p>
          <a:r>
            <a:rPr lang="en-US" sz="1100">
              <a:solidFill>
                <a:schemeClr val="dk1"/>
              </a:solidFill>
              <a:effectLst/>
              <a:latin typeface="+mn-lt"/>
              <a:ea typeface="+mn-ea"/>
              <a:cs typeface="+mn-cs"/>
            </a:rPr>
            <a:t>You may not distribute registered copies of the JOURNALSHEET.COM SPREADSHEET to third parties. Evaluation versions available for download from JOURNALSHEET.COM's websites may be freely distributed.</a:t>
          </a:r>
          <a:endParaRPr lang="en-US">
            <a:effectLst/>
          </a:endParaRPr>
        </a:p>
        <a:p>
          <a:r>
            <a:rPr lang="en-US" sz="1100">
              <a:solidFill>
                <a:schemeClr val="dk1"/>
              </a:solidFill>
              <a:effectLst/>
              <a:latin typeface="+mn-lt"/>
              <a:ea typeface="+mn-ea"/>
              <a:cs typeface="+mn-cs"/>
            </a:rPr>
            <a:t>(c) Prohibition on Reverse Engineering, Decompilation, and Disassembly.</a:t>
          </a:r>
          <a:endParaRPr lang="en-US">
            <a:effectLst/>
          </a:endParaRPr>
        </a:p>
        <a:p>
          <a:r>
            <a:rPr lang="en-US" sz="1100">
              <a:solidFill>
                <a:schemeClr val="dk1"/>
              </a:solidFill>
              <a:effectLst/>
              <a:latin typeface="+mn-lt"/>
              <a:ea typeface="+mn-ea"/>
              <a:cs typeface="+mn-cs"/>
            </a:rPr>
            <a:t>You may not reverse engineer, decompile, or disassemble the JOURNALSHEET.COM SPREADSHEET, except and only to the extent that such activity is expressly permitted by applicable law notwithstanding this limitation.</a:t>
          </a:r>
          <a:endParaRPr lang="en-US">
            <a:effectLst/>
          </a:endParaRPr>
        </a:p>
        <a:p>
          <a:r>
            <a:rPr lang="en-US" sz="1100">
              <a:solidFill>
                <a:schemeClr val="dk1"/>
              </a:solidFill>
              <a:effectLst/>
              <a:latin typeface="+mn-lt"/>
              <a:ea typeface="+mn-ea"/>
              <a:cs typeface="+mn-cs"/>
            </a:rPr>
            <a:t>(d) Rental.</a:t>
          </a:r>
          <a:endParaRPr lang="en-US">
            <a:effectLst/>
          </a:endParaRPr>
        </a:p>
        <a:p>
          <a:r>
            <a:rPr lang="en-US" sz="1100">
              <a:solidFill>
                <a:schemeClr val="dk1"/>
              </a:solidFill>
              <a:effectLst/>
              <a:latin typeface="+mn-lt"/>
              <a:ea typeface="+mn-ea"/>
              <a:cs typeface="+mn-cs"/>
            </a:rPr>
            <a:t>You may not rent, lease, or lend the JOURNALSHEET.COM SPREADSHEET.</a:t>
          </a:r>
          <a:endParaRPr lang="en-US">
            <a:effectLst/>
          </a:endParaRPr>
        </a:p>
        <a:p>
          <a:r>
            <a:rPr lang="en-US" sz="1100">
              <a:solidFill>
                <a:schemeClr val="dk1"/>
              </a:solidFill>
              <a:effectLst/>
              <a:latin typeface="+mn-lt"/>
              <a:ea typeface="+mn-ea"/>
              <a:cs typeface="+mn-cs"/>
            </a:rPr>
            <a:t>(e) Support Services.</a:t>
          </a:r>
          <a:endParaRPr lang="en-US">
            <a:effectLst/>
          </a:endParaRPr>
        </a:p>
        <a:p>
          <a:r>
            <a:rPr lang="en-US" sz="1100">
              <a:solidFill>
                <a:schemeClr val="dk1"/>
              </a:solidFill>
              <a:effectLst/>
              <a:latin typeface="+mn-lt"/>
              <a:ea typeface="+mn-ea"/>
              <a:cs typeface="+mn-cs"/>
            </a:rPr>
            <a:t>JOURNALSHEET.COM may provide you with support services related to the JOURNALSHEET.COM SPREADSHEET ("Support Services"). Any supplemental software code provided to you as part of the Support Services shall be considered part of the JOURNALSHEET.COM SPREADSHEET and subject to the terms and conditions of this agreement.</a:t>
          </a:r>
          <a:endParaRPr lang="en-US">
            <a:effectLst/>
          </a:endParaRPr>
        </a:p>
        <a:p>
          <a:r>
            <a:rPr lang="en-US" sz="1100">
              <a:solidFill>
                <a:schemeClr val="dk1"/>
              </a:solidFill>
              <a:effectLst/>
              <a:latin typeface="+mn-lt"/>
              <a:ea typeface="+mn-ea"/>
              <a:cs typeface="+mn-cs"/>
            </a:rPr>
            <a:t>(f) Compliance with Applicable Laws.</a:t>
          </a:r>
          <a:endParaRPr lang="en-US">
            <a:effectLst/>
          </a:endParaRPr>
        </a:p>
        <a:p>
          <a:r>
            <a:rPr lang="en-US" sz="1100">
              <a:solidFill>
                <a:schemeClr val="dk1"/>
              </a:solidFill>
              <a:effectLst/>
              <a:latin typeface="+mn-lt"/>
              <a:ea typeface="+mn-ea"/>
              <a:cs typeface="+mn-cs"/>
            </a:rPr>
            <a:t>You must comply with all applicable laws regarding use of the JOURNALSHEET.COM SPREADSHEET.</a:t>
          </a:r>
        </a:p>
        <a:p>
          <a:endParaRPr lang="en-US">
            <a:effectLst/>
          </a:endParaRPr>
        </a:p>
        <a:p>
          <a:r>
            <a:rPr lang="en-US" sz="1100" b="1">
              <a:solidFill>
                <a:schemeClr val="dk1"/>
              </a:solidFill>
              <a:effectLst/>
              <a:latin typeface="+mn-lt"/>
              <a:ea typeface="+mn-ea"/>
              <a:cs typeface="+mn-cs"/>
            </a:rPr>
            <a:t>3. TERMINATION</a:t>
          </a:r>
          <a:endParaRPr lang="en-US">
            <a:effectLst/>
          </a:endParaRPr>
        </a:p>
        <a:p>
          <a:r>
            <a:rPr lang="en-US" sz="1100">
              <a:solidFill>
                <a:schemeClr val="dk1"/>
              </a:solidFill>
              <a:effectLst/>
              <a:latin typeface="+mn-lt"/>
              <a:ea typeface="+mn-ea"/>
              <a:cs typeface="+mn-cs"/>
            </a:rPr>
            <a:t>Without prejudice to any other rights, JOURNALSHEET.COM may terminate this agreement if you fail to comply with the terms and conditions of this agreement. In such event, you must destroy all copies of the JOURNALSHEET.COM SPREADSHEET in your possession.</a:t>
          </a:r>
        </a:p>
        <a:p>
          <a:endParaRPr lang="en-US">
            <a:effectLst/>
          </a:endParaRPr>
        </a:p>
        <a:p>
          <a:r>
            <a:rPr lang="en-US" sz="1100" b="1">
              <a:solidFill>
                <a:schemeClr val="dk1"/>
              </a:solidFill>
              <a:effectLst/>
              <a:latin typeface="+mn-lt"/>
              <a:ea typeface="+mn-ea"/>
              <a:cs typeface="+mn-cs"/>
            </a:rPr>
            <a:t>4. COPYRIGHT</a:t>
          </a:r>
          <a:endParaRPr lang="en-US">
            <a:effectLst/>
          </a:endParaRPr>
        </a:p>
        <a:p>
          <a:r>
            <a:rPr lang="en-US" sz="1100">
              <a:solidFill>
                <a:schemeClr val="dk1"/>
              </a:solidFill>
              <a:effectLst/>
              <a:latin typeface="+mn-lt"/>
              <a:ea typeface="+mn-ea"/>
              <a:cs typeface="+mn-cs"/>
            </a:rPr>
            <a:t>All title, including but not limited to copyrights, in and to the JOURNALSHEET.COM SPREADSHEET and any copies thereof are owned by JOURNALSHEET.COM or its suppliers. All title and intellectual property rights in and to the content which may be accessed through use of the JOURNALSHEET.COM SPREADSHEET is the property of the respective content owner and may be protected by applicable copyright or other intellectual property laws and treaties. This agreement grants you no rights to use such content. All rights not expressly granted are reserved by JOURNALSHEET.COM.</a:t>
          </a:r>
        </a:p>
        <a:p>
          <a:endParaRPr lang="en-US">
            <a:effectLst/>
          </a:endParaRPr>
        </a:p>
        <a:p>
          <a:r>
            <a:rPr lang="en-US" sz="1100" b="1">
              <a:solidFill>
                <a:schemeClr val="dk1"/>
              </a:solidFill>
              <a:effectLst/>
              <a:latin typeface="+mn-lt"/>
              <a:ea typeface="+mn-ea"/>
              <a:cs typeface="+mn-cs"/>
            </a:rPr>
            <a:t>5. NO WARRANTIES</a:t>
          </a:r>
          <a:endParaRPr lang="en-US">
            <a:effectLst/>
          </a:endParaRPr>
        </a:p>
        <a:p>
          <a:r>
            <a:rPr lang="en-US" sz="1100">
              <a:solidFill>
                <a:schemeClr val="dk1"/>
              </a:solidFill>
              <a:effectLst/>
              <a:latin typeface="+mn-lt"/>
              <a:ea typeface="+mn-ea"/>
              <a:cs typeface="+mn-cs"/>
            </a:rPr>
            <a:t>JOURNALSHEET.COM expressly disclaims any warranty for the JOURNALSHEET.COM SPREADSHEET. The JOURNALSHEET.COM SPREADSHEET is provided 'As Is' without any express or implied warranty of any kind, including but not limited to any warranties of merchantability, noninfringement, or fitness of a particular purpose. JOURNALSHEET.COM does not warrant or assume responsibility for the accuracy or completeness of any information, text, graphics, links or other items contained within the JOURNALSHEET.COM SPREADSHEET. JOURNALSHEET.COM makes no warranties respecting any harm that may be caused by the transmission of a computer virus, worm, time bomb, logic bomb, or other such computer program. JOURNALSHEET.COM further expressly disclaims any warranty or representation to Authorized Users or to any third party.</a:t>
          </a:r>
        </a:p>
        <a:p>
          <a:endParaRPr lang="en-US">
            <a:effectLst/>
          </a:endParaRPr>
        </a:p>
        <a:p>
          <a:r>
            <a:rPr lang="en-US" sz="1100" b="1">
              <a:solidFill>
                <a:schemeClr val="dk1"/>
              </a:solidFill>
              <a:effectLst/>
              <a:latin typeface="+mn-lt"/>
              <a:ea typeface="+mn-ea"/>
              <a:cs typeface="+mn-cs"/>
            </a:rPr>
            <a:t>6. LIMITATION OF LIABILITY</a:t>
          </a:r>
          <a:endParaRPr lang="en-US">
            <a:effectLst/>
          </a:endParaRPr>
        </a:p>
        <a:p>
          <a:r>
            <a:rPr lang="en-US" sz="1100">
              <a:solidFill>
                <a:schemeClr val="dk1"/>
              </a:solidFill>
              <a:effectLst/>
              <a:latin typeface="+mn-lt"/>
              <a:ea typeface="+mn-ea"/>
              <a:cs typeface="+mn-cs"/>
            </a:rPr>
            <a:t>In no event shall JOURNALSHEET.COM be liable for any damages (including, without limitation, lost profits, business interruption, or lost information) rising out of 'Authorized Users' use of or inability to use the JOURNALSHEET.COM SPREADSHEET, even if JOURNALSHEET.COM has been advised of the possibility of such damages. In no event will JOURNALSHEET.COM be liable for loss of data or for indirect, special, incidental, consequential (including lost profit), or other damages based in contract, tort or otherwise. JOURNALSHEET.COM shall have no liability with respect to the content of the JOURNALSHEET.COM SPREADSHEET or any part thereof, including but not limited to errors or omissions contained therein, libel, infringements of rights of publicity, privacy, trademark rights, business interruption, personal injury, loss of privacy, moral rights or the disclosure of confidential information.</a:t>
          </a:r>
          <a:endParaRPr lang="en-US">
            <a:effectLst/>
          </a:endParaRP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journalsheet.com/" TargetMode="External"/><Relationship Id="rId1" Type="http://schemas.openxmlformats.org/officeDocument/2006/relationships/hyperlink" Target="https://journalsheet.com/"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102"/>
  <sheetViews>
    <sheetView showGridLines="0" workbookViewId="0">
      <pane ySplit="4" topLeftCell="A5" activePane="bottomLeft" state="frozen"/>
      <selection activeCell="R23" sqref="R23"/>
      <selection pane="bottomLeft" activeCell="C27" sqref="C27"/>
    </sheetView>
  </sheetViews>
  <sheetFormatPr defaultColWidth="8.90625" defaultRowHeight="14.5" x14ac:dyDescent="0.25"/>
  <cols>
    <col min="1" max="1" width="1.6328125" style="23" customWidth="1"/>
    <col min="2" max="2" width="3.1796875" style="23" bestFit="1" customWidth="1"/>
    <col min="3" max="4" width="40.6328125" style="23" customWidth="1"/>
    <col min="5" max="5" width="2.1796875" style="23" customWidth="1"/>
    <col min="6" max="6" width="3.90625" style="23" customWidth="1"/>
    <col min="7" max="16384" width="8.90625" style="23"/>
  </cols>
  <sheetData>
    <row r="1" spans="1:103" s="1" customFormat="1" ht="5" customHeight="1" x14ac:dyDescent="0.25"/>
    <row r="2" spans="1:103" s="2" customFormat="1" ht="5" customHeight="1" x14ac:dyDescent="0.35">
      <c r="D2" s="3"/>
      <c r="E2" s="4"/>
      <c r="N2" s="5"/>
      <c r="O2" s="6"/>
      <c r="P2" s="6"/>
      <c r="Q2" s="6"/>
      <c r="R2" s="6"/>
      <c r="S2" s="7"/>
      <c r="T2" s="8"/>
      <c r="U2" s="9"/>
      <c r="V2" s="10"/>
      <c r="CO2" s="5"/>
      <c r="CP2" s="5"/>
      <c r="CQ2" s="5"/>
      <c r="CR2" s="5"/>
    </row>
    <row r="3" spans="1:103" s="11" customFormat="1" ht="30" customHeight="1" x14ac:dyDescent="0.35">
      <c r="B3" s="12" t="s">
        <v>0</v>
      </c>
      <c r="C3" s="13"/>
      <c r="D3" s="14"/>
      <c r="E3" s="15"/>
      <c r="F3" s="13"/>
      <c r="G3" s="13"/>
      <c r="H3" s="13"/>
      <c r="I3" s="13"/>
      <c r="J3" s="13"/>
      <c r="K3" s="13"/>
      <c r="L3" s="13"/>
      <c r="M3" s="13"/>
      <c r="N3" s="13"/>
      <c r="O3" s="13"/>
      <c r="P3" s="13"/>
      <c r="Q3" s="13"/>
      <c r="R3" s="13"/>
      <c r="S3" s="13"/>
      <c r="T3" s="16"/>
      <c r="U3" s="17"/>
      <c r="V3" s="13"/>
      <c r="W3" s="13"/>
      <c r="X3" s="13"/>
      <c r="Y3" s="13"/>
      <c r="Z3" s="13"/>
      <c r="AA3" s="13"/>
      <c r="AB3" s="13"/>
      <c r="AC3" s="13"/>
      <c r="AD3" s="13"/>
      <c r="AE3" s="13"/>
    </row>
    <row r="4" spans="1:103" s="18" customFormat="1" ht="5" customHeight="1" x14ac:dyDescent="0.35">
      <c r="D4" s="19"/>
      <c r="M4" s="2"/>
      <c r="N4" s="5"/>
      <c r="O4" s="5"/>
      <c r="P4" s="5"/>
      <c r="Q4" s="5"/>
      <c r="R4" s="5"/>
      <c r="S4" s="20"/>
      <c r="T4" s="8"/>
      <c r="U4" s="9"/>
      <c r="V4" s="10"/>
      <c r="W4" s="2"/>
      <c r="X4" s="2"/>
      <c r="Y4" s="2"/>
      <c r="Z4" s="2"/>
      <c r="AA4" s="2"/>
      <c r="AB4" s="2"/>
      <c r="AC4" s="2"/>
      <c r="AD4" s="2"/>
      <c r="AE4" s="2"/>
      <c r="CV4" s="21"/>
      <c r="CW4" s="21"/>
      <c r="CX4" s="21"/>
      <c r="CY4" s="21"/>
    </row>
    <row r="5" spans="1:103" ht="15" customHeight="1" x14ac:dyDescent="0.35">
      <c r="A5" s="22"/>
      <c r="C5" s="24" t="s">
        <v>1</v>
      </c>
      <c r="D5" s="25">
        <v>0</v>
      </c>
      <c r="F5" s="26" t="s">
        <v>3</v>
      </c>
      <c r="G5" s="23" t="s">
        <v>4</v>
      </c>
    </row>
    <row r="6" spans="1:103" ht="15" customHeight="1" x14ac:dyDescent="0.35">
      <c r="C6" s="24" t="s">
        <v>5</v>
      </c>
      <c r="D6" s="27" t="s">
        <v>6</v>
      </c>
      <c r="F6" s="26" t="s">
        <v>3</v>
      </c>
      <c r="G6" s="23" t="s">
        <v>7</v>
      </c>
    </row>
    <row r="7" spans="1:103" ht="15" customHeight="1" x14ac:dyDescent="0.35">
      <c r="C7" s="28" t="s">
        <v>8</v>
      </c>
      <c r="D7" s="29" t="s">
        <v>9</v>
      </c>
      <c r="H7" s="30"/>
      <c r="I7" s="30"/>
    </row>
    <row r="8" spans="1:103" ht="15" customHeight="1" thickBot="1" x14ac:dyDescent="0.3">
      <c r="C8" s="31" t="s">
        <v>10</v>
      </c>
      <c r="D8" s="32" t="s">
        <v>11</v>
      </c>
      <c r="F8" s="33" t="s">
        <v>12</v>
      </c>
    </row>
    <row r="9" spans="1:103" ht="15" customHeight="1" x14ac:dyDescent="0.25">
      <c r="C9" s="34" t="s">
        <v>13</v>
      </c>
      <c r="D9" s="35" t="str">
        <f t="shared" ref="D9:D72" si="0">C9</f>
        <v>Austria</v>
      </c>
      <c r="F9" s="36">
        <v>1</v>
      </c>
      <c r="G9" s="23" t="s">
        <v>14</v>
      </c>
    </row>
    <row r="10" spans="1:103" ht="15" customHeight="1" x14ac:dyDescent="0.25">
      <c r="C10" s="37" t="s">
        <v>15</v>
      </c>
      <c r="D10" s="29" t="str">
        <f t="shared" si="0"/>
        <v>Belgium</v>
      </c>
      <c r="F10" s="36">
        <v>2</v>
      </c>
      <c r="G10" s="23" t="s">
        <v>16</v>
      </c>
    </row>
    <row r="11" spans="1:103" ht="15" customHeight="1" x14ac:dyDescent="0.25">
      <c r="C11" s="37" t="s">
        <v>17</v>
      </c>
      <c r="D11" s="29" t="str">
        <f t="shared" si="0"/>
        <v>Croatia</v>
      </c>
      <c r="F11" s="23">
        <v>3</v>
      </c>
      <c r="G11" s="23" t="s">
        <v>18</v>
      </c>
    </row>
    <row r="12" spans="1:103" ht="15" customHeight="1" x14ac:dyDescent="0.25">
      <c r="C12" s="37" t="s">
        <v>19</v>
      </c>
      <c r="D12" s="29" t="str">
        <f t="shared" si="0"/>
        <v>Czech Republic</v>
      </c>
    </row>
    <row r="13" spans="1:103" ht="15" customHeight="1" x14ac:dyDescent="0.25">
      <c r="C13" s="37" t="s">
        <v>20</v>
      </c>
      <c r="D13" s="29" t="str">
        <f t="shared" si="0"/>
        <v>Denmark</v>
      </c>
    </row>
    <row r="14" spans="1:103" ht="15" customHeight="1" x14ac:dyDescent="0.25">
      <c r="C14" s="37" t="s">
        <v>21</v>
      </c>
      <c r="D14" s="29" t="str">
        <f t="shared" si="0"/>
        <v>England</v>
      </c>
    </row>
    <row r="15" spans="1:103" ht="15" customHeight="1" x14ac:dyDescent="0.25">
      <c r="C15" s="37" t="s">
        <v>22</v>
      </c>
      <c r="D15" s="29" t="str">
        <f t="shared" si="0"/>
        <v>Finland</v>
      </c>
    </row>
    <row r="16" spans="1:103" ht="15" customHeight="1" x14ac:dyDescent="0.25">
      <c r="C16" s="37" t="s">
        <v>23</v>
      </c>
      <c r="D16" s="29" t="str">
        <f t="shared" si="0"/>
        <v>France</v>
      </c>
    </row>
    <row r="17" spans="3:4" ht="15" customHeight="1" x14ac:dyDescent="0.25">
      <c r="C17" s="37" t="s">
        <v>24</v>
      </c>
      <c r="D17" s="29" t="str">
        <f t="shared" si="0"/>
        <v>Germany</v>
      </c>
    </row>
    <row r="18" spans="3:4" ht="15" customHeight="1" x14ac:dyDescent="0.25">
      <c r="C18" s="37" t="s">
        <v>25</v>
      </c>
      <c r="D18" s="29" t="str">
        <f t="shared" si="0"/>
        <v>Hungary</v>
      </c>
    </row>
    <row r="19" spans="3:4" ht="15" customHeight="1" x14ac:dyDescent="0.25">
      <c r="C19" s="37" t="s">
        <v>26</v>
      </c>
      <c r="D19" s="29" t="str">
        <f t="shared" si="0"/>
        <v>Italy</v>
      </c>
    </row>
    <row r="20" spans="3:4" ht="15" customHeight="1" x14ac:dyDescent="0.25">
      <c r="C20" s="37" t="s">
        <v>27</v>
      </c>
      <c r="D20" s="29" t="str">
        <f t="shared" si="0"/>
        <v>Netherlands</v>
      </c>
    </row>
    <row r="21" spans="3:4" ht="15" customHeight="1" x14ac:dyDescent="0.25">
      <c r="C21" s="37" t="s">
        <v>28</v>
      </c>
      <c r="D21" s="29" t="str">
        <f t="shared" si="0"/>
        <v>North Macedonia</v>
      </c>
    </row>
    <row r="22" spans="3:4" ht="15" customHeight="1" x14ac:dyDescent="0.25">
      <c r="C22" s="37" t="s">
        <v>29</v>
      </c>
      <c r="D22" s="29" t="str">
        <f t="shared" si="0"/>
        <v>Poland</v>
      </c>
    </row>
    <row r="23" spans="3:4" ht="15" customHeight="1" x14ac:dyDescent="0.25">
      <c r="C23" s="37" t="s">
        <v>30</v>
      </c>
      <c r="D23" s="29" t="str">
        <f t="shared" si="0"/>
        <v>Portugal</v>
      </c>
    </row>
    <row r="24" spans="3:4" ht="15" customHeight="1" x14ac:dyDescent="0.25">
      <c r="C24" s="37" t="s">
        <v>31</v>
      </c>
      <c r="D24" s="29" t="str">
        <f t="shared" si="0"/>
        <v>Russia</v>
      </c>
    </row>
    <row r="25" spans="3:4" ht="15" customHeight="1" x14ac:dyDescent="0.25">
      <c r="C25" s="37" t="s">
        <v>32</v>
      </c>
      <c r="D25" s="29" t="str">
        <f t="shared" si="0"/>
        <v>Scotland</v>
      </c>
    </row>
    <row r="26" spans="3:4" ht="15" customHeight="1" x14ac:dyDescent="0.25">
      <c r="C26" s="37" t="s">
        <v>33</v>
      </c>
      <c r="D26" s="29" t="str">
        <f t="shared" si="0"/>
        <v>Slovakia</v>
      </c>
    </row>
    <row r="27" spans="3:4" ht="15" customHeight="1" x14ac:dyDescent="0.25">
      <c r="C27" s="37" t="s">
        <v>34</v>
      </c>
      <c r="D27" s="29" t="str">
        <f t="shared" si="0"/>
        <v>Spain</v>
      </c>
    </row>
    <row r="28" spans="3:4" ht="15" customHeight="1" x14ac:dyDescent="0.25">
      <c r="C28" s="37" t="s">
        <v>35</v>
      </c>
      <c r="D28" s="29" t="str">
        <f t="shared" si="0"/>
        <v>Sweden</v>
      </c>
    </row>
    <row r="29" spans="3:4" ht="15" customHeight="1" x14ac:dyDescent="0.25">
      <c r="C29" s="37" t="s">
        <v>36</v>
      </c>
      <c r="D29" s="29" t="str">
        <f t="shared" si="0"/>
        <v>Switzerland</v>
      </c>
    </row>
    <row r="30" spans="3:4" ht="15" customHeight="1" x14ac:dyDescent="0.25">
      <c r="C30" s="37" t="s">
        <v>37</v>
      </c>
      <c r="D30" s="29" t="str">
        <f t="shared" si="0"/>
        <v>Turkey</v>
      </c>
    </row>
    <row r="31" spans="3:4" ht="15" customHeight="1" x14ac:dyDescent="0.25">
      <c r="C31" s="37" t="s">
        <v>38</v>
      </c>
      <c r="D31" s="29" t="str">
        <f t="shared" si="0"/>
        <v>Ukraine</v>
      </c>
    </row>
    <row r="32" spans="3:4" ht="15" customHeight="1" x14ac:dyDescent="0.25">
      <c r="C32" s="37" t="s">
        <v>39</v>
      </c>
      <c r="D32" s="29" t="str">
        <f t="shared" si="0"/>
        <v>Wales</v>
      </c>
    </row>
    <row r="33" spans="3:4" ht="15" customHeight="1" x14ac:dyDescent="0.25">
      <c r="C33" s="37" t="s">
        <v>40</v>
      </c>
      <c r="D33" s="29" t="str">
        <f t="shared" si="0"/>
        <v>Language</v>
      </c>
    </row>
    <row r="34" spans="3:4" ht="15" customHeight="1" x14ac:dyDescent="0.25">
      <c r="C34" s="37" t="s">
        <v>41</v>
      </c>
      <c r="D34" s="29" t="str">
        <f t="shared" si="0"/>
        <v>Timezone</v>
      </c>
    </row>
    <row r="35" spans="3:4" ht="15" customHeight="1" x14ac:dyDescent="0.25">
      <c r="C35" s="37" t="s">
        <v>42</v>
      </c>
      <c r="D35" s="29" t="str">
        <f t="shared" si="0"/>
        <v>Group Stages</v>
      </c>
    </row>
    <row r="36" spans="3:4" ht="15" customHeight="1" x14ac:dyDescent="0.25">
      <c r="C36" s="37" t="s">
        <v>43</v>
      </c>
      <c r="D36" s="29" t="str">
        <f t="shared" si="0"/>
        <v>Venue</v>
      </c>
    </row>
    <row r="37" spans="3:4" ht="15" customHeight="1" x14ac:dyDescent="0.25">
      <c r="C37" s="37" t="s">
        <v>44</v>
      </c>
      <c r="D37" s="29" t="str">
        <f t="shared" si="0"/>
        <v>Standings</v>
      </c>
    </row>
    <row r="38" spans="3:4" ht="15" customHeight="1" x14ac:dyDescent="0.25">
      <c r="C38" s="37" t="s">
        <v>45</v>
      </c>
      <c r="D38" s="29" t="str">
        <f t="shared" si="0"/>
        <v>Group</v>
      </c>
    </row>
    <row r="39" spans="3:4" ht="15" customHeight="1" x14ac:dyDescent="0.25">
      <c r="C39" s="37" t="s">
        <v>46</v>
      </c>
      <c r="D39" s="29" t="str">
        <f t="shared" si="0"/>
        <v>Date</v>
      </c>
    </row>
    <row r="40" spans="3:4" ht="15" customHeight="1" x14ac:dyDescent="0.25">
      <c r="C40" s="37" t="s">
        <v>47</v>
      </c>
      <c r="D40" s="29" t="str">
        <f t="shared" si="0"/>
        <v>Country</v>
      </c>
    </row>
    <row r="41" spans="3:4" ht="15" customHeight="1" x14ac:dyDescent="0.25">
      <c r="C41" s="37" t="s">
        <v>48</v>
      </c>
      <c r="D41" s="29" t="str">
        <f t="shared" si="0"/>
        <v>Score</v>
      </c>
    </row>
    <row r="42" spans="3:4" ht="15" customHeight="1" x14ac:dyDescent="0.25">
      <c r="C42" s="37" t="s">
        <v>49</v>
      </c>
      <c r="D42" s="29" t="str">
        <f t="shared" si="0"/>
        <v>Time</v>
      </c>
    </row>
    <row r="43" spans="3:4" ht="15" customHeight="1" x14ac:dyDescent="0.25">
      <c r="C43" s="37" t="s">
        <v>50</v>
      </c>
      <c r="D43" s="29" t="str">
        <f t="shared" si="0"/>
        <v>Round of 16</v>
      </c>
    </row>
    <row r="44" spans="3:4" ht="15" customHeight="1" x14ac:dyDescent="0.25">
      <c r="C44" s="37" t="s">
        <v>51</v>
      </c>
      <c r="D44" s="29" t="str">
        <f t="shared" si="0"/>
        <v>Quarter Finals</v>
      </c>
    </row>
    <row r="45" spans="3:4" ht="15" customHeight="1" x14ac:dyDescent="0.25">
      <c r="C45" s="37" t="s">
        <v>52</v>
      </c>
      <c r="D45" s="29" t="str">
        <f t="shared" si="0"/>
        <v>Semi Finals</v>
      </c>
    </row>
    <row r="46" spans="3:4" ht="15" customHeight="1" x14ac:dyDescent="0.25">
      <c r="C46" s="37" t="s">
        <v>53</v>
      </c>
      <c r="D46" s="29" t="str">
        <f t="shared" si="0"/>
        <v>Final</v>
      </c>
    </row>
    <row r="47" spans="3:4" ht="15" customHeight="1" x14ac:dyDescent="0.25">
      <c r="C47" s="37" t="s">
        <v>54</v>
      </c>
      <c r="D47" s="29" t="str">
        <f t="shared" si="0"/>
        <v>Winner</v>
      </c>
    </row>
    <row r="48" spans="3:4" ht="15" customHeight="1" x14ac:dyDescent="0.25">
      <c r="C48" s="37" t="s">
        <v>55</v>
      </c>
      <c r="D48" s="29" t="str">
        <f t="shared" si="0"/>
        <v>Runner Up</v>
      </c>
    </row>
    <row r="49" spans="3:4" ht="15" customHeight="1" x14ac:dyDescent="0.25">
      <c r="C49" s="37" t="s">
        <v>56</v>
      </c>
      <c r="D49" s="29" t="str">
        <f t="shared" si="0"/>
        <v>Normal Time</v>
      </c>
    </row>
    <row r="50" spans="3:4" ht="15" customHeight="1" x14ac:dyDescent="0.25">
      <c r="C50" s="37" t="s">
        <v>57</v>
      </c>
      <c r="D50" s="29" t="str">
        <f t="shared" si="0"/>
        <v>Extra Time</v>
      </c>
    </row>
    <row r="51" spans="3:4" ht="15" customHeight="1" x14ac:dyDescent="0.25">
      <c r="C51" s="37" t="s">
        <v>58</v>
      </c>
      <c r="D51" s="29" t="str">
        <f t="shared" si="0"/>
        <v>Penalty Shoot Out</v>
      </c>
    </row>
    <row r="52" spans="3:4" ht="15" customHeight="1" x14ac:dyDescent="0.25">
      <c r="C52" s="37" t="s">
        <v>59</v>
      </c>
      <c r="D52" s="29" t="str">
        <f t="shared" si="0"/>
        <v>Champion</v>
      </c>
    </row>
    <row r="53" spans="3:4" ht="15" customHeight="1" x14ac:dyDescent="0.25">
      <c r="C53" s="37" t="s">
        <v>60</v>
      </c>
      <c r="D53" s="29" t="str">
        <f t="shared" si="0"/>
        <v>M#</v>
      </c>
    </row>
    <row r="54" spans="3:4" ht="15" customHeight="1" x14ac:dyDescent="0.25">
      <c r="C54" s="37" t="s">
        <v>61</v>
      </c>
      <c r="D54" s="29" t="str">
        <f t="shared" si="0"/>
        <v>Group A Winner</v>
      </c>
    </row>
    <row r="55" spans="3:4" ht="15" customHeight="1" x14ac:dyDescent="0.25">
      <c r="C55" s="37" t="s">
        <v>62</v>
      </c>
      <c r="D55" s="29" t="str">
        <f t="shared" si="0"/>
        <v>Group B Winner</v>
      </c>
    </row>
    <row r="56" spans="3:4" ht="15" customHeight="1" x14ac:dyDescent="0.25">
      <c r="C56" s="37" t="s">
        <v>63</v>
      </c>
      <c r="D56" s="29" t="str">
        <f t="shared" si="0"/>
        <v>Group C Winner</v>
      </c>
    </row>
    <row r="57" spans="3:4" ht="15" customHeight="1" x14ac:dyDescent="0.25">
      <c r="C57" s="37" t="s">
        <v>64</v>
      </c>
      <c r="D57" s="29" t="str">
        <f t="shared" si="0"/>
        <v>Group D Winner</v>
      </c>
    </row>
    <row r="58" spans="3:4" ht="15" customHeight="1" x14ac:dyDescent="0.25">
      <c r="C58" s="37" t="s">
        <v>65</v>
      </c>
      <c r="D58" s="29" t="str">
        <f t="shared" si="0"/>
        <v>Group E Winner</v>
      </c>
    </row>
    <row r="59" spans="3:4" ht="15" customHeight="1" x14ac:dyDescent="0.25">
      <c r="C59" s="37" t="s">
        <v>66</v>
      </c>
      <c r="D59" s="29" t="str">
        <f t="shared" si="0"/>
        <v>Group F Winner</v>
      </c>
    </row>
    <row r="60" spans="3:4" ht="15" customHeight="1" x14ac:dyDescent="0.25">
      <c r="C60" s="37" t="s">
        <v>67</v>
      </c>
      <c r="D60" s="29" t="str">
        <f t="shared" si="0"/>
        <v>Group A Runner Up</v>
      </c>
    </row>
    <row r="61" spans="3:4" ht="15" customHeight="1" x14ac:dyDescent="0.25">
      <c r="C61" s="37" t="s">
        <v>68</v>
      </c>
      <c r="D61" s="29" t="str">
        <f t="shared" si="0"/>
        <v>Group B Runner Up</v>
      </c>
    </row>
    <row r="62" spans="3:4" ht="15" customHeight="1" x14ac:dyDescent="0.25">
      <c r="C62" s="37" t="s">
        <v>69</v>
      </c>
      <c r="D62" s="29" t="str">
        <f t="shared" si="0"/>
        <v>Group C Runner Up</v>
      </c>
    </row>
    <row r="63" spans="3:4" ht="15" customHeight="1" x14ac:dyDescent="0.25">
      <c r="C63" s="37" t="s">
        <v>70</v>
      </c>
      <c r="D63" s="29" t="str">
        <f t="shared" si="0"/>
        <v>Group D Runner Up</v>
      </c>
    </row>
    <row r="64" spans="3:4" ht="15" customHeight="1" x14ac:dyDescent="0.25">
      <c r="C64" s="37" t="s">
        <v>71</v>
      </c>
      <c r="D64" s="29" t="str">
        <f t="shared" si="0"/>
        <v>Group E Runner Up</v>
      </c>
    </row>
    <row r="65" spans="3:4" ht="15" customHeight="1" x14ac:dyDescent="0.25">
      <c r="C65" s="37" t="s">
        <v>72</v>
      </c>
      <c r="D65" s="29" t="str">
        <f t="shared" si="0"/>
        <v>Group F Runner Up</v>
      </c>
    </row>
    <row r="66" spans="3:4" ht="15" customHeight="1" x14ac:dyDescent="0.25">
      <c r="C66" s="37" t="s">
        <v>73</v>
      </c>
      <c r="D66" s="29" t="str">
        <f t="shared" si="0"/>
        <v>Match 37 Winner</v>
      </c>
    </row>
    <row r="67" spans="3:4" ht="15" customHeight="1" x14ac:dyDescent="0.25">
      <c r="C67" s="37" t="s">
        <v>74</v>
      </c>
      <c r="D67" s="29" t="str">
        <f t="shared" si="0"/>
        <v>Match 38 Winner</v>
      </c>
    </row>
    <row r="68" spans="3:4" ht="15" customHeight="1" x14ac:dyDescent="0.25">
      <c r="C68" s="37" t="s">
        <v>75</v>
      </c>
      <c r="D68" s="29" t="str">
        <f t="shared" si="0"/>
        <v>Match 39 Winner</v>
      </c>
    </row>
    <row r="69" spans="3:4" ht="15" customHeight="1" x14ac:dyDescent="0.25">
      <c r="C69" s="37" t="s">
        <v>76</v>
      </c>
      <c r="D69" s="29" t="str">
        <f t="shared" si="0"/>
        <v>Match 40 Winner</v>
      </c>
    </row>
    <row r="70" spans="3:4" ht="15" customHeight="1" x14ac:dyDescent="0.25">
      <c r="C70" s="37" t="s">
        <v>77</v>
      </c>
      <c r="D70" s="29" t="str">
        <f t="shared" si="0"/>
        <v>Match 41 Winner</v>
      </c>
    </row>
    <row r="71" spans="3:4" ht="15" customHeight="1" x14ac:dyDescent="0.25">
      <c r="C71" s="37" t="s">
        <v>78</v>
      </c>
      <c r="D71" s="29" t="str">
        <f t="shared" si="0"/>
        <v>Match 42 Winner</v>
      </c>
    </row>
    <row r="72" spans="3:4" ht="15" customHeight="1" x14ac:dyDescent="0.25">
      <c r="C72" s="37" t="s">
        <v>79</v>
      </c>
      <c r="D72" s="29" t="str">
        <f t="shared" si="0"/>
        <v>Match 43 Winner</v>
      </c>
    </row>
    <row r="73" spans="3:4" ht="15" customHeight="1" x14ac:dyDescent="0.25">
      <c r="C73" s="37" t="s">
        <v>80</v>
      </c>
      <c r="D73" s="29" t="str">
        <f t="shared" ref="D73:D99" si="1">C73</f>
        <v>Match 44 Winner</v>
      </c>
    </row>
    <row r="74" spans="3:4" ht="15" customHeight="1" x14ac:dyDescent="0.25">
      <c r="C74" s="37" t="s">
        <v>81</v>
      </c>
      <c r="D74" s="29" t="str">
        <f t="shared" si="1"/>
        <v>Match 45 Winner</v>
      </c>
    </row>
    <row r="75" spans="3:4" ht="15" customHeight="1" x14ac:dyDescent="0.25">
      <c r="C75" s="37" t="s">
        <v>82</v>
      </c>
      <c r="D75" s="29" t="str">
        <f t="shared" si="1"/>
        <v>Match 46 Winner</v>
      </c>
    </row>
    <row r="76" spans="3:4" ht="15" customHeight="1" x14ac:dyDescent="0.25">
      <c r="C76" s="37" t="s">
        <v>83</v>
      </c>
      <c r="D76" s="29" t="str">
        <f t="shared" si="1"/>
        <v>Match 47 Winner</v>
      </c>
    </row>
    <row r="77" spans="3:4" ht="15" customHeight="1" x14ac:dyDescent="0.25">
      <c r="C77" s="37" t="s">
        <v>84</v>
      </c>
      <c r="D77" s="29" t="str">
        <f t="shared" si="1"/>
        <v>Match 48 Winner</v>
      </c>
    </row>
    <row r="78" spans="3:4" ht="15" customHeight="1" x14ac:dyDescent="0.25">
      <c r="C78" s="37" t="s">
        <v>85</v>
      </c>
      <c r="D78" s="29" t="str">
        <f t="shared" si="1"/>
        <v>Match 49 Winner</v>
      </c>
    </row>
    <row r="79" spans="3:4" ht="15" customHeight="1" x14ac:dyDescent="0.25">
      <c r="C79" s="37" t="s">
        <v>86</v>
      </c>
      <c r="D79" s="29" t="str">
        <f t="shared" si="1"/>
        <v>Match 50 Winner</v>
      </c>
    </row>
    <row r="80" spans="3:4" ht="15" customHeight="1" x14ac:dyDescent="0.25">
      <c r="C80" s="37" t="s">
        <v>87</v>
      </c>
      <c r="D80" s="29" t="str">
        <f t="shared" si="1"/>
        <v>Match 51 Winner</v>
      </c>
    </row>
    <row r="81" spans="3:4" ht="15" customHeight="1" x14ac:dyDescent="0.25">
      <c r="C81" s="37" t="s">
        <v>88</v>
      </c>
      <c r="D81" s="29" t="str">
        <f t="shared" si="1"/>
        <v>UEFA EURO 2020 Fixtures</v>
      </c>
    </row>
    <row r="82" spans="3:4" ht="15" customHeight="1" x14ac:dyDescent="0.25">
      <c r="C82" s="37" t="s">
        <v>89</v>
      </c>
      <c r="D82" s="29" t="str">
        <f t="shared" si="1"/>
        <v>Group A</v>
      </c>
    </row>
    <row r="83" spans="3:4" ht="15" customHeight="1" x14ac:dyDescent="0.25">
      <c r="C83" s="37" t="s">
        <v>90</v>
      </c>
      <c r="D83" s="29" t="str">
        <f t="shared" si="1"/>
        <v>Group B</v>
      </c>
    </row>
    <row r="84" spans="3:4" ht="15" customHeight="1" x14ac:dyDescent="0.25">
      <c r="C84" s="37" t="s">
        <v>91</v>
      </c>
      <c r="D84" s="29" t="str">
        <f t="shared" si="1"/>
        <v>Group C</v>
      </c>
    </row>
    <row r="85" spans="3:4" ht="15" customHeight="1" x14ac:dyDescent="0.25">
      <c r="C85" s="37" t="s">
        <v>92</v>
      </c>
      <c r="D85" s="29" t="str">
        <f t="shared" si="1"/>
        <v>Group D</v>
      </c>
    </row>
    <row r="86" spans="3:4" ht="15" customHeight="1" x14ac:dyDescent="0.25">
      <c r="C86" s="37" t="s">
        <v>93</v>
      </c>
      <c r="D86" s="29" t="str">
        <f t="shared" si="1"/>
        <v>Group E</v>
      </c>
    </row>
    <row r="87" spans="3:4" ht="15" customHeight="1" x14ac:dyDescent="0.25">
      <c r="C87" s="37" t="s">
        <v>94</v>
      </c>
      <c r="D87" s="29" t="str">
        <f t="shared" si="1"/>
        <v>Group F</v>
      </c>
    </row>
    <row r="88" spans="3:4" ht="15" customHeight="1" x14ac:dyDescent="0.25">
      <c r="C88" s="37" t="s">
        <v>95</v>
      </c>
      <c r="D88" s="29" t="str">
        <f t="shared" si="1"/>
        <v>Win</v>
      </c>
    </row>
    <row r="89" spans="3:4" ht="15" customHeight="1" x14ac:dyDescent="0.25">
      <c r="C89" s="37" t="s">
        <v>96</v>
      </c>
      <c r="D89" s="29" t="str">
        <f t="shared" si="1"/>
        <v>Draw</v>
      </c>
    </row>
    <row r="90" spans="3:4" ht="15" customHeight="1" x14ac:dyDescent="0.25">
      <c r="C90" s="37" t="s">
        <v>97</v>
      </c>
      <c r="D90" s="29" t="str">
        <f t="shared" si="1"/>
        <v>Lose</v>
      </c>
    </row>
    <row r="91" spans="3:4" ht="15" customHeight="1" x14ac:dyDescent="0.25">
      <c r="C91" s="37" t="s">
        <v>98</v>
      </c>
      <c r="D91" s="29" t="str">
        <f t="shared" si="1"/>
        <v>For</v>
      </c>
    </row>
    <row r="92" spans="3:4" ht="15" customHeight="1" x14ac:dyDescent="0.25">
      <c r="C92" s="37" t="s">
        <v>99</v>
      </c>
      <c r="D92" s="29" t="str">
        <f t="shared" si="1"/>
        <v>Against</v>
      </c>
    </row>
    <row r="93" spans="3:4" ht="15" customHeight="1" x14ac:dyDescent="0.25">
      <c r="C93" s="37" t="s">
        <v>100</v>
      </c>
      <c r="D93" s="29" t="str">
        <f t="shared" si="1"/>
        <v>Points</v>
      </c>
    </row>
    <row r="94" spans="3:4" ht="15" customHeight="1" x14ac:dyDescent="0.25">
      <c r="C94" s="37" t="s">
        <v>101</v>
      </c>
      <c r="D94" s="29" t="str">
        <f t="shared" si="1"/>
        <v>Knock Out Rounds</v>
      </c>
    </row>
    <row r="95" spans="3:4" ht="15" customHeight="1" x14ac:dyDescent="0.25">
      <c r="C95" s="37" t="s">
        <v>102</v>
      </c>
      <c r="D95" s="29" t="str">
        <f t="shared" si="1"/>
        <v>Group D/E/F 3rd Place</v>
      </c>
    </row>
    <row r="96" spans="3:4" ht="15" customHeight="1" x14ac:dyDescent="0.25">
      <c r="C96" s="37" t="s">
        <v>103</v>
      </c>
      <c r="D96" s="29" t="str">
        <f t="shared" si="1"/>
        <v>Group A/D/E/F 3rd Place</v>
      </c>
    </row>
    <row r="97" spans="3:4" ht="15" customHeight="1" x14ac:dyDescent="0.25">
      <c r="C97" s="37" t="s">
        <v>104</v>
      </c>
      <c r="D97" s="29" t="str">
        <f t="shared" si="1"/>
        <v>Group A/B/C 3rd Place</v>
      </c>
    </row>
    <row r="98" spans="3:4" ht="15" customHeight="1" x14ac:dyDescent="0.25">
      <c r="C98" s="37" t="s">
        <v>105</v>
      </c>
      <c r="D98" s="29" t="str">
        <f t="shared" si="1"/>
        <v>Group A/B/C/D 3rd Place</v>
      </c>
    </row>
    <row r="99" spans="3:4" ht="15" customHeight="1" x14ac:dyDescent="0.25">
      <c r="C99" s="37" t="s">
        <v>106</v>
      </c>
      <c r="D99" s="29" t="str">
        <f t="shared" si="1"/>
        <v>Group A-F 3rd Place Standings</v>
      </c>
    </row>
    <row r="100" spans="3:4" ht="15" customHeight="1" x14ac:dyDescent="0.25"/>
    <row r="102" spans="3:4" ht="7.25" customHeight="1" x14ac:dyDescent="0.25"/>
  </sheetData>
  <sheetProtection password="CF6B" sheet="1" objects="1" scenarios="1"/>
  <dataValidations count="2">
    <dataValidation type="list" allowBlank="1" showInputMessage="1" showErrorMessage="1" sqref="D5">
      <formula1>TimezoneList</formula1>
    </dataValidation>
    <dataValidation type="list" allowBlank="1" showInputMessage="1" showErrorMessage="1" sqref="D6">
      <formula1>Countries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CZ70"/>
  <sheetViews>
    <sheetView showGridLines="0" tabSelected="1" zoomScaleNormal="100" workbookViewId="0">
      <pane ySplit="4" topLeftCell="A5" activePane="bottomLeft" state="frozen"/>
      <selection activeCell="R23" sqref="R23"/>
      <selection pane="bottomLeft" activeCell="J34" sqref="J34"/>
    </sheetView>
  </sheetViews>
  <sheetFormatPr defaultColWidth="9.08984375" defaultRowHeight="14.5" x14ac:dyDescent="0.35"/>
  <cols>
    <col min="1" max="1" width="2.453125" style="2" customWidth="1"/>
    <col min="2" max="4" width="3.81640625" style="2" customWidth="1"/>
    <col min="5" max="5" width="6.81640625" style="3" customWidth="1"/>
    <col min="6" max="6" width="6.81640625" style="4" customWidth="1"/>
    <col min="7" max="7" width="22.6328125" style="2" customWidth="1"/>
    <col min="8" max="9" width="3.1796875" style="2" customWidth="1"/>
    <col min="10" max="10" width="22.6328125" style="2" customWidth="1"/>
    <col min="11" max="12" width="3.1796875" style="2" customWidth="1"/>
    <col min="13" max="13" width="27.7265625" style="2" bestFit="1" customWidth="1"/>
    <col min="14" max="14" width="1.6328125" style="2" customWidth="1"/>
    <col min="15" max="15" width="2.6328125" style="5" customWidth="1"/>
    <col min="16" max="19" width="4.6328125" style="5" customWidth="1"/>
    <col min="20" max="20" width="3.1796875" style="20" customWidth="1"/>
    <col min="21" max="21" width="3.1796875" style="8" customWidth="1"/>
    <col min="22" max="22" width="3.1796875" style="9" customWidth="1"/>
    <col min="23" max="23" width="3.1796875" style="10" customWidth="1"/>
    <col min="24" max="24" width="3.1796875" style="2" customWidth="1"/>
    <col min="25" max="25" width="1.36328125" style="2" customWidth="1"/>
    <col min="26" max="29" width="3.1796875" style="2" customWidth="1"/>
    <col min="30" max="31" width="3.81640625" style="2" customWidth="1"/>
    <col min="32" max="32" width="3" style="2" customWidth="1"/>
    <col min="33" max="93" width="9.08984375" style="2" customWidth="1"/>
    <col min="94" max="97" width="9.08984375" style="5" customWidth="1"/>
    <col min="98" max="16384" width="9.08984375" style="2"/>
  </cols>
  <sheetData>
    <row r="1" spans="2:104" s="1" customFormat="1" ht="5" customHeight="1" x14ac:dyDescent="0.25">
      <c r="C1" s="38"/>
    </row>
    <row r="2" spans="2:104" ht="5" customHeight="1" x14ac:dyDescent="0.35">
      <c r="P2" s="6"/>
      <c r="Q2" s="6"/>
      <c r="R2" s="6"/>
      <c r="S2" s="6"/>
      <c r="T2" s="7"/>
    </row>
    <row r="3" spans="2:104" s="11" customFormat="1" ht="30" customHeight="1" x14ac:dyDescent="0.35">
      <c r="B3" s="12" t="str">
        <f>UPPER(INDEX(Language!$A$1:$I$110,MATCH("UEFA EURO 2020 FIXTURES",Language!$B$1:$B$107,0),MATCH(Setup!$D$6,Language!$A$1:$H$1,0)))</f>
        <v>EURO 2020 FIXTURES</v>
      </c>
      <c r="C3" s="13"/>
      <c r="D3" s="13"/>
      <c r="E3" s="14"/>
      <c r="F3" s="15"/>
      <c r="G3" s="13"/>
      <c r="H3" s="13"/>
      <c r="I3" s="13"/>
      <c r="J3" s="13"/>
      <c r="K3" s="13"/>
      <c r="L3" s="13"/>
      <c r="M3" s="13"/>
      <c r="N3" s="13"/>
      <c r="O3" s="13"/>
      <c r="P3" s="13"/>
      <c r="Q3" s="13"/>
      <c r="R3" s="13"/>
      <c r="S3" s="13"/>
      <c r="T3" s="13"/>
      <c r="U3" s="16"/>
      <c r="V3" s="17"/>
      <c r="W3" s="13"/>
      <c r="X3" s="13"/>
      <c r="Y3" s="13"/>
      <c r="Z3" s="13"/>
      <c r="AA3" s="13"/>
      <c r="AB3" s="13"/>
      <c r="AC3" s="13"/>
      <c r="AD3" s="13"/>
      <c r="AE3" s="13"/>
      <c r="AF3" s="13"/>
    </row>
    <row r="4" spans="2:104" s="18" customFormat="1" ht="5" customHeight="1" x14ac:dyDescent="0.35">
      <c r="E4" s="19"/>
      <c r="N4" s="2"/>
      <c r="O4" s="5"/>
      <c r="P4" s="5"/>
      <c r="Q4" s="5"/>
      <c r="R4" s="5"/>
      <c r="S4" s="5"/>
      <c r="T4" s="20"/>
      <c r="U4" s="8"/>
      <c r="V4" s="9"/>
      <c r="W4" s="10"/>
      <c r="X4" s="2"/>
      <c r="Y4" s="2"/>
      <c r="Z4" s="2"/>
      <c r="AA4" s="2"/>
      <c r="AB4" s="2"/>
      <c r="AC4" s="2"/>
      <c r="AD4" s="2"/>
      <c r="AE4" s="2"/>
      <c r="AF4" s="2"/>
      <c r="CW4" s="21"/>
      <c r="CX4" s="21"/>
      <c r="CY4" s="21"/>
      <c r="CZ4" s="21"/>
    </row>
    <row r="5" spans="2:104" s="18" customFormat="1" ht="14.5" customHeight="1" x14ac:dyDescent="0.35">
      <c r="B5" s="39" t="str">
        <f>INDEX(Language!$A$1:$I$110,MATCH("M#",Language!$B$1:$B$107,0),MATCH(Setup!$D$6,Language!$A$1:$H$1,0))</f>
        <v>Match #</v>
      </c>
      <c r="C5" s="40"/>
      <c r="D5" s="41"/>
      <c r="E5" s="42" t="str">
        <f>INDEX(Language!$A$1:$I$110,MATCH("Date",Language!$B$1:$B$107,0),MATCH(Setup!$D$6,Language!$A$1:$H$1,0))</f>
        <v>Date</v>
      </c>
      <c r="F5" s="41" t="str">
        <f>INDEX(Language!$A$1:$I$110,MATCH("Time",Language!$B$1:$B$107,0),MATCH(Setup!$D$6,Language!$A$1:$H$1,0))</f>
        <v>Time</v>
      </c>
      <c r="G5" s="43" t="str">
        <f>INDEX(Language!$A$1:$I$110,MATCH("Country",Language!$B$1:$B$107,0),MATCH(Setup!$D$6,Language!$A$1:$H$1,0))</f>
        <v>Country</v>
      </c>
      <c r="H5" s="268" t="str">
        <f>INDEX(Language!$A$1:$I$110,MATCH("Score",Language!$B$1:$B$107,0),MATCH(Setup!$D$6,Language!$A$1:$H$1,0))</f>
        <v>Score</v>
      </c>
      <c r="I5" s="268"/>
      <c r="J5" s="44" t="str">
        <f>INDEX(Language!$A$1:$I$110,MATCH("Country",Language!$B$1:$B$107,0),MATCH(Setup!$D$6,Language!$A$1:$H$1,0))</f>
        <v>Country</v>
      </c>
      <c r="K5" s="44"/>
      <c r="L5" s="44"/>
      <c r="M5" s="45" t="str">
        <f>INDEX(Language!$A$1:$I$110,MATCH("Venue",Language!$B$1:$B$107,0),MATCH(Setup!$D$6,Language!$A$1:$H$1,0))</f>
        <v>Venue</v>
      </c>
      <c r="N5" s="46"/>
      <c r="O5" s="47" t="str">
        <f>INDEX(Language!$A$1:$I$110,MATCH("Standings",Language!$B$1:$B$107,0),MATCH(Setup!$D$6,Language!$A$1:$H$1,0))</f>
        <v>Standings</v>
      </c>
      <c r="P5" s="47"/>
      <c r="Q5" s="47"/>
      <c r="R5" s="48"/>
      <c r="S5" s="48"/>
      <c r="T5" s="48"/>
      <c r="U5" s="48"/>
      <c r="V5" s="48"/>
      <c r="W5" s="48"/>
      <c r="X5" s="48"/>
      <c r="Y5" s="48"/>
      <c r="Z5" s="48"/>
      <c r="AA5" s="48"/>
      <c r="AB5" s="48"/>
      <c r="AC5" s="48"/>
      <c r="AE5" s="2"/>
      <c r="CW5" s="21"/>
      <c r="CX5" s="21"/>
      <c r="CY5" s="5"/>
      <c r="CZ5" s="21"/>
    </row>
    <row r="6" spans="2:104" s="18" customFormat="1" ht="14.5" customHeight="1" x14ac:dyDescent="0.35">
      <c r="B6" s="49" t="str">
        <f>INDEX(Language!$A$1:$I$110,MATCH("Group Stages",Language!$B$1:$B$107,0),MATCH(Setup!$D$6,Language!$A$1:$H$1,0))</f>
        <v>Group Stages</v>
      </c>
      <c r="C6" s="50"/>
      <c r="D6" s="51"/>
      <c r="E6" s="52"/>
      <c r="F6" s="51"/>
      <c r="G6" s="53"/>
      <c r="H6" s="51"/>
      <c r="I6" s="51"/>
      <c r="J6" s="54"/>
      <c r="K6" s="54"/>
      <c r="L6" s="54"/>
      <c r="M6" s="55"/>
      <c r="N6" s="56"/>
      <c r="O6" s="253" t="str">
        <f>INDEX(Language!$A$1:$I$110,MATCH("Group A",Language!$B$1:$B$107,0),MATCH(Setup!$D$6,Language!$A$1:$H$1,0))</f>
        <v>Group A</v>
      </c>
      <c r="P6" s="253"/>
      <c r="Q6" s="253"/>
      <c r="R6" s="253"/>
      <c r="S6" s="253"/>
      <c r="T6" s="57" t="s">
        <v>107</v>
      </c>
      <c r="U6" s="57" t="s">
        <v>108</v>
      </c>
      <c r="V6" s="57" t="s">
        <v>109</v>
      </c>
      <c r="W6" s="57" t="s">
        <v>110</v>
      </c>
      <c r="X6" s="57" t="s">
        <v>111</v>
      </c>
      <c r="Y6" s="57"/>
      <c r="Z6" s="57" t="s">
        <v>112</v>
      </c>
      <c r="AA6" s="58" t="s">
        <v>113</v>
      </c>
      <c r="AB6" s="57" t="s">
        <v>114</v>
      </c>
      <c r="AC6" s="59"/>
      <c r="AE6" s="2"/>
      <c r="CW6" s="21"/>
      <c r="CX6" s="21"/>
      <c r="CY6" s="5"/>
      <c r="CZ6" s="21"/>
    </row>
    <row r="7" spans="2:104" s="18" customFormat="1" ht="14.5" customHeight="1" thickBot="1" x14ac:dyDescent="0.4">
      <c r="B7" s="60">
        <v>1</v>
      </c>
      <c r="C7" s="269" t="s">
        <v>112</v>
      </c>
      <c r="D7" s="269"/>
      <c r="E7" s="61">
        <f>F7</f>
        <v>44358.875</v>
      </c>
      <c r="F7" s="62">
        <f>'Dummy Table'!EM7</f>
        <v>44358.875</v>
      </c>
      <c r="G7" s="63" t="str">
        <f>INDEX(Language!$A$1:$H$110,MATCH(Setup!$C$30,Language!$B$1:$B$107,0),MATCH(Setup!$D$6,Language!$A$1:$H$1,0))</f>
        <v>Turkey</v>
      </c>
      <c r="H7" s="64">
        <v>0</v>
      </c>
      <c r="I7" s="65">
        <v>3</v>
      </c>
      <c r="J7" s="66" t="str">
        <f>INDEX(Language!$A$1:$H$110,MATCH(Setup!$C$19,Language!$B$1:$B$107,0),MATCH(Setup!$D$6,Language!$A$1:$H$1,0))</f>
        <v>Italy</v>
      </c>
      <c r="K7" s="66"/>
      <c r="L7" s="66"/>
      <c r="M7" s="67" t="s">
        <v>115</v>
      </c>
      <c r="N7" s="56"/>
      <c r="O7" s="68">
        <v>1</v>
      </c>
      <c r="P7" s="270" t="str">
        <f>VLOOKUP(1,'Dummy Table'!$A$4:$B$8,2,FALSE)</f>
        <v>Italy</v>
      </c>
      <c r="Q7" s="270"/>
      <c r="R7" s="270"/>
      <c r="S7" s="270"/>
      <c r="T7" s="69">
        <f>SUM(U7:W7)</f>
        <v>3</v>
      </c>
      <c r="U7" s="69">
        <f>VLOOKUP($P7,'Dummy Table'!$B$4:$C$40,2,FALSE)</f>
        <v>3</v>
      </c>
      <c r="V7" s="69">
        <f>VLOOKUP($P7,'Dummy Table'!$B$4:$D$40,3,FALSE)</f>
        <v>0</v>
      </c>
      <c r="W7" s="69">
        <f>VLOOKUP($P7,'Dummy Table'!$B$4:$E$40,4,FALSE)</f>
        <v>0</v>
      </c>
      <c r="X7" s="69">
        <f>VLOOKUP($P7,'Dummy Table'!$B$4:$F$40,5,FALSE)</f>
        <v>7</v>
      </c>
      <c r="Y7" s="70" t="s">
        <v>116</v>
      </c>
      <c r="Z7" s="69">
        <f>VLOOKUP($P7,'Dummy Table'!$B$4:$G$40,6,FALSE)</f>
        <v>0</v>
      </c>
      <c r="AA7" s="69">
        <f>X7-Z7</f>
        <v>7</v>
      </c>
      <c r="AB7" s="69">
        <f>U7*3+V7*1</f>
        <v>9</v>
      </c>
      <c r="AC7" s="71"/>
      <c r="AE7" s="2"/>
      <c r="CW7" s="21"/>
      <c r="CX7" s="21"/>
      <c r="CY7" s="5"/>
      <c r="CZ7" s="21"/>
    </row>
    <row r="8" spans="2:104" s="18" customFormat="1" ht="14.5" customHeight="1" thickBot="1" x14ac:dyDescent="0.4">
      <c r="B8" s="72">
        <v>2</v>
      </c>
      <c r="C8" s="249" t="s">
        <v>112</v>
      </c>
      <c r="D8" s="249"/>
      <c r="E8" s="73">
        <f t="shared" ref="E8:E58" si="0">F8</f>
        <v>44359.625</v>
      </c>
      <c r="F8" s="74">
        <f>'Dummy Table'!EM8</f>
        <v>44359.625</v>
      </c>
      <c r="G8" s="75" t="str">
        <f>INDEX(Language!$A$1:$H$110,MATCH(Setup!$C$32,Language!$B$1:$B$107,0),MATCH(Setup!$D$6,Language!$A$1:$H$1,0))</f>
        <v>Wales</v>
      </c>
      <c r="H8" s="76">
        <v>1</v>
      </c>
      <c r="I8" s="77">
        <v>1</v>
      </c>
      <c r="J8" s="78" t="str">
        <f>INDEX(Language!$A$1:$H$110,MATCH(Setup!$C$29,Language!$B$1:$B$107,0),MATCH(Setup!$D$6,Language!$A$1:$H$1,0))</f>
        <v>Switzerland</v>
      </c>
      <c r="K8" s="78"/>
      <c r="L8" s="78"/>
      <c r="M8" s="79" t="s">
        <v>117</v>
      </c>
      <c r="N8" s="56"/>
      <c r="O8" s="68">
        <v>2</v>
      </c>
      <c r="P8" s="271" t="str">
        <f>VLOOKUP(2,'Dummy Table'!$A$4:$B$8,2,FALSE)</f>
        <v>Wales</v>
      </c>
      <c r="Q8" s="271"/>
      <c r="R8" s="271"/>
      <c r="S8" s="271"/>
      <c r="T8" s="80">
        <f t="shared" ref="T8:T10" si="1">SUM(U8:W8)</f>
        <v>3</v>
      </c>
      <c r="U8" s="80">
        <f>VLOOKUP($P8,'Dummy Table'!$B$4:$C$40,2,FALSE)</f>
        <v>1</v>
      </c>
      <c r="V8" s="80">
        <f>VLOOKUP($P8,'Dummy Table'!$B$4:$D$40,3,FALSE)</f>
        <v>1</v>
      </c>
      <c r="W8" s="80">
        <f>VLOOKUP($P8,'Dummy Table'!$B$4:$E$40,4,FALSE)</f>
        <v>1</v>
      </c>
      <c r="X8" s="80">
        <f>VLOOKUP($P8,'Dummy Table'!$B$4:$F$40,5,FALSE)</f>
        <v>3</v>
      </c>
      <c r="Y8" s="80" t="s">
        <v>116</v>
      </c>
      <c r="Z8" s="80">
        <f>VLOOKUP($P8,'Dummy Table'!$B$4:$G$40,6,FALSE)</f>
        <v>2</v>
      </c>
      <c r="AA8" s="80">
        <f t="shared" ref="AA8:AA10" si="2">X8-Z8</f>
        <v>1</v>
      </c>
      <c r="AB8" s="80">
        <f>U8*3+V8*1</f>
        <v>4</v>
      </c>
      <c r="AC8" s="71"/>
      <c r="AE8" s="2"/>
      <c r="CW8" s="21"/>
      <c r="CX8" s="21"/>
      <c r="CY8" s="5"/>
      <c r="CZ8" s="21"/>
    </row>
    <row r="9" spans="2:104" s="18" customFormat="1" ht="14.5" customHeight="1" thickBot="1" x14ac:dyDescent="0.4">
      <c r="B9" s="72">
        <v>3</v>
      </c>
      <c r="C9" s="245" t="s">
        <v>118</v>
      </c>
      <c r="D9" s="245"/>
      <c r="E9" s="81">
        <f t="shared" si="0"/>
        <v>44359.75</v>
      </c>
      <c r="F9" s="82">
        <f>'Dummy Table'!EM9</f>
        <v>44359.75</v>
      </c>
      <c r="G9" s="83" t="str">
        <f>INDEX(Language!$A$1:$H$110,MATCH(Setup!$C$13,Language!$B$1:$B$107,0),MATCH(Setup!$D$6,Language!$A$1:$H$1,0))</f>
        <v>Denmark</v>
      </c>
      <c r="H9" s="76">
        <v>0</v>
      </c>
      <c r="I9" s="77">
        <v>1</v>
      </c>
      <c r="J9" s="18" t="str">
        <f>INDEX(Language!$A$1:$H$110,MATCH(Setup!$C$15,Language!$B$1:$B$107,0),MATCH(Setup!$D$6,Language!$A$1:$H$1,0))</f>
        <v>Finland</v>
      </c>
      <c r="M9" s="84" t="s">
        <v>119</v>
      </c>
      <c r="N9" s="56"/>
      <c r="O9" s="85">
        <v>3</v>
      </c>
      <c r="P9" s="267" t="str">
        <f>VLOOKUP(3,'Dummy Table'!$A$4:$B$8,2,FALSE)</f>
        <v>Switzerland</v>
      </c>
      <c r="Q9" s="267"/>
      <c r="R9" s="267"/>
      <c r="S9" s="267"/>
      <c r="T9" s="85">
        <f t="shared" si="1"/>
        <v>3</v>
      </c>
      <c r="U9" s="85">
        <f>VLOOKUP($P9,'Dummy Table'!$B$4:$C$40,2,FALSE)</f>
        <v>1</v>
      </c>
      <c r="V9" s="85">
        <f>VLOOKUP($P9,'Dummy Table'!$B$4:$D$40,3,FALSE)</f>
        <v>1</v>
      </c>
      <c r="W9" s="85">
        <f>VLOOKUP($P9,'Dummy Table'!$B$4:$E$40,4,FALSE)</f>
        <v>1</v>
      </c>
      <c r="X9" s="85">
        <f>VLOOKUP($P9,'Dummy Table'!$B$4:$F$40,5,FALSE)</f>
        <v>4</v>
      </c>
      <c r="Y9" s="85" t="s">
        <v>116</v>
      </c>
      <c r="Z9" s="85">
        <f>VLOOKUP($P9,'Dummy Table'!$B$4:$G$40,6,FALSE)</f>
        <v>5</v>
      </c>
      <c r="AA9" s="85">
        <f t="shared" si="2"/>
        <v>-1</v>
      </c>
      <c r="AB9" s="85">
        <f>U9*3+V9*1</f>
        <v>4</v>
      </c>
      <c r="AC9" s="71"/>
      <c r="AE9" s="2"/>
      <c r="CW9" s="21"/>
      <c r="CX9" s="21"/>
      <c r="CY9" s="5"/>
      <c r="CZ9" s="21"/>
    </row>
    <row r="10" spans="2:104" s="18" customFormat="1" ht="14.5" customHeight="1" thickBot="1" x14ac:dyDescent="0.4">
      <c r="B10" s="72">
        <v>4</v>
      </c>
      <c r="C10" s="249" t="s">
        <v>118</v>
      </c>
      <c r="D10" s="249"/>
      <c r="E10" s="73">
        <f t="shared" si="0"/>
        <v>44359.875</v>
      </c>
      <c r="F10" s="74">
        <f>'Dummy Table'!EM10</f>
        <v>44359.875</v>
      </c>
      <c r="G10" s="75" t="str">
        <f>INDEX(Language!$A$1:$H$110,MATCH(Setup!$C$10,Language!$B$1:$B$107,0),MATCH(Setup!$D$6,Language!$A$1:$H$1,0))</f>
        <v>Belgium</v>
      </c>
      <c r="H10" s="76">
        <v>3</v>
      </c>
      <c r="I10" s="77">
        <v>0</v>
      </c>
      <c r="J10" s="78" t="str">
        <f>INDEX(Language!$A$1:$H$110,MATCH(Setup!$C$24,Language!$B$1:$B$107,0),MATCH(Setup!$D$6,Language!$A$1:$H$1,0))</f>
        <v>Russia</v>
      </c>
      <c r="K10" s="78"/>
      <c r="L10" s="78"/>
      <c r="M10" s="79" t="s">
        <v>120</v>
      </c>
      <c r="N10" s="56"/>
      <c r="O10" s="86">
        <v>4</v>
      </c>
      <c r="P10" s="252" t="str">
        <f>VLOOKUP(4,'Dummy Table'!$A$4:$B$8,2,FALSE)</f>
        <v>Turkey</v>
      </c>
      <c r="Q10" s="252"/>
      <c r="R10" s="252"/>
      <c r="S10" s="252"/>
      <c r="T10" s="86">
        <f t="shared" si="1"/>
        <v>3</v>
      </c>
      <c r="U10" s="86">
        <f>VLOOKUP($P10,'Dummy Table'!$B$4:$C$40,2,FALSE)</f>
        <v>0</v>
      </c>
      <c r="V10" s="86">
        <f>VLOOKUP($P10,'Dummy Table'!$B$4:$D$40,3,FALSE)</f>
        <v>0</v>
      </c>
      <c r="W10" s="86">
        <f>VLOOKUP($P10,'Dummy Table'!$B$4:$E$40,4,FALSE)</f>
        <v>3</v>
      </c>
      <c r="X10" s="86">
        <f>VLOOKUP($P10,'Dummy Table'!$B$4:$F$40,5,FALSE)</f>
        <v>1</v>
      </c>
      <c r="Y10" s="86" t="s">
        <v>116</v>
      </c>
      <c r="Z10" s="86">
        <f>VLOOKUP($P10,'Dummy Table'!$B$4:$G$40,6,FALSE)</f>
        <v>8</v>
      </c>
      <c r="AA10" s="86">
        <f t="shared" si="2"/>
        <v>-7</v>
      </c>
      <c r="AB10" s="86">
        <f>U10*3+V10*1</f>
        <v>0</v>
      </c>
      <c r="AC10" s="71"/>
      <c r="AE10" s="2"/>
      <c r="CW10" s="21"/>
      <c r="CX10" s="21"/>
      <c r="CY10" s="5"/>
      <c r="CZ10" s="21"/>
    </row>
    <row r="11" spans="2:104" s="18" customFormat="1" ht="14.5" customHeight="1" thickBot="1" x14ac:dyDescent="0.4">
      <c r="B11" s="72">
        <v>5</v>
      </c>
      <c r="C11" s="245" t="s">
        <v>109</v>
      </c>
      <c r="D11" s="245"/>
      <c r="E11" s="81">
        <f t="shared" si="0"/>
        <v>44360.625</v>
      </c>
      <c r="F11" s="82">
        <f>'Dummy Table'!EM11</f>
        <v>44360.625</v>
      </c>
      <c r="G11" s="83" t="str">
        <f>INDEX(Language!$A$1:$H$110,MATCH(Setup!$C$14,Language!$B$1:$B$107,0),MATCH(Setup!$D$6,Language!$A$1:$H$1,0))</f>
        <v>England</v>
      </c>
      <c r="H11" s="76">
        <v>1</v>
      </c>
      <c r="I11" s="77">
        <v>0</v>
      </c>
      <c r="J11" s="18" t="str">
        <f>INDEX(Language!$A$1:$H$110,MATCH(Setup!$C$11,Language!$B$1:$B$107,0),MATCH(Setup!$D$6,Language!$A$1:$H$1,0))</f>
        <v>Croatia</v>
      </c>
      <c r="M11" s="84" t="s">
        <v>121</v>
      </c>
      <c r="N11" s="56"/>
      <c r="O11" s="253" t="str">
        <f>INDEX(Language!$A$1:$I$110,MATCH("Group B",Language!$B$1:$B$107,0),MATCH(Setup!$D$6,Language!$A$1:$H$1,0))</f>
        <v>Group B</v>
      </c>
      <c r="P11" s="253"/>
      <c r="Q11" s="253"/>
      <c r="R11" s="253"/>
      <c r="S11" s="253"/>
      <c r="T11" s="57" t="s">
        <v>107</v>
      </c>
      <c r="U11" s="57" t="s">
        <v>108</v>
      </c>
      <c r="V11" s="57" t="s">
        <v>109</v>
      </c>
      <c r="W11" s="57" t="s">
        <v>110</v>
      </c>
      <c r="X11" s="57" t="s">
        <v>111</v>
      </c>
      <c r="Y11" s="57"/>
      <c r="Z11" s="57" t="s">
        <v>112</v>
      </c>
      <c r="AA11" s="58" t="s">
        <v>113</v>
      </c>
      <c r="AB11" s="57" t="s">
        <v>114</v>
      </c>
      <c r="AC11" s="87"/>
      <c r="AE11" s="2"/>
      <c r="CW11" s="21"/>
      <c r="CX11" s="21"/>
      <c r="CY11" s="5"/>
      <c r="CZ11" s="21"/>
    </row>
    <row r="12" spans="2:104" s="18" customFormat="1" ht="14.5" customHeight="1" thickBot="1" x14ac:dyDescent="0.4">
      <c r="B12" s="72">
        <v>6</v>
      </c>
      <c r="C12" s="249" t="s">
        <v>122</v>
      </c>
      <c r="D12" s="249"/>
      <c r="E12" s="73">
        <f t="shared" si="0"/>
        <v>44360.75</v>
      </c>
      <c r="F12" s="74">
        <f>'Dummy Table'!EM12</f>
        <v>44360.75</v>
      </c>
      <c r="G12" s="75" t="str">
        <f>INDEX(Language!$A$1:$H$110,MATCH(Setup!$C$9,Language!$B$1:$B$107,0),MATCH(Setup!$D$6,Language!$A$1:$H$1,0))</f>
        <v>Austria</v>
      </c>
      <c r="H12" s="76">
        <v>3</v>
      </c>
      <c r="I12" s="77">
        <v>1</v>
      </c>
      <c r="J12" s="78" t="str">
        <f>INDEX(Language!$A$1:$H$110,MATCH(Setup!$C$21,Language!$B$1:$B$107,0),MATCH(Setup!$D$6,Language!$A$1:$H$1,0))</f>
        <v>North Macedonia</v>
      </c>
      <c r="K12" s="78"/>
      <c r="L12" s="78"/>
      <c r="M12" s="79" t="s">
        <v>123</v>
      </c>
      <c r="N12" s="56"/>
      <c r="O12" s="88">
        <v>1</v>
      </c>
      <c r="P12" s="264" t="str">
        <f>VLOOKUP(1,'Dummy Table'!$A$11:$B$15,2,FALSE)</f>
        <v>Belgium</v>
      </c>
      <c r="Q12" s="264"/>
      <c r="R12" s="264"/>
      <c r="S12" s="264"/>
      <c r="T12" s="89">
        <f>SUM(U12:W12)</f>
        <v>3</v>
      </c>
      <c r="U12" s="89">
        <f>VLOOKUP($P12,'Dummy Table'!$B$4:$C$40,2,FALSE)</f>
        <v>3</v>
      </c>
      <c r="V12" s="89">
        <f>VLOOKUP($P12,'Dummy Table'!$B$4:$D$40,3,FALSE)</f>
        <v>0</v>
      </c>
      <c r="W12" s="89">
        <f>VLOOKUP($P12,'Dummy Table'!$B$4:$E$40,4,FALSE)</f>
        <v>0</v>
      </c>
      <c r="X12" s="89">
        <f>VLOOKUP($P12,'Dummy Table'!$B$4:$F$40,5,FALSE)</f>
        <v>7</v>
      </c>
      <c r="Y12" s="90" t="s">
        <v>116</v>
      </c>
      <c r="Z12" s="89">
        <f>VLOOKUP($P12,'Dummy Table'!$B$4:$G$40,6,FALSE)</f>
        <v>1</v>
      </c>
      <c r="AA12" s="89">
        <f>X12-Z12</f>
        <v>6</v>
      </c>
      <c r="AB12" s="89">
        <f>U12*3+V12*1</f>
        <v>9</v>
      </c>
      <c r="AC12" s="71"/>
      <c r="AE12" s="2"/>
      <c r="CW12" s="21"/>
      <c r="CX12" s="21"/>
      <c r="CY12" s="5"/>
      <c r="CZ12" s="21"/>
    </row>
    <row r="13" spans="2:104" s="18" customFormat="1" ht="14.5" customHeight="1" thickBot="1" x14ac:dyDescent="0.4">
      <c r="B13" s="72">
        <v>7</v>
      </c>
      <c r="C13" s="245" t="s">
        <v>122</v>
      </c>
      <c r="D13" s="245"/>
      <c r="E13" s="81">
        <f t="shared" si="0"/>
        <v>44360.875</v>
      </c>
      <c r="F13" s="82">
        <f>'Dummy Table'!EM13</f>
        <v>44360.875</v>
      </c>
      <c r="G13" s="83" t="str">
        <f>INDEX(Language!$A$1:$H$110,MATCH(Setup!$C$20,Language!$B$1:$B$107,0),MATCH(Setup!$D$6,Language!$A$1:$H$1,0))</f>
        <v>Netherlands</v>
      </c>
      <c r="H13" s="76">
        <v>3</v>
      </c>
      <c r="I13" s="77">
        <v>2</v>
      </c>
      <c r="J13" s="18" t="str">
        <f>INDEX(Language!$A$1:$H$110,MATCH(Setup!$C$31,Language!$B$1:$B$107,0),MATCH(Setup!$D$6,Language!$A$1:$H$1,0))</f>
        <v>Ukraine</v>
      </c>
      <c r="M13" s="84" t="s">
        <v>124</v>
      </c>
      <c r="N13" s="56"/>
      <c r="O13" s="88">
        <v>2</v>
      </c>
      <c r="P13" s="265" t="str">
        <f>VLOOKUP(2,'Dummy Table'!$A$11:$B$15,2,FALSE)</f>
        <v>Denmark</v>
      </c>
      <c r="Q13" s="265"/>
      <c r="R13" s="265"/>
      <c r="S13" s="265"/>
      <c r="T13" s="91">
        <f t="shared" ref="T13:T15" si="3">SUM(U13:W13)</f>
        <v>3</v>
      </c>
      <c r="U13" s="91">
        <f>VLOOKUP($P13,'Dummy Table'!$B$4:$C$40,2,FALSE)</f>
        <v>1</v>
      </c>
      <c r="V13" s="91">
        <f>VLOOKUP($P13,'Dummy Table'!$B$4:$D$40,3,FALSE)</f>
        <v>0</v>
      </c>
      <c r="W13" s="91">
        <f>VLOOKUP($P13,'Dummy Table'!$B$4:$E$40,4,FALSE)</f>
        <v>2</v>
      </c>
      <c r="X13" s="91">
        <f>VLOOKUP($P13,'Dummy Table'!$B$4:$F$40,5,FALSE)</f>
        <v>5</v>
      </c>
      <c r="Y13" s="91" t="s">
        <v>116</v>
      </c>
      <c r="Z13" s="91">
        <f>VLOOKUP($P13,'Dummy Table'!$B$4:$G$40,6,FALSE)</f>
        <v>4</v>
      </c>
      <c r="AA13" s="91">
        <f t="shared" ref="AA13:AA15" si="4">X13-Z13</f>
        <v>1</v>
      </c>
      <c r="AB13" s="91">
        <f>U13*3+V13*1</f>
        <v>3</v>
      </c>
      <c r="AC13" s="71"/>
      <c r="AE13" s="2"/>
      <c r="CW13" s="21"/>
      <c r="CX13" s="92"/>
      <c r="CY13" s="5"/>
      <c r="CZ13" s="21"/>
    </row>
    <row r="14" spans="2:104" s="18" customFormat="1" ht="14.5" customHeight="1" thickBot="1" x14ac:dyDescent="0.4">
      <c r="B14" s="72">
        <v>8</v>
      </c>
      <c r="C14" s="249" t="s">
        <v>109</v>
      </c>
      <c r="D14" s="249"/>
      <c r="E14" s="73">
        <f t="shared" si="0"/>
        <v>44361.625</v>
      </c>
      <c r="F14" s="74">
        <f>'Dummy Table'!EM14</f>
        <v>44361.625</v>
      </c>
      <c r="G14" s="75" t="str">
        <f>INDEX(Language!$A$1:$H$110,MATCH(Setup!$C$25,Language!$B$1:$B$107,0),MATCH(Setup!$D$6,Language!$A$1:$H$1,0))</f>
        <v>Scotland</v>
      </c>
      <c r="H14" s="76">
        <v>0</v>
      </c>
      <c r="I14" s="77">
        <v>2</v>
      </c>
      <c r="J14" s="78" t="str">
        <f>INDEX(Language!$A$1:$H$110,MATCH(Setup!$C$12,Language!$B$1:$B$107,0),MATCH(Setup!$D$6,Language!$A$1:$H$1,0))</f>
        <v>Czech Republic</v>
      </c>
      <c r="K14" s="78"/>
      <c r="L14" s="78"/>
      <c r="M14" s="79" t="s">
        <v>125</v>
      </c>
      <c r="N14" s="56"/>
      <c r="O14" s="93">
        <v>3</v>
      </c>
      <c r="P14" s="266" t="str">
        <f>VLOOKUP(3,'Dummy Table'!$A$11:$B$15,2,FALSE)</f>
        <v>Finland</v>
      </c>
      <c r="Q14" s="266"/>
      <c r="R14" s="266"/>
      <c r="S14" s="266"/>
      <c r="T14" s="93">
        <f t="shared" si="3"/>
        <v>3</v>
      </c>
      <c r="U14" s="93">
        <f>VLOOKUP($P14,'Dummy Table'!$B$4:$C$40,2,FALSE)</f>
        <v>1</v>
      </c>
      <c r="V14" s="93">
        <f>VLOOKUP($P14,'Dummy Table'!$B$4:$D$40,3,FALSE)</f>
        <v>0</v>
      </c>
      <c r="W14" s="93">
        <f>VLOOKUP($P14,'Dummy Table'!$B$4:$E$40,4,FALSE)</f>
        <v>2</v>
      </c>
      <c r="X14" s="93">
        <f>VLOOKUP($P14,'Dummy Table'!$B$4:$F$40,5,FALSE)</f>
        <v>1</v>
      </c>
      <c r="Y14" s="93" t="s">
        <v>116</v>
      </c>
      <c r="Z14" s="93">
        <f>VLOOKUP($P14,'Dummy Table'!$B$4:$G$40,6,FALSE)</f>
        <v>3</v>
      </c>
      <c r="AA14" s="93">
        <f t="shared" si="4"/>
        <v>-2</v>
      </c>
      <c r="AB14" s="93">
        <f>U14*3+V14*1</f>
        <v>3</v>
      </c>
      <c r="AC14" s="71"/>
      <c r="AE14" s="2"/>
      <c r="CW14" s="21"/>
      <c r="CX14" s="21"/>
      <c r="CY14" s="5"/>
      <c r="CZ14" s="21"/>
    </row>
    <row r="15" spans="2:104" s="18" customFormat="1" ht="14.5" customHeight="1" thickBot="1" x14ac:dyDescent="0.4">
      <c r="B15" s="72">
        <v>9</v>
      </c>
      <c r="C15" s="245" t="s">
        <v>126</v>
      </c>
      <c r="D15" s="245"/>
      <c r="E15" s="81">
        <f t="shared" si="0"/>
        <v>44361.75</v>
      </c>
      <c r="F15" s="82">
        <f>'Dummy Table'!EM15</f>
        <v>44361.75</v>
      </c>
      <c r="G15" s="83" t="str">
        <f>INDEX(Language!$A$1:$H$110,MATCH(Setup!$C$22,Language!$B$1:$B$107,0),MATCH(Setup!$D$6,Language!$A$1:$H$1,0))</f>
        <v>Poland</v>
      </c>
      <c r="H15" s="76">
        <v>1</v>
      </c>
      <c r="I15" s="77">
        <v>2</v>
      </c>
      <c r="J15" s="18" t="str">
        <f>INDEX(Language!$A$1:$H$110,MATCH(Setup!$C$26,Language!$B$1:$B$107,0),MATCH(Setup!$D$6,Language!$A$1:$H$1,0))</f>
        <v>Slovakia</v>
      </c>
      <c r="M15" s="84" t="s">
        <v>127</v>
      </c>
      <c r="N15" s="94"/>
      <c r="O15" s="86">
        <v>4</v>
      </c>
      <c r="P15" s="252" t="str">
        <f>VLOOKUP(4,'Dummy Table'!$A$11:$B$15,2,FALSE)</f>
        <v>Russia</v>
      </c>
      <c r="Q15" s="252"/>
      <c r="R15" s="252"/>
      <c r="S15" s="252"/>
      <c r="T15" s="86">
        <f t="shared" si="3"/>
        <v>3</v>
      </c>
      <c r="U15" s="86">
        <f>VLOOKUP($P15,'Dummy Table'!$B$4:$C$40,2,FALSE)</f>
        <v>1</v>
      </c>
      <c r="V15" s="86">
        <f>VLOOKUP($P15,'Dummy Table'!$B$4:$D$40,3,FALSE)</f>
        <v>0</v>
      </c>
      <c r="W15" s="86">
        <f>VLOOKUP($P15,'Dummy Table'!$B$4:$E$40,4,FALSE)</f>
        <v>2</v>
      </c>
      <c r="X15" s="86">
        <f>VLOOKUP($P15,'Dummy Table'!$B$4:$F$40,5,FALSE)</f>
        <v>2</v>
      </c>
      <c r="Y15" s="86" t="s">
        <v>116</v>
      </c>
      <c r="Z15" s="86">
        <f>VLOOKUP($P15,'Dummy Table'!$B$4:$G$40,6,FALSE)</f>
        <v>7</v>
      </c>
      <c r="AA15" s="86">
        <f t="shared" si="4"/>
        <v>-5</v>
      </c>
      <c r="AB15" s="86">
        <f>U15*3+V15*1</f>
        <v>3</v>
      </c>
      <c r="AC15" s="71"/>
      <c r="AE15" s="2"/>
      <c r="CW15" s="21"/>
      <c r="CX15" s="21"/>
      <c r="CY15" s="5"/>
      <c r="CZ15" s="21"/>
    </row>
    <row r="16" spans="2:104" s="18" customFormat="1" ht="14.5" customHeight="1" thickBot="1" x14ac:dyDescent="0.4">
      <c r="B16" s="72">
        <v>10</v>
      </c>
      <c r="C16" s="249" t="s">
        <v>126</v>
      </c>
      <c r="D16" s="249"/>
      <c r="E16" s="73">
        <f t="shared" si="0"/>
        <v>44361.875</v>
      </c>
      <c r="F16" s="74">
        <f>'Dummy Table'!EM16</f>
        <v>44361.875</v>
      </c>
      <c r="G16" s="75" t="str">
        <f>INDEX(Language!$A$1:$H$110,MATCH(Setup!$C$27,Language!$B$1:$B$107,0),MATCH(Setup!$D$6,Language!$A$1:$H$1,0))</f>
        <v>Spain</v>
      </c>
      <c r="H16" s="76">
        <v>0</v>
      </c>
      <c r="I16" s="77">
        <v>0</v>
      </c>
      <c r="J16" s="78" t="str">
        <f>INDEX(Language!$A$1:$H$110,MATCH(Setup!$C$28,Language!$B$1:$B$107,0),MATCH(Setup!$D$6,Language!$A$1:$H$1,0))</f>
        <v>Sweden</v>
      </c>
      <c r="K16" s="78"/>
      <c r="L16" s="78"/>
      <c r="M16" s="79" t="s">
        <v>128</v>
      </c>
      <c r="N16" s="56"/>
      <c r="O16" s="253" t="str">
        <f>INDEX(Language!$A$1:$I$110,MATCH("Group C",Language!$B$1:$B$107,0),MATCH(Setup!$D$6,Language!$A$1:$H$1,0))</f>
        <v>Group C</v>
      </c>
      <c r="P16" s="253"/>
      <c r="Q16" s="253"/>
      <c r="R16" s="253"/>
      <c r="S16" s="253"/>
      <c r="T16" s="57" t="s">
        <v>107</v>
      </c>
      <c r="U16" s="57" t="s">
        <v>108</v>
      </c>
      <c r="V16" s="57" t="s">
        <v>109</v>
      </c>
      <c r="W16" s="57" t="s">
        <v>110</v>
      </c>
      <c r="X16" s="57" t="s">
        <v>111</v>
      </c>
      <c r="Y16" s="57"/>
      <c r="Z16" s="57" t="s">
        <v>112</v>
      </c>
      <c r="AA16" s="58" t="s">
        <v>113</v>
      </c>
      <c r="AB16" s="57" t="s">
        <v>114</v>
      </c>
      <c r="AC16" s="95"/>
      <c r="AE16" s="2"/>
      <c r="CW16" s="21"/>
      <c r="CX16" s="21"/>
      <c r="CY16" s="5"/>
      <c r="CZ16" s="21"/>
    </row>
    <row r="17" spans="2:104" s="18" customFormat="1" ht="14.5" customHeight="1" thickBot="1" x14ac:dyDescent="0.4">
      <c r="B17" s="72">
        <v>11</v>
      </c>
      <c r="C17" s="245" t="s">
        <v>111</v>
      </c>
      <c r="D17" s="245"/>
      <c r="E17" s="81">
        <f t="shared" si="0"/>
        <v>44362.75</v>
      </c>
      <c r="F17" s="82">
        <f>'Dummy Table'!EM17</f>
        <v>44362.75</v>
      </c>
      <c r="G17" s="83" t="str">
        <f>INDEX(Language!$A$1:$H$110,MATCH(Setup!$C$18,Language!$B$1:$B$107,0),MATCH(Setup!$D$6,Language!$A$1:$H$1,0))</f>
        <v>Hungary</v>
      </c>
      <c r="H17" s="76">
        <v>0</v>
      </c>
      <c r="I17" s="77">
        <v>3</v>
      </c>
      <c r="J17" s="18" t="str">
        <f>INDEX(Language!$A$1:$H$110,MATCH(Setup!$C$23,Language!$B$1:$B$107,0),MATCH(Setup!$D$6,Language!$A$1:$H$1,0))</f>
        <v>Portugal</v>
      </c>
      <c r="M17" s="84" t="s">
        <v>129</v>
      </c>
      <c r="N17" s="56"/>
      <c r="O17" s="96">
        <v>1</v>
      </c>
      <c r="P17" s="263" t="str">
        <f>VLOOKUP(1,'Dummy Table'!$A$18:$B$22,2,FALSE)</f>
        <v>Netherlands</v>
      </c>
      <c r="Q17" s="263"/>
      <c r="R17" s="263"/>
      <c r="S17" s="263"/>
      <c r="T17" s="97">
        <f>SUM(U17:W17)</f>
        <v>3</v>
      </c>
      <c r="U17" s="97">
        <f>VLOOKUP($P17,'Dummy Table'!$B$4:$C$40,2,FALSE)</f>
        <v>3</v>
      </c>
      <c r="V17" s="97">
        <f>VLOOKUP($P17,'Dummy Table'!$B$4:$D$40,3,FALSE)</f>
        <v>0</v>
      </c>
      <c r="W17" s="97">
        <f>VLOOKUP($P17,'Dummy Table'!$B$4:$E$40,4,FALSE)</f>
        <v>0</v>
      </c>
      <c r="X17" s="97">
        <f>VLOOKUP($P17,'Dummy Table'!$B$4:$F$40,5,FALSE)</f>
        <v>8</v>
      </c>
      <c r="Y17" s="98" t="s">
        <v>116</v>
      </c>
      <c r="Z17" s="97">
        <f>VLOOKUP($P17,'Dummy Table'!$B$4:$G$40,6,FALSE)</f>
        <v>2</v>
      </c>
      <c r="AA17" s="97">
        <f>X17-Z17</f>
        <v>6</v>
      </c>
      <c r="AB17" s="97">
        <f>U17*3+V17*1</f>
        <v>9</v>
      </c>
      <c r="AC17" s="71"/>
      <c r="AE17" s="2"/>
      <c r="CW17" s="21"/>
      <c r="CX17" s="21"/>
      <c r="CY17" s="5"/>
      <c r="CZ17" s="21"/>
    </row>
    <row r="18" spans="2:104" s="18" customFormat="1" ht="14.5" customHeight="1" thickBot="1" x14ac:dyDescent="0.4">
      <c r="B18" s="72">
        <v>12</v>
      </c>
      <c r="C18" s="249" t="s">
        <v>111</v>
      </c>
      <c r="D18" s="249"/>
      <c r="E18" s="73">
        <f t="shared" si="0"/>
        <v>44362.875</v>
      </c>
      <c r="F18" s="74">
        <f>'Dummy Table'!EM18</f>
        <v>44362.875</v>
      </c>
      <c r="G18" s="75" t="str">
        <f>INDEX(Language!$A$1:$H$110,MATCH(Setup!$C$16,Language!$B$1:$B$107,0),MATCH(Setup!$D$6,Language!$A$1:$H$1,0))</f>
        <v>France</v>
      </c>
      <c r="H18" s="76">
        <v>1</v>
      </c>
      <c r="I18" s="77">
        <v>0</v>
      </c>
      <c r="J18" s="78" t="str">
        <f>INDEX(Language!$A$1:$H$110,MATCH(Setup!$C$17,Language!$B$1:$B$107,0),MATCH(Setup!$D$6,Language!$A$1:$H$1,0))</f>
        <v>Germany</v>
      </c>
      <c r="K18" s="78"/>
      <c r="L18" s="78"/>
      <c r="M18" s="79" t="s">
        <v>130</v>
      </c>
      <c r="N18" s="56"/>
      <c r="O18" s="96">
        <v>2</v>
      </c>
      <c r="P18" s="261" t="str">
        <f>VLOOKUP(2,'Dummy Table'!$A$18:$B$22,2,FALSE)</f>
        <v>Austria</v>
      </c>
      <c r="Q18" s="261"/>
      <c r="R18" s="261"/>
      <c r="S18" s="261"/>
      <c r="T18" s="99">
        <f t="shared" ref="T18:T20" si="5">SUM(U18:W18)</f>
        <v>3</v>
      </c>
      <c r="U18" s="99">
        <f>VLOOKUP($P18,'Dummy Table'!$B$4:$C$40,2,FALSE)</f>
        <v>2</v>
      </c>
      <c r="V18" s="99">
        <f>VLOOKUP($P18,'Dummy Table'!$B$4:$D$40,3,FALSE)</f>
        <v>0</v>
      </c>
      <c r="W18" s="99">
        <f>VLOOKUP($P18,'Dummy Table'!$B$4:$E$40,4,FALSE)</f>
        <v>1</v>
      </c>
      <c r="X18" s="99">
        <f>VLOOKUP($P18,'Dummy Table'!$B$4:$F$40,5,FALSE)</f>
        <v>4</v>
      </c>
      <c r="Y18" s="99" t="s">
        <v>116</v>
      </c>
      <c r="Z18" s="99">
        <f>VLOOKUP($P18,'Dummy Table'!$B$4:$G$40,6,FALSE)</f>
        <v>3</v>
      </c>
      <c r="AA18" s="99">
        <f t="shared" ref="AA18:AA20" si="6">X18-Z18</f>
        <v>1</v>
      </c>
      <c r="AB18" s="99">
        <f>U18*3+V18*1</f>
        <v>6</v>
      </c>
      <c r="AC18" s="71"/>
      <c r="AE18" s="2"/>
      <c r="CW18" s="21"/>
      <c r="CX18" s="21"/>
      <c r="CY18" s="5"/>
      <c r="CZ18" s="21"/>
    </row>
    <row r="19" spans="2:104" s="18" customFormat="1" ht="14.5" customHeight="1" thickBot="1" x14ac:dyDescent="0.4">
      <c r="B19" s="72">
        <v>13</v>
      </c>
      <c r="C19" s="245" t="s">
        <v>118</v>
      </c>
      <c r="D19" s="245"/>
      <c r="E19" s="81">
        <f t="shared" si="0"/>
        <v>44363.625</v>
      </c>
      <c r="F19" s="82">
        <f>'Dummy Table'!EM19</f>
        <v>44363.625</v>
      </c>
      <c r="G19" s="83" t="str">
        <f>INDEX(Language!$A$1:$H$110,MATCH(Setup!$C$15,Language!$B$1:$B$107,0),MATCH(Setup!$D$6,Language!$A$1:$H$1,0))</f>
        <v>Finland</v>
      </c>
      <c r="H19" s="76">
        <v>0</v>
      </c>
      <c r="I19" s="77">
        <v>1</v>
      </c>
      <c r="J19" s="18" t="str">
        <f>INDEX(Language!$A$1:$H$110,MATCH(Setup!$C$24,Language!$B$1:$B$107,0),MATCH(Setup!$D$6,Language!$A$1:$H$1,0))</f>
        <v>Russia</v>
      </c>
      <c r="M19" s="84" t="s">
        <v>120</v>
      </c>
      <c r="N19" s="56"/>
      <c r="O19" s="100">
        <v>3</v>
      </c>
      <c r="P19" s="262" t="str">
        <f>VLOOKUP(3,'Dummy Table'!$A$18:$B$22,2,FALSE)</f>
        <v>Ukraine</v>
      </c>
      <c r="Q19" s="262"/>
      <c r="R19" s="262"/>
      <c r="S19" s="262"/>
      <c r="T19" s="100">
        <f t="shared" si="5"/>
        <v>3</v>
      </c>
      <c r="U19" s="100">
        <f>VLOOKUP($P19,'Dummy Table'!$B$4:$C$40,2,FALSE)</f>
        <v>1</v>
      </c>
      <c r="V19" s="100">
        <f>VLOOKUP($P19,'Dummy Table'!$B$4:$D$40,3,FALSE)</f>
        <v>0</v>
      </c>
      <c r="W19" s="100">
        <f>VLOOKUP($P19,'Dummy Table'!$B$4:$E$40,4,FALSE)</f>
        <v>2</v>
      </c>
      <c r="X19" s="100">
        <f>VLOOKUP($P19,'Dummy Table'!$B$4:$F$40,5,FALSE)</f>
        <v>4</v>
      </c>
      <c r="Y19" s="100" t="s">
        <v>116</v>
      </c>
      <c r="Z19" s="100">
        <f>VLOOKUP($P19,'Dummy Table'!$B$4:$G$40,6,FALSE)</f>
        <v>5</v>
      </c>
      <c r="AA19" s="100">
        <f t="shared" si="6"/>
        <v>-1</v>
      </c>
      <c r="AB19" s="100">
        <f>U19*3+V19*1</f>
        <v>3</v>
      </c>
      <c r="AC19" s="71"/>
      <c r="AE19" s="2"/>
      <c r="CW19" s="21"/>
      <c r="CX19" s="21"/>
      <c r="CY19" s="5"/>
      <c r="CZ19" s="21"/>
    </row>
    <row r="20" spans="2:104" s="18" customFormat="1" ht="14.5" customHeight="1" thickBot="1" x14ac:dyDescent="0.4">
      <c r="B20" s="72">
        <v>14</v>
      </c>
      <c r="C20" s="249" t="s">
        <v>112</v>
      </c>
      <c r="D20" s="249"/>
      <c r="E20" s="73">
        <f t="shared" si="0"/>
        <v>44363.75</v>
      </c>
      <c r="F20" s="74">
        <f>'Dummy Table'!EM20</f>
        <v>44363.75</v>
      </c>
      <c r="G20" s="75" t="str">
        <f>INDEX(Language!$A$1:$H$110,MATCH(Setup!$C$30,Language!$B$1:$B$107,0),MATCH(Setup!$D$6,Language!$A$1:$H$1,0))</f>
        <v>Turkey</v>
      </c>
      <c r="H20" s="76">
        <v>0</v>
      </c>
      <c r="I20" s="77">
        <v>2</v>
      </c>
      <c r="J20" s="78" t="str">
        <f>INDEX(Language!$A$1:$H$110,MATCH(Setup!$C$32,Language!$B$1:$B$107,0),MATCH(Setup!$D$6,Language!$A$1:$H$1,0))</f>
        <v>Wales</v>
      </c>
      <c r="K20" s="78"/>
      <c r="L20" s="78"/>
      <c r="M20" s="79" t="s">
        <v>117</v>
      </c>
      <c r="N20" s="56"/>
      <c r="O20" s="86">
        <v>4</v>
      </c>
      <c r="P20" s="252" t="str">
        <f>VLOOKUP(4,'Dummy Table'!$A$18:$B$22,2,FALSE)</f>
        <v>North Macedonia</v>
      </c>
      <c r="Q20" s="252"/>
      <c r="R20" s="252"/>
      <c r="S20" s="252"/>
      <c r="T20" s="86">
        <f t="shared" si="5"/>
        <v>3</v>
      </c>
      <c r="U20" s="86">
        <f>VLOOKUP($P20,'Dummy Table'!$B$4:$C$40,2,FALSE)</f>
        <v>0</v>
      </c>
      <c r="V20" s="86">
        <f>VLOOKUP($P20,'Dummy Table'!$B$4:$D$40,3,FALSE)</f>
        <v>0</v>
      </c>
      <c r="W20" s="86">
        <f>VLOOKUP($P20,'Dummy Table'!$B$4:$E$40,4,FALSE)</f>
        <v>3</v>
      </c>
      <c r="X20" s="86">
        <f>VLOOKUP($P20,'Dummy Table'!$B$4:$F$40,5,FALSE)</f>
        <v>2</v>
      </c>
      <c r="Y20" s="86" t="s">
        <v>116</v>
      </c>
      <c r="Z20" s="86">
        <f>VLOOKUP($P20,'Dummy Table'!$B$4:$G$40,6,FALSE)</f>
        <v>8</v>
      </c>
      <c r="AA20" s="86">
        <f t="shared" si="6"/>
        <v>-6</v>
      </c>
      <c r="AB20" s="86">
        <f>U20*3+V20*1</f>
        <v>0</v>
      </c>
      <c r="AC20" s="71"/>
      <c r="AE20" s="2"/>
      <c r="CW20" s="21"/>
      <c r="CX20" s="21"/>
      <c r="CY20" s="5"/>
      <c r="CZ20" s="21"/>
    </row>
    <row r="21" spans="2:104" s="18" customFormat="1" ht="14.5" customHeight="1" thickBot="1" x14ac:dyDescent="0.4">
      <c r="B21" s="72">
        <v>15</v>
      </c>
      <c r="C21" s="245" t="s">
        <v>112</v>
      </c>
      <c r="D21" s="245"/>
      <c r="E21" s="81">
        <f t="shared" si="0"/>
        <v>44363.875</v>
      </c>
      <c r="F21" s="82">
        <f>'Dummy Table'!EM21</f>
        <v>44363.875</v>
      </c>
      <c r="G21" s="83" t="str">
        <f>INDEX(Language!$A$1:$H$110,MATCH(Setup!$C$19,Language!$B$1:$B$107,0),MATCH(Setup!$D$6,Language!$A$1:$H$1,0))</f>
        <v>Italy</v>
      </c>
      <c r="H21" s="76">
        <v>3</v>
      </c>
      <c r="I21" s="77">
        <v>0</v>
      </c>
      <c r="J21" s="18" t="str">
        <f>INDEX(Language!$A$1:$H$110,MATCH(Setup!$C$29,Language!$B$1:$B$107,0),MATCH(Setup!$D$6,Language!$A$1:$H$1,0))</f>
        <v>Switzerland</v>
      </c>
      <c r="M21" s="84" t="s">
        <v>115</v>
      </c>
      <c r="N21" s="56"/>
      <c r="O21" s="253" t="str">
        <f>INDEX(Language!$A$1:$I$110,MATCH("Group D",Language!$B$1:$B$107,0),MATCH(Setup!$D$6,Language!$A$1:$H$1,0))</f>
        <v>Group D</v>
      </c>
      <c r="P21" s="253"/>
      <c r="Q21" s="253"/>
      <c r="R21" s="253"/>
      <c r="S21" s="253"/>
      <c r="T21" s="57" t="s">
        <v>107</v>
      </c>
      <c r="U21" s="57" t="s">
        <v>108</v>
      </c>
      <c r="V21" s="57" t="s">
        <v>109</v>
      </c>
      <c r="W21" s="57" t="s">
        <v>110</v>
      </c>
      <c r="X21" s="57" t="s">
        <v>111</v>
      </c>
      <c r="Y21" s="57"/>
      <c r="Z21" s="57" t="s">
        <v>112</v>
      </c>
      <c r="AA21" s="58" t="s">
        <v>113</v>
      </c>
      <c r="AB21" s="57" t="s">
        <v>114</v>
      </c>
      <c r="AC21" s="95"/>
      <c r="AE21" s="2"/>
      <c r="CW21" s="21"/>
      <c r="CX21" s="21"/>
      <c r="CY21" s="5"/>
      <c r="CZ21" s="21"/>
    </row>
    <row r="22" spans="2:104" s="18" customFormat="1" ht="14.5" customHeight="1" thickBot="1" x14ac:dyDescent="0.4">
      <c r="B22" s="72">
        <v>16</v>
      </c>
      <c r="C22" s="249" t="s">
        <v>122</v>
      </c>
      <c r="D22" s="249"/>
      <c r="E22" s="73">
        <f t="shared" si="0"/>
        <v>44364.625</v>
      </c>
      <c r="F22" s="74">
        <f>'Dummy Table'!EM22</f>
        <v>44364.625</v>
      </c>
      <c r="G22" s="75" t="str">
        <f>INDEX(Language!$A$1:$H$110,MATCH(Setup!$C$31,Language!$B$1:$B$107,0),MATCH(Setup!$D$6,Language!$A$1:$H$1,0))</f>
        <v>Ukraine</v>
      </c>
      <c r="H22" s="76">
        <v>2</v>
      </c>
      <c r="I22" s="77">
        <v>1</v>
      </c>
      <c r="J22" s="78" t="str">
        <f>INDEX(Language!$A$1:$H$110,MATCH(Setup!$C$21,Language!$B$1:$B$107,0),MATCH(Setup!$D$6,Language!$A$1:$H$1,0))</f>
        <v>North Macedonia</v>
      </c>
      <c r="K22" s="78"/>
      <c r="L22" s="78"/>
      <c r="M22" s="79" t="s">
        <v>123</v>
      </c>
      <c r="N22" s="56"/>
      <c r="O22" s="101">
        <v>1</v>
      </c>
      <c r="P22" s="259" t="str">
        <f>VLOOKUP(1,'Dummy Table'!$A$25:$B$29,2,FALSE)</f>
        <v>England</v>
      </c>
      <c r="Q22" s="259"/>
      <c r="R22" s="259"/>
      <c r="S22" s="259"/>
      <c r="T22" s="102">
        <f>SUM(U22:W22)</f>
        <v>3</v>
      </c>
      <c r="U22" s="102">
        <f>VLOOKUP($P22,'Dummy Table'!$B$4:$C$40,2,FALSE)</f>
        <v>2</v>
      </c>
      <c r="V22" s="102">
        <f>VLOOKUP($P22,'Dummy Table'!$B$4:$D$40,3,FALSE)</f>
        <v>1</v>
      </c>
      <c r="W22" s="102">
        <f>VLOOKUP($P22,'Dummy Table'!$B$4:$E$40,4,FALSE)</f>
        <v>0</v>
      </c>
      <c r="X22" s="102">
        <f>VLOOKUP($P22,'Dummy Table'!$B$4:$F$40,5,FALSE)</f>
        <v>2</v>
      </c>
      <c r="Y22" s="103" t="s">
        <v>116</v>
      </c>
      <c r="Z22" s="102">
        <f>VLOOKUP($P22,'Dummy Table'!$B$4:$G$40,6,FALSE)</f>
        <v>0</v>
      </c>
      <c r="AA22" s="102">
        <f>X22-Z22</f>
        <v>2</v>
      </c>
      <c r="AB22" s="102">
        <f>U22*3+V22*1</f>
        <v>7</v>
      </c>
      <c r="AC22" s="71"/>
      <c r="AE22" s="2"/>
      <c r="CW22" s="21"/>
      <c r="CX22" s="21"/>
      <c r="CY22" s="5"/>
      <c r="CZ22" s="21"/>
    </row>
    <row r="23" spans="2:104" s="18" customFormat="1" ht="14.5" customHeight="1" thickBot="1" x14ac:dyDescent="0.4">
      <c r="B23" s="72">
        <v>17</v>
      </c>
      <c r="C23" s="245" t="s">
        <v>118</v>
      </c>
      <c r="D23" s="245"/>
      <c r="E23" s="81">
        <f t="shared" si="0"/>
        <v>44364.75</v>
      </c>
      <c r="F23" s="82">
        <f>'Dummy Table'!EM23</f>
        <v>44364.75</v>
      </c>
      <c r="G23" s="83" t="str">
        <f>INDEX(Language!$A$1:$H$110,MATCH(Setup!$C$13,Language!$B$1:$B$107,0),MATCH(Setup!$D$6,Language!$A$1:$H$1,0))</f>
        <v>Denmark</v>
      </c>
      <c r="H23" s="76">
        <v>1</v>
      </c>
      <c r="I23" s="77">
        <v>2</v>
      </c>
      <c r="J23" s="18" t="str">
        <f>INDEX(Language!$A$1:$H$110,MATCH(Setup!$C$10,Language!$B$1:$B$107,0),MATCH(Setup!$D$6,Language!$A$1:$H$1,0))</f>
        <v>Belgium</v>
      </c>
      <c r="M23" s="84" t="s">
        <v>119</v>
      </c>
      <c r="N23" s="56"/>
      <c r="O23" s="101">
        <v>2</v>
      </c>
      <c r="P23" s="260" t="str">
        <f>VLOOKUP(2,'Dummy Table'!$A$25:$B$29,2,FALSE)</f>
        <v>Croatia</v>
      </c>
      <c r="Q23" s="260"/>
      <c r="R23" s="260"/>
      <c r="S23" s="260"/>
      <c r="T23" s="104">
        <f t="shared" ref="T23:T25" si="7">SUM(U23:W23)</f>
        <v>3</v>
      </c>
      <c r="U23" s="104">
        <f>VLOOKUP($P23,'Dummy Table'!$B$4:$C$40,2,FALSE)</f>
        <v>1</v>
      </c>
      <c r="V23" s="104">
        <f>VLOOKUP($P23,'Dummy Table'!$B$4:$D$40,3,FALSE)</f>
        <v>1</v>
      </c>
      <c r="W23" s="104">
        <f>VLOOKUP($P23,'Dummy Table'!$B$4:$E$40,4,FALSE)</f>
        <v>1</v>
      </c>
      <c r="X23" s="104">
        <f>VLOOKUP($P23,'Dummy Table'!$B$4:$F$40,5,FALSE)</f>
        <v>4</v>
      </c>
      <c r="Y23" s="104" t="s">
        <v>116</v>
      </c>
      <c r="Z23" s="104">
        <f>VLOOKUP($P23,'Dummy Table'!$B$4:$G$40,6,FALSE)</f>
        <v>3</v>
      </c>
      <c r="AA23" s="104">
        <f t="shared" ref="AA23:AA25" si="8">X23-Z23</f>
        <v>1</v>
      </c>
      <c r="AB23" s="104">
        <f>U23*3+V23*1</f>
        <v>4</v>
      </c>
      <c r="AC23" s="71"/>
      <c r="AE23" s="2"/>
      <c r="CW23" s="21"/>
      <c r="CX23" s="21"/>
      <c r="CY23" s="5"/>
      <c r="CZ23" s="21"/>
    </row>
    <row r="24" spans="2:104" s="18" customFormat="1" ht="14.5" customHeight="1" thickBot="1" x14ac:dyDescent="0.4">
      <c r="B24" s="72">
        <v>18</v>
      </c>
      <c r="C24" s="249" t="s">
        <v>122</v>
      </c>
      <c r="D24" s="249"/>
      <c r="E24" s="73">
        <f t="shared" si="0"/>
        <v>44364.875</v>
      </c>
      <c r="F24" s="74">
        <f>'Dummy Table'!EM24</f>
        <v>44364.875</v>
      </c>
      <c r="G24" s="75" t="str">
        <f>INDEX(Language!$A$1:$H$110,MATCH(Setup!$C$20,Language!$B$1:$B$107,0),MATCH(Setup!$D$6,Language!$A$1:$H$1,0))</f>
        <v>Netherlands</v>
      </c>
      <c r="H24" s="76">
        <v>2</v>
      </c>
      <c r="I24" s="77">
        <v>0</v>
      </c>
      <c r="J24" s="78" t="str">
        <f>INDEX(Language!$A$1:$H$110,MATCH(Setup!$C$9,Language!$B$1:$B$107,0),MATCH(Setup!$D$6,Language!$A$1:$H$1,0))</f>
        <v>Austria</v>
      </c>
      <c r="K24" s="78"/>
      <c r="L24" s="78"/>
      <c r="M24" s="79" t="s">
        <v>124</v>
      </c>
      <c r="N24" s="56"/>
      <c r="O24" s="105">
        <v>3</v>
      </c>
      <c r="P24" s="258" t="str">
        <f>VLOOKUP(3,'Dummy Table'!$A$25:$B$29,2,FALSE)</f>
        <v>Czech Republic</v>
      </c>
      <c r="Q24" s="258"/>
      <c r="R24" s="258"/>
      <c r="S24" s="258"/>
      <c r="T24" s="105">
        <f t="shared" si="7"/>
        <v>3</v>
      </c>
      <c r="U24" s="105">
        <f>VLOOKUP($P24,'Dummy Table'!$B$4:$C$40,2,FALSE)</f>
        <v>1</v>
      </c>
      <c r="V24" s="105">
        <f>VLOOKUP($P24,'Dummy Table'!$B$4:$D$40,3,FALSE)</f>
        <v>1</v>
      </c>
      <c r="W24" s="105">
        <f>VLOOKUP($P24,'Dummy Table'!$B$4:$E$40,4,FALSE)</f>
        <v>1</v>
      </c>
      <c r="X24" s="105">
        <f>VLOOKUP($P24,'Dummy Table'!$B$4:$F$40,5,FALSE)</f>
        <v>3</v>
      </c>
      <c r="Y24" s="105" t="s">
        <v>116</v>
      </c>
      <c r="Z24" s="105">
        <f>VLOOKUP($P24,'Dummy Table'!$B$4:$G$40,6,FALSE)</f>
        <v>2</v>
      </c>
      <c r="AA24" s="105">
        <f t="shared" si="8"/>
        <v>1</v>
      </c>
      <c r="AB24" s="105">
        <f>U24*3+V24*1</f>
        <v>4</v>
      </c>
      <c r="AC24" s="71"/>
      <c r="AE24" s="2"/>
      <c r="CW24" s="21"/>
      <c r="CX24" s="21"/>
      <c r="CY24" s="5"/>
      <c r="CZ24" s="21"/>
    </row>
    <row r="25" spans="2:104" s="18" customFormat="1" ht="14.5" customHeight="1" thickBot="1" x14ac:dyDescent="0.4">
      <c r="B25" s="72">
        <v>19</v>
      </c>
      <c r="C25" s="245" t="s">
        <v>126</v>
      </c>
      <c r="D25" s="245"/>
      <c r="E25" s="81">
        <f t="shared" si="0"/>
        <v>44365.625</v>
      </c>
      <c r="F25" s="82">
        <f>'Dummy Table'!EM25</f>
        <v>44365.625</v>
      </c>
      <c r="G25" s="83" t="str">
        <f>INDEX(Language!$A$1:$H$110,MATCH(Setup!$C$28,Language!$B$1:$B$107,0),MATCH(Setup!$D$6,Language!$A$1:$H$1,0))</f>
        <v>Sweden</v>
      </c>
      <c r="H25" s="76">
        <v>1</v>
      </c>
      <c r="I25" s="77">
        <v>0</v>
      </c>
      <c r="J25" s="18" t="str">
        <f>INDEX(Language!$A$1:$H$110,MATCH(Setup!$C$26,Language!$B$1:$B$107,0),MATCH(Setup!$D$6,Language!$A$1:$H$1,0))</f>
        <v>Slovakia</v>
      </c>
      <c r="M25" s="84" t="s">
        <v>127</v>
      </c>
      <c r="N25" s="56"/>
      <c r="O25" s="86">
        <v>4</v>
      </c>
      <c r="P25" s="252" t="str">
        <f>VLOOKUP(4,'Dummy Table'!$A$25:$B$29,2,FALSE)</f>
        <v>Scotland</v>
      </c>
      <c r="Q25" s="252"/>
      <c r="R25" s="252"/>
      <c r="S25" s="252"/>
      <c r="T25" s="86">
        <f t="shared" si="7"/>
        <v>3</v>
      </c>
      <c r="U25" s="86">
        <f>VLOOKUP($P25,'Dummy Table'!$B$4:$C$40,2,FALSE)</f>
        <v>0</v>
      </c>
      <c r="V25" s="86">
        <f>VLOOKUP($P25,'Dummy Table'!$B$4:$D$40,3,FALSE)</f>
        <v>1</v>
      </c>
      <c r="W25" s="86">
        <f>VLOOKUP($P25,'Dummy Table'!$B$4:$E$40,4,FALSE)</f>
        <v>2</v>
      </c>
      <c r="X25" s="86">
        <f>VLOOKUP($P25,'Dummy Table'!$B$4:$F$40,5,FALSE)</f>
        <v>1</v>
      </c>
      <c r="Y25" s="86" t="s">
        <v>116</v>
      </c>
      <c r="Z25" s="86">
        <f>VLOOKUP($P25,'Dummy Table'!$B$4:$G$40,6,FALSE)</f>
        <v>5</v>
      </c>
      <c r="AA25" s="86">
        <f t="shared" si="8"/>
        <v>-4</v>
      </c>
      <c r="AB25" s="86">
        <f>U25*3+V25*1</f>
        <v>1</v>
      </c>
      <c r="AC25" s="71"/>
      <c r="AE25" s="2"/>
      <c r="CW25" s="21"/>
      <c r="CX25" s="21"/>
      <c r="CY25" s="5"/>
      <c r="CZ25" s="21"/>
    </row>
    <row r="26" spans="2:104" s="18" customFormat="1" ht="14.5" customHeight="1" thickBot="1" x14ac:dyDescent="0.4">
      <c r="B26" s="72">
        <v>20</v>
      </c>
      <c r="C26" s="249" t="s">
        <v>109</v>
      </c>
      <c r="D26" s="249"/>
      <c r="E26" s="73">
        <f t="shared" si="0"/>
        <v>44365.75</v>
      </c>
      <c r="F26" s="74">
        <f>'Dummy Table'!EM26</f>
        <v>44365.75</v>
      </c>
      <c r="G26" s="75" t="str">
        <f>INDEX(Language!$A$1:$H$110,MATCH(Setup!$C$11,Language!$B$1:$B$107,0),MATCH(Setup!$D$6,Language!$A$1:$H$1,0))</f>
        <v>Croatia</v>
      </c>
      <c r="H26" s="76">
        <v>1</v>
      </c>
      <c r="I26" s="77">
        <v>1</v>
      </c>
      <c r="J26" s="78" t="str">
        <f>INDEX(Language!$A$1:$H$110,MATCH(Setup!$C$12,Language!$B$1:$B$107,0),MATCH(Setup!$D$6,Language!$A$1:$H$1,0))</f>
        <v>Czech Republic</v>
      </c>
      <c r="K26" s="78"/>
      <c r="L26" s="78"/>
      <c r="M26" s="79" t="s">
        <v>125</v>
      </c>
      <c r="N26" s="56"/>
      <c r="O26" s="253" t="str">
        <f>INDEX(Language!$A$1:$I$110,MATCH("Group E",Language!$B$1:$B$107,0),MATCH(Setup!$D$6,Language!$A$1:$H$1,0))</f>
        <v>Group E</v>
      </c>
      <c r="P26" s="253"/>
      <c r="Q26" s="253"/>
      <c r="R26" s="253"/>
      <c r="S26" s="253"/>
      <c r="T26" s="57" t="s">
        <v>107</v>
      </c>
      <c r="U26" s="57" t="s">
        <v>108</v>
      </c>
      <c r="V26" s="57" t="s">
        <v>109</v>
      </c>
      <c r="W26" s="57" t="s">
        <v>110</v>
      </c>
      <c r="X26" s="57" t="s">
        <v>111</v>
      </c>
      <c r="Y26" s="57"/>
      <c r="Z26" s="57" t="s">
        <v>112</v>
      </c>
      <c r="AA26" s="58" t="s">
        <v>113</v>
      </c>
      <c r="AB26" s="57" t="s">
        <v>114</v>
      </c>
      <c r="AC26" s="95"/>
      <c r="AE26" s="2"/>
      <c r="CW26" s="21"/>
      <c r="CX26" s="21"/>
      <c r="CY26" s="5"/>
      <c r="CZ26" s="21"/>
    </row>
    <row r="27" spans="2:104" s="18" customFormat="1" ht="14.5" customHeight="1" thickBot="1" x14ac:dyDescent="0.4">
      <c r="B27" s="72">
        <v>21</v>
      </c>
      <c r="C27" s="245" t="s">
        <v>109</v>
      </c>
      <c r="D27" s="245"/>
      <c r="E27" s="81">
        <f t="shared" si="0"/>
        <v>44365.875</v>
      </c>
      <c r="F27" s="82">
        <f>'Dummy Table'!EM27</f>
        <v>44365.875</v>
      </c>
      <c r="G27" s="83" t="str">
        <f>INDEX(Language!$A$1:$H$110,MATCH(Setup!$C$14,Language!$B$1:$B$107,0),MATCH(Setup!$D$6,Language!$A$1:$H$1,0))</f>
        <v>England</v>
      </c>
      <c r="H27" s="76">
        <v>0</v>
      </c>
      <c r="I27" s="77">
        <v>0</v>
      </c>
      <c r="J27" s="18" t="str">
        <f>INDEX(Language!$A$1:$H$110,MATCH(Setup!$C$25,Language!$B$1:$B$107,0),MATCH(Setup!$D$6,Language!$A$1:$H$1,0))</f>
        <v>Scotland</v>
      </c>
      <c r="M27" s="84" t="s">
        <v>121</v>
      </c>
      <c r="N27" s="56"/>
      <c r="O27" s="106">
        <v>1</v>
      </c>
      <c r="P27" s="255" t="str">
        <f>VLOOKUP(1,'Dummy Table'!$A$31:$B$35,2,FALSE)</f>
        <v>Sweden</v>
      </c>
      <c r="Q27" s="255"/>
      <c r="R27" s="255"/>
      <c r="S27" s="255"/>
      <c r="T27" s="107">
        <f>SUM(U27:W27)</f>
        <v>3</v>
      </c>
      <c r="U27" s="107">
        <f>VLOOKUP($P27,'Dummy Table'!$B$4:$C$40,2,FALSE)</f>
        <v>2</v>
      </c>
      <c r="V27" s="107">
        <f>VLOOKUP($P27,'Dummy Table'!$B$4:$D$40,3,FALSE)</f>
        <v>1</v>
      </c>
      <c r="W27" s="107">
        <f>VLOOKUP($P27,'Dummy Table'!$B$4:$E$40,4,FALSE)</f>
        <v>0</v>
      </c>
      <c r="X27" s="107">
        <f>VLOOKUP($P27,'Dummy Table'!$B$4:$F$40,5,FALSE)</f>
        <v>4</v>
      </c>
      <c r="Y27" s="108" t="s">
        <v>116</v>
      </c>
      <c r="Z27" s="107">
        <f>VLOOKUP($P27,'Dummy Table'!$B$4:$G$40,6,FALSE)</f>
        <v>2</v>
      </c>
      <c r="AA27" s="107">
        <f>X27-Z27</f>
        <v>2</v>
      </c>
      <c r="AB27" s="107">
        <f>U27*3+V27*1</f>
        <v>7</v>
      </c>
      <c r="AC27" s="71"/>
      <c r="AE27" s="2"/>
      <c r="CW27" s="21"/>
      <c r="CX27" s="21"/>
      <c r="CY27" s="5"/>
      <c r="CZ27" s="21"/>
    </row>
    <row r="28" spans="2:104" s="18" customFormat="1" ht="14.5" customHeight="1" thickBot="1" x14ac:dyDescent="0.4">
      <c r="B28" s="72">
        <v>22</v>
      </c>
      <c r="C28" s="249" t="s">
        <v>111</v>
      </c>
      <c r="D28" s="249"/>
      <c r="E28" s="73">
        <f t="shared" si="0"/>
        <v>44366.625</v>
      </c>
      <c r="F28" s="74">
        <f>'Dummy Table'!EM28</f>
        <v>44366.625</v>
      </c>
      <c r="G28" s="75" t="str">
        <f>INDEX(Language!$A$1:$H$110,MATCH(Setup!$C$18,Language!$B$1:$B$107,0),MATCH(Setup!$D$6,Language!$A$1:$H$1,0))</f>
        <v>Hungary</v>
      </c>
      <c r="H28" s="76">
        <v>1</v>
      </c>
      <c r="I28" s="77">
        <v>1</v>
      </c>
      <c r="J28" s="78" t="str">
        <f>INDEX(Language!$A$1:$H$110,MATCH(Setup!$C$16,Language!$B$1:$B$107,0),MATCH(Setup!$D$6,Language!$A$1:$H$1,0))</f>
        <v>France</v>
      </c>
      <c r="K28" s="78"/>
      <c r="L28" s="78"/>
      <c r="M28" s="79" t="s">
        <v>129</v>
      </c>
      <c r="N28" s="56"/>
      <c r="O28" s="106">
        <v>2</v>
      </c>
      <c r="P28" s="256" t="str">
        <f>VLOOKUP(2,'Dummy Table'!$A$31:$B$35,2,FALSE)</f>
        <v>Spain</v>
      </c>
      <c r="Q28" s="256"/>
      <c r="R28" s="256"/>
      <c r="S28" s="256"/>
      <c r="T28" s="109">
        <f t="shared" ref="T28:T30" si="9">SUM(U28:W28)</f>
        <v>3</v>
      </c>
      <c r="U28" s="109">
        <f>VLOOKUP($P28,'Dummy Table'!$B$4:$C$40,2,FALSE)</f>
        <v>1</v>
      </c>
      <c r="V28" s="109">
        <f>VLOOKUP($P28,'Dummy Table'!$B$4:$D$40,3,FALSE)</f>
        <v>2</v>
      </c>
      <c r="W28" s="109">
        <f>VLOOKUP($P28,'Dummy Table'!$B$4:$E$40,4,FALSE)</f>
        <v>0</v>
      </c>
      <c r="X28" s="109">
        <f>VLOOKUP($P28,'Dummy Table'!$B$4:$F$40,5,FALSE)</f>
        <v>6</v>
      </c>
      <c r="Y28" s="109" t="s">
        <v>116</v>
      </c>
      <c r="Z28" s="109">
        <f>VLOOKUP($P28,'Dummy Table'!$B$4:$G$40,6,FALSE)</f>
        <v>1</v>
      </c>
      <c r="AA28" s="109">
        <f t="shared" ref="AA28:AA30" si="10">X28-Z28</f>
        <v>5</v>
      </c>
      <c r="AB28" s="109">
        <f>U28*3+V28*1</f>
        <v>5</v>
      </c>
      <c r="AC28" s="71"/>
      <c r="AE28" s="2"/>
      <c r="CW28" s="21"/>
      <c r="CX28" s="21"/>
      <c r="CY28" s="5"/>
      <c r="CZ28" s="21"/>
    </row>
    <row r="29" spans="2:104" s="18" customFormat="1" ht="14.5" customHeight="1" thickBot="1" x14ac:dyDescent="0.4">
      <c r="B29" s="72">
        <v>23</v>
      </c>
      <c r="C29" s="245" t="s">
        <v>111</v>
      </c>
      <c r="D29" s="245"/>
      <c r="E29" s="81">
        <f t="shared" si="0"/>
        <v>44366.75</v>
      </c>
      <c r="F29" s="82">
        <f>'Dummy Table'!EM29</f>
        <v>44366.75</v>
      </c>
      <c r="G29" s="83" t="str">
        <f>INDEX(Language!$A$1:$H$110,MATCH(Setup!$C$23,Language!$B$1:$B$107,0),MATCH(Setup!$D$6,Language!$A$1:$H$1,0))</f>
        <v>Portugal</v>
      </c>
      <c r="H29" s="76">
        <v>2</v>
      </c>
      <c r="I29" s="77">
        <v>4</v>
      </c>
      <c r="J29" s="18" t="str">
        <f>INDEX(Language!$A$1:$H$110,MATCH(Setup!$C$17,Language!$B$1:$B$107,0),MATCH(Setup!$D$6,Language!$A$1:$H$1,0))</f>
        <v>Germany</v>
      </c>
      <c r="M29" s="84" t="s">
        <v>130</v>
      </c>
      <c r="N29" s="56"/>
      <c r="O29" s="110">
        <v>3</v>
      </c>
      <c r="P29" s="257" t="str">
        <f>VLOOKUP(3,'Dummy Table'!$A$31:$B$35,2,FALSE)</f>
        <v>Slovakia</v>
      </c>
      <c r="Q29" s="257"/>
      <c r="R29" s="257"/>
      <c r="S29" s="257"/>
      <c r="T29" s="110">
        <f t="shared" si="9"/>
        <v>3</v>
      </c>
      <c r="U29" s="110">
        <f>VLOOKUP($P29,'Dummy Table'!$B$4:$C$40,2,FALSE)</f>
        <v>1</v>
      </c>
      <c r="V29" s="110">
        <f>VLOOKUP($P29,'Dummy Table'!$B$4:$D$40,3,FALSE)</f>
        <v>0</v>
      </c>
      <c r="W29" s="110">
        <f>VLOOKUP($P29,'Dummy Table'!$B$4:$E$40,4,FALSE)</f>
        <v>2</v>
      </c>
      <c r="X29" s="110">
        <f>VLOOKUP($P29,'Dummy Table'!$B$4:$F$40,5,FALSE)</f>
        <v>2</v>
      </c>
      <c r="Y29" s="110" t="s">
        <v>116</v>
      </c>
      <c r="Z29" s="110">
        <f>VLOOKUP($P29,'Dummy Table'!$B$4:$G$40,6,FALSE)</f>
        <v>7</v>
      </c>
      <c r="AA29" s="110">
        <f t="shared" si="10"/>
        <v>-5</v>
      </c>
      <c r="AB29" s="110">
        <f>U29*3+V29*1</f>
        <v>3</v>
      </c>
      <c r="AC29" s="71"/>
      <c r="AE29" s="2"/>
      <c r="CW29" s="21"/>
      <c r="CX29" s="21"/>
      <c r="CY29" s="5"/>
      <c r="CZ29" s="21"/>
    </row>
    <row r="30" spans="2:104" s="18" customFormat="1" ht="14.5" customHeight="1" thickBot="1" x14ac:dyDescent="0.4">
      <c r="B30" s="72">
        <v>24</v>
      </c>
      <c r="C30" s="249" t="s">
        <v>126</v>
      </c>
      <c r="D30" s="249"/>
      <c r="E30" s="73">
        <f t="shared" si="0"/>
        <v>44366.875</v>
      </c>
      <c r="F30" s="74">
        <f>'Dummy Table'!EM30</f>
        <v>44366.875</v>
      </c>
      <c r="G30" s="75" t="str">
        <f>INDEX(Language!$A$1:$H$110,MATCH(Setup!$C$27,Language!$B$1:$B$107,0),MATCH(Setup!$D$6,Language!$A$1:$H$1,0))</f>
        <v>Spain</v>
      </c>
      <c r="H30" s="76">
        <v>1</v>
      </c>
      <c r="I30" s="77">
        <v>1</v>
      </c>
      <c r="J30" s="78" t="str">
        <f>INDEX(Language!$A$1:$H$110,MATCH(Setup!$C$22,Language!$B$1:$B$107,0),MATCH(Setup!$D$6,Language!$A$1:$H$1,0))</f>
        <v>Poland</v>
      </c>
      <c r="K30" s="78"/>
      <c r="L30" s="78"/>
      <c r="M30" s="79" t="s">
        <v>128</v>
      </c>
      <c r="N30" s="56"/>
      <c r="O30" s="86">
        <v>4</v>
      </c>
      <c r="P30" s="252" t="str">
        <f>VLOOKUP(4,'Dummy Table'!$A$31:$B$35,2,FALSE)</f>
        <v>Poland</v>
      </c>
      <c r="Q30" s="252"/>
      <c r="R30" s="252"/>
      <c r="S30" s="252"/>
      <c r="T30" s="86">
        <f t="shared" si="9"/>
        <v>3</v>
      </c>
      <c r="U30" s="86">
        <f>VLOOKUP($P30,'Dummy Table'!$B$4:$C$40,2,FALSE)</f>
        <v>0</v>
      </c>
      <c r="V30" s="86">
        <f>VLOOKUP($P30,'Dummy Table'!$B$4:$D$40,3,FALSE)</f>
        <v>1</v>
      </c>
      <c r="W30" s="86">
        <f>VLOOKUP($P30,'Dummy Table'!$B$4:$E$40,4,FALSE)</f>
        <v>2</v>
      </c>
      <c r="X30" s="86">
        <f>VLOOKUP($P30,'Dummy Table'!$B$4:$F$40,5,FALSE)</f>
        <v>4</v>
      </c>
      <c r="Y30" s="86" t="s">
        <v>116</v>
      </c>
      <c r="Z30" s="86">
        <f>VLOOKUP($P30,'Dummy Table'!$B$4:$G$40,6,FALSE)</f>
        <v>6</v>
      </c>
      <c r="AA30" s="86">
        <f t="shared" si="10"/>
        <v>-2</v>
      </c>
      <c r="AB30" s="86">
        <f>U30*3+V30*1</f>
        <v>1</v>
      </c>
      <c r="AC30" s="71"/>
      <c r="AE30" s="2"/>
      <c r="CW30" s="21"/>
      <c r="CX30" s="21"/>
      <c r="CY30" s="5"/>
      <c r="CZ30" s="21"/>
    </row>
    <row r="31" spans="2:104" s="18" customFormat="1" ht="14.5" customHeight="1" thickBot="1" x14ac:dyDescent="0.4">
      <c r="B31" s="72">
        <v>25</v>
      </c>
      <c r="C31" s="245" t="s">
        <v>112</v>
      </c>
      <c r="D31" s="245"/>
      <c r="E31" s="81">
        <f t="shared" si="0"/>
        <v>44367.75</v>
      </c>
      <c r="F31" s="82">
        <f>'Dummy Table'!EM31</f>
        <v>44367.75</v>
      </c>
      <c r="G31" s="83" t="str">
        <f>INDEX(Language!$A$1:$H$110,MATCH(Setup!$C$29,Language!$B$1:$B$107,0),MATCH(Setup!$D$6,Language!$A$1:$H$1,0))</f>
        <v>Switzerland</v>
      </c>
      <c r="H31" s="76">
        <v>3</v>
      </c>
      <c r="I31" s="77">
        <v>1</v>
      </c>
      <c r="J31" s="18" t="str">
        <f>INDEX(Language!$A$1:$H$110,MATCH(Setup!$C$30,Language!$B$1:$B$107,0),MATCH(Setup!$D$6,Language!$A$1:$H$1,0))</f>
        <v>Turkey</v>
      </c>
      <c r="M31" s="84" t="s">
        <v>117</v>
      </c>
      <c r="N31" s="56"/>
      <c r="O31" s="253" t="str">
        <f>INDEX(Language!$A$1:$I$110,MATCH("Group F",Language!$B$1:$B$107,0),MATCH(Setup!$D$6,Language!$A$1:$H$1,0))</f>
        <v>Group F</v>
      </c>
      <c r="P31" s="253"/>
      <c r="Q31" s="253"/>
      <c r="R31" s="253"/>
      <c r="S31" s="253"/>
      <c r="T31" s="57" t="s">
        <v>107</v>
      </c>
      <c r="U31" s="57" t="s">
        <v>108</v>
      </c>
      <c r="V31" s="57" t="s">
        <v>109</v>
      </c>
      <c r="W31" s="57" t="s">
        <v>110</v>
      </c>
      <c r="X31" s="57" t="s">
        <v>111</v>
      </c>
      <c r="Y31" s="57"/>
      <c r="Z31" s="57" t="s">
        <v>112</v>
      </c>
      <c r="AA31" s="58" t="s">
        <v>113</v>
      </c>
      <c r="AB31" s="57" t="s">
        <v>114</v>
      </c>
      <c r="AC31" s="95"/>
      <c r="AE31" s="2"/>
      <c r="CW31" s="21"/>
      <c r="CX31" s="21"/>
      <c r="CY31" s="5"/>
      <c r="CZ31" s="21"/>
    </row>
    <row r="32" spans="2:104" s="18" customFormat="1" ht="14.5" customHeight="1" thickBot="1" x14ac:dyDescent="0.4">
      <c r="B32" s="72">
        <v>26</v>
      </c>
      <c r="C32" s="249" t="s">
        <v>112</v>
      </c>
      <c r="D32" s="249"/>
      <c r="E32" s="73">
        <f t="shared" si="0"/>
        <v>44367.75</v>
      </c>
      <c r="F32" s="74">
        <f>'Dummy Table'!EM32</f>
        <v>44367.75</v>
      </c>
      <c r="G32" s="75" t="str">
        <f>INDEX(Language!$A$1:$H$110,MATCH(Setup!$C$19,Language!$B$1:$B$107,0),MATCH(Setup!$D$6,Language!$A$1:$H$1,0))</f>
        <v>Italy</v>
      </c>
      <c r="H32" s="76">
        <v>1</v>
      </c>
      <c r="I32" s="77">
        <v>0</v>
      </c>
      <c r="J32" s="78" t="str">
        <f>INDEX(Language!$A$1:$H$110,MATCH(Setup!$C$32,Language!$B$1:$B$107,0),MATCH(Setup!$D$6,Language!$A$1:$H$1,0))</f>
        <v>Wales</v>
      </c>
      <c r="K32" s="78"/>
      <c r="L32" s="78"/>
      <c r="M32" s="79" t="s">
        <v>115</v>
      </c>
      <c r="N32" s="56"/>
      <c r="O32" s="111">
        <v>1</v>
      </c>
      <c r="P32" s="254" t="str">
        <f>VLOOKUP(1,'Dummy Table'!$A$37:$B$41,2,FALSE)</f>
        <v>France</v>
      </c>
      <c r="Q32" s="254"/>
      <c r="R32" s="254"/>
      <c r="S32" s="254"/>
      <c r="T32" s="112">
        <f>SUM(U32:W32)</f>
        <v>3</v>
      </c>
      <c r="U32" s="112">
        <f>VLOOKUP($P32,'Dummy Table'!$B$4:$C$40,2,FALSE)</f>
        <v>1</v>
      </c>
      <c r="V32" s="112">
        <f>VLOOKUP($P32,'Dummy Table'!$B$4:$D$40,3,FALSE)</f>
        <v>2</v>
      </c>
      <c r="W32" s="112">
        <f>VLOOKUP($P32,'Dummy Table'!$B$4:$E$40,4,FALSE)</f>
        <v>0</v>
      </c>
      <c r="X32" s="112">
        <f>VLOOKUP($P32,'Dummy Table'!$B$4:$F$40,5,FALSE)</f>
        <v>4</v>
      </c>
      <c r="Y32" s="113" t="s">
        <v>116</v>
      </c>
      <c r="Z32" s="112">
        <f>VLOOKUP($P32,'Dummy Table'!$B$4:$G$40,6,FALSE)</f>
        <v>3</v>
      </c>
      <c r="AA32" s="112">
        <f>X32-Z32</f>
        <v>1</v>
      </c>
      <c r="AB32" s="112">
        <f>U32*3+V32*1</f>
        <v>5</v>
      </c>
      <c r="AC32" s="71"/>
      <c r="AE32" s="2"/>
      <c r="CW32" s="21"/>
      <c r="CX32" s="92"/>
      <c r="CY32" s="5"/>
      <c r="CZ32" s="21"/>
    </row>
    <row r="33" spans="2:104" s="18" customFormat="1" ht="14.5" customHeight="1" thickBot="1" x14ac:dyDescent="0.4">
      <c r="B33" s="72">
        <v>27</v>
      </c>
      <c r="C33" s="245" t="s">
        <v>122</v>
      </c>
      <c r="D33" s="245"/>
      <c r="E33" s="81">
        <f t="shared" si="0"/>
        <v>44368.75</v>
      </c>
      <c r="F33" s="82">
        <f>'Dummy Table'!EM33</f>
        <v>44368.75</v>
      </c>
      <c r="G33" s="83" t="str">
        <f>INDEX(Language!$A$1:$H$110,MATCH(Setup!$C$21,Language!$B$1:$B$107,0),MATCH(Setup!$D$6,Language!$A$1:$H$1,0))</f>
        <v>North Macedonia</v>
      </c>
      <c r="H33" s="76">
        <v>0</v>
      </c>
      <c r="I33" s="77">
        <v>3</v>
      </c>
      <c r="J33" s="18" t="str">
        <f>INDEX(Language!$A$1:$H$110,MATCH(Setup!$C$20,Language!$B$1:$B$107,0),MATCH(Setup!$D$6,Language!$A$1:$H$1,0))</f>
        <v>Netherlands</v>
      </c>
      <c r="M33" s="84" t="s">
        <v>124</v>
      </c>
      <c r="N33" s="56"/>
      <c r="O33" s="111">
        <v>2</v>
      </c>
      <c r="P33" s="250" t="str">
        <f>VLOOKUP(2,'Dummy Table'!$A$37:$B$41,2,FALSE)</f>
        <v>Germany</v>
      </c>
      <c r="Q33" s="250"/>
      <c r="R33" s="250"/>
      <c r="S33" s="250"/>
      <c r="T33" s="114">
        <f t="shared" ref="T33:T35" si="11">SUM(U33:W33)</f>
        <v>3</v>
      </c>
      <c r="U33" s="114">
        <f>VLOOKUP($P33,'Dummy Table'!$B$4:$C$40,2,FALSE)</f>
        <v>1</v>
      </c>
      <c r="V33" s="114">
        <f>VLOOKUP($P33,'Dummy Table'!$B$4:$D$40,3,FALSE)</f>
        <v>1</v>
      </c>
      <c r="W33" s="114">
        <f>VLOOKUP($P33,'Dummy Table'!$B$4:$E$40,4,FALSE)</f>
        <v>1</v>
      </c>
      <c r="X33" s="114">
        <f>VLOOKUP($P33,'Dummy Table'!$B$4:$F$40,5,FALSE)</f>
        <v>6</v>
      </c>
      <c r="Y33" s="114" t="s">
        <v>116</v>
      </c>
      <c r="Z33" s="114">
        <f>VLOOKUP($P33,'Dummy Table'!$B$4:$G$40,6,FALSE)</f>
        <v>5</v>
      </c>
      <c r="AA33" s="114">
        <f t="shared" ref="AA33:AA35" si="12">X33-Z33</f>
        <v>1</v>
      </c>
      <c r="AB33" s="114">
        <f>U33*3+V33*1</f>
        <v>4</v>
      </c>
      <c r="AC33" s="71"/>
      <c r="AE33" s="2"/>
      <c r="CW33" s="21"/>
      <c r="CX33" s="92"/>
      <c r="CY33" s="5"/>
      <c r="CZ33" s="21"/>
    </row>
    <row r="34" spans="2:104" s="18" customFormat="1" ht="14.5" customHeight="1" thickBot="1" x14ac:dyDescent="0.4">
      <c r="B34" s="72">
        <v>28</v>
      </c>
      <c r="C34" s="249" t="s">
        <v>122</v>
      </c>
      <c r="D34" s="249"/>
      <c r="E34" s="73">
        <f t="shared" si="0"/>
        <v>44368.75</v>
      </c>
      <c r="F34" s="74">
        <f>'Dummy Table'!EM34</f>
        <v>44368.75</v>
      </c>
      <c r="G34" s="75" t="str">
        <f>INDEX(Language!$A$1:$H$110,MATCH(Setup!$C$31,Language!$B$1:$B$107,0),MATCH(Setup!$D$6,Language!$A$1:$H$1,0))</f>
        <v>Ukraine</v>
      </c>
      <c r="H34" s="76">
        <v>0</v>
      </c>
      <c r="I34" s="77">
        <v>1</v>
      </c>
      <c r="J34" s="78" t="str">
        <f>INDEX(Language!$A$1:$H$110,MATCH(Setup!$C$9,Language!$B$1:$B$107,0),MATCH(Setup!$D$6,Language!$A$1:$H$1,0))</f>
        <v>Austria</v>
      </c>
      <c r="K34" s="78"/>
      <c r="L34" s="78"/>
      <c r="M34" s="79" t="s">
        <v>123</v>
      </c>
      <c r="N34" s="56"/>
      <c r="O34" s="115">
        <v>3</v>
      </c>
      <c r="P34" s="251" t="str">
        <f>VLOOKUP(3,'Dummy Table'!$A$37:$B$41,2,FALSE)</f>
        <v>Portugal</v>
      </c>
      <c r="Q34" s="251"/>
      <c r="R34" s="251"/>
      <c r="S34" s="251"/>
      <c r="T34" s="115">
        <f t="shared" si="11"/>
        <v>3</v>
      </c>
      <c r="U34" s="115">
        <f>VLOOKUP($P34,'Dummy Table'!$B$4:$C$40,2,FALSE)</f>
        <v>1</v>
      </c>
      <c r="V34" s="115">
        <f>VLOOKUP($P34,'Dummy Table'!$B$4:$D$40,3,FALSE)</f>
        <v>1</v>
      </c>
      <c r="W34" s="115">
        <f>VLOOKUP($P34,'Dummy Table'!$B$4:$E$40,4,FALSE)</f>
        <v>1</v>
      </c>
      <c r="X34" s="115">
        <f>VLOOKUP($P34,'Dummy Table'!$B$4:$F$40,5,FALSE)</f>
        <v>7</v>
      </c>
      <c r="Y34" s="115" t="s">
        <v>116</v>
      </c>
      <c r="Z34" s="115">
        <f>VLOOKUP($P34,'Dummy Table'!$B$4:$G$40,6,FALSE)</f>
        <v>6</v>
      </c>
      <c r="AA34" s="115">
        <f t="shared" si="12"/>
        <v>1</v>
      </c>
      <c r="AB34" s="115">
        <f>U34*3+V34*1</f>
        <v>4</v>
      </c>
      <c r="AC34" s="71"/>
      <c r="AE34" s="2"/>
      <c r="CW34" s="21"/>
      <c r="CX34" s="21"/>
      <c r="CY34" s="5"/>
      <c r="CZ34" s="21"/>
    </row>
    <row r="35" spans="2:104" s="18" customFormat="1" ht="14.5" customHeight="1" thickBot="1" x14ac:dyDescent="0.4">
      <c r="B35" s="72">
        <v>29</v>
      </c>
      <c r="C35" s="245" t="s">
        <v>118</v>
      </c>
      <c r="D35" s="245"/>
      <c r="E35" s="81">
        <f t="shared" si="0"/>
        <v>44368.875</v>
      </c>
      <c r="F35" s="82">
        <f>'Dummy Table'!EM35</f>
        <v>44368.875</v>
      </c>
      <c r="G35" s="83" t="str">
        <f>INDEX(Language!$A$1:$H$110,MATCH(Setup!$C$24,Language!$B$1:$B$107,0),MATCH(Setup!$D$6,Language!$A$1:$H$1,0))</f>
        <v>Russia</v>
      </c>
      <c r="H35" s="76">
        <v>1</v>
      </c>
      <c r="I35" s="77">
        <v>4</v>
      </c>
      <c r="J35" s="18" t="str">
        <f>INDEX(Language!$A$1:$H$110,MATCH(Setup!$C$13,Language!$B$1:$B$107,0),MATCH(Setup!$D$6,Language!$A$1:$H$1,0))</f>
        <v>Denmark</v>
      </c>
      <c r="M35" s="84" t="s">
        <v>119</v>
      </c>
      <c r="N35" s="56"/>
      <c r="O35" s="86">
        <v>4</v>
      </c>
      <c r="P35" s="252" t="str">
        <f>VLOOKUP(4,'Dummy Table'!$A$37:$B$41,2,FALSE)</f>
        <v>Hungary</v>
      </c>
      <c r="Q35" s="252"/>
      <c r="R35" s="252"/>
      <c r="S35" s="252"/>
      <c r="T35" s="86">
        <f t="shared" si="11"/>
        <v>3</v>
      </c>
      <c r="U35" s="86">
        <f>VLOOKUP($P35,'Dummy Table'!$B$4:$C$40,2,FALSE)</f>
        <v>0</v>
      </c>
      <c r="V35" s="86">
        <f>VLOOKUP($P35,'Dummy Table'!$B$4:$D$40,3,FALSE)</f>
        <v>2</v>
      </c>
      <c r="W35" s="86">
        <f>VLOOKUP($P35,'Dummy Table'!$B$4:$E$40,4,FALSE)</f>
        <v>1</v>
      </c>
      <c r="X35" s="86">
        <f>VLOOKUP($P35,'Dummy Table'!$B$4:$F$40,5,FALSE)</f>
        <v>3</v>
      </c>
      <c r="Y35" s="86" t="s">
        <v>116</v>
      </c>
      <c r="Z35" s="86">
        <f>VLOOKUP($P35,'Dummy Table'!$B$4:$G$40,6,FALSE)</f>
        <v>6</v>
      </c>
      <c r="AA35" s="86">
        <f t="shared" si="12"/>
        <v>-3</v>
      </c>
      <c r="AB35" s="86">
        <f>U35*3+V35*1</f>
        <v>2</v>
      </c>
      <c r="AC35" s="71"/>
      <c r="AE35" s="2"/>
      <c r="CW35" s="21"/>
      <c r="CX35" s="21"/>
      <c r="CY35" s="5"/>
      <c r="CZ35" s="21"/>
    </row>
    <row r="36" spans="2:104" s="18" customFormat="1" ht="14.5" customHeight="1" thickBot="1" x14ac:dyDescent="0.4">
      <c r="B36" s="72">
        <v>30</v>
      </c>
      <c r="C36" s="249" t="s">
        <v>118</v>
      </c>
      <c r="D36" s="249"/>
      <c r="E36" s="73">
        <f t="shared" si="0"/>
        <v>44368.875</v>
      </c>
      <c r="F36" s="74">
        <f>'Dummy Table'!EM36</f>
        <v>44368.875</v>
      </c>
      <c r="G36" s="75" t="str">
        <f>INDEX(Language!$A$1:$H$110,MATCH(Setup!$C$15,Language!$B$1:$B$107,0),MATCH(Setup!$D$6,Language!$A$1:$H$1,0))</f>
        <v>Finland</v>
      </c>
      <c r="H36" s="76">
        <v>0</v>
      </c>
      <c r="I36" s="77">
        <v>2</v>
      </c>
      <c r="J36" s="78" t="str">
        <f>INDEX(Language!$A$1:$H$110,MATCH(Setup!$C$10,Language!$B$1:$B$107,0),MATCH(Setup!$D$6,Language!$A$1:$H$1,0))</f>
        <v>Belgium</v>
      </c>
      <c r="K36" s="78"/>
      <c r="L36" s="78"/>
      <c r="M36" s="79" t="s">
        <v>120</v>
      </c>
      <c r="N36" s="56"/>
      <c r="AE36" s="2"/>
      <c r="CW36" s="21"/>
      <c r="CX36" s="21"/>
      <c r="CY36" s="5"/>
      <c r="CZ36" s="21"/>
    </row>
    <row r="37" spans="2:104" s="18" customFormat="1" ht="14.5" customHeight="1" thickBot="1" x14ac:dyDescent="0.4">
      <c r="B37" s="72">
        <v>31</v>
      </c>
      <c r="C37" s="245" t="s">
        <v>109</v>
      </c>
      <c r="D37" s="245"/>
      <c r="E37" s="81">
        <f t="shared" si="0"/>
        <v>44369.875</v>
      </c>
      <c r="F37" s="82">
        <f>'Dummy Table'!EM37</f>
        <v>44369.875</v>
      </c>
      <c r="G37" s="83" t="str">
        <f>INDEX(Language!$A$1:$H$110,MATCH(Setup!$C$11,Language!$B$1:$B$107,0),MATCH(Setup!$D$6,Language!$A$1:$H$1,0))</f>
        <v>Croatia</v>
      </c>
      <c r="H37" s="76">
        <v>3</v>
      </c>
      <c r="I37" s="77">
        <v>1</v>
      </c>
      <c r="J37" s="18" t="str">
        <f>INDEX(Language!$A$1:$H$110,MATCH(Setup!$C$25,Language!$B$1:$B$107,0),MATCH(Setup!$D$6,Language!$A$1:$H$1,0))</f>
        <v>Scotland</v>
      </c>
      <c r="M37" s="84" t="s">
        <v>125</v>
      </c>
      <c r="N37" s="56"/>
      <c r="O37" s="116" t="str">
        <f>INDEX(Language!$A$1:$I$110,MATCH("Group A-F 3rd Place Standings",Language!$B$1:$B$107,0),MATCH(Setup!$D$6,Language!$A$1:$H$1,0))</f>
        <v>Group A-F 3rd Place Standings</v>
      </c>
      <c r="P37" s="117"/>
      <c r="Q37" s="117"/>
      <c r="R37" s="117"/>
      <c r="S37" s="117"/>
      <c r="T37" s="117"/>
      <c r="U37" s="118"/>
      <c r="V37" s="117"/>
      <c r="W37" s="117"/>
      <c r="X37" s="117"/>
      <c r="Y37" s="117"/>
      <c r="Z37" s="117"/>
      <c r="AA37" s="117"/>
      <c r="AB37" s="117"/>
      <c r="AC37" s="119"/>
      <c r="AE37" s="2"/>
      <c r="CW37" s="21"/>
      <c r="CX37" s="21"/>
      <c r="CY37" s="5"/>
      <c r="CZ37" s="21"/>
    </row>
    <row r="38" spans="2:104" s="18" customFormat="1" ht="14.5" customHeight="1" thickBot="1" x14ac:dyDescent="0.4">
      <c r="B38" s="72">
        <v>32</v>
      </c>
      <c r="C38" s="249" t="s">
        <v>109</v>
      </c>
      <c r="D38" s="249"/>
      <c r="E38" s="73">
        <f t="shared" si="0"/>
        <v>44369.875</v>
      </c>
      <c r="F38" s="74">
        <f>'Dummy Table'!EM38</f>
        <v>44369.875</v>
      </c>
      <c r="G38" s="75" t="str">
        <f>INDEX(Language!$A$1:$H$110,MATCH(Setup!$C$12,Language!$B$1:$B$107,0),MATCH(Setup!$D$6,Language!$A$1:$H$1,0))</f>
        <v>Czech Republic</v>
      </c>
      <c r="H38" s="76">
        <v>0</v>
      </c>
      <c r="I38" s="77">
        <v>1</v>
      </c>
      <c r="J38" s="78" t="str">
        <f>INDEX(Language!$A$1:$H$110,MATCH(Setup!$C$14,Language!$B$1:$B$107,0),MATCH(Setup!$D$6,Language!$A$1:$H$1,0))</f>
        <v>England</v>
      </c>
      <c r="K38" s="78"/>
      <c r="L38" s="78"/>
      <c r="M38" s="79" t="s">
        <v>121</v>
      </c>
      <c r="N38" s="56"/>
      <c r="O38" s="120"/>
      <c r="P38" s="120" t="str">
        <f>INDEX(Language!$A$1:$I$110,MATCH("Country",Language!$B$1:$B$107,0),MATCH(Setup!$D$6,Language!$A$1:$H$1,0))</f>
        <v>Country</v>
      </c>
      <c r="Q38" s="120"/>
      <c r="R38" s="120"/>
      <c r="S38" s="120"/>
      <c r="T38" s="121" t="s">
        <v>107</v>
      </c>
      <c r="U38" s="121" t="s">
        <v>108</v>
      </c>
      <c r="V38" s="121" t="s">
        <v>109</v>
      </c>
      <c r="W38" s="121" t="s">
        <v>110</v>
      </c>
      <c r="X38" s="121" t="s">
        <v>111</v>
      </c>
      <c r="Y38" s="121"/>
      <c r="Z38" s="121" t="s">
        <v>112</v>
      </c>
      <c r="AA38" s="121" t="s">
        <v>131</v>
      </c>
      <c r="AB38" s="121" t="s">
        <v>114</v>
      </c>
      <c r="AC38" s="121" t="s">
        <v>132</v>
      </c>
      <c r="AE38" s="2"/>
      <c r="CW38" s="21"/>
      <c r="CX38" s="21"/>
      <c r="CY38" s="5"/>
      <c r="CZ38" s="21"/>
    </row>
    <row r="39" spans="2:104" s="18" customFormat="1" ht="14.5" customHeight="1" thickBot="1" x14ac:dyDescent="0.4">
      <c r="B39" s="72">
        <v>33</v>
      </c>
      <c r="C39" s="245" t="s">
        <v>126</v>
      </c>
      <c r="D39" s="245"/>
      <c r="E39" s="81">
        <f t="shared" si="0"/>
        <v>44370.75</v>
      </c>
      <c r="F39" s="82">
        <f>'Dummy Table'!EM39</f>
        <v>44370.75</v>
      </c>
      <c r="G39" s="83" t="str">
        <f>INDEX(Language!$A$1:$H$110,MATCH(Setup!$C$28,Language!$B$1:$B$107,0),MATCH(Setup!$D$6,Language!$A$1:$H$1,0))</f>
        <v>Sweden</v>
      </c>
      <c r="H39" s="76">
        <v>3</v>
      </c>
      <c r="I39" s="77">
        <v>2</v>
      </c>
      <c r="J39" s="18" t="str">
        <f>INDEX(Language!$A$1:$H$110,MATCH(Setup!$C$22,Language!$B$1:$B$107,0),MATCH(Setup!$D$6,Language!$A$1:$H$1,0))</f>
        <v>Poland</v>
      </c>
      <c r="M39" s="84" t="s">
        <v>127</v>
      </c>
      <c r="N39" s="56"/>
      <c r="O39" s="122">
        <v>1</v>
      </c>
      <c r="P39" s="246" t="str">
        <f>INDEX('Dummy Table'!$DH$3:$DH$8,MATCH(Fixtures!O39,'Dummy Table'!$DU$3:$DU$8,0),0)</f>
        <v>Portugal</v>
      </c>
      <c r="Q39" s="246"/>
      <c r="R39" s="246"/>
      <c r="S39" s="246"/>
      <c r="T39" s="122">
        <f t="shared" ref="T39:T44" si="13">VLOOKUP($P39,$P$7:$AB$35,5,FALSE)</f>
        <v>3</v>
      </c>
      <c r="U39" s="122">
        <f t="shared" ref="U39:U44" si="14">VLOOKUP($P39,$P$7:$AB$35,6,FALSE)</f>
        <v>1</v>
      </c>
      <c r="V39" s="122">
        <f t="shared" ref="V39:V44" si="15">VLOOKUP($P39,$P$7:$AB$35,7,FALSE)</f>
        <v>1</v>
      </c>
      <c r="W39" s="122">
        <f t="shared" ref="W39:W44" si="16">VLOOKUP($P39,$P$7:$AB$35,8,FALSE)</f>
        <v>1</v>
      </c>
      <c r="X39" s="122">
        <f t="shared" ref="X39:X44" si="17">VLOOKUP($P39,$P$7:$AB$35,9,FALSE)</f>
        <v>7</v>
      </c>
      <c r="Y39" s="122" t="s">
        <v>116</v>
      </c>
      <c r="Z39" s="122">
        <f t="shared" ref="Z39:Z44" si="18">VLOOKUP($P39,$P$7:$AB$35,11,FALSE)</f>
        <v>6</v>
      </c>
      <c r="AA39" s="122">
        <f t="shared" ref="AA39:AA44" si="19">VLOOKUP($P39,$P$7:$AB$35,12,FALSE)</f>
        <v>1</v>
      </c>
      <c r="AB39" s="122">
        <f t="shared" ref="AB39:AB44" si="20">VLOOKUP($P39,$P$7:$AB$35,13,FALSE)</f>
        <v>4</v>
      </c>
      <c r="AC39" s="123" t="str">
        <f>INDEX('Dummy Table'!$DV$3:$DV$8,MATCH(Fixtures!O39,'Dummy Table'!$DU$3:$DU$8,0),0)</f>
        <v>F</v>
      </c>
      <c r="AE39" s="2"/>
      <c r="CW39" s="21"/>
      <c r="CX39" s="21"/>
      <c r="CY39" s="5"/>
      <c r="CZ39" s="21"/>
    </row>
    <row r="40" spans="2:104" s="18" customFormat="1" ht="14.5" customHeight="1" thickBot="1" x14ac:dyDescent="0.4">
      <c r="B40" s="72">
        <v>34</v>
      </c>
      <c r="C40" s="249" t="s">
        <v>126</v>
      </c>
      <c r="D40" s="249"/>
      <c r="E40" s="73">
        <f t="shared" si="0"/>
        <v>44370.75</v>
      </c>
      <c r="F40" s="74">
        <f>'Dummy Table'!EM40</f>
        <v>44370.75</v>
      </c>
      <c r="G40" s="75" t="str">
        <f>INDEX(Language!$A$1:$H$110,MATCH(Setup!$C$26,Language!$B$1:$B$107,0),MATCH(Setup!$D$6,Language!$A$1:$H$1,0))</f>
        <v>Slovakia</v>
      </c>
      <c r="H40" s="76">
        <v>0</v>
      </c>
      <c r="I40" s="77">
        <v>5</v>
      </c>
      <c r="J40" s="78" t="str">
        <f>INDEX(Language!$A$1:$H$110,MATCH(Setup!$C$27,Language!$B$1:$B$107,0),MATCH(Setup!$D$6,Language!$A$1:$H$1,0))</f>
        <v>Spain</v>
      </c>
      <c r="K40" s="78"/>
      <c r="L40" s="78"/>
      <c r="M40" s="79" t="s">
        <v>128</v>
      </c>
      <c r="N40" s="56"/>
      <c r="O40" s="122">
        <v>2</v>
      </c>
      <c r="P40" s="246" t="str">
        <f>INDEX('Dummy Table'!$DH$3:$DH$8,MATCH(Fixtures!O40,'Dummy Table'!$DU$3:$DU$8,0),0)</f>
        <v>Czech Republic</v>
      </c>
      <c r="Q40" s="246"/>
      <c r="R40" s="246"/>
      <c r="S40" s="246"/>
      <c r="T40" s="122">
        <f t="shared" si="13"/>
        <v>3</v>
      </c>
      <c r="U40" s="122">
        <f t="shared" si="14"/>
        <v>1</v>
      </c>
      <c r="V40" s="122">
        <f t="shared" si="15"/>
        <v>1</v>
      </c>
      <c r="W40" s="122">
        <f t="shared" si="16"/>
        <v>1</v>
      </c>
      <c r="X40" s="122">
        <f t="shared" si="17"/>
        <v>3</v>
      </c>
      <c r="Y40" s="122" t="s">
        <v>116</v>
      </c>
      <c r="Z40" s="122">
        <f t="shared" si="18"/>
        <v>2</v>
      </c>
      <c r="AA40" s="122">
        <f t="shared" si="19"/>
        <v>1</v>
      </c>
      <c r="AB40" s="122">
        <f t="shared" si="20"/>
        <v>4</v>
      </c>
      <c r="AC40" s="123" t="str">
        <f>INDEX('Dummy Table'!$DV$3:$DV$8,MATCH(Fixtures!O40,'Dummy Table'!$DU$3:$DU$8,0),0)</f>
        <v>D</v>
      </c>
      <c r="AE40" s="2"/>
      <c r="CW40" s="21"/>
      <c r="CX40" s="21"/>
      <c r="CY40" s="5"/>
      <c r="CZ40" s="21"/>
    </row>
    <row r="41" spans="2:104" s="18" customFormat="1" ht="14.5" customHeight="1" thickBot="1" x14ac:dyDescent="0.4">
      <c r="B41" s="72">
        <v>35</v>
      </c>
      <c r="C41" s="245" t="s">
        <v>111</v>
      </c>
      <c r="D41" s="245"/>
      <c r="E41" s="81">
        <f t="shared" si="0"/>
        <v>44370.875</v>
      </c>
      <c r="F41" s="82">
        <f>'Dummy Table'!EM41</f>
        <v>44370.875</v>
      </c>
      <c r="G41" s="83" t="str">
        <f>INDEX(Language!$A$1:$H$110,MATCH(Setup!$C$23,Language!$B$1:$B$107,0),MATCH(Setup!$D$6,Language!$A$1:$H$1,0))</f>
        <v>Portugal</v>
      </c>
      <c r="H41" s="76">
        <v>2</v>
      </c>
      <c r="I41" s="77">
        <v>2</v>
      </c>
      <c r="J41" s="18" t="str">
        <f>INDEX(Language!$A$1:$H$110,MATCH(Setup!$C$16,Language!$B$1:$B$107,0),MATCH(Setup!$D$6,Language!$A$1:$H$1,0))</f>
        <v>France</v>
      </c>
      <c r="M41" s="84" t="s">
        <v>129</v>
      </c>
      <c r="N41" s="56"/>
      <c r="O41" s="122">
        <v>3</v>
      </c>
      <c r="P41" s="246" t="str">
        <f>INDEX('Dummy Table'!$DH$3:$DH$8,MATCH(Fixtures!O41,'Dummy Table'!$DU$3:$DU$8,0),0)</f>
        <v>Switzerland</v>
      </c>
      <c r="Q41" s="246"/>
      <c r="R41" s="246"/>
      <c r="S41" s="246"/>
      <c r="T41" s="122">
        <f t="shared" si="13"/>
        <v>3</v>
      </c>
      <c r="U41" s="122">
        <f t="shared" si="14"/>
        <v>1</v>
      </c>
      <c r="V41" s="122">
        <f t="shared" si="15"/>
        <v>1</v>
      </c>
      <c r="W41" s="122">
        <f t="shared" si="16"/>
        <v>1</v>
      </c>
      <c r="X41" s="122">
        <f t="shared" si="17"/>
        <v>4</v>
      </c>
      <c r="Y41" s="122" t="s">
        <v>116</v>
      </c>
      <c r="Z41" s="122">
        <f t="shared" si="18"/>
        <v>5</v>
      </c>
      <c r="AA41" s="122">
        <f t="shared" si="19"/>
        <v>-1</v>
      </c>
      <c r="AB41" s="122">
        <f t="shared" si="20"/>
        <v>4</v>
      </c>
      <c r="AC41" s="123" t="str">
        <f>INDEX('Dummy Table'!$DV$3:$DV$8,MATCH(Fixtures!O41,'Dummy Table'!$DU$3:$DU$8,0),0)</f>
        <v>A</v>
      </c>
      <c r="AE41" s="2"/>
      <c r="CW41" s="21"/>
      <c r="CX41" s="21"/>
      <c r="CY41" s="5"/>
      <c r="CZ41" s="21"/>
    </row>
    <row r="42" spans="2:104" s="18" customFormat="1" ht="14.5" customHeight="1" x14ac:dyDescent="0.35">
      <c r="B42" s="124">
        <v>36</v>
      </c>
      <c r="C42" s="247" t="s">
        <v>111</v>
      </c>
      <c r="D42" s="247"/>
      <c r="E42" s="125">
        <f t="shared" si="0"/>
        <v>44370.875</v>
      </c>
      <c r="F42" s="126">
        <f>'Dummy Table'!EM42</f>
        <v>44370.875</v>
      </c>
      <c r="G42" s="127" t="str">
        <f>INDEX(Language!$A$1:$H$110,MATCH(Setup!$C$17,Language!$B$1:$B$107,0),MATCH(Setup!$D$6,Language!$A$1:$H$1,0))</f>
        <v>Germany</v>
      </c>
      <c r="H42" s="128">
        <v>2</v>
      </c>
      <c r="I42" s="129">
        <v>2</v>
      </c>
      <c r="J42" s="130" t="str">
        <f>INDEX(Language!$A$1:$H$110,MATCH(Setup!$C$18,Language!$B$1:$B$107,0),MATCH(Setup!$D$6,Language!$A$1:$H$1,0))</f>
        <v>Hungary</v>
      </c>
      <c r="K42" s="130"/>
      <c r="L42" s="130"/>
      <c r="M42" s="131" t="s">
        <v>130</v>
      </c>
      <c r="N42" s="56"/>
      <c r="O42" s="122">
        <v>4</v>
      </c>
      <c r="P42" s="246" t="str">
        <f>INDEX('Dummy Table'!$DH$3:$DH$8,MATCH(Fixtures!O42,'Dummy Table'!$DU$3:$DU$8,0),0)</f>
        <v>Ukraine</v>
      </c>
      <c r="Q42" s="246"/>
      <c r="R42" s="246"/>
      <c r="S42" s="246"/>
      <c r="T42" s="122">
        <f t="shared" si="13"/>
        <v>3</v>
      </c>
      <c r="U42" s="122">
        <f t="shared" si="14"/>
        <v>1</v>
      </c>
      <c r="V42" s="122">
        <f t="shared" si="15"/>
        <v>0</v>
      </c>
      <c r="W42" s="122">
        <f t="shared" si="16"/>
        <v>2</v>
      </c>
      <c r="X42" s="122">
        <f t="shared" si="17"/>
        <v>4</v>
      </c>
      <c r="Y42" s="122" t="s">
        <v>116</v>
      </c>
      <c r="Z42" s="122">
        <f t="shared" si="18"/>
        <v>5</v>
      </c>
      <c r="AA42" s="122">
        <f t="shared" si="19"/>
        <v>-1</v>
      </c>
      <c r="AB42" s="122">
        <f t="shared" si="20"/>
        <v>3</v>
      </c>
      <c r="AC42" s="123" t="str">
        <f>INDEX('Dummy Table'!$DV$3:$DV$8,MATCH(Fixtures!O42,'Dummy Table'!$DU$3:$DU$8,0),0)</f>
        <v>C</v>
      </c>
      <c r="AE42" s="2"/>
      <c r="CW42" s="21"/>
      <c r="CX42" s="21"/>
      <c r="CY42" s="5"/>
      <c r="CZ42" s="21"/>
    </row>
    <row r="43" spans="2:104" s="18" customFormat="1" ht="14.5" customHeight="1" x14ac:dyDescent="0.35">
      <c r="B43" s="132" t="str">
        <f>INDEX(Language!$A$1:$I$110,MATCH("Knock Out Rounds",Language!$B$1:$B$107,0),MATCH(Setup!$D$6,Language!$A$1:$H$1,0))</f>
        <v>Knock Out Rounds</v>
      </c>
      <c r="C43" s="133"/>
      <c r="D43" s="134"/>
      <c r="E43" s="135"/>
      <c r="F43" s="136"/>
      <c r="G43" s="137"/>
      <c r="H43" s="138"/>
      <c r="I43" s="138"/>
      <c r="J43" s="139"/>
      <c r="K43" s="248" t="s">
        <v>133</v>
      </c>
      <c r="L43" s="248"/>
      <c r="M43" s="140"/>
      <c r="N43" s="2"/>
      <c r="O43" s="141">
        <v>5</v>
      </c>
      <c r="P43" s="242" t="str">
        <f>INDEX('Dummy Table'!$DH$3:$DH$8,MATCH(Fixtures!O43,'Dummy Table'!$DU$3:$DU$8,0),0)</f>
        <v>Finland</v>
      </c>
      <c r="Q43" s="242"/>
      <c r="R43" s="242"/>
      <c r="S43" s="242"/>
      <c r="T43" s="141">
        <f t="shared" si="13"/>
        <v>3</v>
      </c>
      <c r="U43" s="141">
        <f t="shared" si="14"/>
        <v>1</v>
      </c>
      <c r="V43" s="141">
        <f t="shared" si="15"/>
        <v>0</v>
      </c>
      <c r="W43" s="141">
        <f t="shared" si="16"/>
        <v>2</v>
      </c>
      <c r="X43" s="141">
        <f t="shared" si="17"/>
        <v>1</v>
      </c>
      <c r="Y43" s="141" t="s">
        <v>116</v>
      </c>
      <c r="Z43" s="141">
        <f t="shared" si="18"/>
        <v>3</v>
      </c>
      <c r="AA43" s="141">
        <f t="shared" si="19"/>
        <v>-2</v>
      </c>
      <c r="AB43" s="141">
        <f t="shared" si="20"/>
        <v>3</v>
      </c>
      <c r="AC43" s="141" t="str">
        <f>INDEX('Dummy Table'!$DV$3:$DV$8,MATCH(Fixtures!O43,'Dummy Table'!$DU$3:$DU$8,0),0)</f>
        <v>B</v>
      </c>
      <c r="AE43" s="2"/>
      <c r="CW43" s="21"/>
      <c r="CX43" s="21"/>
      <c r="CY43" s="5"/>
      <c r="CZ43" s="21"/>
    </row>
    <row r="44" spans="2:104" s="18" customFormat="1" ht="14.5" customHeight="1" thickBot="1" x14ac:dyDescent="0.4">
      <c r="B44" s="60">
        <v>37</v>
      </c>
      <c r="C44" s="239" t="str">
        <f>INDEX(Language!$A$1:$I$110,MATCH("Round of 16",Language!$B$1:$B$107,0),MATCH(Setup!$D$6,Language!$A$1:$H$1,0))</f>
        <v>Round of 16</v>
      </c>
      <c r="D44" s="239"/>
      <c r="E44" s="142">
        <f t="shared" si="0"/>
        <v>44373.75</v>
      </c>
      <c r="F44" s="62">
        <f>'Dummy Table'!EM44</f>
        <v>44373.75</v>
      </c>
      <c r="G44" s="83" t="str">
        <f>IF(SUM(T7:T10)=12,P8,INDEX(Language!$A$1:$I$110,MATCH("Group A Runner Up",Language!$B$1:$B$107,0),MATCH(Setup!D6,Language!$A$1:$H$1,0)))</f>
        <v>Wales</v>
      </c>
      <c r="H44" s="64"/>
      <c r="I44" s="65"/>
      <c r="J44" s="18" t="str">
        <f>IF(SUM(T12:T15)=12,P13,INDEX(Language!$A$1:$I$110,MATCH("Group B Runner Up",Language!$B$1:$B$107,0),MATCH(Setup!D6,Language!$A$1:$H$1,0)))</f>
        <v>Denmark</v>
      </c>
      <c r="K44" s="143"/>
      <c r="L44" s="144"/>
      <c r="M44" s="145" t="s">
        <v>124</v>
      </c>
      <c r="N44" s="2"/>
      <c r="O44" s="141">
        <v>6</v>
      </c>
      <c r="P44" s="242" t="str">
        <f>INDEX('Dummy Table'!$DH$3:$DH$8,MATCH(Fixtures!O44,'Dummy Table'!$DU$3:$DU$8,0),0)</f>
        <v>Slovakia</v>
      </c>
      <c r="Q44" s="242"/>
      <c r="R44" s="242"/>
      <c r="S44" s="242"/>
      <c r="T44" s="141">
        <f t="shared" si="13"/>
        <v>3</v>
      </c>
      <c r="U44" s="141">
        <f t="shared" si="14"/>
        <v>1</v>
      </c>
      <c r="V44" s="141">
        <f t="shared" si="15"/>
        <v>0</v>
      </c>
      <c r="W44" s="141">
        <f t="shared" si="16"/>
        <v>2</v>
      </c>
      <c r="X44" s="141">
        <f t="shared" si="17"/>
        <v>2</v>
      </c>
      <c r="Y44" s="141" t="s">
        <v>116</v>
      </c>
      <c r="Z44" s="141">
        <f t="shared" si="18"/>
        <v>7</v>
      </c>
      <c r="AA44" s="141">
        <f t="shared" si="19"/>
        <v>-5</v>
      </c>
      <c r="AB44" s="141">
        <f t="shared" si="20"/>
        <v>3</v>
      </c>
      <c r="AC44" s="141" t="str">
        <f>INDEX('Dummy Table'!$DV$3:$DV$8,MATCH(Fixtures!O44,'Dummy Table'!$DU$3:$DU$8,0),0)</f>
        <v>E</v>
      </c>
      <c r="AE44" s="2"/>
      <c r="CT44" s="21"/>
      <c r="CU44" s="21"/>
      <c r="CV44" s="5"/>
      <c r="CW44" s="21"/>
    </row>
    <row r="45" spans="2:104" s="18" customFormat="1" ht="14.5" customHeight="1" thickBot="1" x14ac:dyDescent="0.4">
      <c r="B45" s="72">
        <v>38</v>
      </c>
      <c r="C45" s="240"/>
      <c r="D45" s="240"/>
      <c r="E45" s="73">
        <f t="shared" si="0"/>
        <v>44373.875</v>
      </c>
      <c r="F45" s="74">
        <f>'Dummy Table'!EM45</f>
        <v>44373.875</v>
      </c>
      <c r="G45" s="75" t="str">
        <f>IF(SUM(T7:T10)=12,P7,INDEX(Language!$A$1:$I$110,MATCH("Group A Winner",Language!$B$1:$B$107,0),MATCH(Setup!D6,Language!$A$1:$H$1,0)))</f>
        <v>Italy</v>
      </c>
      <c r="H45" s="76"/>
      <c r="I45" s="77"/>
      <c r="J45" s="78" t="str">
        <f>IF(SUM(T17:T20)=12,P18,INDEX(Language!$A$1:$I$110,MATCH("Group C Runner Up",Language!$B$1:$B$107,0),MATCH(Setup!D6,Language!$A$1:$H$1,0)))</f>
        <v>Austria</v>
      </c>
      <c r="K45" s="146"/>
      <c r="L45" s="147"/>
      <c r="M45" s="148" t="s">
        <v>121</v>
      </c>
      <c r="N45" s="2"/>
      <c r="AB45" s="11"/>
      <c r="AC45" s="149"/>
      <c r="AE45" s="2"/>
      <c r="CP45" s="21"/>
      <c r="CQ45" s="21"/>
      <c r="CR45" s="5"/>
      <c r="CS45" s="21"/>
    </row>
    <row r="46" spans="2:104" ht="14.5" customHeight="1" thickBot="1" x14ac:dyDescent="0.4">
      <c r="B46" s="72">
        <v>39</v>
      </c>
      <c r="C46" s="240"/>
      <c r="D46" s="240"/>
      <c r="E46" s="81">
        <f t="shared" si="0"/>
        <v>44374.75</v>
      </c>
      <c r="F46" s="82">
        <f>'Dummy Table'!EM46</f>
        <v>44374.75</v>
      </c>
      <c r="G46" s="83" t="str">
        <f>IF(SUM(T17:T20)=12,P17,INDEX(Language!$A$1:$I$110,MATCH("Group C Winner",Language!$B$1:$B$107,0),MATCH(Setup!D6,Language!$A$1:$H$1,0)))</f>
        <v>Netherlands</v>
      </c>
      <c r="H46" s="76"/>
      <c r="I46" s="77"/>
      <c r="J46" s="18" t="str">
        <f>IF(SUM(T39:T44)=18,INDEX(P39:P44,MATCH(INDEX('Dummy Table'!DM13:DM27,MATCH(10,'Dummy Table'!DU13:DU27,0),0),AC39:AC44,0),0),INDEX(Language!$A$1:$I$110,MATCH("Group D/E/F 3rd Place",Language!$B$1:$B$107,0),MATCH(Setup!D6,Language!$A$1:$H$1,0)))</f>
        <v>Czech Republic</v>
      </c>
      <c r="K46" s="150"/>
      <c r="L46" s="151"/>
      <c r="M46" s="152" t="s">
        <v>129</v>
      </c>
      <c r="O46" s="243" t="str">
        <f>2020&amp;" "&amp;UPPER(INDEX(Language!$A$1:$I$110,MATCH("Champion",Language!$B$1:$B$107,0),MATCH(Setup!$D$6,Language!$A$1:$H$1,0)))</f>
        <v>2020 CHAMPION</v>
      </c>
      <c r="P46" s="243"/>
      <c r="Q46" s="243"/>
      <c r="R46" s="243"/>
      <c r="S46" s="243"/>
      <c r="T46" s="243"/>
      <c r="U46" s="243"/>
      <c r="V46" s="243"/>
      <c r="W46" s="243"/>
      <c r="X46" s="243"/>
      <c r="Y46" s="243"/>
      <c r="Z46" s="243"/>
      <c r="AA46" s="243"/>
      <c r="AB46" s="243"/>
      <c r="AC46" s="243"/>
      <c r="AD46" s="18"/>
      <c r="AF46" s="18"/>
    </row>
    <row r="47" spans="2:104" ht="14.5" customHeight="1" thickBot="1" x14ac:dyDescent="0.4">
      <c r="B47" s="72">
        <v>40</v>
      </c>
      <c r="C47" s="240"/>
      <c r="D47" s="240"/>
      <c r="E47" s="73">
        <f t="shared" si="0"/>
        <v>44374.875</v>
      </c>
      <c r="F47" s="74">
        <f>'Dummy Table'!EM47</f>
        <v>44374.875</v>
      </c>
      <c r="G47" s="75" t="str">
        <f>IF(SUM(T12:T15)=12,P12,INDEX(Language!$A$1:$I$110,MATCH("Group B Winner",Language!$B$1:$B$107,0),MATCH(Setup!D6,Language!$A$1:$H$1,0)))</f>
        <v>Belgium</v>
      </c>
      <c r="H47" s="76"/>
      <c r="I47" s="77"/>
      <c r="J47" s="78" t="str">
        <f>IF(SUM(T39:T44)=18,INDEX(P39:P44,MATCH(INDEX('Dummy Table'!DL13:DL27,MATCH(10,'Dummy Table'!DU13:DU27,0),0),AC39:AC44,0),0),INDEX(Language!$A$1:$I$110,MATCH("Group A/D/E/F 3rd Place",Language!$B$1:$B$107,0),MATCH(Setup!D6,Language!$A$1:$H$1,0)))</f>
        <v>Portugal</v>
      </c>
      <c r="K47" s="146"/>
      <c r="L47" s="147"/>
      <c r="M47" s="148" t="s">
        <v>128</v>
      </c>
      <c r="O47" s="243"/>
      <c r="P47" s="243"/>
      <c r="Q47" s="243"/>
      <c r="R47" s="243"/>
      <c r="S47" s="243"/>
      <c r="T47" s="243"/>
      <c r="U47" s="243"/>
      <c r="V47" s="243"/>
      <c r="W47" s="243"/>
      <c r="X47" s="243"/>
      <c r="Y47" s="243"/>
      <c r="Z47" s="243"/>
      <c r="AA47" s="243"/>
      <c r="AB47" s="243"/>
      <c r="AC47" s="243"/>
      <c r="AE47" s="18"/>
      <c r="AF47" s="18"/>
    </row>
    <row r="48" spans="2:104" ht="14.5" customHeight="1" thickBot="1" x14ac:dyDescent="0.4">
      <c r="B48" s="72">
        <v>41</v>
      </c>
      <c r="C48" s="240"/>
      <c r="D48" s="240"/>
      <c r="E48" s="81">
        <f t="shared" si="0"/>
        <v>44375.75</v>
      </c>
      <c r="F48" s="82">
        <f>'Dummy Table'!EM48</f>
        <v>44375.75</v>
      </c>
      <c r="G48" s="83" t="str">
        <f>IF(SUM(T22:T25)=12,P23,INDEX(Language!$A$1:$I$110,MATCH("Group D Runner Up",Language!$B$1:$B$107,0),MATCH(Setup!D6,Language!$A$1:$H$1,0)))</f>
        <v>Croatia</v>
      </c>
      <c r="H48" s="76"/>
      <c r="I48" s="77"/>
      <c r="J48" s="18" t="str">
        <f>IF(SUM(T27:T30)=12,P28,INDEX(Language!$A$1:$I$110,MATCH("Group E Runner Up",Language!$B$1:$B$107,0),MATCH(Setup!D6,Language!$A$1:$H$1,0)))</f>
        <v>Spain</v>
      </c>
      <c r="K48" s="150"/>
      <c r="L48" s="151"/>
      <c r="M48" s="152" t="s">
        <v>119</v>
      </c>
      <c r="O48" s="244" t="str">
        <f>UPPER(IF(AND(H58&lt;&gt;"",I58&lt;&gt;""),IF((H58+K58)&gt;(I58+L58),G58,IF((H58+K58)&lt;(I58+L58),J58,INDEX(Language!$A$1:$I$110,MATCH("Match 51 Winner",Language!$B$1:$B$107,0),MATCH(Setup!$D$6,Language!$A$1:$H$1,0)))),INDEX(Language!$A$1:$I$110,MATCH("Match 51 Winner",Language!$B$1:$B$107,0),MATCH(Setup!$D$6,Language!$A$1:$H$1,0))))</f>
        <v>MATCH 51 WINNER</v>
      </c>
      <c r="P48" s="244"/>
      <c r="Q48" s="244"/>
      <c r="R48" s="244"/>
      <c r="S48" s="244"/>
      <c r="T48" s="244"/>
      <c r="U48" s="244"/>
      <c r="V48" s="244"/>
      <c r="W48" s="153"/>
      <c r="X48" s="153"/>
      <c r="Y48" s="153"/>
      <c r="Z48" s="153"/>
      <c r="AA48" s="153"/>
      <c r="AB48" s="153"/>
      <c r="AC48" s="153"/>
    </row>
    <row r="49" spans="2:29" ht="14.5" customHeight="1" thickBot="1" x14ac:dyDescent="0.4">
      <c r="B49" s="72">
        <v>42</v>
      </c>
      <c r="C49" s="240"/>
      <c r="D49" s="240"/>
      <c r="E49" s="73">
        <f t="shared" si="0"/>
        <v>44375.875</v>
      </c>
      <c r="F49" s="74">
        <f>'Dummy Table'!EM49</f>
        <v>44375.875</v>
      </c>
      <c r="G49" s="75" t="str">
        <f>IF(SUM(T32:T35)=12,P32,INDEX(Language!$A$1:$I$110,MATCH("Group F Winner",Language!$B$1:$B$107,0),MATCH(Setup!D6,Language!$A$1:$H$1,0)))</f>
        <v>France</v>
      </c>
      <c r="H49" s="76"/>
      <c r="I49" s="77"/>
      <c r="J49" s="78" t="str">
        <f>IF(SUM(T39:T44)=18,INDEX(P39:P44,MATCH(INDEX('Dummy Table'!DO13:DO27,MATCH(10,'Dummy Table'!DU13:DU27,0),0),AC39:AC44,0),0),INDEX(Language!$A$1:$I$110,MATCH("Group A/B/C 3rd Place",Language!$B$1:$B$107,0),MATCH(Setup!D6,Language!$A$1:$H$1,0)))</f>
        <v>Switzerland</v>
      </c>
      <c r="K49" s="146"/>
      <c r="L49" s="147"/>
      <c r="M49" s="148" t="s">
        <v>123</v>
      </c>
      <c r="O49" s="244"/>
      <c r="P49" s="244"/>
      <c r="Q49" s="244"/>
      <c r="R49" s="244"/>
      <c r="S49" s="244"/>
      <c r="T49" s="244"/>
      <c r="U49" s="244"/>
      <c r="V49" s="244"/>
      <c r="W49" s="153"/>
      <c r="X49" s="153"/>
      <c r="Y49" s="153"/>
      <c r="Z49" s="153"/>
      <c r="AA49" s="153"/>
      <c r="AB49" s="153"/>
      <c r="AC49" s="153"/>
    </row>
    <row r="50" spans="2:29" ht="14.5" customHeight="1" thickBot="1" x14ac:dyDescent="0.4">
      <c r="B50" s="72">
        <v>43</v>
      </c>
      <c r="C50" s="240"/>
      <c r="D50" s="240"/>
      <c r="E50" s="81">
        <f t="shared" si="0"/>
        <v>44376.75</v>
      </c>
      <c r="F50" s="82">
        <f>'Dummy Table'!EM50</f>
        <v>44376.75</v>
      </c>
      <c r="G50" s="83" t="str">
        <f>IF(SUM(T22:T25)=12,P22,INDEX(Language!$A$1:$I$110,MATCH("Group D Winner",Language!$B$1:$B$107,0),MATCH(Setup!D6,Language!$A$1:$H$1,0)))</f>
        <v>England</v>
      </c>
      <c r="H50" s="76"/>
      <c r="I50" s="77"/>
      <c r="J50" s="18" t="str">
        <f>IF(SUM(T32:T35)=12,P33,INDEX(Language!$A$1:$I$110,MATCH("Group F Runner Up",Language!$B$1:$B$107,0),MATCH(Setup!D6,Language!$A$1:$H$1,0)))</f>
        <v>Germany</v>
      </c>
      <c r="K50" s="150"/>
      <c r="L50" s="151"/>
      <c r="M50" s="152" t="s">
        <v>127</v>
      </c>
      <c r="O50" s="244"/>
      <c r="P50" s="244"/>
      <c r="Q50" s="244"/>
      <c r="R50" s="244"/>
      <c r="S50" s="244"/>
      <c r="T50" s="244"/>
      <c r="U50" s="244"/>
      <c r="V50" s="244"/>
      <c r="W50" s="153"/>
      <c r="X50" s="153"/>
      <c r="Y50" s="153"/>
      <c r="Z50" s="153"/>
      <c r="AA50" s="153"/>
      <c r="AB50" s="153"/>
      <c r="AC50" s="153"/>
    </row>
    <row r="51" spans="2:29" ht="14.5" customHeight="1" x14ac:dyDescent="0.35">
      <c r="B51" s="124">
        <v>44</v>
      </c>
      <c r="C51" s="241"/>
      <c r="D51" s="241"/>
      <c r="E51" s="125">
        <f t="shared" si="0"/>
        <v>44376.875</v>
      </c>
      <c r="F51" s="126">
        <f>'Dummy Table'!EM51</f>
        <v>44376.875</v>
      </c>
      <c r="G51" s="127" t="str">
        <f>IF(SUM(T27:T30)=12,P27,INDEX(Language!$A$1:$I$110,MATCH("Group E Winner",Language!$B$1:$B$107,0),MATCH(Setup!D6,Language!$A$1:$H$1,0)))</f>
        <v>Sweden</v>
      </c>
      <c r="H51" s="128"/>
      <c r="I51" s="129"/>
      <c r="J51" s="130" t="str">
        <f>IF(SUM(T39:T44)=18,INDEX(P39:P44,MATCH(INDEX('Dummy Table'!DN13:DN27,MATCH(10,'Dummy Table'!DU13:DU27,0),0),AC39:AC44,0),0),INDEX(Language!$A$1:$I$110,MATCH("Group A/B/C/D 3rd Place",Language!$B$1:$B$107,0),MATCH(Setup!D6,Language!$A$1:$H$1,0)))</f>
        <v>Ukraine</v>
      </c>
      <c r="K51" s="154"/>
      <c r="L51" s="155"/>
      <c r="M51" s="156" t="s">
        <v>125</v>
      </c>
      <c r="O51" s="244"/>
      <c r="P51" s="244"/>
      <c r="Q51" s="244"/>
      <c r="R51" s="244"/>
      <c r="S51" s="244"/>
      <c r="T51" s="244"/>
      <c r="U51" s="244"/>
      <c r="V51" s="244"/>
      <c r="W51" s="153"/>
      <c r="X51" s="153"/>
      <c r="Y51" s="153"/>
      <c r="Z51" s="153"/>
      <c r="AA51" s="153"/>
      <c r="AB51" s="153"/>
      <c r="AC51" s="153"/>
    </row>
    <row r="52" spans="2:29" ht="14.5" customHeight="1" thickBot="1" x14ac:dyDescent="0.4">
      <c r="B52" s="60">
        <v>45</v>
      </c>
      <c r="C52" s="239" t="str">
        <f>INDEX(Language!$A$1:$I$110,MATCH("Quarter finals",Language!$B$1:$B$107,0),MATCH(Setup!$D$6,Language!$A$1:$H$1,0))</f>
        <v>Quarter Finals</v>
      </c>
      <c r="D52" s="239"/>
      <c r="E52" s="142">
        <f t="shared" si="0"/>
        <v>44379.75</v>
      </c>
      <c r="F52" s="62">
        <f>'Dummy Table'!EM52</f>
        <v>44379.75</v>
      </c>
      <c r="G52" s="157" t="str">
        <f>IF(AND(H49&lt;&gt;"",I49&lt;&gt;""),IF((H49+K49)&gt;(I49+L49),G49,IF((H49+K49)&lt;(I49+L49),J49,INDEX(Language!$A$1:$I$110,MATCH("Match 42 Winner",Language!$B$1:$B$107,0),MATCH(Setup!$D$6,Language!$A$1:$H$1,0)))),INDEX(Language!$A$1:$I$110,MATCH("Match 42 Winner",Language!$B$1:$B$107,0),MATCH(Setup!$D$6,Language!$A$1:$H$1,0)))</f>
        <v>Match 42 Winner</v>
      </c>
      <c r="H52" s="64"/>
      <c r="I52" s="65"/>
      <c r="J52" s="158" t="str">
        <f>IF(AND(H48&lt;&gt;"",I48&lt;&gt;""),IF((H48+K48)&gt;(I48+L48),G48,IF((H48+K48)&lt;(I48+L48),J48,INDEX(Language!$A$1:$I$110,MATCH("Match 41 Winner",Language!$B$1:$B$107,0),MATCH(Setup!$D$6,Language!$A$1:$H$1,0)))),INDEX(Language!$A$1:$I$110,MATCH("Match 41 Winner",Language!$B$1:$B$107,0),MATCH(Setup!$D$6,Language!$A$1:$H$1,0)))</f>
        <v>Match 41 Winner</v>
      </c>
      <c r="K52" s="143"/>
      <c r="L52" s="144"/>
      <c r="M52" s="145" t="s">
        <v>120</v>
      </c>
      <c r="O52" s="244"/>
      <c r="P52" s="244"/>
      <c r="Q52" s="244"/>
      <c r="R52" s="244"/>
      <c r="S52" s="244"/>
      <c r="T52" s="244"/>
      <c r="U52" s="244"/>
      <c r="V52" s="244"/>
      <c r="W52" s="159"/>
      <c r="X52" s="160"/>
      <c r="Y52" s="160"/>
      <c r="Z52" s="160"/>
      <c r="AA52" s="160"/>
      <c r="AB52" s="160"/>
      <c r="AC52" s="160"/>
    </row>
    <row r="53" spans="2:29" ht="14.5" customHeight="1" thickBot="1" x14ac:dyDescent="0.4">
      <c r="B53" s="72">
        <v>46</v>
      </c>
      <c r="C53" s="240"/>
      <c r="D53" s="240"/>
      <c r="E53" s="73">
        <f t="shared" si="0"/>
        <v>44379.875</v>
      </c>
      <c r="F53" s="74">
        <f>'Dummy Table'!EM53</f>
        <v>44379.875</v>
      </c>
      <c r="G53" s="161" t="str">
        <f>IF(AND(H47&lt;&gt;"",I47&lt;&gt;""),IF((H47+K47)&gt;(I47+L47),G47,IF((H47+K47)&lt;(I47+L47),J47,INDEX(Language!$A$1:$I$110,MATCH("Match 40 Winner",Language!$B$1:$B$107,0),MATCH(Setup!$D$6,Language!$A$1:$H$1,0)))),INDEX(Language!$A$1:$I$110,MATCH("Match 40 Winner",Language!$B$1:$B$107,0),MATCH(Setup!$D$6,Language!$A$1:$H$1,0)))</f>
        <v>Match 40 Winner</v>
      </c>
      <c r="H53" s="76"/>
      <c r="I53" s="77"/>
      <c r="J53" s="162" t="str">
        <f>IF(AND(H45&lt;&gt;"",I45&lt;&gt;""),IF((H45+K45)&gt;(I45+L45),G45,IF((H45+K45)&lt;(I45+L45),J45,INDEX(Language!$A$1:$I$110,MATCH("Match 38 Winner",Language!$B$1:$B$107,0),MATCH(Setup!$D$6,Language!$A$1:$H$1,0)))),INDEX(Language!$A$1:$I$110,MATCH("Match 38 Winner",Language!$B$1:$B$107,0),MATCH(Setup!$D$6,Language!$A$1:$H$1,0)))</f>
        <v>Match 38 Winner</v>
      </c>
      <c r="K53" s="146"/>
      <c r="L53" s="147"/>
      <c r="M53" s="148" t="s">
        <v>130</v>
      </c>
      <c r="O53" s="163"/>
      <c r="P53" s="163"/>
      <c r="Q53" s="163"/>
      <c r="R53" s="163"/>
      <c r="S53" s="163"/>
      <c r="T53" s="163"/>
      <c r="U53" s="163"/>
      <c r="V53" s="164"/>
      <c r="W53" s="159"/>
      <c r="X53" s="160"/>
      <c r="Y53" s="160"/>
      <c r="Z53" s="160"/>
      <c r="AA53" s="160"/>
      <c r="AB53" s="160"/>
      <c r="AC53" s="160"/>
    </row>
    <row r="54" spans="2:29" ht="14.5" customHeight="1" thickBot="1" x14ac:dyDescent="0.4">
      <c r="B54" s="72">
        <v>47</v>
      </c>
      <c r="C54" s="240"/>
      <c r="D54" s="240"/>
      <c r="E54" s="81">
        <f t="shared" si="0"/>
        <v>44380.75</v>
      </c>
      <c r="F54" s="82">
        <f>'Dummy Table'!EM54</f>
        <v>44380.75</v>
      </c>
      <c r="G54" s="165" t="str">
        <f>IF(AND(H46&lt;&gt;"",I46&lt;&gt;""),IF((H46+K46)&gt;(I46+L46),G46,IF((H46+K46)&lt;(I46+L46),J46,INDEX(Language!$A$1:$I$110,MATCH("Match 39 Winner",Language!$B$1:$B$107,0),MATCH(Setup!$D$6,Language!$A$1:$H$1,0)))),INDEX(Language!$A$1:$I$110,MATCH("Match 39 Winner",Language!$B$1:$B$107,0),MATCH(Setup!$D$6,Language!$A$1:$H$1,0)))</f>
        <v>Match 39 Winner</v>
      </c>
      <c r="H54" s="76"/>
      <c r="I54" s="77"/>
      <c r="J54" s="2" t="str">
        <f>IF(AND(H44&lt;&gt;"",I44&lt;&gt;""),IF((H44+K44)&gt;(I44+L44),G44,IF((H44+K44)&lt;(I44+L44),J44,INDEX(Language!$A$1:$I$110,MATCH("Match 37 Winner",Language!$B$1:$B$107,0),MATCH(Setup!$D$6,Language!$A$1:$H$1,0)))),INDEX(Language!$A$1:$I$110,MATCH("Match 37 Winner",Language!$B$1:$B$107,0),MATCH(Setup!$D$6,Language!$A$1:$H$1,0)))</f>
        <v>Match 37 Winner</v>
      </c>
      <c r="K54" s="150"/>
      <c r="L54" s="151"/>
      <c r="M54" s="152" t="s">
        <v>117</v>
      </c>
      <c r="O54" s="166"/>
      <c r="P54" s="166"/>
      <c r="Q54" s="166"/>
      <c r="R54" s="166"/>
      <c r="S54" s="166"/>
      <c r="T54" s="166"/>
      <c r="U54" s="167"/>
      <c r="V54" s="164"/>
      <c r="W54" s="159"/>
      <c r="X54" s="160"/>
      <c r="Y54" s="160"/>
      <c r="Z54" s="160"/>
      <c r="AA54" s="160"/>
      <c r="AB54" s="160"/>
      <c r="AC54" s="160"/>
    </row>
    <row r="55" spans="2:29" ht="14.5" customHeight="1" x14ac:dyDescent="0.35">
      <c r="B55" s="124">
        <v>48</v>
      </c>
      <c r="C55" s="241"/>
      <c r="D55" s="241"/>
      <c r="E55" s="125">
        <f t="shared" si="0"/>
        <v>44380.875</v>
      </c>
      <c r="F55" s="126">
        <f>'Dummy Table'!EM55</f>
        <v>44380.875</v>
      </c>
      <c r="G55" s="168" t="str">
        <f>IF(AND(H51&lt;&gt;"",I51&lt;&gt;""),IF((H51+K51)&gt;(I51+L51),G51,IF((H51+K51)&lt;(I51+L51),J51,INDEX(Language!$A$1:$I$110,MATCH("Match 44 Winner",Language!$B$1:$B$107,0),MATCH(Setup!$D$6,Language!$A$1:$H$1,0)))),INDEX(Language!$A$1:$I$110,MATCH("Match 44 Winner",Language!$B$1:$B$107,0),MATCH(Setup!$D$6,Language!$A$1:$H$1,0)))</f>
        <v>Match 44 Winner</v>
      </c>
      <c r="H55" s="128"/>
      <c r="I55" s="129"/>
      <c r="J55" s="169" t="str">
        <f>IF(AND(H50&lt;&gt;"",I50&lt;&gt;""),IF((H50+K50)&gt;(I50+L50),G50,IF((H50+K50)&lt;(I50+L50),J50,INDEX(Language!$A$1:$I$110,MATCH("Match 43 Winner",Language!$B$1:$B$107,0),MATCH(Setup!$D$6,Language!$A$1:$H$1,0)))),INDEX(Language!$A$1:$I$110,MATCH("Match 43 Winner",Language!$B$1:$B$107,0),MATCH(Setup!$D$6,Language!$A$1:$H$1,0)))</f>
        <v>Match 43 Winner</v>
      </c>
      <c r="K55" s="154"/>
      <c r="L55" s="155"/>
      <c r="M55" s="156" t="s">
        <v>115</v>
      </c>
      <c r="O55" s="166"/>
      <c r="P55" s="166"/>
      <c r="Q55" s="166"/>
      <c r="R55" s="166"/>
      <c r="S55" s="166"/>
      <c r="T55" s="166"/>
      <c r="U55" s="167"/>
      <c r="V55" s="164"/>
      <c r="W55" s="159"/>
      <c r="X55" s="160"/>
      <c r="Y55" s="160"/>
      <c r="Z55" s="160"/>
      <c r="AA55" s="160"/>
      <c r="AB55" s="160"/>
      <c r="AC55" s="160"/>
    </row>
    <row r="56" spans="2:29" ht="14.5" customHeight="1" thickBot="1" x14ac:dyDescent="0.4">
      <c r="B56" s="60">
        <v>49</v>
      </c>
      <c r="C56" s="239" t="str">
        <f>INDEX(Language!$A$1:$I$110,MATCH("Semi finals",Language!$B$1:$B$107,0),MATCH(Setup!$D$6,Language!$A$1:$H$1,0))</f>
        <v>Semi Finals</v>
      </c>
      <c r="D56" s="239"/>
      <c r="E56" s="142">
        <f t="shared" si="0"/>
        <v>44383.875</v>
      </c>
      <c r="F56" s="62">
        <f>'Dummy Table'!EM56</f>
        <v>44383.875</v>
      </c>
      <c r="G56" s="157" t="str">
        <f>IF(AND(H52&lt;&gt;"",I52&lt;&gt;""),IF((H52+K52)&gt;(I52+L52),G52,IF((H52+K52)&lt;(I52+L52),J52,INDEX(Language!$A$1:$I$110,MATCH("Match 45 Winner",Language!$B$1:$B$107,0),MATCH(Setup!$D$6,Language!$A$1:$H$1,0)))),INDEX(Language!$A$1:$I$110,MATCH("Match 45 Winner",Language!$B$1:$B$107,0),MATCH(Setup!$D$6,Language!$A$1:$H$1,0)))</f>
        <v>Match 45 Winner</v>
      </c>
      <c r="H56" s="64"/>
      <c r="I56" s="65"/>
      <c r="J56" s="158" t="str">
        <f>IF(AND(H53&lt;&gt;"",I53&lt;&gt;""),IF((H53+K53)&gt;(I53+L53),G53,IF((H53+K53)&lt;(I53+L53),J53,INDEX(Language!$A$1:$I$110,MATCH("Match 46 Winner",Language!$B$1:$B$107,0),MATCH(Setup!$D$6,Language!$A$1:$H$1,0)))),INDEX(Language!$A$1:$I$110,MATCH("Match 46 Winner",Language!$B$1:$B$107,0),MATCH(Setup!$D$6,Language!$A$1:$H$1,0)))</f>
        <v>Match 46 Winner</v>
      </c>
      <c r="K56" s="143"/>
      <c r="L56" s="144"/>
      <c r="M56" s="145" t="s">
        <v>121</v>
      </c>
      <c r="O56" s="166"/>
      <c r="P56" s="166"/>
      <c r="Q56" s="166"/>
      <c r="R56" s="166"/>
      <c r="S56" s="166"/>
      <c r="T56" s="166"/>
      <c r="U56" s="167"/>
      <c r="V56" s="164"/>
      <c r="W56" s="159"/>
      <c r="X56" s="160"/>
      <c r="Y56" s="160"/>
      <c r="Z56" s="160"/>
      <c r="AA56" s="160"/>
      <c r="AB56" s="160"/>
      <c r="AC56" s="160"/>
    </row>
    <row r="57" spans="2:29" ht="14.5" customHeight="1" x14ac:dyDescent="0.35">
      <c r="B57" s="124">
        <v>50</v>
      </c>
      <c r="C57" s="241"/>
      <c r="D57" s="241"/>
      <c r="E57" s="125">
        <f t="shared" si="0"/>
        <v>44384.875</v>
      </c>
      <c r="F57" s="126">
        <f>'Dummy Table'!EM57</f>
        <v>44384.875</v>
      </c>
      <c r="G57" s="168" t="str">
        <f>IF(AND(H54&lt;&gt;"",I54&lt;&gt;""),IF((H54+K54)&gt;(I54+L54),G54,IF((H54+K54)&lt;(I54+L54),J54,INDEX(Language!$A$1:$I$110,MATCH("Match 47 Winner",Language!$B$1:$B$107,0),MATCH(Setup!$D$6,Language!$A$1:$H$1,0)))),INDEX(Language!$A$1:$I$110,MATCH("Match 47 Winner",Language!$B$1:$B$107,0),MATCH(Setup!$D$6,Language!$A$1:$H$1,0)))</f>
        <v>Match 47 Winner</v>
      </c>
      <c r="H57" s="128"/>
      <c r="I57" s="129"/>
      <c r="J57" s="169" t="str">
        <f>IF(AND(H55&lt;&gt;"",I55&lt;&gt;""),IF((H55+K55)&gt;(I55+L55),G55,IF((H55+K55)&lt;(I55+L55),J55,INDEX(Language!$A$1:$I$110,MATCH("Match 48 Winner",Language!$B$1:$B$107,0),MATCH(Setup!$D$6,Language!$A$1:$H$1,0)))),INDEX(Language!$A$1:$I$110,MATCH("Match 48 Winner",Language!$B$1:$B$107,0),MATCH(Setup!$D$6,Language!$A$1:$H$1,0)))</f>
        <v>Match 48 Winner</v>
      </c>
      <c r="K57" s="154"/>
      <c r="L57" s="155"/>
      <c r="M57" s="156" t="s">
        <v>121</v>
      </c>
      <c r="O57" s="166"/>
      <c r="P57" s="166"/>
      <c r="Q57" s="166"/>
      <c r="R57" s="166"/>
      <c r="S57" s="166"/>
      <c r="T57" s="166"/>
      <c r="U57" s="167"/>
      <c r="V57" s="164"/>
      <c r="W57" s="159"/>
      <c r="X57" s="160"/>
      <c r="Y57" s="160"/>
      <c r="Z57" s="160"/>
      <c r="AA57" s="160"/>
      <c r="AB57" s="160"/>
      <c r="AC57" s="160"/>
    </row>
    <row r="58" spans="2:29" ht="14.5" customHeight="1" x14ac:dyDescent="0.35">
      <c r="B58" s="170">
        <v>51</v>
      </c>
      <c r="C58" s="238" t="str">
        <f>INDEX(Language!$A$1:$I$110,MATCH("Final",Language!$B$1:$B$107,0),MATCH(Setup!$D$6,Language!$A$1:$H$1,0))</f>
        <v>Final</v>
      </c>
      <c r="D58" s="238"/>
      <c r="E58" s="171">
        <f t="shared" si="0"/>
        <v>44388.875</v>
      </c>
      <c r="F58" s="172">
        <f>'Dummy Table'!EM58</f>
        <v>44388.875</v>
      </c>
      <c r="G58" s="173" t="str">
        <f>IF(AND(H56&lt;&gt;"",I56&lt;&gt;""),IF((H56+K56)&gt;(I56+L56),G56,IF((H56+K56)&lt;(I56+L56),J56,INDEX(Language!$A$1:$I$110,MATCH("Match 49 Winner",Language!$B$1:$B$107,0),MATCH(Setup!$D$6,Language!$A$1:$H$1,0)))),INDEX(Language!$A$1:$I$110,MATCH("Match 49 Winner",Language!$B$1:$B$107,0),MATCH(Setup!$D$6,Language!$A$1:$H$1,0)))</f>
        <v>Match 49 Winner</v>
      </c>
      <c r="H58" s="174"/>
      <c r="I58" s="175"/>
      <c r="J58" s="176" t="str">
        <f>IF(AND(H57&lt;&gt;"",I57&lt;&gt;""),IF((H57+K57)&gt;(I57+L57),G57,IF((H57+K57)&lt;(I57+L57),J57,INDEX(Language!$A$1:$I$110,MATCH("Match 50 Winner",Language!$B$1:$B$107,0),MATCH(Setup!$D$6,Language!$A$1:$H$1,0)))),INDEX(Language!$A$1:$I$110,MATCH("Match 50 Winner",Language!$B$1:$B$107,0),MATCH(Setup!$D$6,Language!$A$1:$H$1,0)))</f>
        <v>Match 50 Winner</v>
      </c>
      <c r="K58" s="177"/>
      <c r="L58" s="178"/>
      <c r="M58" s="179" t="s">
        <v>121</v>
      </c>
      <c r="O58" s="166"/>
      <c r="P58" s="166"/>
      <c r="Q58" s="166"/>
      <c r="R58" s="166"/>
      <c r="S58" s="166"/>
      <c r="T58" s="166"/>
      <c r="U58" s="167"/>
      <c r="V58" s="164"/>
      <c r="W58" s="159"/>
      <c r="X58" s="160"/>
      <c r="Y58" s="160"/>
      <c r="Z58" s="160"/>
      <c r="AA58" s="160"/>
      <c r="AB58" s="160"/>
      <c r="AC58" s="160"/>
    </row>
    <row r="59" spans="2:29" ht="14.5" customHeight="1" x14ac:dyDescent="0.35">
      <c r="B59" s="180" t="s">
        <v>134</v>
      </c>
    </row>
    <row r="60" spans="2:29" ht="14.5" customHeight="1" x14ac:dyDescent="0.35">
      <c r="B60" s="181" t="s">
        <v>135</v>
      </c>
      <c r="E60" s="2"/>
      <c r="F60" s="2"/>
    </row>
    <row r="61" spans="2:29" ht="14.5" customHeight="1" x14ac:dyDescent="0.35">
      <c r="B61" s="182" t="s">
        <v>136</v>
      </c>
      <c r="C61" s="2" t="s">
        <v>137</v>
      </c>
    </row>
    <row r="62" spans="2:29" x14ac:dyDescent="0.35">
      <c r="B62" s="182" t="s">
        <v>136</v>
      </c>
      <c r="C62" s="2" t="s">
        <v>138</v>
      </c>
    </row>
    <row r="63" spans="2:29" x14ac:dyDescent="0.35">
      <c r="B63" s="182" t="s">
        <v>136</v>
      </c>
      <c r="C63" s="2" t="s">
        <v>139</v>
      </c>
    </row>
    <row r="64" spans="2:29" x14ac:dyDescent="0.35">
      <c r="B64" s="182" t="s">
        <v>136</v>
      </c>
      <c r="C64" s="2" t="s">
        <v>140</v>
      </c>
    </row>
    <row r="65" spans="2:5" x14ac:dyDescent="0.35">
      <c r="B65" s="182" t="s">
        <v>136</v>
      </c>
      <c r="C65" s="2" t="s">
        <v>898</v>
      </c>
    </row>
    <row r="66" spans="2:5" x14ac:dyDescent="0.35">
      <c r="B66" s="2" t="s">
        <v>141</v>
      </c>
    </row>
    <row r="67" spans="2:5" x14ac:dyDescent="0.35">
      <c r="B67" s="181" t="s">
        <v>142</v>
      </c>
      <c r="E67" s="4" t="s">
        <v>143</v>
      </c>
    </row>
    <row r="68" spans="2:5" x14ac:dyDescent="0.35">
      <c r="B68" s="183" t="s">
        <v>142</v>
      </c>
      <c r="E68" s="4" t="s">
        <v>144</v>
      </c>
    </row>
    <row r="69" spans="2:5" x14ac:dyDescent="0.35">
      <c r="B69" s="184" t="s">
        <v>142</v>
      </c>
      <c r="E69" s="4" t="s">
        <v>145</v>
      </c>
    </row>
    <row r="70" spans="2:5" x14ac:dyDescent="0.35">
      <c r="B70" s="185" t="s">
        <v>142</v>
      </c>
      <c r="E70" s="4" t="s">
        <v>146</v>
      </c>
    </row>
  </sheetData>
  <sheetProtection password="CF6B" sheet="1" objects="1" scenarios="1" formatCells="0" formatColumns="0" formatRows="0"/>
  <mergeCells count="80">
    <mergeCell ref="H5:I5"/>
    <mergeCell ref="O6:S6"/>
    <mergeCell ref="C7:D7"/>
    <mergeCell ref="P7:S7"/>
    <mergeCell ref="C8:D8"/>
    <mergeCell ref="P8:S8"/>
    <mergeCell ref="C9:D9"/>
    <mergeCell ref="P9:S9"/>
    <mergeCell ref="C10:D10"/>
    <mergeCell ref="P10:S10"/>
    <mergeCell ref="C11:D11"/>
    <mergeCell ref="O11:S11"/>
    <mergeCell ref="C12:D12"/>
    <mergeCell ref="P12:S12"/>
    <mergeCell ref="C13:D13"/>
    <mergeCell ref="P13:S13"/>
    <mergeCell ref="C14:D14"/>
    <mergeCell ref="P14:S14"/>
    <mergeCell ref="C15:D15"/>
    <mergeCell ref="P15:S15"/>
    <mergeCell ref="C16:D16"/>
    <mergeCell ref="O16:S16"/>
    <mergeCell ref="C17:D17"/>
    <mergeCell ref="P17:S17"/>
    <mergeCell ref="C18:D18"/>
    <mergeCell ref="P18:S18"/>
    <mergeCell ref="C19:D19"/>
    <mergeCell ref="P19:S19"/>
    <mergeCell ref="C20:D20"/>
    <mergeCell ref="P20:S20"/>
    <mergeCell ref="C21:D21"/>
    <mergeCell ref="O21:S21"/>
    <mergeCell ref="C22:D22"/>
    <mergeCell ref="P22:S22"/>
    <mergeCell ref="C23:D23"/>
    <mergeCell ref="P23:S23"/>
    <mergeCell ref="C24:D24"/>
    <mergeCell ref="P24:S24"/>
    <mergeCell ref="C25:D25"/>
    <mergeCell ref="P25:S25"/>
    <mergeCell ref="C26:D26"/>
    <mergeCell ref="O26:S26"/>
    <mergeCell ref="C27:D27"/>
    <mergeCell ref="P27:S27"/>
    <mergeCell ref="C28:D28"/>
    <mergeCell ref="P28:S28"/>
    <mergeCell ref="C29:D29"/>
    <mergeCell ref="P29:S29"/>
    <mergeCell ref="C30:D30"/>
    <mergeCell ref="P30:S30"/>
    <mergeCell ref="C31:D31"/>
    <mergeCell ref="O31:S31"/>
    <mergeCell ref="C32:D32"/>
    <mergeCell ref="P32:S32"/>
    <mergeCell ref="C40:D40"/>
    <mergeCell ref="P40:S40"/>
    <mergeCell ref="C33:D33"/>
    <mergeCell ref="P33:S33"/>
    <mergeCell ref="C34:D34"/>
    <mergeCell ref="P34:S34"/>
    <mergeCell ref="C35:D35"/>
    <mergeCell ref="P35:S35"/>
    <mergeCell ref="C36:D36"/>
    <mergeCell ref="C37:D37"/>
    <mergeCell ref="C38:D38"/>
    <mergeCell ref="C39:D39"/>
    <mergeCell ref="P39:S39"/>
    <mergeCell ref="C41:D41"/>
    <mergeCell ref="P41:S41"/>
    <mergeCell ref="C42:D42"/>
    <mergeCell ref="P42:S42"/>
    <mergeCell ref="K43:L43"/>
    <mergeCell ref="P43:S43"/>
    <mergeCell ref="C58:D58"/>
    <mergeCell ref="C44:D51"/>
    <mergeCell ref="P44:S44"/>
    <mergeCell ref="O46:AC47"/>
    <mergeCell ref="O48:V52"/>
    <mergeCell ref="C52:D55"/>
    <mergeCell ref="C56:D57"/>
  </mergeCells>
  <conditionalFormatting sqref="K44:L58">
    <cfRule type="expression" dxfId="18" priority="18">
      <formula>AND($H44&lt;&gt;"",$I44&lt;&gt;"",$H44=$I44)</formula>
    </cfRule>
  </conditionalFormatting>
  <conditionalFormatting sqref="H7:I42">
    <cfRule type="expression" dxfId="17" priority="17">
      <formula>ISTEXT(H7)</formula>
    </cfRule>
  </conditionalFormatting>
  <conditionalFormatting sqref="H44:I51">
    <cfRule type="expression" dxfId="16" priority="16">
      <formula>ISTEXT(H44)</formula>
    </cfRule>
  </conditionalFormatting>
  <conditionalFormatting sqref="H52:I55">
    <cfRule type="expression" dxfId="15" priority="15">
      <formula>ISTEXT(H52)</formula>
    </cfRule>
  </conditionalFormatting>
  <conditionalFormatting sqref="H56:I57">
    <cfRule type="expression" dxfId="14" priority="14">
      <formula>ISTEXT(H56)</formula>
    </cfRule>
  </conditionalFormatting>
  <conditionalFormatting sqref="H58:I58">
    <cfRule type="expression" dxfId="13" priority="13">
      <formula>ISTEXT(H58)</formula>
    </cfRule>
  </conditionalFormatting>
  <conditionalFormatting sqref="G7:G42">
    <cfRule type="expression" dxfId="12" priority="11">
      <formula>$H7&lt;$I7</formula>
    </cfRule>
    <cfRule type="expression" dxfId="11" priority="12">
      <formula>$H7&gt;$I7</formula>
    </cfRule>
  </conditionalFormatting>
  <conditionalFormatting sqref="J7:J42">
    <cfRule type="expression" dxfId="10" priority="9">
      <formula>$H7&gt;$I7</formula>
    </cfRule>
    <cfRule type="expression" dxfId="9" priority="10">
      <formula>$H7&lt;$I7</formula>
    </cfRule>
  </conditionalFormatting>
  <conditionalFormatting sqref="G44:G58">
    <cfRule type="expression" dxfId="8" priority="3">
      <formula>$K44&gt;$L44</formula>
    </cfRule>
    <cfRule type="expression" dxfId="7" priority="4">
      <formula>$K44&lt;$L44</formula>
    </cfRule>
    <cfRule type="expression" dxfId="6" priority="7">
      <formula>$H44&lt;$I44</formula>
    </cfRule>
    <cfRule type="expression" dxfId="5" priority="8">
      <formula>$H44&gt;$I44</formula>
    </cfRule>
  </conditionalFormatting>
  <conditionalFormatting sqref="J44:J58">
    <cfRule type="expression" dxfId="4" priority="1">
      <formula>$K44&gt;$L44</formula>
    </cfRule>
    <cfRule type="expression" dxfId="3" priority="2">
      <formula>$K44&lt;$L44</formula>
    </cfRule>
    <cfRule type="expression" dxfId="2" priority="5">
      <formula>$H44&gt;$I44</formula>
    </cfRule>
    <cfRule type="expression" dxfId="1" priority="6">
      <formula>$H44&lt;$I44</formula>
    </cfRule>
  </conditionalFormatting>
  <printOptions horizontalCentered="1" verticalCentered="1"/>
  <pageMargins left="0.04" right="0.4" top="0.4" bottom="0.4" header="0.25" footer="0.2"/>
  <pageSetup scale="68" orientation="landscape" horizontalDpi="300" verticalDpi="300" r:id="rId1"/>
  <headerFooter>
    <oddFooter>&amp;R(c) 2020 | journalSHEET.com</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3"/>
  <sheetViews>
    <sheetView showGridLines="0" zoomScaleNormal="100" workbookViewId="0">
      <selection activeCell="R23" sqref="R23"/>
    </sheetView>
  </sheetViews>
  <sheetFormatPr defaultColWidth="9.08984375" defaultRowHeight="13" x14ac:dyDescent="0.3"/>
  <cols>
    <col min="1" max="1" width="4" style="187" bestFit="1" customWidth="1"/>
    <col min="2" max="8" width="15.6328125" style="187" customWidth="1"/>
    <col min="9" max="16384" width="9.08984375" style="187"/>
  </cols>
  <sheetData>
    <row r="1" spans="1:8" x14ac:dyDescent="0.3">
      <c r="A1" s="186">
        <v>1</v>
      </c>
      <c r="B1" s="186" t="s">
        <v>147</v>
      </c>
      <c r="C1" s="186" t="s">
        <v>6</v>
      </c>
      <c r="D1" s="186" t="s">
        <v>148</v>
      </c>
      <c r="E1" s="186" t="s">
        <v>149</v>
      </c>
      <c r="F1" s="186" t="s">
        <v>150</v>
      </c>
      <c r="G1" s="186" t="s">
        <v>151</v>
      </c>
      <c r="H1" s="186" t="str">
        <f>IF(Setup!D7&lt;&gt;"",Setup!D7,"New Language")</f>
        <v>NEW WORLD</v>
      </c>
    </row>
    <row r="2" spans="1:8" x14ac:dyDescent="0.3">
      <c r="A2" s="186">
        <v>1</v>
      </c>
      <c r="B2" s="186">
        <v>2</v>
      </c>
      <c r="C2" s="186">
        <v>3</v>
      </c>
      <c r="D2" s="186">
        <v>4</v>
      </c>
      <c r="E2" s="186">
        <v>5</v>
      </c>
      <c r="F2" s="186">
        <v>6</v>
      </c>
      <c r="G2" s="186">
        <v>7</v>
      </c>
      <c r="H2" s="186">
        <v>8</v>
      </c>
    </row>
    <row r="3" spans="1:8" x14ac:dyDescent="0.3">
      <c r="A3" s="186">
        <v>2</v>
      </c>
      <c r="B3" s="188" t="str">
        <f>Setup!C9</f>
        <v>Austria</v>
      </c>
      <c r="C3" s="188" t="s">
        <v>13</v>
      </c>
      <c r="D3" s="189" t="s">
        <v>152</v>
      </c>
      <c r="E3" s="189" t="s">
        <v>153</v>
      </c>
      <c r="F3" s="189" t="s">
        <v>13</v>
      </c>
      <c r="G3" s="189" t="s">
        <v>13</v>
      </c>
      <c r="H3" s="186" t="str">
        <f>IF(Setup!D9&lt;&gt;"",Setup!D9,Setup!C9)</f>
        <v>Austria</v>
      </c>
    </row>
    <row r="4" spans="1:8" x14ac:dyDescent="0.3">
      <c r="A4" s="186">
        <v>3</v>
      </c>
      <c r="B4" s="188" t="str">
        <f>Setup!C10</f>
        <v>Belgium</v>
      </c>
      <c r="C4" s="190" t="s">
        <v>15</v>
      </c>
      <c r="D4" s="189" t="s">
        <v>154</v>
      </c>
      <c r="E4" s="189" t="s">
        <v>155</v>
      </c>
      <c r="F4" s="189" t="s">
        <v>156</v>
      </c>
      <c r="G4" s="189" t="s">
        <v>157</v>
      </c>
      <c r="H4" s="186" t="str">
        <f>IF(Setup!D10&lt;&gt;"",Setup!D10,Setup!C10)</f>
        <v>Belgium</v>
      </c>
    </row>
    <row r="5" spans="1:8" x14ac:dyDescent="0.3">
      <c r="A5" s="186">
        <v>4</v>
      </c>
      <c r="B5" s="188" t="str">
        <f>Setup!C11</f>
        <v>Croatia</v>
      </c>
      <c r="C5" s="186" t="s">
        <v>17</v>
      </c>
      <c r="D5" s="189" t="s">
        <v>158</v>
      </c>
      <c r="E5" s="189" t="s">
        <v>159</v>
      </c>
      <c r="F5" s="189" t="s">
        <v>160</v>
      </c>
      <c r="G5" s="189" t="s">
        <v>161</v>
      </c>
      <c r="H5" s="186" t="str">
        <f>IF(Setup!D11&lt;&gt;"",Setup!D11,Setup!C11)</f>
        <v>Croatia</v>
      </c>
    </row>
    <row r="6" spans="1:8" x14ac:dyDescent="0.3">
      <c r="A6" s="186">
        <v>5</v>
      </c>
      <c r="B6" s="188" t="str">
        <f>Setup!C12</f>
        <v>Czech Republic</v>
      </c>
      <c r="C6" s="188" t="s">
        <v>19</v>
      </c>
      <c r="D6" s="189" t="s">
        <v>162</v>
      </c>
      <c r="E6" s="189" t="s">
        <v>163</v>
      </c>
      <c r="F6" s="189" t="s">
        <v>164</v>
      </c>
      <c r="G6" s="189" t="s">
        <v>165</v>
      </c>
      <c r="H6" s="186" t="str">
        <f>IF(Setup!D12&lt;&gt;"",Setup!D12,Setup!C12)</f>
        <v>Czech Republic</v>
      </c>
    </row>
    <row r="7" spans="1:8" x14ac:dyDescent="0.3">
      <c r="A7" s="186">
        <v>6</v>
      </c>
      <c r="B7" s="188" t="str">
        <f>Setup!C13</f>
        <v>Denmark</v>
      </c>
      <c r="C7" s="188" t="s">
        <v>20</v>
      </c>
      <c r="D7" s="189" t="s">
        <v>166</v>
      </c>
      <c r="E7" s="189" t="s">
        <v>167</v>
      </c>
      <c r="F7" s="189" t="s">
        <v>168</v>
      </c>
      <c r="G7" s="189" t="s">
        <v>169</v>
      </c>
      <c r="H7" s="186" t="str">
        <f>IF(Setup!D13&lt;&gt;"",Setup!D13,Setup!C13)</f>
        <v>Denmark</v>
      </c>
    </row>
    <row r="8" spans="1:8" x14ac:dyDescent="0.3">
      <c r="A8" s="186">
        <v>7</v>
      </c>
      <c r="B8" s="188" t="str">
        <f>Setup!C14</f>
        <v>England</v>
      </c>
      <c r="C8" s="186" t="s">
        <v>21</v>
      </c>
      <c r="D8" s="189" t="s">
        <v>170</v>
      </c>
      <c r="E8" s="189" t="s">
        <v>21</v>
      </c>
      <c r="F8" s="189" t="s">
        <v>171</v>
      </c>
      <c r="G8" s="189" t="s">
        <v>172</v>
      </c>
      <c r="H8" s="186" t="str">
        <f>IF(Setup!D14&lt;&gt;"",Setup!D14,Setup!C14)</f>
        <v>England</v>
      </c>
    </row>
    <row r="9" spans="1:8" x14ac:dyDescent="0.3">
      <c r="A9" s="186">
        <v>8</v>
      </c>
      <c r="B9" s="188" t="str">
        <f>Setup!C15</f>
        <v>Finland</v>
      </c>
      <c r="C9" s="188" t="s">
        <v>22</v>
      </c>
      <c r="D9" s="189" t="s">
        <v>173</v>
      </c>
      <c r="E9" s="189" t="s">
        <v>174</v>
      </c>
      <c r="F9" s="189" t="s">
        <v>175</v>
      </c>
      <c r="G9" s="189" t="s">
        <v>175</v>
      </c>
      <c r="H9" s="186" t="str">
        <f>IF(Setup!D15&lt;&gt;"",Setup!D15,Setup!C15)</f>
        <v>Finland</v>
      </c>
    </row>
    <row r="10" spans="1:8" x14ac:dyDescent="0.3">
      <c r="A10" s="186">
        <v>9</v>
      </c>
      <c r="B10" s="188" t="str">
        <f>Setup!C16</f>
        <v>France</v>
      </c>
      <c r="C10" s="186" t="s">
        <v>23</v>
      </c>
      <c r="D10" s="189" t="s">
        <v>23</v>
      </c>
      <c r="E10" s="189" t="s">
        <v>176</v>
      </c>
      <c r="F10" s="189" t="s">
        <v>177</v>
      </c>
      <c r="G10" s="189" t="s">
        <v>177</v>
      </c>
      <c r="H10" s="186" t="str">
        <f>IF(Setup!D16&lt;&gt;"",Setup!D16,Setup!C16)</f>
        <v>France</v>
      </c>
    </row>
    <row r="11" spans="1:8" x14ac:dyDescent="0.3">
      <c r="A11" s="186">
        <v>10</v>
      </c>
      <c r="B11" s="188" t="str">
        <f>Setup!C17</f>
        <v>Germany</v>
      </c>
      <c r="C11" s="188" t="s">
        <v>24</v>
      </c>
      <c r="D11" s="189" t="s">
        <v>178</v>
      </c>
      <c r="E11" s="189" t="s">
        <v>179</v>
      </c>
      <c r="F11" s="189" t="s">
        <v>180</v>
      </c>
      <c r="G11" s="189" t="s">
        <v>181</v>
      </c>
      <c r="H11" s="186" t="str">
        <f>IF(Setup!D17&lt;&gt;"",Setup!D17,Setup!C17)</f>
        <v>Germany</v>
      </c>
    </row>
    <row r="12" spans="1:8" x14ac:dyDescent="0.3">
      <c r="A12" s="186">
        <v>11</v>
      </c>
      <c r="B12" s="188" t="str">
        <f>Setup!C18</f>
        <v>Hungary</v>
      </c>
      <c r="C12" s="186" t="s">
        <v>25</v>
      </c>
      <c r="D12" s="189" t="s">
        <v>182</v>
      </c>
      <c r="E12" s="189" t="s">
        <v>183</v>
      </c>
      <c r="F12" s="189" t="s">
        <v>184</v>
      </c>
      <c r="G12" s="189" t="s">
        <v>185</v>
      </c>
      <c r="H12" s="186" t="str">
        <f>IF(Setup!D18&lt;&gt;"",Setup!D18,Setup!C18)</f>
        <v>Hungary</v>
      </c>
    </row>
    <row r="13" spans="1:8" x14ac:dyDescent="0.3">
      <c r="A13" s="186">
        <v>12</v>
      </c>
      <c r="B13" s="188" t="str">
        <f>Setup!C19</f>
        <v>Italy</v>
      </c>
      <c r="C13" s="188" t="s">
        <v>26</v>
      </c>
      <c r="D13" s="189" t="s">
        <v>186</v>
      </c>
      <c r="E13" s="189" t="s">
        <v>187</v>
      </c>
      <c r="F13" s="189" t="s">
        <v>188</v>
      </c>
      <c r="G13" s="189" t="s">
        <v>188</v>
      </c>
      <c r="H13" s="186" t="str">
        <f>IF(Setup!D19&lt;&gt;"",Setup!D19,Setup!C19)</f>
        <v>Italy</v>
      </c>
    </row>
    <row r="14" spans="1:8" x14ac:dyDescent="0.3">
      <c r="A14" s="186">
        <v>13</v>
      </c>
      <c r="B14" s="188" t="str">
        <f>Setup!C20</f>
        <v>Netherlands</v>
      </c>
      <c r="C14" s="186" t="s">
        <v>27</v>
      </c>
      <c r="D14" s="189" t="s">
        <v>189</v>
      </c>
      <c r="E14" s="189" t="s">
        <v>190</v>
      </c>
      <c r="F14" s="189" t="s">
        <v>191</v>
      </c>
      <c r="G14" s="189" t="s">
        <v>192</v>
      </c>
      <c r="H14" s="186" t="str">
        <f>IF(Setup!D20&lt;&gt;"",Setup!D20,Setup!C20)</f>
        <v>Netherlands</v>
      </c>
    </row>
    <row r="15" spans="1:8" x14ac:dyDescent="0.3">
      <c r="A15" s="186">
        <v>14</v>
      </c>
      <c r="B15" s="188" t="str">
        <f>Setup!C21</f>
        <v>North Macedonia</v>
      </c>
      <c r="C15" s="188" t="s">
        <v>28</v>
      </c>
      <c r="D15" s="189" t="s">
        <v>193</v>
      </c>
      <c r="E15" s="189" t="s">
        <v>194</v>
      </c>
      <c r="F15" s="189" t="s">
        <v>195</v>
      </c>
      <c r="G15" s="189" t="s">
        <v>196</v>
      </c>
      <c r="H15" s="186" t="str">
        <f>IF(Setup!D21&lt;&gt;"",Setup!D21,Setup!C21)</f>
        <v>North Macedonia</v>
      </c>
    </row>
    <row r="16" spans="1:8" x14ac:dyDescent="0.3">
      <c r="A16" s="186">
        <v>15</v>
      </c>
      <c r="B16" s="188" t="str">
        <f>Setup!C22</f>
        <v>Poland</v>
      </c>
      <c r="C16" s="188" t="s">
        <v>29</v>
      </c>
      <c r="D16" s="189" t="s">
        <v>197</v>
      </c>
      <c r="E16" s="189" t="s">
        <v>198</v>
      </c>
      <c r="F16" s="189" t="s">
        <v>199</v>
      </c>
      <c r="G16" s="189" t="s">
        <v>199</v>
      </c>
      <c r="H16" s="186" t="str">
        <f>IF(Setup!D22&lt;&gt;"",Setup!D22,Setup!C22)</f>
        <v>Poland</v>
      </c>
    </row>
    <row r="17" spans="1:8" x14ac:dyDescent="0.3">
      <c r="A17" s="186">
        <v>16</v>
      </c>
      <c r="B17" s="188" t="str">
        <f>Setup!C23</f>
        <v>Portugal</v>
      </c>
      <c r="C17" s="186" t="s">
        <v>30</v>
      </c>
      <c r="D17" s="189" t="s">
        <v>200</v>
      </c>
      <c r="E17" s="189" t="s">
        <v>30</v>
      </c>
      <c r="F17" s="189" t="s">
        <v>201</v>
      </c>
      <c r="G17" s="189" t="s">
        <v>30</v>
      </c>
      <c r="H17" s="186" t="str">
        <f>IF(Setup!D23&lt;&gt;"",Setup!D23,Setup!C23)</f>
        <v>Portugal</v>
      </c>
    </row>
    <row r="18" spans="1:8" x14ac:dyDescent="0.3">
      <c r="A18" s="186">
        <v>17</v>
      </c>
      <c r="B18" s="188" t="str">
        <f>Setup!C24</f>
        <v>Russia</v>
      </c>
      <c r="C18" s="188" t="s">
        <v>31</v>
      </c>
      <c r="D18" s="189" t="s">
        <v>202</v>
      </c>
      <c r="E18" s="189" t="s">
        <v>203</v>
      </c>
      <c r="F18" s="189" t="s">
        <v>31</v>
      </c>
      <c r="G18" s="189" t="s">
        <v>204</v>
      </c>
      <c r="H18" s="186" t="str">
        <f>IF(Setup!D24&lt;&gt;"",Setup!D24,Setup!C24)</f>
        <v>Russia</v>
      </c>
    </row>
    <row r="19" spans="1:8" x14ac:dyDescent="0.3">
      <c r="A19" s="186">
        <v>18</v>
      </c>
      <c r="B19" s="188" t="str">
        <f>Setup!C25</f>
        <v>Scotland</v>
      </c>
      <c r="C19" s="188" t="s">
        <v>32</v>
      </c>
      <c r="D19" s="189" t="s">
        <v>205</v>
      </c>
      <c r="E19" s="189" t="s">
        <v>206</v>
      </c>
      <c r="F19" s="189" t="s">
        <v>207</v>
      </c>
      <c r="G19" s="189" t="s">
        <v>208</v>
      </c>
      <c r="H19" s="186" t="str">
        <f>IF(Setup!D25&lt;&gt;"",Setup!D25,Setup!C25)</f>
        <v>Scotland</v>
      </c>
    </row>
    <row r="20" spans="1:8" x14ac:dyDescent="0.3">
      <c r="A20" s="186">
        <v>19</v>
      </c>
      <c r="B20" s="188" t="str">
        <f>Setup!C26</f>
        <v>Slovakia</v>
      </c>
      <c r="C20" s="188" t="s">
        <v>33</v>
      </c>
      <c r="D20" s="189" t="s">
        <v>209</v>
      </c>
      <c r="E20" s="189" t="s">
        <v>210</v>
      </c>
      <c r="F20" s="189" t="s">
        <v>211</v>
      </c>
      <c r="G20" s="189" t="s">
        <v>212</v>
      </c>
      <c r="H20" s="186" t="str">
        <f>IF(Setup!D26&lt;&gt;"",Setup!D26,Setup!C26)</f>
        <v>Slovakia</v>
      </c>
    </row>
    <row r="21" spans="1:8" x14ac:dyDescent="0.3">
      <c r="A21" s="186">
        <v>20</v>
      </c>
      <c r="B21" s="188" t="str">
        <f>Setup!C27</f>
        <v>Spain</v>
      </c>
      <c r="C21" s="186" t="s">
        <v>34</v>
      </c>
      <c r="D21" s="189" t="s">
        <v>213</v>
      </c>
      <c r="E21" s="189" t="s">
        <v>214</v>
      </c>
      <c r="F21" s="189" t="s">
        <v>215</v>
      </c>
      <c r="G21" s="189" t="s">
        <v>216</v>
      </c>
      <c r="H21" s="186" t="str">
        <f>IF(Setup!D27&lt;&gt;"",Setup!D27,Setup!C27)</f>
        <v>Spain</v>
      </c>
    </row>
    <row r="22" spans="1:8" x14ac:dyDescent="0.3">
      <c r="A22" s="186">
        <v>21</v>
      </c>
      <c r="B22" s="188" t="str">
        <f>Setup!C28</f>
        <v>Sweden</v>
      </c>
      <c r="C22" s="186" t="s">
        <v>35</v>
      </c>
      <c r="D22" s="189" t="s">
        <v>217</v>
      </c>
      <c r="E22" s="189" t="s">
        <v>218</v>
      </c>
      <c r="F22" s="189" t="s">
        <v>219</v>
      </c>
      <c r="G22" s="189" t="s">
        <v>220</v>
      </c>
      <c r="H22" s="186" t="str">
        <f>IF(Setup!D28&lt;&gt;"",Setup!D28,Setup!C28)</f>
        <v>Sweden</v>
      </c>
    </row>
    <row r="23" spans="1:8" x14ac:dyDescent="0.3">
      <c r="A23" s="186">
        <v>22</v>
      </c>
      <c r="B23" s="188" t="str">
        <f>Setup!C29</f>
        <v>Switzerland</v>
      </c>
      <c r="C23" s="188" t="s">
        <v>36</v>
      </c>
      <c r="D23" s="189" t="s">
        <v>221</v>
      </c>
      <c r="E23" s="189" t="s">
        <v>222</v>
      </c>
      <c r="F23" s="189" t="s">
        <v>223</v>
      </c>
      <c r="G23" s="189" t="s">
        <v>224</v>
      </c>
      <c r="H23" s="186" t="str">
        <f>IF(Setup!D29&lt;&gt;"",Setup!D29,Setup!C29)</f>
        <v>Switzerland</v>
      </c>
    </row>
    <row r="24" spans="1:8" x14ac:dyDescent="0.3">
      <c r="A24" s="186">
        <v>23</v>
      </c>
      <c r="B24" s="188" t="str">
        <f>Setup!C30</f>
        <v>Turkey</v>
      </c>
      <c r="C24" s="188" t="s">
        <v>37</v>
      </c>
      <c r="D24" s="189" t="s">
        <v>225</v>
      </c>
      <c r="E24" s="189" t="s">
        <v>226</v>
      </c>
      <c r="F24" s="189" t="s">
        <v>227</v>
      </c>
      <c r="G24" s="189" t="s">
        <v>228</v>
      </c>
      <c r="H24" s="186" t="str">
        <f>IF(Setup!D30&lt;&gt;"",Setup!D30,Setup!C30)</f>
        <v>Turkey</v>
      </c>
    </row>
    <row r="25" spans="1:8" x14ac:dyDescent="0.3">
      <c r="A25" s="186">
        <v>24</v>
      </c>
      <c r="B25" s="188" t="str">
        <f>Setup!C31</f>
        <v>Ukraine</v>
      </c>
      <c r="C25" s="188" t="s">
        <v>38</v>
      </c>
      <c r="D25" s="189" t="s">
        <v>38</v>
      </c>
      <c r="E25" s="189" t="s">
        <v>38</v>
      </c>
      <c r="F25" s="189" t="s">
        <v>229</v>
      </c>
      <c r="G25" s="189" t="s">
        <v>230</v>
      </c>
      <c r="H25" s="186" t="str">
        <f>IF(Setup!D31&lt;&gt;"",Setup!D31,Setup!C31)</f>
        <v>Ukraine</v>
      </c>
    </row>
    <row r="26" spans="1:8" x14ac:dyDescent="0.3">
      <c r="A26" s="186">
        <v>25</v>
      </c>
      <c r="B26" s="188" t="str">
        <f>Setup!C32</f>
        <v>Wales</v>
      </c>
      <c r="C26" s="188" t="s">
        <v>39</v>
      </c>
      <c r="D26" s="189" t="s">
        <v>231</v>
      </c>
      <c r="E26" s="189" t="s">
        <v>39</v>
      </c>
      <c r="F26" s="189" t="s">
        <v>232</v>
      </c>
      <c r="G26" s="189" t="s">
        <v>233</v>
      </c>
      <c r="H26" s="186" t="str">
        <f>IF(Setup!D32&lt;&gt;"",Setup!D32,Setup!C32)</f>
        <v>Wales</v>
      </c>
    </row>
    <row r="27" spans="1:8" x14ac:dyDescent="0.3">
      <c r="A27" s="186">
        <v>26</v>
      </c>
      <c r="B27" s="188" t="str">
        <f>Setup!C33</f>
        <v>Language</v>
      </c>
      <c r="C27" s="186" t="s">
        <v>40</v>
      </c>
      <c r="D27" s="189" t="s">
        <v>234</v>
      </c>
      <c r="E27" s="189" t="s">
        <v>235</v>
      </c>
      <c r="F27" s="189" t="s">
        <v>236</v>
      </c>
      <c r="G27" s="189" t="s">
        <v>237</v>
      </c>
      <c r="H27" s="186" t="str">
        <f>IF(Setup!D33&lt;&gt;"",Setup!D33,Setup!C33)</f>
        <v>Language</v>
      </c>
    </row>
    <row r="28" spans="1:8" x14ac:dyDescent="0.3">
      <c r="A28" s="186">
        <v>27</v>
      </c>
      <c r="B28" s="188" t="str">
        <f>Setup!C34</f>
        <v>Timezone</v>
      </c>
      <c r="C28" s="186" t="s">
        <v>41</v>
      </c>
      <c r="D28" s="189" t="s">
        <v>238</v>
      </c>
      <c r="E28" s="189" t="s">
        <v>239</v>
      </c>
      <c r="F28" s="189" t="s">
        <v>240</v>
      </c>
      <c r="G28" s="189" t="s">
        <v>241</v>
      </c>
      <c r="H28" s="186" t="str">
        <f>IF(Setup!D34&lt;&gt;"",Setup!D34,Setup!C34)</f>
        <v>Timezone</v>
      </c>
    </row>
    <row r="29" spans="1:8" x14ac:dyDescent="0.3">
      <c r="A29" s="186">
        <v>28</v>
      </c>
      <c r="B29" s="188" t="str">
        <f>Setup!C35</f>
        <v>Group Stages</v>
      </c>
      <c r="C29" s="186" t="s">
        <v>42</v>
      </c>
      <c r="D29" s="189" t="s">
        <v>242</v>
      </c>
      <c r="E29" s="189" t="s">
        <v>243</v>
      </c>
      <c r="F29" s="189" t="s">
        <v>244</v>
      </c>
      <c r="G29" s="189" t="s">
        <v>245</v>
      </c>
      <c r="H29" s="186" t="str">
        <f>IF(Setup!D35&lt;&gt;"",Setup!D35,Setup!C35)</f>
        <v>Group Stages</v>
      </c>
    </row>
    <row r="30" spans="1:8" x14ac:dyDescent="0.3">
      <c r="A30" s="186">
        <v>29</v>
      </c>
      <c r="B30" s="188" t="str">
        <f>Setup!C36</f>
        <v>Venue</v>
      </c>
      <c r="C30" s="186" t="s">
        <v>43</v>
      </c>
      <c r="D30" s="189" t="s">
        <v>246</v>
      </c>
      <c r="E30" s="189" t="s">
        <v>247</v>
      </c>
      <c r="F30" s="189" t="s">
        <v>248</v>
      </c>
      <c r="G30" s="189" t="s">
        <v>249</v>
      </c>
      <c r="H30" s="186" t="str">
        <f>IF(Setup!D36&lt;&gt;"",Setup!D36,Setup!C36)</f>
        <v>Venue</v>
      </c>
    </row>
    <row r="31" spans="1:8" x14ac:dyDescent="0.3">
      <c r="A31" s="186">
        <v>30</v>
      </c>
      <c r="B31" s="188" t="str">
        <f>Setup!C37</f>
        <v>Standings</v>
      </c>
      <c r="C31" s="186" t="s">
        <v>44</v>
      </c>
      <c r="D31" s="189" t="s">
        <v>250</v>
      </c>
      <c r="E31" s="189" t="s">
        <v>251</v>
      </c>
      <c r="F31" s="189" t="s">
        <v>252</v>
      </c>
      <c r="G31" s="189" t="s">
        <v>253</v>
      </c>
      <c r="H31" s="186" t="str">
        <f>IF(Setup!D37&lt;&gt;"",Setup!D37,Setup!C37)</f>
        <v>Standings</v>
      </c>
    </row>
    <row r="32" spans="1:8" x14ac:dyDescent="0.3">
      <c r="A32" s="186">
        <v>31</v>
      </c>
      <c r="B32" s="188" t="str">
        <f>Setup!C38</f>
        <v>Group</v>
      </c>
      <c r="C32" s="186" t="s">
        <v>45</v>
      </c>
      <c r="D32" s="189" t="s">
        <v>254</v>
      </c>
      <c r="E32" s="189" t="s">
        <v>255</v>
      </c>
      <c r="F32" s="189" t="s">
        <v>256</v>
      </c>
      <c r="G32" s="189" t="s">
        <v>257</v>
      </c>
      <c r="H32" s="186" t="str">
        <f>IF(Setup!D38&lt;&gt;"",Setup!D38,Setup!C38)</f>
        <v>Group</v>
      </c>
    </row>
    <row r="33" spans="1:8" x14ac:dyDescent="0.3">
      <c r="A33" s="186">
        <v>32</v>
      </c>
      <c r="B33" s="188" t="str">
        <f>Setup!C39</f>
        <v>Date</v>
      </c>
      <c r="C33" s="186" t="s">
        <v>46</v>
      </c>
      <c r="D33" s="189" t="s">
        <v>258</v>
      </c>
      <c r="E33" s="189" t="s">
        <v>259</v>
      </c>
      <c r="F33" s="189" t="s">
        <v>260</v>
      </c>
      <c r="G33" s="189" t="s">
        <v>261</v>
      </c>
      <c r="H33" s="186" t="str">
        <f>IF(Setup!D39&lt;&gt;"",Setup!D39,Setup!C39)</f>
        <v>Date</v>
      </c>
    </row>
    <row r="34" spans="1:8" x14ac:dyDescent="0.3">
      <c r="A34" s="186">
        <v>33</v>
      </c>
      <c r="B34" s="188" t="str">
        <f>Setup!C40</f>
        <v>Country</v>
      </c>
      <c r="C34" s="186" t="s">
        <v>47</v>
      </c>
      <c r="D34" s="189" t="s">
        <v>262</v>
      </c>
      <c r="E34" s="189" t="s">
        <v>263</v>
      </c>
      <c r="F34" s="189" t="s">
        <v>264</v>
      </c>
      <c r="G34" s="189" t="s">
        <v>265</v>
      </c>
      <c r="H34" s="186" t="str">
        <f>IF(Setup!D40&lt;&gt;"",Setup!D40,Setup!C40)</f>
        <v>Country</v>
      </c>
    </row>
    <row r="35" spans="1:8" x14ac:dyDescent="0.3">
      <c r="A35" s="186">
        <v>34</v>
      </c>
      <c r="B35" s="188" t="str">
        <f>Setup!C41</f>
        <v>Score</v>
      </c>
      <c r="C35" s="186" t="s">
        <v>48</v>
      </c>
      <c r="D35" s="189" t="s">
        <v>266</v>
      </c>
      <c r="E35" s="189" t="s">
        <v>267</v>
      </c>
      <c r="F35" s="189" t="s">
        <v>268</v>
      </c>
      <c r="G35" s="189" t="s">
        <v>269</v>
      </c>
      <c r="H35" s="186" t="str">
        <f>IF(Setup!D41&lt;&gt;"",Setup!D41,Setup!C41)</f>
        <v>Score</v>
      </c>
    </row>
    <row r="36" spans="1:8" x14ac:dyDescent="0.3">
      <c r="A36" s="186">
        <v>35</v>
      </c>
      <c r="B36" s="188" t="str">
        <f>Setup!C42</f>
        <v>Time</v>
      </c>
      <c r="C36" s="186" t="s">
        <v>49</v>
      </c>
      <c r="D36" s="189" t="s">
        <v>270</v>
      </c>
      <c r="E36" s="189" t="s">
        <v>271</v>
      </c>
      <c r="F36" s="189" t="s">
        <v>272</v>
      </c>
      <c r="G36" s="189" t="s">
        <v>273</v>
      </c>
      <c r="H36" s="186" t="str">
        <f>IF(Setup!D42&lt;&gt;"",Setup!D42,Setup!C42)</f>
        <v>Time</v>
      </c>
    </row>
    <row r="37" spans="1:8" x14ac:dyDescent="0.3">
      <c r="A37" s="186">
        <v>36</v>
      </c>
      <c r="B37" s="188" t="str">
        <f>Setup!C43</f>
        <v>Round of 16</v>
      </c>
      <c r="C37" s="186" t="s">
        <v>50</v>
      </c>
      <c r="D37" s="189" t="s">
        <v>274</v>
      </c>
      <c r="E37" s="189" t="s">
        <v>275</v>
      </c>
      <c r="F37" s="189" t="s">
        <v>276</v>
      </c>
      <c r="G37" s="189" t="s">
        <v>277</v>
      </c>
      <c r="H37" s="186" t="str">
        <f>IF(Setup!D43&lt;&gt;"",Setup!D43,Setup!C43)</f>
        <v>Round of 16</v>
      </c>
    </row>
    <row r="38" spans="1:8" x14ac:dyDescent="0.3">
      <c r="A38" s="186">
        <v>37</v>
      </c>
      <c r="B38" s="188" t="str">
        <f>Setup!C44</f>
        <v>Quarter Finals</v>
      </c>
      <c r="C38" s="186" t="s">
        <v>51</v>
      </c>
      <c r="D38" s="189" t="s">
        <v>278</v>
      </c>
      <c r="E38" s="189" t="s">
        <v>279</v>
      </c>
      <c r="F38" s="189" t="s">
        <v>280</v>
      </c>
      <c r="G38" s="189" t="s">
        <v>281</v>
      </c>
      <c r="H38" s="186" t="str">
        <f>IF(Setup!D44&lt;&gt;"",Setup!D44,Setup!C44)</f>
        <v>Quarter Finals</v>
      </c>
    </row>
    <row r="39" spans="1:8" x14ac:dyDescent="0.3">
      <c r="A39" s="186">
        <v>38</v>
      </c>
      <c r="B39" s="188" t="str">
        <f>Setup!C45</f>
        <v>Semi Finals</v>
      </c>
      <c r="C39" s="186" t="s">
        <v>52</v>
      </c>
      <c r="D39" s="189" t="s">
        <v>282</v>
      </c>
      <c r="E39" s="189" t="s">
        <v>283</v>
      </c>
      <c r="F39" s="189" t="s">
        <v>284</v>
      </c>
      <c r="G39" s="189" t="s">
        <v>285</v>
      </c>
      <c r="H39" s="186" t="str">
        <f>IF(Setup!D45&lt;&gt;"",Setup!D45,Setup!C45)</f>
        <v>Semi Finals</v>
      </c>
    </row>
    <row r="40" spans="1:8" x14ac:dyDescent="0.3">
      <c r="A40" s="186">
        <v>39</v>
      </c>
      <c r="B40" s="188" t="str">
        <f>Setup!C46</f>
        <v>Final</v>
      </c>
      <c r="C40" s="186" t="s">
        <v>53</v>
      </c>
      <c r="D40" s="189" t="s">
        <v>53</v>
      </c>
      <c r="E40" s="189" t="s">
        <v>286</v>
      </c>
      <c r="F40" s="189" t="s">
        <v>287</v>
      </c>
      <c r="G40" s="189" t="s">
        <v>53</v>
      </c>
      <c r="H40" s="186" t="str">
        <f>IF(Setup!D46&lt;&gt;"",Setup!D46,Setup!C46)</f>
        <v>Final</v>
      </c>
    </row>
    <row r="41" spans="1:8" x14ac:dyDescent="0.3">
      <c r="A41" s="186">
        <v>40</v>
      </c>
      <c r="B41" s="188" t="str">
        <f>Setup!C47</f>
        <v>Winner</v>
      </c>
      <c r="C41" s="186" t="s">
        <v>54</v>
      </c>
      <c r="D41" s="189" t="s">
        <v>288</v>
      </c>
      <c r="E41" s="189" t="s">
        <v>289</v>
      </c>
      <c r="F41" s="189" t="s">
        <v>290</v>
      </c>
      <c r="G41" s="189" t="s">
        <v>291</v>
      </c>
      <c r="H41" s="186" t="str">
        <f>IF(Setup!D47&lt;&gt;"",Setup!D47,Setup!C47)</f>
        <v>Winner</v>
      </c>
    </row>
    <row r="42" spans="1:8" x14ac:dyDescent="0.3">
      <c r="A42" s="186">
        <v>41</v>
      </c>
      <c r="B42" s="188" t="str">
        <f>Setup!C48</f>
        <v>Runner Up</v>
      </c>
      <c r="C42" s="186" t="s">
        <v>55</v>
      </c>
      <c r="D42" s="189" t="s">
        <v>292</v>
      </c>
      <c r="E42" s="189" t="s">
        <v>293</v>
      </c>
      <c r="F42" s="189" t="s">
        <v>294</v>
      </c>
      <c r="G42" s="189" t="s">
        <v>295</v>
      </c>
      <c r="H42" s="186" t="str">
        <f>IF(Setup!D48&lt;&gt;"",Setup!D48,Setup!C48)</f>
        <v>Runner Up</v>
      </c>
    </row>
    <row r="43" spans="1:8" x14ac:dyDescent="0.3">
      <c r="A43" s="186">
        <v>42</v>
      </c>
      <c r="B43" s="188" t="str">
        <f>Setup!C49</f>
        <v>Normal Time</v>
      </c>
      <c r="C43" s="186" t="s">
        <v>56</v>
      </c>
      <c r="D43" s="189" t="s">
        <v>296</v>
      </c>
      <c r="E43" s="189" t="s">
        <v>297</v>
      </c>
      <c r="F43" s="189" t="s">
        <v>298</v>
      </c>
      <c r="G43" s="189" t="s">
        <v>299</v>
      </c>
      <c r="H43" s="186" t="str">
        <f>IF(Setup!D49&lt;&gt;"",Setup!D49,Setup!C49)</f>
        <v>Normal Time</v>
      </c>
    </row>
    <row r="44" spans="1:8" x14ac:dyDescent="0.3">
      <c r="A44" s="186">
        <v>43</v>
      </c>
      <c r="B44" s="188" t="str">
        <f>Setup!C50</f>
        <v>Extra Time</v>
      </c>
      <c r="C44" s="186" t="s">
        <v>57</v>
      </c>
      <c r="D44" s="189" t="s">
        <v>300</v>
      </c>
      <c r="E44" s="189" t="s">
        <v>301</v>
      </c>
      <c r="F44" s="189" t="s">
        <v>302</v>
      </c>
      <c r="G44" s="189" t="s">
        <v>303</v>
      </c>
      <c r="H44" s="186" t="str">
        <f>IF(Setup!D50&lt;&gt;"",Setup!D50,Setup!C50)</f>
        <v>Extra Time</v>
      </c>
    </row>
    <row r="45" spans="1:8" x14ac:dyDescent="0.3">
      <c r="A45" s="186">
        <v>44</v>
      </c>
      <c r="B45" s="188" t="str">
        <f>Setup!C51</f>
        <v>Penalty Shoot Out</v>
      </c>
      <c r="C45" s="186" t="s">
        <v>58</v>
      </c>
      <c r="D45" s="189" t="s">
        <v>304</v>
      </c>
      <c r="E45" s="189" t="s">
        <v>305</v>
      </c>
      <c r="F45" s="189" t="s">
        <v>306</v>
      </c>
      <c r="G45" s="189" t="s">
        <v>58</v>
      </c>
      <c r="H45" s="186" t="str">
        <f>IF(Setup!D51&lt;&gt;"",Setup!D51,Setup!C51)</f>
        <v>Penalty Shoot Out</v>
      </c>
    </row>
    <row r="46" spans="1:8" x14ac:dyDescent="0.3">
      <c r="A46" s="186">
        <v>45</v>
      </c>
      <c r="B46" s="188" t="str">
        <f>Setup!C52</f>
        <v>Champion</v>
      </c>
      <c r="C46" s="186" t="s">
        <v>59</v>
      </c>
      <c r="D46" s="189" t="s">
        <v>59</v>
      </c>
      <c r="E46" s="189" t="s">
        <v>59</v>
      </c>
      <c r="F46" s="189" t="s">
        <v>307</v>
      </c>
      <c r="G46" s="189" t="s">
        <v>308</v>
      </c>
      <c r="H46" s="186" t="str">
        <f>IF(Setup!D52&lt;&gt;"",Setup!D52,Setup!C52)</f>
        <v>Champion</v>
      </c>
    </row>
    <row r="47" spans="1:8" x14ac:dyDescent="0.3">
      <c r="A47" s="186">
        <v>46</v>
      </c>
      <c r="B47" s="188" t="str">
        <f>Setup!C53</f>
        <v>M#</v>
      </c>
      <c r="C47" s="186" t="s">
        <v>309</v>
      </c>
      <c r="D47" s="189" t="s">
        <v>310</v>
      </c>
      <c r="E47" s="189" t="s">
        <v>311</v>
      </c>
      <c r="F47" s="189" t="s">
        <v>312</v>
      </c>
      <c r="G47" s="189" t="s">
        <v>313</v>
      </c>
      <c r="H47" s="186" t="str">
        <f>IF(Setup!D53&lt;&gt;"",Setup!D53,Setup!C53)</f>
        <v>M#</v>
      </c>
    </row>
    <row r="48" spans="1:8" x14ac:dyDescent="0.3">
      <c r="A48" s="186">
        <v>47</v>
      </c>
      <c r="B48" s="188" t="str">
        <f>Setup!C54</f>
        <v>Group A Winner</v>
      </c>
      <c r="C48" s="186" t="s">
        <v>61</v>
      </c>
      <c r="D48" s="189" t="s">
        <v>314</v>
      </c>
      <c r="E48" s="189" t="s">
        <v>315</v>
      </c>
      <c r="F48" s="189" t="s">
        <v>316</v>
      </c>
      <c r="G48" s="189" t="s">
        <v>317</v>
      </c>
      <c r="H48" s="186" t="str">
        <f>IF(Setup!D54&lt;&gt;"",Setup!D54,Setup!C54)</f>
        <v>Group A Winner</v>
      </c>
    </row>
    <row r="49" spans="1:8" x14ac:dyDescent="0.3">
      <c r="A49" s="186">
        <v>48</v>
      </c>
      <c r="B49" s="188" t="str">
        <f>Setup!C55</f>
        <v>Group B Winner</v>
      </c>
      <c r="C49" s="186" t="s">
        <v>62</v>
      </c>
      <c r="D49" s="189" t="s">
        <v>318</v>
      </c>
      <c r="E49" s="189" t="s">
        <v>319</v>
      </c>
      <c r="F49" s="189" t="s">
        <v>320</v>
      </c>
      <c r="G49" s="189" t="s">
        <v>321</v>
      </c>
      <c r="H49" s="186" t="str">
        <f>IF(Setup!D55&lt;&gt;"",Setup!D55,Setup!C55)</f>
        <v>Group B Winner</v>
      </c>
    </row>
    <row r="50" spans="1:8" x14ac:dyDescent="0.3">
      <c r="A50" s="186">
        <v>49</v>
      </c>
      <c r="B50" s="188" t="str">
        <f>Setup!C56</f>
        <v>Group C Winner</v>
      </c>
      <c r="C50" s="186" t="s">
        <v>63</v>
      </c>
      <c r="D50" s="189" t="s">
        <v>322</v>
      </c>
      <c r="E50" s="189" t="s">
        <v>323</v>
      </c>
      <c r="F50" s="189" t="s">
        <v>324</v>
      </c>
      <c r="G50" s="189" t="s">
        <v>325</v>
      </c>
      <c r="H50" s="186" t="str">
        <f>IF(Setup!D56&lt;&gt;"",Setup!D56,Setup!C56)</f>
        <v>Group C Winner</v>
      </c>
    </row>
    <row r="51" spans="1:8" x14ac:dyDescent="0.3">
      <c r="A51" s="186">
        <v>50</v>
      </c>
      <c r="B51" s="188" t="str">
        <f>Setup!C57</f>
        <v>Group D Winner</v>
      </c>
      <c r="C51" s="186" t="s">
        <v>64</v>
      </c>
      <c r="D51" s="189" t="s">
        <v>326</v>
      </c>
      <c r="E51" s="189" t="s">
        <v>327</v>
      </c>
      <c r="F51" s="189" t="s">
        <v>328</v>
      </c>
      <c r="G51" s="189" t="s">
        <v>329</v>
      </c>
      <c r="H51" s="186" t="str">
        <f>IF(Setup!D57&lt;&gt;"",Setup!D57,Setup!C57)</f>
        <v>Group D Winner</v>
      </c>
    </row>
    <row r="52" spans="1:8" x14ac:dyDescent="0.3">
      <c r="A52" s="186">
        <v>51</v>
      </c>
      <c r="B52" s="188" t="str">
        <f>Setup!C58</f>
        <v>Group E Winner</v>
      </c>
      <c r="C52" s="186" t="s">
        <v>65</v>
      </c>
      <c r="D52" s="189" t="s">
        <v>330</v>
      </c>
      <c r="E52" s="189" t="s">
        <v>331</v>
      </c>
      <c r="F52" s="189" t="s">
        <v>332</v>
      </c>
      <c r="G52" s="189" t="s">
        <v>333</v>
      </c>
      <c r="H52" s="186" t="str">
        <f>IF(Setup!D58&lt;&gt;"",Setup!D58,Setup!C58)</f>
        <v>Group E Winner</v>
      </c>
    </row>
    <row r="53" spans="1:8" x14ac:dyDescent="0.3">
      <c r="A53" s="186">
        <v>52</v>
      </c>
      <c r="B53" s="188" t="str">
        <f>Setup!C59</f>
        <v>Group F Winner</v>
      </c>
      <c r="C53" s="186" t="s">
        <v>66</v>
      </c>
      <c r="D53" s="189" t="s">
        <v>334</v>
      </c>
      <c r="E53" s="189" t="s">
        <v>335</v>
      </c>
      <c r="F53" s="189" t="s">
        <v>336</v>
      </c>
      <c r="G53" s="189" t="s">
        <v>337</v>
      </c>
      <c r="H53" s="186" t="str">
        <f>IF(Setup!D59&lt;&gt;"",Setup!D59,Setup!C59)</f>
        <v>Group F Winner</v>
      </c>
    </row>
    <row r="54" spans="1:8" x14ac:dyDescent="0.3">
      <c r="A54" s="186">
        <v>53</v>
      </c>
      <c r="B54" s="188" t="str">
        <f>Setup!C60</f>
        <v>Group A Runner Up</v>
      </c>
      <c r="C54" s="186" t="s">
        <v>67</v>
      </c>
      <c r="D54" s="189" t="s">
        <v>338</v>
      </c>
      <c r="E54" s="189" t="s">
        <v>339</v>
      </c>
      <c r="F54" s="189" t="s">
        <v>340</v>
      </c>
      <c r="G54" s="189" t="s">
        <v>341</v>
      </c>
      <c r="H54" s="186" t="str">
        <f>IF(Setup!D60&lt;&gt;"",Setup!D60,Setup!C60)</f>
        <v>Group A Runner Up</v>
      </c>
    </row>
    <row r="55" spans="1:8" x14ac:dyDescent="0.3">
      <c r="A55" s="186">
        <v>54</v>
      </c>
      <c r="B55" s="188" t="str">
        <f>Setup!C61</f>
        <v>Group B Runner Up</v>
      </c>
      <c r="C55" s="186" t="s">
        <v>68</v>
      </c>
      <c r="D55" s="189" t="s">
        <v>342</v>
      </c>
      <c r="E55" s="189" t="s">
        <v>343</v>
      </c>
      <c r="F55" s="189" t="s">
        <v>344</v>
      </c>
      <c r="G55" s="189" t="s">
        <v>345</v>
      </c>
      <c r="H55" s="186" t="str">
        <f>IF(Setup!D61&lt;&gt;"",Setup!D61,Setup!C61)</f>
        <v>Group B Runner Up</v>
      </c>
    </row>
    <row r="56" spans="1:8" x14ac:dyDescent="0.3">
      <c r="A56" s="186">
        <v>55</v>
      </c>
      <c r="B56" s="188" t="str">
        <f>Setup!C62</f>
        <v>Group C Runner Up</v>
      </c>
      <c r="C56" s="186" t="s">
        <v>69</v>
      </c>
      <c r="D56" s="189" t="s">
        <v>346</v>
      </c>
      <c r="E56" s="189" t="s">
        <v>347</v>
      </c>
      <c r="F56" s="189" t="s">
        <v>348</v>
      </c>
      <c r="G56" s="189" t="s">
        <v>349</v>
      </c>
      <c r="H56" s="186" t="str">
        <f>IF(Setup!D62&lt;&gt;"",Setup!D62,Setup!C62)</f>
        <v>Group C Runner Up</v>
      </c>
    </row>
    <row r="57" spans="1:8" x14ac:dyDescent="0.3">
      <c r="A57" s="186">
        <v>56</v>
      </c>
      <c r="B57" s="188" t="str">
        <f>Setup!C63</f>
        <v>Group D Runner Up</v>
      </c>
      <c r="C57" s="186" t="s">
        <v>70</v>
      </c>
      <c r="D57" s="189" t="s">
        <v>350</v>
      </c>
      <c r="E57" s="189" t="s">
        <v>351</v>
      </c>
      <c r="F57" s="189" t="s">
        <v>352</v>
      </c>
      <c r="G57" s="189" t="s">
        <v>353</v>
      </c>
      <c r="H57" s="186" t="str">
        <f>IF(Setup!D63&lt;&gt;"",Setup!D63,Setup!C63)</f>
        <v>Group D Runner Up</v>
      </c>
    </row>
    <row r="58" spans="1:8" x14ac:dyDescent="0.3">
      <c r="A58" s="186">
        <v>57</v>
      </c>
      <c r="B58" s="188" t="str">
        <f>Setup!C64</f>
        <v>Group E Runner Up</v>
      </c>
      <c r="C58" s="186" t="s">
        <v>71</v>
      </c>
      <c r="D58" s="189" t="s">
        <v>354</v>
      </c>
      <c r="E58" s="189" t="s">
        <v>355</v>
      </c>
      <c r="F58" s="189" t="s">
        <v>356</v>
      </c>
      <c r="G58" s="189" t="s">
        <v>357</v>
      </c>
      <c r="H58" s="186" t="str">
        <f>IF(Setup!D64&lt;&gt;"",Setup!D64,Setup!C64)</f>
        <v>Group E Runner Up</v>
      </c>
    </row>
    <row r="59" spans="1:8" x14ac:dyDescent="0.3">
      <c r="A59" s="186">
        <v>58</v>
      </c>
      <c r="B59" s="188" t="str">
        <f>Setup!C65</f>
        <v>Group F Runner Up</v>
      </c>
      <c r="C59" s="186" t="s">
        <v>72</v>
      </c>
      <c r="D59" s="189" t="s">
        <v>358</v>
      </c>
      <c r="E59" s="189" t="s">
        <v>359</v>
      </c>
      <c r="F59" s="189" t="s">
        <v>360</v>
      </c>
      <c r="G59" s="189" t="s">
        <v>361</v>
      </c>
      <c r="H59" s="186" t="str">
        <f>IF(Setup!D65&lt;&gt;"",Setup!D65,Setup!C65)</f>
        <v>Group F Runner Up</v>
      </c>
    </row>
    <row r="60" spans="1:8" x14ac:dyDescent="0.3">
      <c r="A60" s="186">
        <v>59</v>
      </c>
      <c r="B60" s="188" t="str">
        <f>Setup!C66</f>
        <v>Match 37 Winner</v>
      </c>
      <c r="C60" s="186" t="s">
        <v>73</v>
      </c>
      <c r="D60" s="189" t="s">
        <v>362</v>
      </c>
      <c r="E60" s="189" t="s">
        <v>363</v>
      </c>
      <c r="F60" s="189" t="s">
        <v>364</v>
      </c>
      <c r="G60" s="189" t="s">
        <v>365</v>
      </c>
      <c r="H60" s="186" t="str">
        <f>IF(Setup!D66&lt;&gt;"",Setup!D66,Setup!C66)</f>
        <v>Match 37 Winner</v>
      </c>
    </row>
    <row r="61" spans="1:8" x14ac:dyDescent="0.3">
      <c r="A61" s="186">
        <v>60</v>
      </c>
      <c r="B61" s="188" t="str">
        <f>Setup!C67</f>
        <v>Match 38 Winner</v>
      </c>
      <c r="C61" s="186" t="s">
        <v>74</v>
      </c>
      <c r="D61" s="189" t="s">
        <v>366</v>
      </c>
      <c r="E61" s="189" t="s">
        <v>367</v>
      </c>
      <c r="F61" s="189" t="s">
        <v>368</v>
      </c>
      <c r="G61" s="189" t="s">
        <v>369</v>
      </c>
      <c r="H61" s="186" t="str">
        <f>IF(Setup!D67&lt;&gt;"",Setup!D67,Setup!C67)</f>
        <v>Match 38 Winner</v>
      </c>
    </row>
    <row r="62" spans="1:8" x14ac:dyDescent="0.3">
      <c r="A62" s="186">
        <v>61</v>
      </c>
      <c r="B62" s="188" t="str">
        <f>Setup!C68</f>
        <v>Match 39 Winner</v>
      </c>
      <c r="C62" s="186" t="s">
        <v>75</v>
      </c>
      <c r="D62" s="189" t="s">
        <v>370</v>
      </c>
      <c r="E62" s="189" t="s">
        <v>371</v>
      </c>
      <c r="F62" s="189" t="s">
        <v>372</v>
      </c>
      <c r="G62" s="189" t="s">
        <v>373</v>
      </c>
      <c r="H62" s="186" t="str">
        <f>IF(Setup!D68&lt;&gt;"",Setup!D68,Setup!C68)</f>
        <v>Match 39 Winner</v>
      </c>
    </row>
    <row r="63" spans="1:8" x14ac:dyDescent="0.3">
      <c r="A63" s="186">
        <v>62</v>
      </c>
      <c r="B63" s="188" t="str">
        <f>Setup!C69</f>
        <v>Match 40 Winner</v>
      </c>
      <c r="C63" s="186" t="s">
        <v>76</v>
      </c>
      <c r="D63" s="189" t="s">
        <v>374</v>
      </c>
      <c r="E63" s="189" t="s">
        <v>375</v>
      </c>
      <c r="F63" s="189" t="s">
        <v>376</v>
      </c>
      <c r="G63" s="189" t="s">
        <v>377</v>
      </c>
      <c r="H63" s="186" t="str">
        <f>IF(Setup!D69&lt;&gt;"",Setup!D69,Setup!C69)</f>
        <v>Match 40 Winner</v>
      </c>
    </row>
    <row r="64" spans="1:8" x14ac:dyDescent="0.3">
      <c r="A64" s="186">
        <v>63</v>
      </c>
      <c r="B64" s="188" t="str">
        <f>Setup!C70</f>
        <v>Match 41 Winner</v>
      </c>
      <c r="C64" s="186" t="s">
        <v>77</v>
      </c>
      <c r="D64" s="189" t="s">
        <v>378</v>
      </c>
      <c r="E64" s="189" t="s">
        <v>379</v>
      </c>
      <c r="F64" s="189" t="s">
        <v>380</v>
      </c>
      <c r="G64" s="189" t="s">
        <v>381</v>
      </c>
      <c r="H64" s="186" t="str">
        <f>IF(Setup!D70&lt;&gt;"",Setup!D70,Setup!C70)</f>
        <v>Match 41 Winner</v>
      </c>
    </row>
    <row r="65" spans="1:8" x14ac:dyDescent="0.3">
      <c r="A65" s="186">
        <v>64</v>
      </c>
      <c r="B65" s="188" t="str">
        <f>Setup!C71</f>
        <v>Match 42 Winner</v>
      </c>
      <c r="C65" s="186" t="s">
        <v>78</v>
      </c>
      <c r="D65" s="189" t="s">
        <v>382</v>
      </c>
      <c r="E65" s="189" t="s">
        <v>383</v>
      </c>
      <c r="F65" s="189" t="s">
        <v>384</v>
      </c>
      <c r="G65" s="189" t="s">
        <v>385</v>
      </c>
      <c r="H65" s="186" t="str">
        <f>IF(Setup!D71&lt;&gt;"",Setup!D71,Setup!C71)</f>
        <v>Match 42 Winner</v>
      </c>
    </row>
    <row r="66" spans="1:8" x14ac:dyDescent="0.3">
      <c r="A66" s="186">
        <v>65</v>
      </c>
      <c r="B66" s="188" t="str">
        <f>Setup!C72</f>
        <v>Match 43 Winner</v>
      </c>
      <c r="C66" s="186" t="s">
        <v>79</v>
      </c>
      <c r="D66" s="189" t="s">
        <v>386</v>
      </c>
      <c r="E66" s="189" t="s">
        <v>387</v>
      </c>
      <c r="F66" s="189" t="s">
        <v>388</v>
      </c>
      <c r="G66" s="189" t="s">
        <v>389</v>
      </c>
      <c r="H66" s="186" t="str">
        <f>IF(Setup!D72&lt;&gt;"",Setup!D72,Setup!C72)</f>
        <v>Match 43 Winner</v>
      </c>
    </row>
    <row r="67" spans="1:8" x14ac:dyDescent="0.3">
      <c r="A67" s="186">
        <v>66</v>
      </c>
      <c r="B67" s="188" t="str">
        <f>Setup!C73</f>
        <v>Match 44 Winner</v>
      </c>
      <c r="C67" s="186" t="s">
        <v>80</v>
      </c>
      <c r="D67" s="189" t="s">
        <v>390</v>
      </c>
      <c r="E67" s="189" t="s">
        <v>391</v>
      </c>
      <c r="F67" s="189" t="s">
        <v>392</v>
      </c>
      <c r="G67" s="189" t="s">
        <v>393</v>
      </c>
      <c r="H67" s="186" t="str">
        <f>IF(Setup!D73&lt;&gt;"",Setup!D73,Setup!C73)</f>
        <v>Match 44 Winner</v>
      </c>
    </row>
    <row r="68" spans="1:8" x14ac:dyDescent="0.3">
      <c r="A68" s="186">
        <v>67</v>
      </c>
      <c r="B68" s="188" t="str">
        <f>Setup!C74</f>
        <v>Match 45 Winner</v>
      </c>
      <c r="C68" s="186" t="s">
        <v>81</v>
      </c>
      <c r="D68" s="189" t="s">
        <v>394</v>
      </c>
      <c r="E68" s="189" t="s">
        <v>395</v>
      </c>
      <c r="F68" s="189" t="s">
        <v>396</v>
      </c>
      <c r="G68" s="189" t="s">
        <v>397</v>
      </c>
      <c r="H68" s="186" t="str">
        <f>IF(Setup!D74&lt;&gt;"",Setup!D74,Setup!C74)</f>
        <v>Match 45 Winner</v>
      </c>
    </row>
    <row r="69" spans="1:8" x14ac:dyDescent="0.3">
      <c r="A69" s="186">
        <v>68</v>
      </c>
      <c r="B69" s="188" t="str">
        <f>Setup!C75</f>
        <v>Match 46 Winner</v>
      </c>
      <c r="C69" s="186" t="s">
        <v>82</v>
      </c>
      <c r="D69" s="189" t="s">
        <v>398</v>
      </c>
      <c r="E69" s="189" t="s">
        <v>399</v>
      </c>
      <c r="F69" s="189" t="s">
        <v>400</v>
      </c>
      <c r="G69" s="189" t="s">
        <v>401</v>
      </c>
      <c r="H69" s="186" t="str">
        <f>IF(Setup!D75&lt;&gt;"",Setup!D75,Setup!C75)</f>
        <v>Match 46 Winner</v>
      </c>
    </row>
    <row r="70" spans="1:8" x14ac:dyDescent="0.3">
      <c r="A70" s="186">
        <v>69</v>
      </c>
      <c r="B70" s="188" t="str">
        <f>Setup!C76</f>
        <v>Match 47 Winner</v>
      </c>
      <c r="C70" s="186" t="s">
        <v>83</v>
      </c>
      <c r="D70" s="189" t="s">
        <v>402</v>
      </c>
      <c r="E70" s="189" t="s">
        <v>403</v>
      </c>
      <c r="F70" s="189" t="s">
        <v>404</v>
      </c>
      <c r="G70" s="189" t="s">
        <v>405</v>
      </c>
      <c r="H70" s="186" t="str">
        <f>IF(Setup!D76&lt;&gt;"",Setup!D76,Setup!C76)</f>
        <v>Match 47 Winner</v>
      </c>
    </row>
    <row r="71" spans="1:8" x14ac:dyDescent="0.3">
      <c r="A71" s="186">
        <v>70</v>
      </c>
      <c r="B71" s="188" t="str">
        <f>Setup!C77</f>
        <v>Match 48 Winner</v>
      </c>
      <c r="C71" s="186" t="s">
        <v>84</v>
      </c>
      <c r="D71" s="189" t="s">
        <v>406</v>
      </c>
      <c r="E71" s="189" t="s">
        <v>407</v>
      </c>
      <c r="F71" s="189" t="s">
        <v>408</v>
      </c>
      <c r="G71" s="189" t="s">
        <v>409</v>
      </c>
      <c r="H71" s="186" t="str">
        <f>IF(Setup!D77&lt;&gt;"",Setup!D77,Setup!C77)</f>
        <v>Match 48 Winner</v>
      </c>
    </row>
    <row r="72" spans="1:8" x14ac:dyDescent="0.3">
      <c r="A72" s="186">
        <v>71</v>
      </c>
      <c r="B72" s="188" t="str">
        <f>Setup!C78</f>
        <v>Match 49 Winner</v>
      </c>
      <c r="C72" s="186" t="s">
        <v>85</v>
      </c>
      <c r="D72" s="189" t="s">
        <v>410</v>
      </c>
      <c r="E72" s="189" t="s">
        <v>411</v>
      </c>
      <c r="F72" s="189" t="s">
        <v>412</v>
      </c>
      <c r="G72" s="189" t="s">
        <v>413</v>
      </c>
      <c r="H72" s="186" t="str">
        <f>IF(Setup!D78&lt;&gt;"",Setup!D78,Setup!C78)</f>
        <v>Match 49 Winner</v>
      </c>
    </row>
    <row r="73" spans="1:8" x14ac:dyDescent="0.3">
      <c r="A73" s="186">
        <v>72</v>
      </c>
      <c r="B73" s="188" t="str">
        <f>Setup!C79</f>
        <v>Match 50 Winner</v>
      </c>
      <c r="C73" s="186" t="s">
        <v>86</v>
      </c>
      <c r="D73" s="189" t="s">
        <v>414</v>
      </c>
      <c r="E73" s="189" t="s">
        <v>415</v>
      </c>
      <c r="F73" s="189" t="s">
        <v>416</v>
      </c>
      <c r="G73" s="189" t="s">
        <v>417</v>
      </c>
      <c r="H73" s="186" t="str">
        <f>IF(Setup!D79&lt;&gt;"",Setup!D79,Setup!C79)</f>
        <v>Match 50 Winner</v>
      </c>
    </row>
    <row r="74" spans="1:8" x14ac:dyDescent="0.3">
      <c r="A74" s="186">
        <v>73</v>
      </c>
      <c r="B74" s="188" t="str">
        <f>Setup!C80</f>
        <v>Match 51 Winner</v>
      </c>
      <c r="C74" s="186" t="s">
        <v>87</v>
      </c>
      <c r="D74" s="189" t="s">
        <v>418</v>
      </c>
      <c r="E74" s="189" t="s">
        <v>419</v>
      </c>
      <c r="F74" s="189" t="s">
        <v>420</v>
      </c>
      <c r="G74" s="189" t="s">
        <v>421</v>
      </c>
      <c r="H74" s="186" t="str">
        <f>IF(Setup!D80&lt;&gt;"",Setup!D80,Setup!C80)</f>
        <v>Match 51 Winner</v>
      </c>
    </row>
    <row r="75" spans="1:8" x14ac:dyDescent="0.3">
      <c r="A75" s="186">
        <v>74</v>
      </c>
      <c r="B75" s="188" t="str">
        <f>Setup!C81</f>
        <v>UEFA EURO 2020 Fixtures</v>
      </c>
      <c r="C75" s="186" t="s">
        <v>422</v>
      </c>
      <c r="D75" s="189" t="s">
        <v>423</v>
      </c>
      <c r="E75" s="189" t="s">
        <v>424</v>
      </c>
      <c r="F75" s="189" t="s">
        <v>425</v>
      </c>
      <c r="G75" s="189" t="s">
        <v>426</v>
      </c>
      <c r="H75" s="186" t="str">
        <f>IF(Setup!D81&lt;&gt;"",Setup!D81,Setup!C81)</f>
        <v>UEFA EURO 2020 Fixtures</v>
      </c>
    </row>
    <row r="76" spans="1:8" x14ac:dyDescent="0.3">
      <c r="A76" s="186">
        <v>75</v>
      </c>
      <c r="B76" s="188" t="str">
        <f>Setup!C82</f>
        <v>Group A</v>
      </c>
      <c r="C76" s="186" t="s">
        <v>89</v>
      </c>
      <c r="D76" s="189" t="s">
        <v>427</v>
      </c>
      <c r="E76" s="189" t="s">
        <v>428</v>
      </c>
      <c r="F76" s="189" t="s">
        <v>429</v>
      </c>
      <c r="G76" s="189" t="s">
        <v>430</v>
      </c>
      <c r="H76" s="186" t="str">
        <f>IF(Setup!D82&lt;&gt;"",Setup!D82,Setup!C82)</f>
        <v>Group A</v>
      </c>
    </row>
    <row r="77" spans="1:8" x14ac:dyDescent="0.3">
      <c r="A77" s="186">
        <v>76</v>
      </c>
      <c r="B77" s="188" t="str">
        <f>Setup!C83</f>
        <v>Group B</v>
      </c>
      <c r="C77" s="186" t="s">
        <v>90</v>
      </c>
      <c r="D77" s="189" t="s">
        <v>431</v>
      </c>
      <c r="E77" s="189" t="s">
        <v>432</v>
      </c>
      <c r="F77" s="189" t="s">
        <v>433</v>
      </c>
      <c r="G77" s="189" t="s">
        <v>434</v>
      </c>
      <c r="H77" s="186" t="str">
        <f>IF(Setup!D83&lt;&gt;"",Setup!D83,Setup!C83)</f>
        <v>Group B</v>
      </c>
    </row>
    <row r="78" spans="1:8" x14ac:dyDescent="0.3">
      <c r="A78" s="186">
        <v>77</v>
      </c>
      <c r="B78" s="188" t="str">
        <f>Setup!C84</f>
        <v>Group C</v>
      </c>
      <c r="C78" s="186" t="s">
        <v>91</v>
      </c>
      <c r="D78" s="189" t="s">
        <v>435</v>
      </c>
      <c r="E78" s="189" t="s">
        <v>436</v>
      </c>
      <c r="F78" s="189" t="s">
        <v>437</v>
      </c>
      <c r="G78" s="189" t="s">
        <v>438</v>
      </c>
      <c r="H78" s="186" t="str">
        <f>IF(Setup!D84&lt;&gt;"",Setup!D84,Setup!C84)</f>
        <v>Group C</v>
      </c>
    </row>
    <row r="79" spans="1:8" x14ac:dyDescent="0.3">
      <c r="A79" s="186">
        <v>78</v>
      </c>
      <c r="B79" s="188" t="str">
        <f>Setup!C85</f>
        <v>Group D</v>
      </c>
      <c r="C79" s="186" t="s">
        <v>92</v>
      </c>
      <c r="D79" s="189" t="s">
        <v>439</v>
      </c>
      <c r="E79" s="189" t="s">
        <v>440</v>
      </c>
      <c r="F79" s="189" t="s">
        <v>441</v>
      </c>
      <c r="G79" s="189" t="s">
        <v>442</v>
      </c>
      <c r="H79" s="186" t="str">
        <f>IF(Setup!D85&lt;&gt;"",Setup!D85,Setup!C85)</f>
        <v>Group D</v>
      </c>
    </row>
    <row r="80" spans="1:8" x14ac:dyDescent="0.3">
      <c r="A80" s="186">
        <v>79</v>
      </c>
      <c r="B80" s="188" t="str">
        <f>Setup!C86</f>
        <v>Group E</v>
      </c>
      <c r="C80" s="186" t="s">
        <v>93</v>
      </c>
      <c r="D80" s="189" t="s">
        <v>443</v>
      </c>
      <c r="E80" s="189" t="s">
        <v>444</v>
      </c>
      <c r="F80" s="189" t="s">
        <v>445</v>
      </c>
      <c r="G80" s="189" t="s">
        <v>446</v>
      </c>
      <c r="H80" s="186" t="str">
        <f>IF(Setup!D86&lt;&gt;"",Setup!D86,Setup!C86)</f>
        <v>Group E</v>
      </c>
    </row>
    <row r="81" spans="1:8" x14ac:dyDescent="0.3">
      <c r="A81" s="186">
        <v>80</v>
      </c>
      <c r="B81" s="188" t="str">
        <f>Setup!C87</f>
        <v>Group F</v>
      </c>
      <c r="C81" s="186" t="s">
        <v>94</v>
      </c>
      <c r="D81" s="189" t="s">
        <v>447</v>
      </c>
      <c r="E81" s="189" t="s">
        <v>448</v>
      </c>
      <c r="F81" s="189" t="s">
        <v>449</v>
      </c>
      <c r="G81" s="189" t="s">
        <v>450</v>
      </c>
      <c r="H81" s="186" t="str">
        <f>IF(Setup!D87&lt;&gt;"",Setup!D87,Setup!C87)</f>
        <v>Group F</v>
      </c>
    </row>
    <row r="82" spans="1:8" x14ac:dyDescent="0.3">
      <c r="A82" s="186">
        <v>81</v>
      </c>
      <c r="B82" s="188" t="str">
        <f>Setup!C88</f>
        <v>Win</v>
      </c>
      <c r="C82" s="186" t="s">
        <v>95</v>
      </c>
      <c r="D82" s="189" t="s">
        <v>451</v>
      </c>
      <c r="E82" s="189" t="s">
        <v>452</v>
      </c>
      <c r="F82" s="189" t="s">
        <v>453</v>
      </c>
      <c r="G82" s="189" t="s">
        <v>454</v>
      </c>
      <c r="H82" s="186" t="str">
        <f>IF(Setup!D88&lt;&gt;"",Setup!D88,Setup!C88)</f>
        <v>Win</v>
      </c>
    </row>
    <row r="83" spans="1:8" x14ac:dyDescent="0.3">
      <c r="A83" s="186">
        <v>82</v>
      </c>
      <c r="B83" s="188" t="str">
        <f>Setup!C89</f>
        <v>Draw</v>
      </c>
      <c r="C83" s="186" t="s">
        <v>96</v>
      </c>
      <c r="D83" s="189" t="s">
        <v>455</v>
      </c>
      <c r="E83" s="189" t="s">
        <v>456</v>
      </c>
      <c r="F83" s="189" t="s">
        <v>457</v>
      </c>
      <c r="G83" s="189" t="s">
        <v>458</v>
      </c>
      <c r="H83" s="186" t="str">
        <f>IF(Setup!D89&lt;&gt;"",Setup!D89,Setup!C89)</f>
        <v>Draw</v>
      </c>
    </row>
    <row r="84" spans="1:8" x14ac:dyDescent="0.3">
      <c r="A84" s="186">
        <v>83</v>
      </c>
      <c r="B84" s="188" t="str">
        <f>Setup!C90</f>
        <v>Lose</v>
      </c>
      <c r="C84" s="186" t="s">
        <v>97</v>
      </c>
      <c r="D84" s="189" t="s">
        <v>459</v>
      </c>
      <c r="E84" s="189" t="s">
        <v>460</v>
      </c>
      <c r="F84" s="189" t="s">
        <v>461</v>
      </c>
      <c r="G84" s="189" t="s">
        <v>462</v>
      </c>
      <c r="H84" s="186" t="str">
        <f>IF(Setup!D90&lt;&gt;"",Setup!D90,Setup!C90)</f>
        <v>Lose</v>
      </c>
    </row>
    <row r="85" spans="1:8" x14ac:dyDescent="0.3">
      <c r="A85" s="186">
        <v>84</v>
      </c>
      <c r="B85" s="188" t="str">
        <f>Setup!C91</f>
        <v>For</v>
      </c>
      <c r="C85" s="186" t="s">
        <v>98</v>
      </c>
      <c r="D85" s="189" t="s">
        <v>463</v>
      </c>
      <c r="E85" s="189" t="s">
        <v>464</v>
      </c>
      <c r="F85" s="189" t="s">
        <v>465</v>
      </c>
      <c r="G85" s="189" t="s">
        <v>466</v>
      </c>
      <c r="H85" s="186" t="str">
        <f>IF(Setup!D91&lt;&gt;"",Setup!D91,Setup!C91)</f>
        <v>For</v>
      </c>
    </row>
    <row r="86" spans="1:8" x14ac:dyDescent="0.3">
      <c r="A86" s="186">
        <v>85</v>
      </c>
      <c r="B86" s="188" t="str">
        <f>Setup!C92</f>
        <v>Against</v>
      </c>
      <c r="C86" s="186" t="s">
        <v>99</v>
      </c>
      <c r="D86" s="189" t="s">
        <v>467</v>
      </c>
      <c r="E86" s="189" t="s">
        <v>468</v>
      </c>
      <c r="F86" s="189" t="s">
        <v>469</v>
      </c>
      <c r="G86" s="189" t="s">
        <v>470</v>
      </c>
      <c r="H86" s="186" t="str">
        <f>IF(Setup!D92&lt;&gt;"",Setup!D92,Setup!C92)</f>
        <v>Against</v>
      </c>
    </row>
    <row r="87" spans="1:8" x14ac:dyDescent="0.3">
      <c r="A87" s="186">
        <v>86</v>
      </c>
      <c r="B87" s="188" t="str">
        <f>Setup!C93</f>
        <v>Points</v>
      </c>
      <c r="C87" s="186" t="s">
        <v>100</v>
      </c>
      <c r="D87" s="189" t="s">
        <v>471</v>
      </c>
      <c r="E87" s="189" t="s">
        <v>472</v>
      </c>
      <c r="F87" s="189" t="s">
        <v>473</v>
      </c>
      <c r="G87" s="189" t="s">
        <v>474</v>
      </c>
      <c r="H87" s="186" t="str">
        <f>IF(Setup!D93&lt;&gt;"",Setup!D93,Setup!C93)</f>
        <v>Points</v>
      </c>
    </row>
    <row r="88" spans="1:8" x14ac:dyDescent="0.3">
      <c r="A88" s="186">
        <v>87</v>
      </c>
      <c r="B88" s="188" t="str">
        <f>Setup!C94</f>
        <v>Knock Out Rounds</v>
      </c>
      <c r="C88" s="186" t="s">
        <v>101</v>
      </c>
      <c r="D88" s="189" t="s">
        <v>475</v>
      </c>
      <c r="E88" s="189" t="s">
        <v>476</v>
      </c>
      <c r="F88" s="189" t="s">
        <v>101</v>
      </c>
      <c r="G88" s="189" t="s">
        <v>477</v>
      </c>
      <c r="H88" s="186" t="str">
        <f>IF(Setup!D94&lt;&gt;"",Setup!D94,Setup!C94)</f>
        <v>Knock Out Rounds</v>
      </c>
    </row>
    <row r="89" spans="1:8" x14ac:dyDescent="0.3">
      <c r="A89" s="186">
        <v>88</v>
      </c>
      <c r="B89" s="188" t="str">
        <f>Setup!C95</f>
        <v>Group D/E/F 3rd Place</v>
      </c>
      <c r="C89" s="186" t="s">
        <v>102</v>
      </c>
      <c r="D89" s="189" t="s">
        <v>478</v>
      </c>
      <c r="E89" s="189" t="s">
        <v>479</v>
      </c>
      <c r="F89" s="189" t="s">
        <v>480</v>
      </c>
      <c r="G89" s="189" t="s">
        <v>481</v>
      </c>
      <c r="H89" s="186" t="str">
        <f>IF(Setup!D95&lt;&gt;"",Setup!D95,Setup!C95)</f>
        <v>Group D/E/F 3rd Place</v>
      </c>
    </row>
    <row r="90" spans="1:8" x14ac:dyDescent="0.3">
      <c r="A90" s="186">
        <v>89</v>
      </c>
      <c r="B90" s="188" t="str">
        <f>Setup!C96</f>
        <v>Group A/D/E/F 3rd Place</v>
      </c>
      <c r="C90" s="186" t="s">
        <v>103</v>
      </c>
      <c r="D90" s="189" t="s">
        <v>482</v>
      </c>
      <c r="E90" s="189" t="s">
        <v>483</v>
      </c>
      <c r="F90" s="189" t="s">
        <v>484</v>
      </c>
      <c r="G90" s="189" t="s">
        <v>485</v>
      </c>
      <c r="H90" s="186" t="str">
        <f>IF(Setup!D96&lt;&gt;"",Setup!D96,Setup!C96)</f>
        <v>Group A/D/E/F 3rd Place</v>
      </c>
    </row>
    <row r="91" spans="1:8" x14ac:dyDescent="0.3">
      <c r="A91" s="186">
        <v>90</v>
      </c>
      <c r="B91" s="188" t="str">
        <f>Setup!C97</f>
        <v>Group A/B/C 3rd Place</v>
      </c>
      <c r="C91" s="186" t="s">
        <v>104</v>
      </c>
      <c r="D91" s="189" t="s">
        <v>486</v>
      </c>
      <c r="E91" s="189" t="s">
        <v>487</v>
      </c>
      <c r="F91" s="189" t="s">
        <v>488</v>
      </c>
      <c r="G91" s="189" t="s">
        <v>489</v>
      </c>
      <c r="H91" s="186" t="str">
        <f>IF(Setup!D97&lt;&gt;"",Setup!D97,Setup!C97)</f>
        <v>Group A/B/C 3rd Place</v>
      </c>
    </row>
    <row r="92" spans="1:8" x14ac:dyDescent="0.3">
      <c r="A92" s="186">
        <v>91</v>
      </c>
      <c r="B92" s="188" t="str">
        <f>Setup!C98</f>
        <v>Group A/B/C/D 3rd Place</v>
      </c>
      <c r="C92" s="186" t="s">
        <v>105</v>
      </c>
      <c r="D92" s="189" t="s">
        <v>490</v>
      </c>
      <c r="E92" s="189" t="s">
        <v>491</v>
      </c>
      <c r="F92" s="189" t="s">
        <v>492</v>
      </c>
      <c r="G92" s="189" t="s">
        <v>493</v>
      </c>
      <c r="H92" s="186" t="str">
        <f>IF(Setup!D98&lt;&gt;"",Setup!D98,Setup!C98)</f>
        <v>Group A/B/C/D 3rd Place</v>
      </c>
    </row>
    <row r="93" spans="1:8" x14ac:dyDescent="0.3">
      <c r="A93" s="186">
        <v>92</v>
      </c>
      <c r="B93" s="188" t="str">
        <f>Setup!C99</f>
        <v>Group A-F 3rd Place Standings</v>
      </c>
      <c r="C93" s="186" t="s">
        <v>106</v>
      </c>
      <c r="D93" s="189" t="s">
        <v>494</v>
      </c>
      <c r="E93" s="189" t="s">
        <v>495</v>
      </c>
      <c r="F93" s="189" t="s">
        <v>496</v>
      </c>
      <c r="G93" s="189" t="s">
        <v>497</v>
      </c>
      <c r="H93" s="186" t="str">
        <f>IF(Setup!D99&lt;&gt;"",Setup!D99,Setup!C99)</f>
        <v>Group A-F 3rd Place Standings</v>
      </c>
    </row>
  </sheetData>
  <sheetProtection password="CF6B" sheet="1" objects="1" scenarios="1" selectLockedCells="1" selectUnlockedCells="1"/>
  <pageMargins left="0.75" right="0.75" top="1" bottom="1" header="0.5" footer="0.5"/>
  <pageSetup orientation="portrait" horizontalDpi="300" verticalDpi="300" r:id="rId1"/>
  <headerFooter alignWithMargins="0">
    <oddFooter>&amp;R(c) 2020 | journalSHEET.com</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R143"/>
  <sheetViews>
    <sheetView showGridLines="0" workbookViewId="0">
      <selection activeCell="R23" sqref="R23"/>
    </sheetView>
  </sheetViews>
  <sheetFormatPr defaultColWidth="9.08984375" defaultRowHeight="14.5" x14ac:dyDescent="0.35"/>
  <cols>
    <col min="1" max="1" width="1.90625" style="191" bestFit="1" customWidth="1"/>
    <col min="2" max="2" width="15.453125" style="191" bestFit="1" customWidth="1"/>
    <col min="3" max="3" width="5.26953125" style="191" customWidth="1"/>
    <col min="4" max="4" width="2.1796875" style="191" bestFit="1" customWidth="1"/>
    <col min="5" max="5" width="1.90625" style="191" bestFit="1" customWidth="1"/>
    <col min="6" max="6" width="3.08984375" style="191" bestFit="1" customWidth="1"/>
    <col min="7" max="7" width="3.36328125" style="191" bestFit="1" customWidth="1"/>
    <col min="8" max="8" width="10.90625" style="191" bestFit="1" customWidth="1"/>
    <col min="9" max="9" width="6.08984375" style="191" bestFit="1" customWidth="1"/>
    <col min="10" max="10" width="9.81640625" style="191" bestFit="1" customWidth="1"/>
    <col min="11" max="11" width="12.1796875" style="191" bestFit="1" customWidth="1"/>
    <col min="12" max="12" width="2.81640625" style="191" customWidth="1"/>
    <col min="13" max="13" width="6.36328125" style="191" bestFit="1" customWidth="1"/>
    <col min="14" max="14" width="15.453125" style="191" bestFit="1" customWidth="1"/>
    <col min="15" max="15" width="5.54296875" style="191" bestFit="1" customWidth="1"/>
    <col min="16" max="16" width="15.453125" style="191" bestFit="1" customWidth="1"/>
    <col min="17" max="19" width="6" style="191" bestFit="1" customWidth="1"/>
    <col min="20" max="20" width="1.90625" style="191" bestFit="1" customWidth="1"/>
    <col min="21" max="21" width="15.453125" style="191" bestFit="1" customWidth="1"/>
    <col min="22" max="22" width="2.7265625" style="191" bestFit="1" customWidth="1"/>
    <col min="23" max="23" width="2.1796875" style="191" bestFit="1" customWidth="1"/>
    <col min="24" max="24" width="51" style="191" bestFit="1" customWidth="1"/>
    <col min="25" max="25" width="3.08984375" style="191" bestFit="1" customWidth="1"/>
    <col min="26" max="26" width="3.36328125" style="191" bestFit="1" customWidth="1"/>
    <col min="27" max="27" width="4.90625" style="191" bestFit="1" customWidth="1"/>
    <col min="28" max="28" width="1.90625" style="191" bestFit="1" customWidth="1"/>
    <col min="29" max="29" width="4.90625" style="191" bestFit="1" customWidth="1"/>
    <col min="30" max="30" width="4" style="191" bestFit="1" customWidth="1"/>
    <col min="31" max="31" width="4.6328125" style="191" bestFit="1" customWidth="1"/>
    <col min="32" max="32" width="3.36328125" style="191" bestFit="1" customWidth="1"/>
    <col min="33" max="33" width="4.54296875" style="191" bestFit="1" customWidth="1"/>
    <col min="34" max="34" width="3.453125" style="191" bestFit="1" customWidth="1"/>
    <col min="35" max="35" width="3.08984375" style="191" bestFit="1" customWidth="1"/>
    <col min="36" max="36" width="4.6328125" style="191" bestFit="1" customWidth="1"/>
    <col min="37" max="37" width="4" style="191" bestFit="1" customWidth="1"/>
    <col min="38" max="38" width="4.6328125" style="191" bestFit="1" customWidth="1"/>
    <col min="39" max="39" width="13.6328125" style="191" bestFit="1" customWidth="1"/>
    <col min="40" max="40" width="15.54296875" style="191" bestFit="1" customWidth="1"/>
    <col min="41" max="41" width="12.26953125" style="191" bestFit="1" customWidth="1"/>
    <col min="42" max="42" width="2.7265625" style="191" bestFit="1" customWidth="1"/>
    <col min="43" max="43" width="2.1796875" style="191" bestFit="1" customWidth="1"/>
    <col min="44" max="44" width="1.90625" style="191" bestFit="1" customWidth="1"/>
    <col min="45" max="45" width="3.08984375" style="191" bestFit="1" customWidth="1"/>
    <col min="46" max="46" width="3.36328125" style="191" bestFit="1" customWidth="1"/>
    <col min="47" max="47" width="4.90625" style="191" bestFit="1" customWidth="1"/>
    <col min="48" max="48" width="1.90625" style="191" bestFit="1" customWidth="1"/>
    <col min="49" max="49" width="4.81640625" style="191" bestFit="1" customWidth="1"/>
    <col min="50" max="50" width="4" style="191" bestFit="1" customWidth="1"/>
    <col min="51" max="51" width="4.6328125" style="191" bestFit="1" customWidth="1"/>
    <col min="52" max="52" width="3.36328125" style="191" bestFit="1" customWidth="1"/>
    <col min="53" max="53" width="2" style="191" bestFit="1" customWidth="1"/>
    <col min="54" max="54" width="3.453125" style="191" bestFit="1" customWidth="1"/>
    <col min="55" max="55" width="3.08984375" style="191" bestFit="1" customWidth="1"/>
    <col min="56" max="56" width="4.6328125" style="191" bestFit="1" customWidth="1"/>
    <col min="57" max="57" width="4" style="191" bestFit="1" customWidth="1"/>
    <col min="58" max="58" width="4.6328125" style="191" bestFit="1" customWidth="1"/>
    <col min="59" max="59" width="2.90625" style="191" bestFit="1" customWidth="1"/>
    <col min="60" max="60" width="7.7265625" style="191" bestFit="1" customWidth="1"/>
    <col min="61" max="61" width="10.6328125" style="191" bestFit="1" customWidth="1"/>
    <col min="62" max="62" width="2.7265625" style="191" bestFit="1" customWidth="1"/>
    <col min="63" max="63" width="2.1796875" style="191" bestFit="1" customWidth="1"/>
    <col min="64" max="64" width="1.90625" style="191" bestFit="1" customWidth="1"/>
    <col min="65" max="65" width="3.08984375" style="191" bestFit="1" customWidth="1"/>
    <col min="66" max="66" width="3.36328125" style="191" bestFit="1" customWidth="1"/>
    <col min="67" max="67" width="4.90625" style="191" bestFit="1" customWidth="1"/>
    <col min="68" max="68" width="1.90625" style="191" bestFit="1" customWidth="1"/>
    <col min="69" max="69" width="4.81640625" style="191" bestFit="1" customWidth="1"/>
    <col min="70" max="70" width="4" style="191" bestFit="1" customWidth="1"/>
    <col min="71" max="71" width="4.6328125" style="191" bestFit="1" customWidth="1"/>
    <col min="72" max="72" width="3.36328125" style="191" bestFit="1" customWidth="1"/>
    <col min="73" max="73" width="2" style="191" bestFit="1" customWidth="1"/>
    <col min="74" max="74" width="3.453125" style="191" bestFit="1" customWidth="1"/>
    <col min="75" max="75" width="3.08984375" style="191" bestFit="1" customWidth="1"/>
    <col min="76" max="77" width="4" style="191" bestFit="1" customWidth="1"/>
    <col min="78" max="78" width="4.6328125" style="191" bestFit="1" customWidth="1"/>
    <col min="79" max="79" width="2.90625" style="191" bestFit="1" customWidth="1"/>
    <col min="80" max="80" width="16.54296875" style="191" bestFit="1" customWidth="1"/>
    <col min="81" max="81" width="10.6328125" style="191" bestFit="1" customWidth="1"/>
    <col min="82" max="82" width="2.7265625" style="191" bestFit="1" customWidth="1"/>
    <col min="83" max="83" width="2.1796875" style="191" bestFit="1" customWidth="1"/>
    <col min="84" max="84" width="1.90625" style="191" bestFit="1" customWidth="1"/>
    <col min="85" max="85" width="3.08984375" style="191" bestFit="1" customWidth="1"/>
    <col min="86" max="86" width="3.36328125" style="191" bestFit="1" customWidth="1"/>
    <col min="87" max="87" width="4.90625" style="191" bestFit="1" customWidth="1"/>
    <col min="88" max="88" width="1.81640625" style="191" bestFit="1" customWidth="1"/>
    <col min="89" max="90" width="3.90625" style="191" bestFit="1" customWidth="1"/>
    <col min="91" max="91" width="4.54296875" style="191" bestFit="1" customWidth="1"/>
    <col min="92" max="92" width="3.26953125" style="191" bestFit="1" customWidth="1"/>
    <col min="93" max="93" width="1.90625" style="191" bestFit="1" customWidth="1"/>
    <col min="94" max="94" width="3.36328125" style="191" bestFit="1" customWidth="1"/>
    <col min="95" max="95" width="3" style="191" bestFit="1" customWidth="1"/>
    <col min="96" max="97" width="3.90625" style="191" bestFit="1" customWidth="1"/>
    <col min="98" max="98" width="4.54296875" style="191" bestFit="1" customWidth="1"/>
    <col min="99" max="99" width="2.81640625" style="191" bestFit="1" customWidth="1"/>
    <col min="100" max="100" width="2.81640625" style="191" customWidth="1"/>
    <col min="101" max="101" width="15.453125" style="191" bestFit="1" customWidth="1"/>
    <col min="102" max="102" width="1.90625" style="191" bestFit="1" customWidth="1"/>
    <col min="103" max="103" width="2.90625" style="191" bestFit="1" customWidth="1"/>
    <col min="104" max="104" width="15.453125" style="191" bestFit="1" customWidth="1"/>
    <col min="105" max="105" width="3.08984375" style="191" bestFit="1" customWidth="1"/>
    <col min="106" max="106" width="3.36328125" style="191" bestFit="1" customWidth="1"/>
    <col min="107" max="107" width="15.453125" style="191" bestFit="1" customWidth="1"/>
    <col min="108" max="109" width="2.6328125" style="191" bestFit="1" customWidth="1"/>
    <col min="110" max="111" width="2.81640625" style="191" customWidth="1"/>
    <col min="112" max="112" width="35" style="191" bestFit="1" customWidth="1"/>
    <col min="113" max="113" width="2.7265625" style="192" bestFit="1" customWidth="1"/>
    <col min="114" max="115" width="2.1796875" style="192" bestFit="1" customWidth="1"/>
    <col min="116" max="116" width="3.08984375" style="192" bestFit="1" customWidth="1"/>
    <col min="117" max="117" width="3.36328125" style="192" bestFit="1" customWidth="1"/>
    <col min="118" max="118" width="3.453125" style="192" bestFit="1" customWidth="1"/>
    <col min="119" max="119" width="3.36328125" style="192" bestFit="1" customWidth="1"/>
    <col min="120" max="120" width="4.6328125" style="191" bestFit="1" customWidth="1"/>
    <col min="121" max="121" width="7.90625" style="191" bestFit="1" customWidth="1"/>
    <col min="122" max="122" width="8" style="191" bestFit="1" customWidth="1"/>
    <col min="123" max="123" width="7.6328125" style="191" bestFit="1" customWidth="1"/>
    <col min="124" max="124" width="9.1796875" style="191" bestFit="1" customWidth="1"/>
    <col min="125" max="125" width="2.90625" style="191" bestFit="1" customWidth="1"/>
    <col min="126" max="126" width="2.08984375" style="191" bestFit="1" customWidth="1"/>
    <col min="127" max="127" width="1.90625" style="191" bestFit="1" customWidth="1"/>
    <col min="128" max="128" width="2.81640625" style="191" customWidth="1"/>
    <col min="129" max="135" width="9.08984375" style="191"/>
    <col min="136" max="136" width="10.81640625" style="193" customWidth="1"/>
    <col min="137" max="137" width="4.453125" style="194" customWidth="1"/>
    <col min="138" max="138" width="23" style="193" customWidth="1"/>
    <col min="139" max="139" width="30.90625" style="193" customWidth="1"/>
    <col min="140" max="140" width="40.81640625" style="193" customWidth="1"/>
    <col min="141" max="141" width="9.08984375" style="191"/>
    <col min="142" max="142" width="12.54296875" style="191" bestFit="1" customWidth="1"/>
    <col min="143" max="143" width="13.1796875" style="191" customWidth="1"/>
    <col min="144" max="144" width="8.90625" style="191" customWidth="1"/>
    <col min="145" max="145" width="11" style="191" customWidth="1"/>
    <col min="146" max="146" width="5.36328125" style="191" customWidth="1"/>
    <col min="147" max="147" width="29.7265625" style="191" bestFit="1" customWidth="1"/>
    <col min="148" max="16384" width="9.08984375" style="191"/>
  </cols>
  <sheetData>
    <row r="1" spans="1:148" x14ac:dyDescent="0.35">
      <c r="AG1" s="191" t="s">
        <v>498</v>
      </c>
    </row>
    <row r="2" spans="1:148" x14ac:dyDescent="0.35">
      <c r="U2" s="191" t="s">
        <v>499</v>
      </c>
      <c r="AG2" s="191">
        <v>1</v>
      </c>
      <c r="AH2" s="191">
        <v>2</v>
      </c>
      <c r="AI2" s="191">
        <v>3</v>
      </c>
      <c r="AJ2" s="191">
        <v>5</v>
      </c>
      <c r="AK2" s="191">
        <v>6</v>
      </c>
      <c r="AL2" s="191">
        <v>9</v>
      </c>
      <c r="AO2" s="191" t="s">
        <v>500</v>
      </c>
      <c r="BI2" s="191" t="s">
        <v>501</v>
      </c>
      <c r="CC2" s="191" t="s">
        <v>502</v>
      </c>
      <c r="DA2" s="191" t="s">
        <v>503</v>
      </c>
      <c r="DB2" s="191" t="s">
        <v>504</v>
      </c>
      <c r="DI2" s="192" t="s">
        <v>108</v>
      </c>
      <c r="DJ2" s="192" t="s">
        <v>109</v>
      </c>
      <c r="DK2" s="192" t="s">
        <v>110</v>
      </c>
      <c r="DL2" s="192" t="s">
        <v>503</v>
      </c>
      <c r="DM2" s="192" t="s">
        <v>504</v>
      </c>
      <c r="DN2" s="192" t="s">
        <v>113</v>
      </c>
      <c r="DO2" s="192" t="s">
        <v>114</v>
      </c>
      <c r="DP2" s="191" t="s">
        <v>505</v>
      </c>
      <c r="DQ2" s="191" t="s">
        <v>506</v>
      </c>
      <c r="DR2" s="191" t="s">
        <v>507</v>
      </c>
      <c r="DS2" s="191" t="s">
        <v>508</v>
      </c>
      <c r="DT2" s="191" t="s">
        <v>509</v>
      </c>
    </row>
    <row r="3" spans="1:148" x14ac:dyDescent="0.35">
      <c r="C3" s="191" t="s">
        <v>108</v>
      </c>
      <c r="D3" s="191" t="s">
        <v>109</v>
      </c>
      <c r="E3" s="191" t="s">
        <v>110</v>
      </c>
      <c r="F3" s="191" t="s">
        <v>503</v>
      </c>
      <c r="G3" s="191" t="s">
        <v>504</v>
      </c>
      <c r="H3" s="191" t="s">
        <v>510</v>
      </c>
      <c r="I3" s="191" t="s">
        <v>100</v>
      </c>
      <c r="J3" s="191" t="s">
        <v>511</v>
      </c>
      <c r="K3" s="191" t="s">
        <v>512</v>
      </c>
      <c r="M3" s="191" t="s">
        <v>513</v>
      </c>
      <c r="P3" s="191" t="s">
        <v>514</v>
      </c>
      <c r="Q3" s="191" t="s">
        <v>515</v>
      </c>
      <c r="R3" s="191" t="s">
        <v>516</v>
      </c>
      <c r="S3" s="191" t="s">
        <v>517</v>
      </c>
      <c r="U3" s="191" t="s">
        <v>518</v>
      </c>
      <c r="V3" s="191" t="s">
        <v>108</v>
      </c>
      <c r="W3" s="191" t="s">
        <v>109</v>
      </c>
      <c r="X3" s="191" t="s">
        <v>110</v>
      </c>
      <c r="Y3" s="191" t="s">
        <v>503</v>
      </c>
      <c r="Z3" s="191" t="s">
        <v>504</v>
      </c>
      <c r="AA3" s="191" t="s">
        <v>510</v>
      </c>
      <c r="AB3" s="191" t="s">
        <v>107</v>
      </c>
      <c r="AC3" s="191" t="s">
        <v>519</v>
      </c>
      <c r="AD3" s="191" t="s">
        <v>520</v>
      </c>
      <c r="AE3" s="191" t="s">
        <v>505</v>
      </c>
      <c r="AF3" s="191" t="s">
        <v>114</v>
      </c>
      <c r="AG3" s="191" t="s">
        <v>521</v>
      </c>
      <c r="AH3" s="191" t="s">
        <v>113</v>
      </c>
      <c r="AI3" s="191" t="s">
        <v>503</v>
      </c>
      <c r="AJ3" s="191" t="s">
        <v>522</v>
      </c>
      <c r="AK3" s="191" t="s">
        <v>520</v>
      </c>
      <c r="AL3" s="191" t="s">
        <v>505</v>
      </c>
      <c r="AM3" s="191" t="s">
        <v>523</v>
      </c>
      <c r="AO3" s="191" t="s">
        <v>518</v>
      </c>
      <c r="AP3" s="191" t="s">
        <v>108</v>
      </c>
      <c r="AQ3" s="191" t="s">
        <v>109</v>
      </c>
      <c r="AR3" s="191" t="s">
        <v>110</v>
      </c>
      <c r="AS3" s="191" t="s">
        <v>503</v>
      </c>
      <c r="AT3" s="191" t="s">
        <v>504</v>
      </c>
      <c r="AU3" s="191" t="s">
        <v>510</v>
      </c>
      <c r="AV3" s="191" t="s">
        <v>107</v>
      </c>
      <c r="AW3" s="191" t="s">
        <v>519</v>
      </c>
      <c r="AX3" s="191" t="s">
        <v>520</v>
      </c>
      <c r="AY3" s="191" t="s">
        <v>505</v>
      </c>
      <c r="AZ3" s="191" t="s">
        <v>114</v>
      </c>
      <c r="BA3" s="191" t="s">
        <v>521</v>
      </c>
      <c r="BB3" s="191" t="s">
        <v>113</v>
      </c>
      <c r="BC3" s="191" t="s">
        <v>503</v>
      </c>
      <c r="BD3" s="191" t="s">
        <v>522</v>
      </c>
      <c r="BE3" s="191" t="s">
        <v>520</v>
      </c>
      <c r="BF3" s="191" t="s">
        <v>505</v>
      </c>
      <c r="BG3" s="191" t="s">
        <v>523</v>
      </c>
      <c r="BI3" s="191" t="s">
        <v>518</v>
      </c>
      <c r="BJ3" s="191" t="s">
        <v>108</v>
      </c>
      <c r="BK3" s="191" t="s">
        <v>109</v>
      </c>
      <c r="BL3" s="191" t="s">
        <v>110</v>
      </c>
      <c r="BM3" s="191" t="s">
        <v>503</v>
      </c>
      <c r="BN3" s="191" t="s">
        <v>504</v>
      </c>
      <c r="BO3" s="191" t="s">
        <v>510</v>
      </c>
      <c r="BP3" s="191" t="s">
        <v>107</v>
      </c>
      <c r="BQ3" s="191" t="s">
        <v>519</v>
      </c>
      <c r="BR3" s="191" t="s">
        <v>520</v>
      </c>
      <c r="BS3" s="191" t="s">
        <v>505</v>
      </c>
      <c r="BT3" s="191" t="s">
        <v>114</v>
      </c>
      <c r="BU3" s="191" t="s">
        <v>521</v>
      </c>
      <c r="BV3" s="191" t="s">
        <v>113</v>
      </c>
      <c r="BW3" s="191" t="s">
        <v>503</v>
      </c>
      <c r="BX3" s="191" t="s">
        <v>519</v>
      </c>
      <c r="BY3" s="191" t="s">
        <v>520</v>
      </c>
      <c r="BZ3" s="191" t="s">
        <v>505</v>
      </c>
      <c r="CA3" s="191" t="s">
        <v>523</v>
      </c>
      <c r="CC3" s="191" t="s">
        <v>518</v>
      </c>
      <c r="CD3" s="191" t="s">
        <v>108</v>
      </c>
      <c r="CE3" s="191" t="s">
        <v>109</v>
      </c>
      <c r="CF3" s="191" t="s">
        <v>110</v>
      </c>
      <c r="CG3" s="191" t="s">
        <v>503</v>
      </c>
      <c r="CH3" s="191" t="s">
        <v>504</v>
      </c>
      <c r="CI3" s="191" t="s">
        <v>510</v>
      </c>
      <c r="CJ3" s="191" t="s">
        <v>107</v>
      </c>
      <c r="CK3" s="191" t="s">
        <v>519</v>
      </c>
      <c r="CL3" s="191" t="s">
        <v>520</v>
      </c>
      <c r="CM3" s="191" t="s">
        <v>505</v>
      </c>
      <c r="CN3" s="191" t="s">
        <v>114</v>
      </c>
      <c r="CO3" s="191" t="s">
        <v>521</v>
      </c>
      <c r="CP3" s="191" t="s">
        <v>113</v>
      </c>
      <c r="CQ3" s="191" t="s">
        <v>503</v>
      </c>
      <c r="CR3" s="191" t="s">
        <v>519</v>
      </c>
      <c r="CS3" s="191" t="s">
        <v>520</v>
      </c>
      <c r="CT3" s="191" t="s">
        <v>505</v>
      </c>
      <c r="CU3" s="191" t="s">
        <v>523</v>
      </c>
      <c r="CY3" s="191">
        <v>1</v>
      </c>
      <c r="CZ3" s="191" t="str">
        <f>Fixtures!G7</f>
        <v>Turkey</v>
      </c>
      <c r="DA3" s="191">
        <f>IF(AND(Fixtures!H7&lt;&gt;"",Fixtures!I7&lt;&gt;""),Fixtures!H7,0)</f>
        <v>0</v>
      </c>
      <c r="DB3" s="191">
        <f>IF(AND(Fixtures!I7&lt;&gt;"",Fixtures!H7&lt;&gt;""),Fixtures!I7,0)</f>
        <v>3</v>
      </c>
      <c r="DC3" s="191" t="str">
        <f>Fixtures!J7</f>
        <v>Italy</v>
      </c>
      <c r="DD3" s="191" t="str">
        <f>IF(AND(Fixtures!H7&lt;&gt;"",Fixtures!I7&lt;&gt;""),IF(DA3&gt;DB3,"W",IF(DA3=DB3,"D","L")),"")</f>
        <v>L</v>
      </c>
      <c r="DE3" s="191" t="str">
        <f>IF(DD3&lt;&gt;"",IF(DD3="W","L",IF(DD3="L","W","D")),"")</f>
        <v>W</v>
      </c>
      <c r="DH3" s="191" t="str">
        <f>Fixtures!P9</f>
        <v>Switzerland</v>
      </c>
      <c r="DI3" s="192">
        <f>Fixtures!U9</f>
        <v>1</v>
      </c>
      <c r="DJ3" s="192">
        <f>Fixtures!V9</f>
        <v>1</v>
      </c>
      <c r="DK3" s="192">
        <f>Fixtures!W9</f>
        <v>1</v>
      </c>
      <c r="DL3" s="192">
        <f>Fixtures!X9</f>
        <v>4</v>
      </c>
      <c r="DM3" s="192">
        <f>Fixtures!Z9</f>
        <v>5</v>
      </c>
      <c r="DN3" s="192">
        <f>Fixtures!AA9</f>
        <v>-1</v>
      </c>
      <c r="DO3" s="192">
        <f>Fixtures!AB9</f>
        <v>4</v>
      </c>
      <c r="DP3" s="191">
        <f>IF(Fixtures!AC9&lt;&gt;"",30,VLOOKUP(DH3,$B$4:$J$40,9,FALSE))</f>
        <v>47</v>
      </c>
      <c r="DQ3" s="191">
        <f t="shared" ref="DQ3:DQ8" si="0">RANK(DO3,$DO$3:$DO$8)</f>
        <v>1</v>
      </c>
      <c r="DR3" s="191">
        <f>SUMPRODUCT(($DQ$3:$DQ$8=DQ3)*($DN$3:$DN$8&gt;DN3))</f>
        <v>2</v>
      </c>
      <c r="DS3" s="191">
        <f>SUMPRODUCT(($DQ$3:$DQ$8=DQ3)*($DN$3:$DN$8=DN3)*($DL$3:$DL$8&gt;DL3))</f>
        <v>0</v>
      </c>
      <c r="DT3" s="191">
        <f>SUMPRODUCT(($DQ$3:$DQ$8=DQ3)*($DN$3:$DN$8=DN3)*($DL$3:$DL$8=DL3)*($DP$3:$DP$8&gt;DP3))</f>
        <v>0</v>
      </c>
      <c r="DU3" s="191">
        <f>IF(Fixtures!B59="© 2020 | journalSHEET.com",SUM(DQ3:DT3),1)</f>
        <v>3</v>
      </c>
      <c r="DV3" s="191" t="s">
        <v>112</v>
      </c>
      <c r="DW3" s="191">
        <v>1</v>
      </c>
    </row>
    <row r="4" spans="1:148" x14ac:dyDescent="0.35">
      <c r="A4" s="191">
        <f>VLOOKUP(B4,$CW$4:$CX$8,2,FALSE)</f>
        <v>4</v>
      </c>
      <c r="B4" s="191" t="str">
        <f>'Dummy Table'!EH7</f>
        <v>Turkey</v>
      </c>
      <c r="C4" s="191">
        <f>SUMPRODUCT(($CZ$3:$CZ$42=$B4)*($DD$3:$DD$42="W"))+SUMPRODUCT(($DC$3:$DC$42=$B4)*($DE$3:$DE$42="W"))</f>
        <v>0</v>
      </c>
      <c r="D4" s="191">
        <f>SUMPRODUCT(($CZ$3:$CZ$42=$B4)*($DD$3:$DD$42="D"))+SUMPRODUCT(($DC$3:$DC$42=$B4)*($DE$3:$DE$42="D"))</f>
        <v>0</v>
      </c>
      <c r="E4" s="191">
        <f>SUMPRODUCT(($CZ$3:$CZ$42=$B4)*($DD$3:$DD$42="L"))+SUMPRODUCT(($DC$3:$DC$42=$B4)*($DE$3:$DE$42="L"))</f>
        <v>3</v>
      </c>
      <c r="F4" s="191">
        <f>SUMIF($CZ$3:$CZ$60,B4,$DA$3:$DA$60)+SUMIF($DC$3:$DC$60,B4,$DB$3:$DB$60)</f>
        <v>1</v>
      </c>
      <c r="G4" s="191">
        <f>SUMIF($DC$3:$DC$60,B4,$DA$3:$DA$60)+SUMIF($CZ$3:$CZ$60,B4,$DB$3:$DB$60)</f>
        <v>8</v>
      </c>
      <c r="H4" s="191">
        <f>F4-G4+1000</f>
        <v>993</v>
      </c>
      <c r="I4" s="191">
        <f>C4*3+D4*1</f>
        <v>0</v>
      </c>
      <c r="J4" s="191">
        <v>42</v>
      </c>
      <c r="K4" s="191">
        <f>IF(COUNTIF(I4:I8,4)&lt;&gt;4,RANK(I4,I4:I8),I44)</f>
        <v>4</v>
      </c>
      <c r="M4" s="191">
        <f>SUMPRODUCT((K4:K7=K4)*(J4:J7&lt;J4))+K4</f>
        <v>4</v>
      </c>
      <c r="N4" s="191" t="str">
        <f>INDEX($B$4:$B$8,MATCH(1,$M$4:$M$8,0),0)</f>
        <v>Italy</v>
      </c>
      <c r="O4" s="191">
        <f>INDEX($K$4:$K$8,MATCH(N4,$B$4:$B$8,0),0)</f>
        <v>1</v>
      </c>
      <c r="P4" s="191" t="str">
        <f>IF(O5=1,N4,"")</f>
        <v/>
      </c>
      <c r="Q4" s="191" t="str">
        <f>IF(O6=2,N5,"")</f>
        <v>Wales</v>
      </c>
      <c r="R4" s="191" t="str">
        <f>IF(O7=3,N6,"")</f>
        <v/>
      </c>
      <c r="S4" s="191" t="str">
        <f>IF(O8=4,N7,"")</f>
        <v/>
      </c>
      <c r="U4" s="191" t="str">
        <f>IF(P4&lt;&gt;"",P4,"")</f>
        <v/>
      </c>
      <c r="V4" s="191">
        <f>SUMPRODUCT(($CZ$3:$CZ$42=$U4)*($DC$3:$DC$42=$U5)*($DD$3:$DD$42="W"))+SUMPRODUCT(($CZ$3:$CZ$42=$U4)*($DC$3:$DC$42=$U6)*($DD$3:$DD$42="W"))+SUMPRODUCT(($CZ$3:$CZ$42=$U4)*($DC$3:$DC$42=$U7)*($DD$3:$DD$42="W"))+SUMPRODUCT(($CZ$3:$CZ$42=$U4)*($DC$3:$DC$42=$U8)*($DD$3:$DD$42="W"))+SUMPRODUCT(($CZ$3:$CZ$42=$U5)*($DC$3:$DC$42=$U4)*($DE$3:$DE$42="W"))+SUMPRODUCT(($CZ$3:$CZ$42=$U6)*($DC$3:$DC$42=$U4)*($DE$3:$DE$42="W"))+SUMPRODUCT(($CZ$3:$CZ$42=$U7)*($DC$3:$DC$42=$U4)*($DE$3:$DE$42="W"))+SUMPRODUCT(($CZ$3:$CZ$42=$U8)*($DC$3:$DC$42=$U4)*($DE$3:$DE$42="W"))</f>
        <v>0</v>
      </c>
      <c r="W4" s="191">
        <f>SUMPRODUCT(($CZ$3:$CZ$42=$U4)*($DC$3:$DC$42=$U5)*($DD$3:$DD$42="D"))+SUMPRODUCT(($CZ$3:$CZ$42=$U4)*($DC$3:$DC$42=$U6)*($DD$3:$DD$42="D"))+SUMPRODUCT(($CZ$3:$CZ$42=$U4)*($DC$3:$DC$42=$U7)*($DD$3:$DD$42="D"))+SUMPRODUCT(($CZ$3:$CZ$42=$U4)*($DC$3:$DC$42=$U8)*($DD$3:$DD$42="D"))+SUMPRODUCT(($CZ$3:$CZ$42=$U5)*($DC$3:$DC$42=$U4)*($DD$3:$DD$42="D"))+SUMPRODUCT(($CZ$3:$CZ$42=$U6)*($DC$3:$DC$42=$U4)*($DD$3:$DD$42="D"))+SUMPRODUCT(($CZ$3:$CZ$42=$U7)*($DC$3:$DC$42=$U4)*($DD$3:$DD$42="D"))+SUMPRODUCT(($CZ$3:$CZ$42=$U8)*($DC$3:$DC$42=$U4)*($DD$3:$DD$42="D"))</f>
        <v>0</v>
      </c>
      <c r="X4" s="191">
        <f>SUMPRODUCT(($CZ$3:$CZ$42=$U4)*($DC$3:$DC$42=$U5)*($DD$3:$DD$42="L"))+SUMPRODUCT(($CZ$3:$CZ$42=$U4)*($DC$3:$DC$42=$U6)*($DD$3:$DD$42="L"))+SUMPRODUCT(($CZ$3:$CZ$42=$U4)*($DC$3:$DC$42=$U7)*($DD$3:$DD$42="L"))+SUMPRODUCT(($CZ$3:$CZ$42=$U4)*($DC$3:$DC$42=$U8)*($DD$3:$DD$42="L"))+SUMPRODUCT(($CZ$3:$CZ$42=$U5)*($DC$3:$DC$42=$U4)*($DE$3:$DE$42="L"))+SUMPRODUCT(($CZ$3:$CZ$42=$U6)*($DC$3:$DC$42=$U4)*($DE$3:$DE$42="L"))+SUMPRODUCT(($CZ$3:$CZ$42=$U7)*($DC$3:$DC$42=$U4)*($DE$3:$DE$42="L"))+SUMPRODUCT(($CZ$3:$CZ$42=$U8)*($DC$3:$DC$42=$U4)*($DE$3:$DE$42="L"))</f>
        <v>0</v>
      </c>
      <c r="Y4" s="191">
        <f>SUMPRODUCT(($CZ$3:$CZ$42=$U4)*($DC$3:$DC$42=$U5)*$DA$3:$DA$42)+SUMPRODUCT(($CZ$3:$CZ$42=$U4)*($DC$3:$DC$42=$U6)*$DA$3:$DA$42)+SUMPRODUCT(($CZ$3:$CZ$42=$U4)*($DC$3:$DC$42=$U7)*$DA$3:$DA$42)+SUMPRODUCT(($CZ$3:$CZ$42=$U4)*($DC$3:$DC$42=$U8)*$DA$3:$DA$42)+SUMPRODUCT(($CZ$3:$CZ$42=$U5)*($DC$3:$DC$42=$U4)*$DB$3:$DB$42)+SUMPRODUCT(($CZ$3:$CZ$42=$U6)*($DC$3:$DC$42=$U4)*$DB$3:$DB$42)+SUMPRODUCT(($CZ$3:$CZ$42=$U7)*($DC$3:$DC$42=$U4)*$DB$3:$DB$42)+SUMPRODUCT(($CZ$3:$CZ$42=$U8)*($DC$3:$DC$42=$U4)*$DB$3:$DB$42)</f>
        <v>0</v>
      </c>
      <c r="Z4" s="191">
        <f>SUMPRODUCT(($CZ$3:$CZ$42=$U4)*($DC$3:$DC$42=$U5)*$DB$3:$DB$42)+SUMPRODUCT(($CZ$3:$CZ$42=$U4)*($DC$3:$DC$42=$U6)*$DB$3:$DB$42)+SUMPRODUCT(($CZ$3:$CZ$42=$U4)*($DC$3:$DC$42=$U7)*$DB$3:$DB$42)+SUMPRODUCT(($CZ$3:$CZ$42=$U4)*($DC$3:$DC$42=$U8)*$DB$3:$DB$42)+SUMPRODUCT(($CZ$3:$CZ$42=$U5)*($DC$3:$DC$42=$U4)*$DA$3:$DA$42)+SUMPRODUCT(($CZ$3:$CZ$42=$U6)*($DC$3:$DC$42=$U4)*$DA$3:$DA$42)+SUMPRODUCT(($CZ$3:$CZ$42=$U7)*($DC$3:$DC$42=$U4)*$DA$3:$DA$42)+SUMPRODUCT(($CZ$3:$CZ$42=$U8)*($DC$3:$DC$42=$U4)*$DA$3:$DA$42)</f>
        <v>0</v>
      </c>
      <c r="AA4" s="191">
        <f>Y4-Z4+1000</f>
        <v>1000</v>
      </c>
      <c r="AB4" s="191" t="str">
        <f>IF(U4&lt;&gt;"",V4*3+W4*1,"")</f>
        <v/>
      </c>
      <c r="AC4" s="191" t="str">
        <f>IF(U4&lt;&gt;"",VLOOKUP(U4,$B$4:$H$40,7,FALSE),"")</f>
        <v/>
      </c>
      <c r="AD4" s="191" t="str">
        <f>IF(U4&lt;&gt;"",VLOOKUP(U4,$B$4:$H$40,5,FALSE),"")</f>
        <v/>
      </c>
      <c r="AE4" s="191" t="str">
        <f>IF(U4&lt;&gt;"",VLOOKUP(U4,$B$4:$J$40,9,FALSE),"")</f>
        <v/>
      </c>
      <c r="AF4" s="191" t="str">
        <f>AB4</f>
        <v/>
      </c>
      <c r="AG4" s="191" t="str">
        <f>IF(U4&lt;&gt;"",RANK(AF4,AF$4:AF$8),"")</f>
        <v/>
      </c>
      <c r="AH4" s="191" t="str">
        <f>IF(U4&lt;&gt;"",SUMPRODUCT((AF$4:AF$8=AF4)*(AA$4:AA$8&gt;AA4)),"")</f>
        <v/>
      </c>
      <c r="AI4" s="191" t="str">
        <f>IF(U4&lt;&gt;"",SUMPRODUCT((AF$4:AF$8=AF4)*(AA$4:AA$8=AA4)*(Y$4:Y$8&gt;Y4)),"")</f>
        <v/>
      </c>
      <c r="AJ4" s="191" t="str">
        <f>IF(U4&lt;&gt;"",SUMPRODUCT((AF$4:AF$8=AF4)*(AA$4:AA$8=AA4)*(Y$4:Y$8=Y4)*(AC$4:AC$8&gt;AC4)),"")</f>
        <v/>
      </c>
      <c r="AK4" s="191" t="str">
        <f>IF(U4&lt;&gt;"",SUMPRODUCT((AF$4:AF$8=AF4)*(AA$4:AA$8=AA4)*(Y$4:Y$8=Y4)*(AC$4:AC$8=AC4)*(AD$4:AD$8&gt;AD4)),"")</f>
        <v/>
      </c>
      <c r="AL4" s="191" t="str">
        <f>IF(U4&lt;&gt;"",SUMPRODUCT((AF$4:AF$8=AF4)*(AA$4:AA$8=AA4)*(Y$4:Y$8=Y4)*(AC$4:AC$8=AC4)*(AD$4:AD$8=AD4)*(AE$4:AE$8&gt;AE4)),"")</f>
        <v/>
      </c>
      <c r="AM4" s="191" t="str">
        <f>IF(U4&lt;&gt;"",IF(AM44&lt;&gt;"",IF(T$43=3,AM44,AM44+T$43),SUM(AG4:AL4)),"")</f>
        <v/>
      </c>
      <c r="AN4" s="191" t="str">
        <f>IF(U4&lt;&gt;"",INDEX($U$4:$U$8,MATCH(1,$AM$4:$AM$8,0),0),"")</f>
        <v/>
      </c>
      <c r="CW4" s="191" t="str">
        <f>IF(AN4&lt;&gt;"",AN4,N4)</f>
        <v>Italy</v>
      </c>
      <c r="CX4" s="191">
        <v>1</v>
      </c>
      <c r="CY4" s="191">
        <v>2</v>
      </c>
      <c r="CZ4" s="191" t="str">
        <f>Fixtures!G8</f>
        <v>Wales</v>
      </c>
      <c r="DA4" s="191">
        <f>IF(AND(Fixtures!H8&lt;&gt;"",Fixtures!I8&lt;&gt;""),Fixtures!H8,0)</f>
        <v>1</v>
      </c>
      <c r="DB4" s="191">
        <f>IF(AND(Fixtures!I8&lt;&gt;"",Fixtures!H8&lt;&gt;""),Fixtures!I8,0)</f>
        <v>1</v>
      </c>
      <c r="DC4" s="191" t="str">
        <f>Fixtures!J8</f>
        <v>Switzerland</v>
      </c>
      <c r="DD4" s="191" t="str">
        <f>IF(AND(Fixtures!H8&lt;&gt;"",Fixtures!I8&lt;&gt;""),IF(DA4&gt;DB4,"W",IF(DA4=DB4,"D","L")),"")</f>
        <v>D</v>
      </c>
      <c r="DE4" s="191" t="str">
        <f t="shared" ref="DE4:DE38" si="1">IF(DD4&lt;&gt;"",IF(DD4="W","L",IF(DD4="L","W","D")),"")</f>
        <v>D</v>
      </c>
      <c r="DH4" s="191" t="str">
        <f>Fixtures!P14</f>
        <v>Finland</v>
      </c>
      <c r="DI4" s="192">
        <f>Fixtures!U14</f>
        <v>1</v>
      </c>
      <c r="DJ4" s="192">
        <f>Fixtures!V14</f>
        <v>0</v>
      </c>
      <c r="DK4" s="192">
        <f>Fixtures!W14</f>
        <v>2</v>
      </c>
      <c r="DL4" s="192">
        <f>Fixtures!X14</f>
        <v>1</v>
      </c>
      <c r="DM4" s="192">
        <f>Fixtures!Z14</f>
        <v>3</v>
      </c>
      <c r="DN4" s="192">
        <f>Fixtures!AA14</f>
        <v>-2</v>
      </c>
      <c r="DO4" s="192">
        <f>Fixtures!AB14</f>
        <v>3</v>
      </c>
      <c r="DP4" s="191">
        <f>IF(Fixtures!AC14&lt;&gt;"",29,VLOOKUP(DH4,$B$4:$J$40,9,FALSE))</f>
        <v>36</v>
      </c>
      <c r="DQ4" s="191">
        <f t="shared" si="0"/>
        <v>4</v>
      </c>
      <c r="DR4" s="191">
        <f t="shared" ref="DR4:DR8" si="2">SUMPRODUCT(($DQ$3:$DQ$8=DQ4)*($DN$3:$DN$8&gt;DN4))</f>
        <v>1</v>
      </c>
      <c r="DS4" s="191">
        <f t="shared" ref="DS4:DS8" si="3">SUMPRODUCT(($DQ$3:$DQ$8=DQ4)*($DN$3:$DN$8=DN4)*($DL$3:$DL$8&gt;DL4))</f>
        <v>0</v>
      </c>
      <c r="DT4" s="191">
        <f t="shared" ref="DT4:DT8" si="4">SUMPRODUCT(($DQ$3:$DQ$8=DQ4)*($DN$3:$DN$8=DN4)*($DL$3:$DL$8=DL4)*($DP$3:$DP$8&gt;DP4))</f>
        <v>0</v>
      </c>
      <c r="DU4" s="191">
        <f t="shared" ref="DU4:DU8" si="5">SUM(DQ4:DT4)</f>
        <v>5</v>
      </c>
      <c r="DV4" s="191" t="s">
        <v>118</v>
      </c>
      <c r="DW4" s="191">
        <v>2</v>
      </c>
    </row>
    <row r="5" spans="1:148" x14ac:dyDescent="0.35">
      <c r="A5" s="191">
        <f>VLOOKUP(B5,$CW$4:$CX$8,2,FALSE)</f>
        <v>1</v>
      </c>
      <c r="B5" s="191" t="str">
        <f>'Dummy Table'!EH8</f>
        <v>Italy</v>
      </c>
      <c r="C5" s="191">
        <f>SUMPRODUCT(($CZ$3:$CZ$42=$B5)*($DD$3:$DD$42="W"))+SUMPRODUCT(($DC$3:$DC$42=$B5)*($DE$3:$DE$42="W"))</f>
        <v>3</v>
      </c>
      <c r="D5" s="191">
        <f>SUMPRODUCT(($CZ$3:$CZ$42=$B5)*($DD$3:$DD$42="D"))+SUMPRODUCT(($DC$3:$DC$42=$B5)*($DE$3:$DE$42="D"))</f>
        <v>0</v>
      </c>
      <c r="E5" s="191">
        <f>SUMPRODUCT(($CZ$3:$CZ$42=$B5)*($DD$3:$DD$42="L"))+SUMPRODUCT(($DC$3:$DC$42=$B5)*($DE$3:$DE$42="L"))</f>
        <v>0</v>
      </c>
      <c r="F5" s="191">
        <f>SUMIF($CZ$3:$CZ$60,B5,$DA$3:$DA$60)+SUMIF($DC$3:$DC$60,B5,$DB$3:$DB$60)</f>
        <v>7</v>
      </c>
      <c r="G5" s="191">
        <f>SUMIF($DC$3:$DC$60,B5,$DA$3:$DA$60)+SUMIF($CZ$3:$CZ$60,B5,$DB$3:$DB$60)</f>
        <v>0</v>
      </c>
      <c r="H5" s="191">
        <f t="shared" ref="H5:H7" si="6">F5-G5+1000</f>
        <v>1007</v>
      </c>
      <c r="I5" s="191">
        <f t="shared" ref="I5:I7" si="7">C5*3+D5*1</f>
        <v>9</v>
      </c>
      <c r="J5" s="191">
        <v>54</v>
      </c>
      <c r="K5" s="191">
        <f>IF(COUNTIF(I4:I8,4)&lt;&gt;4,RANK(I5,I4:I8),I45)</f>
        <v>1</v>
      </c>
      <c r="M5" s="191">
        <f>SUMPRODUCT((K4:K7=K5)*(J4:J7&lt;J5))+K5</f>
        <v>1</v>
      </c>
      <c r="N5" s="191" t="str">
        <f>INDEX($B$4:$B$8,MATCH(2,$M$4:$M$8,0),0)</f>
        <v>Wales</v>
      </c>
      <c r="O5" s="191">
        <f>INDEX($K$4:$K$8,MATCH(N5,$B$4:$B$8,0),0)</f>
        <v>2</v>
      </c>
      <c r="P5" s="191" t="str">
        <f>IF(P4&lt;&gt;"",N5,"")</f>
        <v/>
      </c>
      <c r="Q5" s="191" t="str">
        <f>IF(Q4&lt;&gt;"",N6,"")</f>
        <v>Switzerland</v>
      </c>
      <c r="R5" s="191" t="str">
        <f>IF(R4&lt;&gt;"",N7,"")</f>
        <v/>
      </c>
      <c r="S5" s="191" t="str">
        <f>IF(S4&lt;&gt;"",N8,"")</f>
        <v/>
      </c>
      <c r="U5" s="191" t="str">
        <f t="shared" ref="U5:U7" si="8">IF(P5&lt;&gt;"",P5,"")</f>
        <v/>
      </c>
      <c r="V5" s="191">
        <f>SUMPRODUCT(($CZ$3:$CZ$42=$U5)*($DC$3:$DC$42=$U6)*($DD$3:$DD$42="W"))+SUMPRODUCT(($CZ$3:$CZ$42=$U5)*($DC$3:$DC$42=$U7)*($DD$3:$DD$42="W"))+SUMPRODUCT(($CZ$3:$CZ$42=$U5)*($DC$3:$DC$42=$U8)*($DD$3:$DD$42="W"))+SUMPRODUCT(($CZ$3:$CZ$42=$U5)*($DC$3:$DC$42=$U4)*($DD$3:$DD$42="W"))+SUMPRODUCT(($CZ$3:$CZ$42=$U6)*($DC$3:$DC$42=$U5)*($DE$3:$DE$42="W"))+SUMPRODUCT(($CZ$3:$CZ$42=$U7)*($DC$3:$DC$42=$U5)*($DE$3:$DE$42="W"))+SUMPRODUCT(($CZ$3:$CZ$42=$U8)*($DC$3:$DC$42=$U5)*($DE$3:$DE$42="W"))+SUMPRODUCT(($CZ$3:$CZ$42=$U4)*($DC$3:$DC$42=$U5)*($DE$3:$DE$42="W"))</f>
        <v>0</v>
      </c>
      <c r="W5" s="191">
        <f>SUMPRODUCT(($CZ$3:$CZ$42=$U5)*($DC$3:$DC$42=$U6)*($DD$3:$DD$42="D"))+SUMPRODUCT(($CZ$3:$CZ$42=$U5)*($DC$3:$DC$42=$U7)*($DD$3:$DD$42="D"))+SUMPRODUCT(($CZ$3:$CZ$42=$U5)*($DC$3:$DC$42=$U8)*($DD$3:$DD$42="D"))+SUMPRODUCT(($CZ$3:$CZ$42=$U5)*($DC$3:$DC$42=$U4)*($DD$3:$DD$42="D"))+SUMPRODUCT(($CZ$3:$CZ$42=$U6)*($DC$3:$DC$42=$U5)*($DD$3:$DD$42="D"))+SUMPRODUCT(($CZ$3:$CZ$42=$U7)*($DC$3:$DC$42=$U5)*($DD$3:$DD$42="D"))+SUMPRODUCT(($CZ$3:$CZ$42=$U8)*($DC$3:$DC$42=$U5)*($DD$3:$DD$42="D"))+SUMPRODUCT(($CZ$3:$CZ$42=$U4)*($DC$3:$DC$42=$U5)*($DD$3:$DD$42="D"))</f>
        <v>0</v>
      </c>
      <c r="X5" s="191">
        <f>SUMPRODUCT(($CZ$3:$CZ$42=$U5)*($DC$3:$DC$42=$U6)*($DD$3:$DD$42="L"))+SUMPRODUCT(($CZ$3:$CZ$42=$U5)*($DC$3:$DC$42=$U7)*($DD$3:$DD$42="L"))+SUMPRODUCT(($CZ$3:$CZ$42=$U5)*($DC$3:$DC$42=$U8)*($DD$3:$DD$42="L"))+SUMPRODUCT(($CZ$3:$CZ$42=$U5)*($DC$3:$DC$42=$U4)*($DD$3:$DD$42="L"))+SUMPRODUCT(($CZ$3:$CZ$42=$U6)*($DC$3:$DC$42=$U5)*($DE$3:$DE$42="L"))+SUMPRODUCT(($CZ$3:$CZ$42=$U7)*($DC$3:$DC$42=$U5)*($DE$3:$DE$42="L"))+SUMPRODUCT(($CZ$3:$CZ$42=$U8)*($DC$3:$DC$42=$U5)*($DE$3:$DE$42="L"))+SUMPRODUCT(($CZ$3:$CZ$42=$U4)*($DC$3:$DC$42=$U5)*($DE$3:$DE$42="L"))</f>
        <v>0</v>
      </c>
      <c r="Y5" s="191">
        <f>SUMPRODUCT(($CZ$3:$CZ$42=$U5)*($DC$3:$DC$42=$U6)*$DA$3:$DA$42)+SUMPRODUCT(($CZ$3:$CZ$42=$U5)*($DC$3:$DC$42=$U7)*$DA$3:$DA$42)+SUMPRODUCT(($CZ$3:$CZ$42=$U5)*($DC$3:$DC$42=$U8)*$DA$3:$DA$42)+SUMPRODUCT(($CZ$3:$CZ$42=$U5)*($DC$3:$DC$42=$U4)*$DA$3:$DA$42)+SUMPRODUCT(($CZ$3:$CZ$42=$U6)*($DC$3:$DC$42=$U5)*$DB$3:$DB$42)+SUMPRODUCT(($CZ$3:$CZ$42=$U7)*($DC$3:$DC$42=$U5)*$DB$3:$DB$42)+SUMPRODUCT(($CZ$3:$CZ$42=$U8)*($DC$3:$DC$42=$U5)*$DB$3:$DB$42)+SUMPRODUCT(($CZ$3:$CZ$42=$U4)*($DC$3:$DC$42=$U5)*$DB$3:$DB$42)</f>
        <v>0</v>
      </c>
      <c r="Z5" s="191">
        <f>SUMPRODUCT(($CZ$3:$CZ$42=$U5)*($DC$3:$DC$42=$U6)*$DB$3:$DB$42)+SUMPRODUCT(($CZ$3:$CZ$42=$U5)*($DC$3:$DC$42=$U7)*$DB$3:$DB$42)+SUMPRODUCT(($CZ$3:$CZ$42=$U5)*($DC$3:$DC$42=$U8)*$DB$3:$DB$42)+SUMPRODUCT(($CZ$3:$CZ$42=$U5)*($DC$3:$DC$42=$U4)*$DB$3:$DB$42)+SUMPRODUCT(($CZ$3:$CZ$42=$U6)*($DC$3:$DC$42=$U5)*$DA$3:$DA$42)+SUMPRODUCT(($CZ$3:$CZ$42=$U7)*($DC$3:$DC$42=$U5)*$DA$3:$DA$42)+SUMPRODUCT(($CZ$3:$CZ$42=$U8)*($DC$3:$DC$42=$U5)*$DA$3:$DA$42)+SUMPRODUCT(($CZ$3:$CZ$42=$U4)*($DC$3:$DC$42=$U5)*$DA$3:$DA$42)</f>
        <v>0</v>
      </c>
      <c r="AA5" s="191">
        <f>Y5-Z5+1000</f>
        <v>1000</v>
      </c>
      <c r="AB5" s="191" t="str">
        <f t="shared" ref="AB5:AB7" si="9">IF(U5&lt;&gt;"",V5*3+W5*1,"")</f>
        <v/>
      </c>
      <c r="AC5" s="191" t="str">
        <f t="shared" ref="AC5:AC7" si="10">IF(U5&lt;&gt;"",VLOOKUP(U5,$B$4:$H$40,7,FALSE),"")</f>
        <v/>
      </c>
      <c r="AD5" s="191" t="str">
        <f t="shared" ref="AD5:AD7" si="11">IF(U5&lt;&gt;"",VLOOKUP(U5,$B$4:$H$40,5,FALSE),"")</f>
        <v/>
      </c>
      <c r="AE5" s="191" t="str">
        <f t="shared" ref="AE5:AE7" si="12">IF(U5&lt;&gt;"",VLOOKUP(U5,$B$4:$J$40,9,FALSE),"")</f>
        <v/>
      </c>
      <c r="AF5" s="191" t="str">
        <f t="shared" ref="AF5:AF7" si="13">AB5</f>
        <v/>
      </c>
      <c r="AG5" s="191" t="str">
        <f>IF(U5&lt;&gt;"",RANK(AF5,AF$4:AF$8),"")</f>
        <v/>
      </c>
      <c r="AH5" s="191" t="str">
        <f t="shared" ref="AH5:AH7" si="14">IF(U5&lt;&gt;"",SUMPRODUCT((AF$4:AF$8=AF5)*(AA$4:AA$8&gt;AA5)),"")</f>
        <v/>
      </c>
      <c r="AI5" s="191" t="str">
        <f t="shared" ref="AI5:AI7" si="15">IF(U5&lt;&gt;"",SUMPRODUCT((AF$4:AF$8=AF5)*(AA$4:AA$8=AA5)*(Y$4:Y$8&gt;Y5)),"")</f>
        <v/>
      </c>
      <c r="AJ5" s="191" t="str">
        <f t="shared" ref="AJ5:AJ7" si="16">IF(U5&lt;&gt;"",SUMPRODUCT((AF$4:AF$8=AF5)*(AA$4:AA$8=AA5)*(Y$4:Y$8=Y5)*(AC$4:AC$8&gt;AC5)),"")</f>
        <v/>
      </c>
      <c r="AK5" s="191" t="str">
        <f t="shared" ref="AK5:AK7" si="17">IF(U5&lt;&gt;"",SUMPRODUCT((AF$4:AF$8=AF5)*(AA$4:AA$8=AA5)*(Y$4:Y$8=Y5)*(AC$4:AC$8=AC5)*(AD$4:AD$8&gt;AD5)),"")</f>
        <v/>
      </c>
      <c r="AL5" s="191" t="str">
        <f t="shared" ref="AL5:AL7" si="18">IF(U5&lt;&gt;"",SUMPRODUCT((AF$4:AF$8=AF5)*(AA$4:AA$8=AA5)*(Y$4:Y$8=Y5)*(AC$4:AC$8=AC5)*(AD$4:AD$8=AD5)*(AE$4:AE$8&gt;AE5)),"")</f>
        <v/>
      </c>
      <c r="AM5" s="191" t="str">
        <f>IF(U5&lt;&gt;"",IF(AM45&lt;&gt;"",IF(T$43=3,AM45,AM45+T$43),SUM(AG5:AL5)),"")</f>
        <v/>
      </c>
      <c r="AN5" s="191" t="str">
        <f>IF(U5&lt;&gt;"",INDEX($U$4:$U$8,MATCH(2,$AM$4:$AM$8,0),0),"")</f>
        <v/>
      </c>
      <c r="AO5" s="191" t="str">
        <f>IF(Q4&lt;&gt;"",Q4,"")</f>
        <v>Wales</v>
      </c>
      <c r="AP5" s="191">
        <f>SUMPRODUCT(($CZ$3:$CZ$42=$AO5)*($DC$3:$DC$42=$AO6)*($DD$3:$DD$42="W"))+SUMPRODUCT(($CZ$3:$CZ$42=$AO5)*($DC$3:$DC$42=$AO7)*($DD$3:$DD$42="W"))+SUMPRODUCT(($CZ$3:$CZ$42=$AO5)*($DC$3:$DC$42=$AO8)*($DD$3:$DD$42="W"))+SUMPRODUCT(($CZ$3:$CZ$42=$AO6)*($DC$3:$DC$42=$AO5)*($DE$3:$DE$42="W"))+SUMPRODUCT(($CZ$3:$CZ$42=$AO7)*($DC$3:$DC$42=$AO5)*($DE$3:$DE$42="W"))+SUMPRODUCT(($CZ$3:$CZ$42=$AO8)*($DC$3:$DC$42=$AO5)*($DE$3:$DE$42="W"))</f>
        <v>0</v>
      </c>
      <c r="AQ5" s="191">
        <f>SUMPRODUCT(($CZ$3:$CZ$42=$AO5)*($DC$3:$DC$42=$AO6)*($DD$3:$DD$42="D"))+SUMPRODUCT(($CZ$3:$CZ$42=$AO5)*($DC$3:$DC$42=$AO7)*($DD$3:$DD$42="D"))+SUMPRODUCT(($CZ$3:$CZ$42=$AO5)*($DC$3:$DC$42=$AO8)*($DD$3:$DD$42="D"))+SUMPRODUCT(($CZ$3:$CZ$42=$AO6)*($DC$3:$DC$42=$AO5)*($DD$3:$DD$42="D"))+SUMPRODUCT(($CZ$3:$CZ$42=$AO7)*($DC$3:$DC$42=$AO5)*($DD$3:$DD$42="D"))+SUMPRODUCT(($CZ$3:$CZ$42=$AO8)*($DC$3:$DC$42=$AO5)*($DD$3:$DD$42="D"))</f>
        <v>1</v>
      </c>
      <c r="AR5" s="191">
        <f>SUMPRODUCT(($CZ$3:$CZ$42=$AO5)*($DC$3:$DC$42=$AO6)*($DD$3:$DD$42="L"))+SUMPRODUCT(($CZ$3:$CZ$42=$AO5)*($DC$3:$DC$42=$AO7)*($DD$3:$DD$42="L"))+SUMPRODUCT(($CZ$3:$CZ$42=$AO5)*($DC$3:$DC$42=$AO8)*($DD$3:$DD$42="L"))+SUMPRODUCT(($CZ$3:$CZ$42=$AO6)*($DC$3:$DC$42=$AO5)*($DE$3:$DE$42="L"))+SUMPRODUCT(($CZ$3:$CZ$42=$AO7)*($DC$3:$DC$42=$AO5)*($DE$3:$DE$42="L"))+SUMPRODUCT(($CZ$3:$CZ$42=$AO8)*($DC$3:$DC$42=$AO5)*($DE$3:$DE$42="L"))</f>
        <v>0</v>
      </c>
      <c r="AS5" s="191">
        <f>SUMPRODUCT(($CZ$3:$CZ$42=$AO5)*($DC$3:$DC$42=$AO6)*$DA$3:$DA$42)+SUMPRODUCT(($CZ$3:$CZ$42=$AO5)*($DC$3:$DC$42=$AO7)*$DA$3:$DA$42)+SUMPRODUCT(($CZ$3:$CZ$42=$AO5)*($DC$3:$DC$42=$AO8)*$DA$3:$DA$42)+SUMPRODUCT(($CZ$3:$CZ$42=$AO5)*($DC$3:$DC$42=$AO4)*$DA$3:$DA$42)+SUMPRODUCT(($CZ$3:$CZ$42=$AO6)*($DC$3:$DC$42=$AO5)*$DB$3:$DB$42)+SUMPRODUCT(($CZ$3:$CZ$42=$AO7)*($DC$3:$DC$42=$AO5)*$DB$3:$DB$42)+SUMPRODUCT(($CZ$3:$CZ$42=$AO8)*($DC$3:$DC$42=$AO5)*$DB$3:$DB$42)+SUMPRODUCT(($CZ$3:$CZ$42=$AO4)*($DC$3:$DC$42=$AO5)*$DB$3:$DB$42)</f>
        <v>1</v>
      </c>
      <c r="AT5" s="191">
        <f>SUMPRODUCT(($CZ$3:$CZ$42=$AO5)*($DC$3:$DC$42=$AO6)*$DB$3:$DB$42)+SUMPRODUCT(($CZ$3:$CZ$42=$AO5)*($DC$3:$DC$42=$AO7)*$DB$3:$DB$42)+SUMPRODUCT(($CZ$3:$CZ$42=$AO5)*($DC$3:$DC$42=$AO8)*$DB$3:$DB$42)+SUMPRODUCT(($CZ$3:$CZ$42=$AO5)*($DC$3:$DC$42=$AO4)*$DB$3:$DB$42)+SUMPRODUCT(($CZ$3:$CZ$42=$AO6)*($DC$3:$DC$42=$AO5)*$DA$3:$DA$42)+SUMPRODUCT(($CZ$3:$CZ$42=$AO7)*($DC$3:$DC$42=$AO5)*$DA$3:$DA$42)+SUMPRODUCT(($CZ$3:$CZ$42=$AO8)*($DC$3:$DC$42=$AO5)*$DA$3:$DA$42)+SUMPRODUCT(($CZ$3:$CZ$42=$AO4)*($DC$3:$DC$42=$AO5)*$DA$3:$DA$42)</f>
        <v>1</v>
      </c>
      <c r="AU5" s="191">
        <f>AS5-AT5+1000</f>
        <v>1000</v>
      </c>
      <c r="AV5" s="191">
        <f t="shared" ref="AV5:AV7" si="19">IF(AO5&lt;&gt;"",AP5*3+AQ5*1,"")</f>
        <v>1</v>
      </c>
      <c r="AW5" s="191">
        <f t="shared" ref="AW5:AW7" si="20">IF(AO5&lt;&gt;"",VLOOKUP(AO5,$B$4:$H$40,7,FALSE),"")</f>
        <v>1001</v>
      </c>
      <c r="AX5" s="191">
        <f t="shared" ref="AX5:AX7" si="21">IF(AO5&lt;&gt;"",VLOOKUP(AO5,$B$4:$H$40,5,FALSE),"")</f>
        <v>3</v>
      </c>
      <c r="AY5" s="191">
        <f t="shared" ref="AY5:AY7" si="22">IF(AO5&lt;&gt;"",VLOOKUP(AO5,$B$4:$J$40,9,FALSE),"")</f>
        <v>37</v>
      </c>
      <c r="AZ5" s="191">
        <f t="shared" ref="AZ5:AZ7" si="23">AV5</f>
        <v>1</v>
      </c>
      <c r="BA5" s="191">
        <f>IF(AO5&lt;&gt;"",RANK(AZ5,AZ$4:AZ$8),"")</f>
        <v>1</v>
      </c>
      <c r="BB5" s="191">
        <f t="shared" ref="BB5:BB7" si="24">IF(AO5&lt;&gt;"",SUMPRODUCT((AZ$4:AZ$8=AZ5)*(AU$4:AU$8&gt;AU5)),"")</f>
        <v>0</v>
      </c>
      <c r="BC5" s="191">
        <f t="shared" ref="BC5:BC7" si="25">IF(AO5&lt;&gt;"",SUMPRODUCT((AZ$4:AZ$8=AZ5)*(AU$4:AU$8=AU5)*(AS$4:AS$8&gt;AS5)),"")</f>
        <v>0</v>
      </c>
      <c r="BD5" s="191">
        <f t="shared" ref="BD5:BD7" si="26">IF(AO5&lt;&gt;"",SUMPRODUCT((AZ$4:AZ$8=AZ5)*(AU$4:AU$8=AU5)*(AS$4:AS$8=AS5)*(AW$4:AW$8&gt;AW5)),"")</f>
        <v>0</v>
      </c>
      <c r="BE5" s="191">
        <f t="shared" ref="BE5:BE7" si="27">IF(AO5&lt;&gt;"",SUMPRODUCT((AZ$4:AZ$8=AZ5)*(AU$4:AU$8=AU5)*(AS$4:AS$8=AS5)*(AW$4:AW$8=AW5)*(AX$4:AX$8&gt;AX5)),"")</f>
        <v>0</v>
      </c>
      <c r="BF5" s="191">
        <f t="shared" ref="BF5:BF7" si="28">IF(AO5&lt;&gt;"",SUMPRODUCT((AZ$4:AZ$8=AZ5)*(AU$4:AU$8=AU5)*(AS$4:AS$8=AS5)*(AW$4:AW$8=AW5)*(AX$4:AX$8=AX5)*(AY$4:AY$8&gt;AY5)),"")</f>
        <v>0</v>
      </c>
      <c r="BG5" s="191">
        <f>IF(AO5&lt;&gt;"",IF(BG45&lt;&gt;"",IF(AN$43=3,BG45,BG45+AN$43),SUM(BA5:BF5)+1),"")</f>
        <v>2</v>
      </c>
      <c r="BH5" s="191" t="str">
        <f>IF(AO5&lt;&gt;"",INDEX(AO5:AO8,MATCH(2,BG5:BG8,0),0),"")</f>
        <v>Wales</v>
      </c>
      <c r="CW5" s="191" t="str">
        <f>IF(BH5&lt;&gt;"",BH5,IF(AN5&lt;&gt;"",AN5,N5))</f>
        <v>Wales</v>
      </c>
      <c r="CX5" s="191">
        <v>2</v>
      </c>
      <c r="CY5" s="191">
        <v>3</v>
      </c>
      <c r="CZ5" s="191" t="str">
        <f>Fixtures!G9</f>
        <v>Denmark</v>
      </c>
      <c r="DA5" s="191">
        <f>IF(AND(Fixtures!H9&lt;&gt;"",Fixtures!I9&lt;&gt;""),Fixtures!H9,0)</f>
        <v>0</v>
      </c>
      <c r="DB5" s="191">
        <f>IF(AND(Fixtures!I9&lt;&gt;"",Fixtures!H9&lt;&gt;""),Fixtures!I9,0)</f>
        <v>1</v>
      </c>
      <c r="DC5" s="191" t="str">
        <f>Fixtures!J9</f>
        <v>Finland</v>
      </c>
      <c r="DD5" s="191" t="str">
        <f>IF(AND(Fixtures!H9&lt;&gt;"",Fixtures!I9&lt;&gt;""),IF(DA5&gt;DB5,"W",IF(DA5=DB5,"D","L")),"")</f>
        <v>L</v>
      </c>
      <c r="DE5" s="191" t="str">
        <f t="shared" si="1"/>
        <v>W</v>
      </c>
      <c r="DH5" s="191" t="str">
        <f>Fixtures!P19</f>
        <v>Ukraine</v>
      </c>
      <c r="DI5" s="192">
        <f>Fixtures!U19</f>
        <v>1</v>
      </c>
      <c r="DJ5" s="192">
        <f>Fixtures!V19</f>
        <v>0</v>
      </c>
      <c r="DK5" s="192">
        <f>Fixtures!W19</f>
        <v>2</v>
      </c>
      <c r="DL5" s="192">
        <f>Fixtures!X19</f>
        <v>4</v>
      </c>
      <c r="DM5" s="192">
        <f>Fixtures!Z19</f>
        <v>5</v>
      </c>
      <c r="DN5" s="192">
        <f>Fixtures!AA19</f>
        <v>-1</v>
      </c>
      <c r="DO5" s="192">
        <f>Fixtures!AB19</f>
        <v>3</v>
      </c>
      <c r="DP5" s="191">
        <f>IF(Fixtures!AC19&lt;&gt;"",28,VLOOKUP(DH5,$B$4:$J$40,9,FALSE))</f>
        <v>50</v>
      </c>
      <c r="DQ5" s="191">
        <f t="shared" si="0"/>
        <v>4</v>
      </c>
      <c r="DR5" s="191">
        <f t="shared" si="2"/>
        <v>0</v>
      </c>
      <c r="DS5" s="191">
        <f t="shared" si="3"/>
        <v>0</v>
      </c>
      <c r="DT5" s="191">
        <f t="shared" si="4"/>
        <v>0</v>
      </c>
      <c r="DU5" s="191">
        <f t="shared" si="5"/>
        <v>4</v>
      </c>
      <c r="DV5" s="191" t="s">
        <v>122</v>
      </c>
      <c r="DW5" s="191">
        <v>3</v>
      </c>
    </row>
    <row r="6" spans="1:148" x14ac:dyDescent="0.35">
      <c r="A6" s="191">
        <f>VLOOKUP(B6,$CW$4:$CX$8,2,FALSE)</f>
        <v>2</v>
      </c>
      <c r="B6" s="191" t="str">
        <f>'Dummy Table'!EH9</f>
        <v>Wales</v>
      </c>
      <c r="C6" s="191">
        <f>SUMPRODUCT(($CZ$3:$CZ$42=$B6)*($DD$3:$DD$42="W"))+SUMPRODUCT(($DC$3:$DC$42=$B6)*($DE$3:$DE$42="W"))</f>
        <v>1</v>
      </c>
      <c r="D6" s="191">
        <f>SUMPRODUCT(($CZ$3:$CZ$42=$B6)*($DD$3:$DD$42="D"))+SUMPRODUCT(($DC$3:$DC$42=$B6)*($DE$3:$DE$42="D"))</f>
        <v>1</v>
      </c>
      <c r="E6" s="191">
        <f>SUMPRODUCT(($CZ$3:$CZ$42=$B6)*($DD$3:$DD$42="L"))+SUMPRODUCT(($DC$3:$DC$42=$B6)*($DE$3:$DE$42="L"))</f>
        <v>1</v>
      </c>
      <c r="F6" s="191">
        <f>SUMIF($CZ$3:$CZ$60,B6,$DA$3:$DA$60)+SUMIF($DC$3:$DC$60,B6,$DB$3:$DB$60)</f>
        <v>3</v>
      </c>
      <c r="G6" s="191">
        <f>SUMIF($DC$3:$DC$60,B6,$DA$3:$DA$60)+SUMIF($CZ$3:$CZ$60,B6,$DB$3:$DB$60)</f>
        <v>2</v>
      </c>
      <c r="H6" s="191">
        <f t="shared" si="6"/>
        <v>1001</v>
      </c>
      <c r="I6" s="191">
        <f t="shared" si="7"/>
        <v>4</v>
      </c>
      <c r="J6" s="191">
        <v>37</v>
      </c>
      <c r="K6" s="191">
        <f>IF(COUNTIF(I4:I8,4)&lt;&gt;4,RANK(I6,I4:I8),I46)</f>
        <v>2</v>
      </c>
      <c r="M6" s="191">
        <f>SUMPRODUCT((K4:K7=K6)*(J4:J7&lt;J6))+K6</f>
        <v>2</v>
      </c>
      <c r="N6" s="191" t="str">
        <f>INDEX($B$4:$B$8,MATCH(3,$M$4:$M$8,0),0)</f>
        <v>Switzerland</v>
      </c>
      <c r="O6" s="191">
        <f>INDEX($K$4:$K$8,MATCH(N6,$B$4:$B$8,0),0)</f>
        <v>2</v>
      </c>
      <c r="P6" s="191" t="str">
        <f>IF(AND(P5&lt;&gt;"",O6=1),N6,"")</f>
        <v/>
      </c>
      <c r="Q6" s="191" t="str">
        <f>IF(AND(Q5&lt;&gt;"",O7=2),N7,"")</f>
        <v/>
      </c>
      <c r="R6" s="191" t="str">
        <f>IF(AND(R5&lt;&gt;"",O8=3),N8,"")</f>
        <v/>
      </c>
      <c r="U6" s="191" t="str">
        <f t="shared" si="8"/>
        <v/>
      </c>
      <c r="V6" s="191">
        <f>SUMPRODUCT(($CZ$3:$CZ$42=$U6)*($DC$3:$DC$42=$U7)*($DD$3:$DD$42="W"))+SUMPRODUCT(($CZ$3:$CZ$42=$U6)*($DC$3:$DC$42=$U8)*($DD$3:$DD$42="W"))+SUMPRODUCT(($CZ$3:$CZ$42=$U6)*($DC$3:$DC$42=$U4)*($DD$3:$DD$42="W"))+SUMPRODUCT(($CZ$3:$CZ$42=$U6)*($DC$3:$DC$42=$U5)*($DD$3:$DD$42="W"))+SUMPRODUCT(($CZ$3:$CZ$42=$U7)*($DC$3:$DC$42=$U6)*($DE$3:$DE$42="W"))+SUMPRODUCT(($CZ$3:$CZ$42=$U8)*($DC$3:$DC$42=$U6)*($DE$3:$DE$42="W"))+SUMPRODUCT(($CZ$3:$CZ$42=$U4)*($DC$3:$DC$42=$U6)*($DE$3:$DE$42="W"))+SUMPRODUCT(($CZ$3:$CZ$42=$U5)*($DC$3:$DC$42=$U6)*($DE$3:$DE$42="W"))</f>
        <v>0</v>
      </c>
      <c r="W6" s="191">
        <f>SUMPRODUCT(($CZ$3:$CZ$42=$U6)*($DC$3:$DC$42=$U7)*($DD$3:$DD$42="D"))+SUMPRODUCT(($CZ$3:$CZ$42=$U6)*($DC$3:$DC$42=$U8)*($DD$3:$DD$42="D"))+SUMPRODUCT(($CZ$3:$CZ$42=$U6)*($DC$3:$DC$42=$U4)*($DD$3:$DD$42="D"))+SUMPRODUCT(($CZ$3:$CZ$42=$U6)*($DC$3:$DC$42=$U5)*($DD$3:$DD$42="D"))+SUMPRODUCT(($CZ$3:$CZ$42=$U7)*($DC$3:$DC$42=$U6)*($DD$3:$DD$42="D"))+SUMPRODUCT(($CZ$3:$CZ$42=$U8)*($DC$3:$DC$42=$U6)*($DD$3:$DD$42="D"))+SUMPRODUCT(($CZ$3:$CZ$42=$U4)*($DC$3:$DC$42=$U6)*($DD$3:$DD$42="D"))+SUMPRODUCT(($CZ$3:$CZ$42=$U5)*($DC$3:$DC$42=$U6)*($DD$3:$DD$42="D"))</f>
        <v>0</v>
      </c>
      <c r="X6" s="191">
        <f>SUMPRODUCT(($CZ$3:$CZ$42=$U6)*($DC$3:$DC$42=$U7)*($DD$3:$DD$42="L"))+SUMPRODUCT(($CZ$3:$CZ$42=$U6)*($DC$3:$DC$42=$U8)*($DD$3:$DD$42="L"))+SUMPRODUCT(($CZ$3:$CZ$42=$U6)*($DC$3:$DC$42=$U4)*($DD$3:$DD$42="L"))+SUMPRODUCT(($CZ$3:$CZ$42=$U6)*($DC$3:$DC$42=$U5)*($DD$3:$DD$42="L"))+SUMPRODUCT(($CZ$3:$CZ$42=$U7)*($DC$3:$DC$42=$U6)*($DE$3:$DE$42="L"))+SUMPRODUCT(($CZ$3:$CZ$42=$U8)*($DC$3:$DC$42=$U6)*($DE$3:$DE$42="L"))+SUMPRODUCT(($CZ$3:$CZ$42=$U4)*($DC$3:$DC$42=$U6)*($DE$3:$DE$42="L"))+SUMPRODUCT(($CZ$3:$CZ$42=$U5)*($DC$3:$DC$42=$U6)*($DE$3:$DE$42="L"))</f>
        <v>0</v>
      </c>
      <c r="Y6" s="191">
        <f>SUMPRODUCT(($CZ$3:$CZ$42=$U6)*($DC$3:$DC$42=$U7)*$DA$3:$DA$42)+SUMPRODUCT(($CZ$3:$CZ$42=$U6)*($DC$3:$DC$42=$U8)*$DA$3:$DA$42)+SUMPRODUCT(($CZ$3:$CZ$42=$U6)*($DC$3:$DC$42=$U4)*$DA$3:$DA$42)+SUMPRODUCT(($CZ$3:$CZ$42=$U6)*($DC$3:$DC$42=$U5)*$DA$3:$DA$42)+SUMPRODUCT(($CZ$3:$CZ$42=$U7)*($DC$3:$DC$42=$U6)*$DB$3:$DB$42)+SUMPRODUCT(($CZ$3:$CZ$42=$U8)*($DC$3:$DC$42=$U6)*$DB$3:$DB$42)+SUMPRODUCT(($CZ$3:$CZ$42=$U4)*($DC$3:$DC$42=$U6)*$DB$3:$DB$42)+SUMPRODUCT(($CZ$3:$CZ$42=$U5)*($DC$3:$DC$42=$U6)*$DB$3:$DB$42)</f>
        <v>0</v>
      </c>
      <c r="Z6" s="191">
        <f>SUMPRODUCT(($CZ$3:$CZ$42=$U6)*($DC$3:$DC$42=$U7)*$DB$3:$DB$42)+SUMPRODUCT(($CZ$3:$CZ$42=$U6)*($DC$3:$DC$42=$U8)*$DB$3:$DB$42)+SUMPRODUCT(($CZ$3:$CZ$42=$U6)*($DC$3:$DC$42=$U4)*$DB$3:$DB$42)+SUMPRODUCT(($CZ$3:$CZ$42=$U6)*($DC$3:$DC$42=$U5)*$DB$3:$DB$42)+SUMPRODUCT(($CZ$3:$CZ$42=$U7)*($DC$3:$DC$42=$U6)*$DA$3:$DA$42)+SUMPRODUCT(($CZ$3:$CZ$42=$U8)*($DC$3:$DC$42=$U6)*$DA$3:$DA$42)+SUMPRODUCT(($CZ$3:$CZ$42=$U4)*($DC$3:$DC$42=$U6)*$DA$3:$DA$42)+SUMPRODUCT(($CZ$3:$CZ$42=$U5)*($DC$3:$DC$42=$U6)*$DA$3:$DA$42)</f>
        <v>0</v>
      </c>
      <c r="AA6" s="191">
        <f>Y6-Z6+1000</f>
        <v>1000</v>
      </c>
      <c r="AB6" s="191" t="str">
        <f t="shared" si="9"/>
        <v/>
      </c>
      <c r="AC6" s="191" t="str">
        <f t="shared" si="10"/>
        <v/>
      </c>
      <c r="AD6" s="191" t="str">
        <f t="shared" si="11"/>
        <v/>
      </c>
      <c r="AE6" s="191" t="str">
        <f t="shared" si="12"/>
        <v/>
      </c>
      <c r="AF6" s="191" t="str">
        <f t="shared" si="13"/>
        <v/>
      </c>
      <c r="AG6" s="191" t="str">
        <f>IF(U6&lt;&gt;"",RANK(AF6,AF$4:AF$8),"")</f>
        <v/>
      </c>
      <c r="AH6" s="191" t="str">
        <f t="shared" si="14"/>
        <v/>
      </c>
      <c r="AI6" s="191" t="str">
        <f t="shared" si="15"/>
        <v/>
      </c>
      <c r="AJ6" s="191" t="str">
        <f t="shared" si="16"/>
        <v/>
      </c>
      <c r="AK6" s="191" t="str">
        <f t="shared" si="17"/>
        <v/>
      </c>
      <c r="AL6" s="191" t="str">
        <f t="shared" si="18"/>
        <v/>
      </c>
      <c r="AM6" s="191" t="str">
        <f t="shared" ref="AM6:AM7" si="29">IF(U6&lt;&gt;"",IF(AM46&lt;&gt;"",IF(T$43=3,AM46,AM46+T$43),SUM(AG6:AL6)),"")</f>
        <v/>
      </c>
      <c r="AN6" s="191" t="str">
        <f>IF(U6&lt;&gt;"",INDEX($U$4:$U$8,MATCH(3,$AM$4:$AM$8,0),0),"")</f>
        <v/>
      </c>
      <c r="AO6" s="191" t="str">
        <f>IF(Q5&lt;&gt;"",Q5,"")</f>
        <v>Switzerland</v>
      </c>
      <c r="AP6" s="191">
        <f>SUMPRODUCT(($CZ$3:$CZ$42=$AO6)*($DC$3:$DC$42=$AO7)*($DD$3:$DD$42="W"))+SUMPRODUCT(($CZ$3:$CZ$42=$AO6)*($DC$3:$DC$42=$AO8)*($DD$3:$DD$42="W"))+SUMPRODUCT(($CZ$3:$CZ$42=$AO6)*($DC$3:$DC$42=$AO5)*($DD$3:$DD$42="W"))+SUMPRODUCT(($CZ$3:$CZ$42=$AO7)*($DC$3:$DC$42=$AO6)*($DE$3:$DE$42="W"))+SUMPRODUCT(($CZ$3:$CZ$42=$AO8)*($DC$3:$DC$42=$AO6)*($DE$3:$DE$42="W"))+SUMPRODUCT(($CZ$3:$CZ$42=$AO5)*($DC$3:$DC$42=$AO6)*($DE$3:$DE$42="W"))</f>
        <v>0</v>
      </c>
      <c r="AQ6" s="191">
        <f>SUMPRODUCT(($CZ$3:$CZ$42=$AO6)*($DC$3:$DC$42=$AO7)*($DD$3:$DD$42="D"))+SUMPRODUCT(($CZ$3:$CZ$42=$AO6)*($DC$3:$DC$42=$AO8)*($DD$3:$DD$42="D"))+SUMPRODUCT(($CZ$3:$CZ$42=$AO6)*($DC$3:$DC$42=$AO5)*($DD$3:$DD$42="D"))+SUMPRODUCT(($CZ$3:$CZ$42=$AO7)*($DC$3:$DC$42=$AO6)*($DD$3:$DD$42="D"))+SUMPRODUCT(($CZ$3:$CZ$42=$AO8)*($DC$3:$DC$42=$AO6)*($DD$3:$DD$42="D"))+SUMPRODUCT(($CZ$3:$CZ$42=$AO5)*($DC$3:$DC$42=$AO6)*($DD$3:$DD$42="D"))</f>
        <v>1</v>
      </c>
      <c r="AR6" s="191">
        <f>SUMPRODUCT(($CZ$3:$CZ$42=$AO6)*($DC$3:$DC$42=$AO7)*($DD$3:$DD$42="L"))+SUMPRODUCT(($CZ$3:$CZ$42=$AO6)*($DC$3:$DC$42=$AO8)*($DD$3:$DD$42="L"))+SUMPRODUCT(($CZ$3:$CZ$42=$AO6)*($DC$3:$DC$42=$AO5)*($DD$3:$DD$42="L"))+SUMPRODUCT(($CZ$3:$CZ$42=$AO7)*($DC$3:$DC$42=$AO6)*($DE$3:$DE$42="L"))+SUMPRODUCT(($CZ$3:$CZ$42=$AO8)*($DC$3:$DC$42=$AO6)*($DE$3:$DE$42="L"))+SUMPRODUCT(($CZ$3:$CZ$42=$AO5)*($DC$3:$DC$42=$AO6)*($DE$3:$DE$42="L"))</f>
        <v>0</v>
      </c>
      <c r="AS6" s="191">
        <f>SUMPRODUCT(($CZ$3:$CZ$42=$AO6)*($DC$3:$DC$42=$AO7)*$DA$3:$DA$42)+SUMPRODUCT(($CZ$3:$CZ$42=$AO6)*($DC$3:$DC$42=$AO8)*$DA$3:$DA$42)+SUMPRODUCT(($CZ$3:$CZ$42=$AO6)*($DC$3:$DC$42=$AO4)*$DA$3:$DA$42)+SUMPRODUCT(($CZ$3:$CZ$42=$AO6)*($DC$3:$DC$42=$AO5)*$DA$3:$DA$42)+SUMPRODUCT(($CZ$3:$CZ$42=$AO7)*($DC$3:$DC$42=$AO6)*$DB$3:$DB$42)+SUMPRODUCT(($CZ$3:$CZ$42=$AO8)*($DC$3:$DC$42=$AO6)*$DB$3:$DB$42)+SUMPRODUCT(($CZ$3:$CZ$42=$AO4)*($DC$3:$DC$42=$AO6)*$DB$3:$DB$42)+SUMPRODUCT(($CZ$3:$CZ$42=$AO5)*($DC$3:$DC$42=$AO6)*$DB$3:$DB$42)</f>
        <v>1</v>
      </c>
      <c r="AT6" s="191">
        <f>SUMPRODUCT(($CZ$3:$CZ$42=$AO6)*($DC$3:$DC$42=$AO7)*$DB$3:$DB$42)+SUMPRODUCT(($CZ$3:$CZ$42=$AO6)*($DC$3:$DC$42=$AO8)*$DB$3:$DB$42)+SUMPRODUCT(($CZ$3:$CZ$42=$AO6)*($DC$3:$DC$42=$AO4)*$DB$3:$DB$42)+SUMPRODUCT(($CZ$3:$CZ$42=$AO6)*($DC$3:$DC$42=$AO5)*$DB$3:$DB$42)+SUMPRODUCT(($CZ$3:$CZ$42=$AO7)*($DC$3:$DC$42=$AO6)*$DA$3:$DA$42)+SUMPRODUCT(($CZ$3:$CZ$42=$AO8)*($DC$3:$DC$42=$AO6)*$DA$3:$DA$42)+SUMPRODUCT(($CZ$3:$CZ$42=$AO4)*($DC$3:$DC$42=$AO6)*$DA$3:$DA$42)+SUMPRODUCT(($CZ$3:$CZ$42=$AO5)*($DC$3:$DC$42=$AO6)*$DA$3:$DA$42)</f>
        <v>1</v>
      </c>
      <c r="AU6" s="191">
        <f>AS6-AT6+1000</f>
        <v>1000</v>
      </c>
      <c r="AV6" s="191">
        <f t="shared" si="19"/>
        <v>1</v>
      </c>
      <c r="AW6" s="191">
        <f t="shared" si="20"/>
        <v>999</v>
      </c>
      <c r="AX6" s="191">
        <f t="shared" si="21"/>
        <v>4</v>
      </c>
      <c r="AY6" s="191">
        <f t="shared" si="22"/>
        <v>47</v>
      </c>
      <c r="AZ6" s="191">
        <f t="shared" si="23"/>
        <v>1</v>
      </c>
      <c r="BA6" s="191">
        <f>IF(AO6&lt;&gt;"",RANK(AZ6,AZ$4:AZ$8),"")</f>
        <v>1</v>
      </c>
      <c r="BB6" s="191">
        <f t="shared" si="24"/>
        <v>0</v>
      </c>
      <c r="BC6" s="191">
        <f t="shared" si="25"/>
        <v>0</v>
      </c>
      <c r="BD6" s="191">
        <f t="shared" si="26"/>
        <v>1</v>
      </c>
      <c r="BE6" s="191">
        <f t="shared" si="27"/>
        <v>0</v>
      </c>
      <c r="BF6" s="191">
        <f t="shared" si="28"/>
        <v>0</v>
      </c>
      <c r="BG6" s="191">
        <f t="shared" ref="BG6:BG7" si="30">IF(AO6&lt;&gt;"",IF(BG46&lt;&gt;"",IF(AN$43=3,BG46,BG46+AN$43),SUM(BA6:BF6)+1),"")</f>
        <v>3</v>
      </c>
      <c r="BH6" s="191" t="str">
        <f>IF(AO6&lt;&gt;"",INDEX(AO5:AO8,MATCH(3,BG5:BG8,0),0),"")</f>
        <v>Switzerland</v>
      </c>
      <c r="BI6" s="191" t="str">
        <f>IF(R4&lt;&gt;"",R4,"")</f>
        <v/>
      </c>
      <c r="BJ6" s="191">
        <f>SUMPRODUCT(($CZ$3:$CZ$42=$BI6)*($DC$3:$DC$42=$BI7)*($DD$3:$DD$42="W"))+SUMPRODUCT(($CZ$3:$CZ$42=$BI6)*($DC$3:$DC$42=$BI8)*($DD$3:$DD$42="W"))+SUMPRODUCT(($CZ$3:$CZ$42=$BI6)*($DC$3:$DC$42=$BI9)*($DD$3:$DD$42="W"))+SUMPRODUCT(($CZ$3:$CZ$42=$BI7)*($DC$3:$DC$42=$BI6)*($DE$3:$DE$42="W"))+SUMPRODUCT(($CZ$3:$CZ$42=$BI8)*($DC$3:$DC$42=$BI6)*($DE$3:$DE$42="W"))+SUMPRODUCT(($CZ$3:$CZ$42=$BI9)*($DC$3:$DC$42=$BI6)*($DE$3:$DE$42="W"))</f>
        <v>0</v>
      </c>
      <c r="BK6" s="191">
        <f>SUMPRODUCT(($CZ$3:$CZ$42=$BI6)*($DC$3:$DC$42=$BI7)*($DD$3:$DD$42="D"))+SUMPRODUCT(($CZ$3:$CZ$42=$BI6)*($DC$3:$DC$42=$BI8)*($DD$3:$DD$42="D"))+SUMPRODUCT(($CZ$3:$CZ$42=$BI6)*($DC$3:$DC$42=$BI9)*($DD$3:$DD$42="D"))+SUMPRODUCT(($CZ$3:$CZ$42=$BI7)*($DC$3:$DC$42=$BI6)*($DD$3:$DD$42="D"))+SUMPRODUCT(($CZ$3:$CZ$42=$BI8)*($DC$3:$DC$42=$BI6)*($DD$3:$DD$42="D"))+SUMPRODUCT(($CZ$3:$CZ$42=$BI9)*($DC$3:$DC$42=$BI6)*($DD$3:$DD$42="D"))</f>
        <v>0</v>
      </c>
      <c r="BL6" s="191">
        <f>SUMPRODUCT(($CZ$3:$CZ$42=$BI6)*($DC$3:$DC$42=$BI7)*($DD$3:$DD$42="L"))+SUMPRODUCT(($CZ$3:$CZ$42=$BI6)*($DC$3:$DC$42=$BI8)*($DD$3:$DD$42="L"))+SUMPRODUCT(($CZ$3:$CZ$42=$BI6)*($DC$3:$DC$42=$BI9)*($DD$3:$DD$42="L"))+SUMPRODUCT(($CZ$3:$CZ$42=$BI7)*($DC$3:$DC$42=$BI6)*($DE$3:$DE$42="L"))+SUMPRODUCT(($CZ$3:$CZ$42=$BI8)*($DC$3:$DC$42=$BI6)*($DE$3:$DE$42="L"))+SUMPRODUCT(($CZ$3:$CZ$42=$BI9)*($DC$3:$DC$42=$BI6)*($DE$3:$DE$42="L"))</f>
        <v>0</v>
      </c>
      <c r="BM6" s="191">
        <f>SUMPRODUCT(($CZ$3:$CZ$42=$BI6)*($DC$3:$DC$42=$BI7)*$DA$3:$DA$42)+SUMPRODUCT(($CZ$3:$CZ$42=$BI6)*($DC$3:$DC$42=$BI8)*$DA$3:$DA$42)+SUMPRODUCT(($CZ$3:$CZ$42=$BI6)*($DC$3:$DC$42=$BI4)*$DA$3:$DA$42)+SUMPRODUCT(($CZ$3:$CZ$42=$BI6)*($DC$3:$DC$42=$BI5)*$DA$3:$DA$42)+SUMPRODUCT(($CZ$3:$CZ$42=$BI7)*($DC$3:$DC$42=$BI6)*$DB$3:$DB$42)+SUMPRODUCT(($CZ$3:$CZ$42=$BI8)*($DC$3:$DC$42=$BI6)*$DB$3:$DB$42)+SUMPRODUCT(($CZ$3:$CZ$42=$BI4)*($DC$3:$DC$42=$BI6)*$DB$3:$DB$42)+SUMPRODUCT(($CZ$3:$CZ$42=$BI5)*($DC$3:$DC$42=$BI6)*$DB$3:$DB$42)</f>
        <v>0</v>
      </c>
      <c r="BN6" s="191">
        <f>SUMPRODUCT(($CZ$3:$CZ$42=$BI6)*($DC$3:$DC$42=$BI7)*$DB$3:$DB$42)+SUMPRODUCT(($CZ$3:$CZ$42=$BI6)*($DC$3:$DC$42=$BI8)*$DB$3:$DB$42)+SUMPRODUCT(($CZ$3:$CZ$42=$BI6)*($DC$3:$DC$42=$BI4)*$DB$3:$DB$42)+SUMPRODUCT(($CZ$3:$CZ$42=$BI6)*($DC$3:$DC$42=$BI5)*$DB$3:$DB$42)+SUMPRODUCT(($CZ$3:$CZ$42=$BI7)*($DC$3:$DC$42=$BI6)*$DA$3:$DA$42)+SUMPRODUCT(($CZ$3:$CZ$42=$BI8)*($DC$3:$DC$42=$BI6)*$DA$3:$DA$42)+SUMPRODUCT(($CZ$3:$CZ$42=$BI4)*($DC$3:$DC$42=$BI6)*$DA$3:$DA$42)+SUMPRODUCT(($CZ$3:$CZ$42=$BI5)*($DC$3:$DC$42=$BI6)*$DA$3:$DA$42)</f>
        <v>0</v>
      </c>
      <c r="BO6" s="191">
        <f>BM6-BN6+1000</f>
        <v>1000</v>
      </c>
      <c r="BP6" s="191" t="str">
        <f t="shared" ref="BP6:BP7" si="31">IF(BI6&lt;&gt;"",BJ6*3+BK6*1,"")</f>
        <v/>
      </c>
      <c r="BQ6" s="191" t="str">
        <f t="shared" ref="BQ6:BQ7" si="32">IF(BI6&lt;&gt;"",VLOOKUP(BI6,$B$4:$H$40,7,FALSE),"")</f>
        <v/>
      </c>
      <c r="BR6" s="191" t="str">
        <f t="shared" ref="BR6:BR7" si="33">IF(BI6&lt;&gt;"",VLOOKUP(BI6,$B$4:$H$40,5,FALSE),"")</f>
        <v/>
      </c>
      <c r="BS6" s="191" t="str">
        <f t="shared" ref="BS6:BS7" si="34">IF(BI6&lt;&gt;"",VLOOKUP(BI6,$B$4:$J$40,9,FALSE),"")</f>
        <v/>
      </c>
      <c r="BT6" s="191" t="str">
        <f t="shared" ref="BT6:BT7" si="35">BP6</f>
        <v/>
      </c>
      <c r="BU6" s="191" t="str">
        <f>IF(BI6&lt;&gt;"",RANK(BT6,BT$4:BT$8),"")</f>
        <v/>
      </c>
      <c r="BV6" s="191" t="str">
        <f t="shared" ref="BV6:BV7" si="36">IF(BI6&lt;&gt;"",SUMPRODUCT((BT$4:BT$8=BT6)*(BO$4:BO$8&gt;BO6)),"")</f>
        <v/>
      </c>
      <c r="BW6" s="191" t="str">
        <f t="shared" ref="BW6:BW7" si="37">IF(BI6&lt;&gt;"",SUMPRODUCT((BT$4:BT$8=BT6)*(BO$4:BO$8=BO6)*(BM$4:BM$8&gt;BM6)),"")</f>
        <v/>
      </c>
      <c r="BX6" s="191" t="str">
        <f t="shared" ref="BX6:BX7" si="38">IF(BI6&lt;&gt;"",SUMPRODUCT((BT$4:BT$8=BT6)*(BO$4:BO$8=BO6)*(BM$4:BM$8=BM6)*(BQ$4:BQ$8&gt;BQ6)),"")</f>
        <v/>
      </c>
      <c r="BY6" s="191" t="str">
        <f t="shared" ref="BY6:BY7" si="39">IF(BI6&lt;&gt;"",SUMPRODUCT((BT$4:BT$8=BT6)*(BO$4:BO$8=BO6)*(BM$4:BM$8=BM6)*(BQ$4:BQ$8=BQ6)*(BR$4:BR$8&gt;BR6)),"")</f>
        <v/>
      </c>
      <c r="BZ6" s="191" t="str">
        <f t="shared" ref="BZ6:BZ7" si="40">IF(BI6&lt;&gt;"",SUMPRODUCT((BT$4:BT$8=BT6)*(BO$4:BO$8=BO6)*(BM$4:BM$8=BM6)*(BQ$4:BQ$8=BQ6)*(BR$4:BR$8=BR6)*(BS$4:BS$8&gt;BS6)),"")</f>
        <v/>
      </c>
      <c r="CA6" s="191" t="str">
        <f>IF(BI6&lt;&gt;"",SUM(BU6:BZ6)+2,"")</f>
        <v/>
      </c>
      <c r="CB6" s="191" t="str">
        <f>IF(BI6&lt;&gt;"",INDEX(BI6:BI8,MATCH(3,CA6:CA8,0),0),"")</f>
        <v/>
      </c>
      <c r="CW6" s="191" t="str">
        <f>IF(CB6&lt;&gt;"",CB6,IF(BH6&lt;&gt;"",BH6,IF(AN6&lt;&gt;"",AN6,N6)))</f>
        <v>Switzerland</v>
      </c>
      <c r="CX6" s="191">
        <v>3</v>
      </c>
      <c r="CY6" s="191">
        <v>4</v>
      </c>
      <c r="CZ6" s="191" t="str">
        <f>Fixtures!G10</f>
        <v>Belgium</v>
      </c>
      <c r="DA6" s="191">
        <f>IF(AND(Fixtures!H10&lt;&gt;"",Fixtures!I10&lt;&gt;""),Fixtures!H10,0)</f>
        <v>3</v>
      </c>
      <c r="DB6" s="191">
        <f>IF(AND(Fixtures!I10&lt;&gt;"",Fixtures!H10&lt;&gt;""),Fixtures!I10,0)</f>
        <v>0</v>
      </c>
      <c r="DC6" s="191" t="str">
        <f>Fixtures!J10</f>
        <v>Russia</v>
      </c>
      <c r="DD6" s="191" t="str">
        <f>IF(AND(Fixtures!H10&lt;&gt;"",Fixtures!I10&lt;&gt;""),IF(DA6&gt;DB6,"W",IF(DA6=DB6,"D","L")),"")</f>
        <v>W</v>
      </c>
      <c r="DE6" s="191" t="str">
        <f t="shared" si="1"/>
        <v>L</v>
      </c>
      <c r="DH6" s="191" t="str">
        <f>Fixtures!P24</f>
        <v>Czech Republic</v>
      </c>
      <c r="DI6" s="192">
        <f>Fixtures!U24</f>
        <v>1</v>
      </c>
      <c r="DJ6" s="192">
        <f>Fixtures!V24</f>
        <v>1</v>
      </c>
      <c r="DK6" s="192">
        <f>Fixtures!W24</f>
        <v>1</v>
      </c>
      <c r="DL6" s="192">
        <f>Fixtures!X24</f>
        <v>3</v>
      </c>
      <c r="DM6" s="192">
        <f>Fixtures!Z24</f>
        <v>2</v>
      </c>
      <c r="DN6" s="192">
        <f>Fixtures!AA24</f>
        <v>1</v>
      </c>
      <c r="DO6" s="192">
        <f>Fixtures!AB24</f>
        <v>4</v>
      </c>
      <c r="DP6" s="191">
        <f>IF(Fixtures!AC24&lt;&gt;"",27,VLOOKUP(DH6,$B$4:$J$40,9,FALSE))</f>
        <v>38</v>
      </c>
      <c r="DQ6" s="191">
        <f t="shared" si="0"/>
        <v>1</v>
      </c>
      <c r="DR6" s="191">
        <f t="shared" si="2"/>
        <v>0</v>
      </c>
      <c r="DS6" s="191">
        <f t="shared" si="3"/>
        <v>1</v>
      </c>
      <c r="DT6" s="191">
        <f t="shared" si="4"/>
        <v>0</v>
      </c>
      <c r="DU6" s="191">
        <f t="shared" si="5"/>
        <v>2</v>
      </c>
      <c r="DV6" s="191" t="s">
        <v>109</v>
      </c>
      <c r="DW6" s="191">
        <v>4</v>
      </c>
      <c r="EF6" s="195" t="s">
        <v>45</v>
      </c>
      <c r="EG6" s="195"/>
      <c r="EH6" s="195" t="s">
        <v>47</v>
      </c>
      <c r="EI6" s="195"/>
      <c r="EJ6" s="195"/>
      <c r="EK6" s="191" t="s">
        <v>41</v>
      </c>
    </row>
    <row r="7" spans="1:148" x14ac:dyDescent="0.35">
      <c r="A7" s="191">
        <f>VLOOKUP(B7,$CW$4:$CX$8,2,FALSE)</f>
        <v>3</v>
      </c>
      <c r="B7" s="191" t="str">
        <f>'Dummy Table'!EH10</f>
        <v>Switzerland</v>
      </c>
      <c r="C7" s="191">
        <f>SUMPRODUCT(($CZ$3:$CZ$42=$B7)*($DD$3:$DD$42="W"))+SUMPRODUCT(($DC$3:$DC$42=$B7)*($DE$3:$DE$42="W"))</f>
        <v>1</v>
      </c>
      <c r="D7" s="191">
        <f>SUMPRODUCT(($CZ$3:$CZ$42=$B7)*($DD$3:$DD$42="D"))+SUMPRODUCT(($DC$3:$DC$42=$B7)*($DE$3:$DE$42="D"))</f>
        <v>1</v>
      </c>
      <c r="E7" s="191">
        <f>SUMPRODUCT(($CZ$3:$CZ$42=$B7)*($DD$3:$DD$42="L"))+SUMPRODUCT(($DC$3:$DC$42=$B7)*($DE$3:$DE$42="L"))</f>
        <v>1</v>
      </c>
      <c r="F7" s="191">
        <f>SUMIF($CZ$3:$CZ$60,B7,$DA$3:$DA$60)+SUMIF($DC$3:$DC$60,B7,$DB$3:$DB$60)</f>
        <v>4</v>
      </c>
      <c r="G7" s="191">
        <f>SUMIF($DC$3:$DC$60,B7,$DA$3:$DA$60)+SUMIF($CZ$3:$CZ$60,B7,$DB$3:$DB$60)</f>
        <v>5</v>
      </c>
      <c r="H7" s="191">
        <f t="shared" si="6"/>
        <v>999</v>
      </c>
      <c r="I7" s="191">
        <f t="shared" si="7"/>
        <v>4</v>
      </c>
      <c r="J7" s="191">
        <v>47</v>
      </c>
      <c r="K7" s="191">
        <f>IF(COUNTIF(I4:I8,4)&lt;&gt;4,RANK(I7,I4:I8),I47)</f>
        <v>2</v>
      </c>
      <c r="M7" s="191">
        <f>SUMPRODUCT((K4:K7=K7)*(J4:J7&lt;J7))+K7</f>
        <v>3</v>
      </c>
      <c r="N7" s="191" t="str">
        <f>INDEX($B$4:$B$8,MATCH(4,$M$4:$M$8,0),0)</f>
        <v>Turkey</v>
      </c>
      <c r="O7" s="191">
        <f>INDEX($K$4:$K$8,MATCH(N7,$B$4:$B$8,0),0)</f>
        <v>4</v>
      </c>
      <c r="P7" s="191" t="str">
        <f>IF(AND(P6&lt;&gt;"",O7=1),N7,"")</f>
        <v/>
      </c>
      <c r="Q7" s="191" t="str">
        <f>IF(AND(Q6&lt;&gt;"",O8=2),N8,"")</f>
        <v/>
      </c>
      <c r="U7" s="191" t="str">
        <f t="shared" si="8"/>
        <v/>
      </c>
      <c r="V7" s="191">
        <f>SUMPRODUCT(($CZ$3:$CZ$42=$U7)*($DC$3:$DC$42=$U8)*($DD$3:$DD$42="W"))+SUMPRODUCT(($CZ$3:$CZ$42=$U7)*($DC$3:$DC$42=$U4)*($DD$3:$DD$42="W"))+SUMPRODUCT(($CZ$3:$CZ$42=$U7)*($DC$3:$DC$42=$U5)*($DD$3:$DD$42="W"))+SUMPRODUCT(($CZ$3:$CZ$42=$U7)*($DC$3:$DC$42=$U6)*($DD$3:$DD$42="W"))+SUMPRODUCT(($CZ$3:$CZ$42=$U8)*($DC$3:$DC$42=$U7)*($DE$3:$DE$42="W"))+SUMPRODUCT(($CZ$3:$CZ$42=$U4)*($DC$3:$DC$42=$U7)*($DE$3:$DE$42="W"))+SUMPRODUCT(($CZ$3:$CZ$42=$U5)*($DC$3:$DC$42=$U7)*($DE$3:$DE$42="W"))+SUMPRODUCT(($CZ$3:$CZ$42=$U6)*($DC$3:$DC$42=$U7)*($DE$3:$DE$42="W"))</f>
        <v>0</v>
      </c>
      <c r="W7" s="191">
        <f>SUMPRODUCT(($CZ$3:$CZ$42=$U7)*($DC$3:$DC$42=$U8)*($DD$3:$DD$42="D"))+SUMPRODUCT(($CZ$3:$CZ$42=$U7)*($DC$3:$DC$42=$U4)*($DD$3:$DD$42="D"))+SUMPRODUCT(($CZ$3:$CZ$42=$U7)*($DC$3:$DC$42=$U5)*($DD$3:$DD$42="D"))+SUMPRODUCT(($CZ$3:$CZ$42=$U7)*($DC$3:$DC$42=$U6)*($DD$3:$DD$42="D"))+SUMPRODUCT(($CZ$3:$CZ$42=$U8)*($DC$3:$DC$42=$U7)*($DD$3:$DD$42="D"))+SUMPRODUCT(($CZ$3:$CZ$42=$U4)*($DC$3:$DC$42=$U7)*($DD$3:$DD$42="D"))+SUMPRODUCT(($CZ$3:$CZ$42=$U5)*($DC$3:$DC$42=$U7)*($DD$3:$DD$42="D"))+SUMPRODUCT(($CZ$3:$CZ$42=$U6)*($DC$3:$DC$42=$U7)*($DD$3:$DD$42="D"))</f>
        <v>0</v>
      </c>
      <c r="X7" s="191">
        <f>SUMPRODUCT(($CZ$3:$CZ$42=$U7)*($DC$3:$DC$42=$U8)*($DD$3:$DD$42="L"))+SUMPRODUCT(($CZ$3:$CZ$42=$U7)*($DC$3:$DC$42=$U4)*($DD$3:$DD$42="L"))+SUMPRODUCT(($CZ$3:$CZ$42=$U7)*($DC$3:$DC$42=$U5)*($DD$3:$DD$42="L"))+SUMPRODUCT(($CZ$3:$CZ$42=$U7)*($DC$3:$DC$42=$U6)*($DD$3:$DD$42="L"))+SUMPRODUCT(($CZ$3:$CZ$42=$U8)*($DC$3:$DC$42=$U7)*($DE$3:$DE$42="L"))+SUMPRODUCT(($CZ$3:$CZ$42=$U4)*($DC$3:$DC$42=$U7)*($DE$3:$DE$42="L"))+SUMPRODUCT(($CZ$3:$CZ$42=$U5)*($DC$3:$DC$42=$U7)*($DE$3:$DE$42="L"))+SUMPRODUCT(($CZ$3:$CZ$42=$U6)*($DC$3:$DC$42=$U7)*($DE$3:$DE$42="L"))</f>
        <v>0</v>
      </c>
      <c r="Y7" s="191">
        <f>SUMPRODUCT(($CZ$3:$CZ$42=$U7)*($DC$3:$DC$42=$U8)*$DA$3:$DA$42)+SUMPRODUCT(($CZ$3:$CZ$42=$U7)*($DC$3:$DC$42=$U4)*$DA$3:$DA$42)+SUMPRODUCT(($CZ$3:$CZ$42=$U7)*($DC$3:$DC$42=$U5)*$DA$3:$DA$42)+SUMPRODUCT(($CZ$3:$CZ$42=$U7)*($DC$3:$DC$42=$U6)*$DA$3:$DA$42)+SUMPRODUCT(($CZ$3:$CZ$42=$U8)*($DC$3:$DC$42=$U7)*$DB$3:$DB$42)+SUMPRODUCT(($CZ$3:$CZ$42=$U4)*($DC$3:$DC$42=$U7)*$DB$3:$DB$42)+SUMPRODUCT(($CZ$3:$CZ$42=$U5)*($DC$3:$DC$42=$U7)*$DB$3:$DB$42)+SUMPRODUCT(($CZ$3:$CZ$42=$U6)*($DC$3:$DC$42=$U7)*$DB$3:$DB$42)</f>
        <v>0</v>
      </c>
      <c r="Z7" s="191">
        <f>SUMPRODUCT(($CZ$3:$CZ$42=$U7)*($DC$3:$DC$42=$U8)*$DB$3:$DB$42)+SUMPRODUCT(($CZ$3:$CZ$42=$U7)*($DC$3:$DC$42=$U4)*$DB$3:$DB$42)+SUMPRODUCT(($CZ$3:$CZ$42=$U7)*($DC$3:$DC$42=$U5)*$DB$3:$DB$42)+SUMPRODUCT(($CZ$3:$CZ$42=$U7)*($DC$3:$DC$42=$U6)*$DB$3:$DB$42)+SUMPRODUCT(($CZ$3:$CZ$42=$U8)*($DC$3:$DC$42=$U7)*$DA$3:$DA$42)+SUMPRODUCT(($CZ$3:$CZ$42=$U4)*($DC$3:$DC$42=$U7)*$DA$3:$DA$42)+SUMPRODUCT(($CZ$3:$CZ$42=$U5)*($DC$3:$DC$42=$U7)*$DA$3:$DA$42)+SUMPRODUCT(($CZ$3:$CZ$42=$U6)*($DC$3:$DC$42=$U7)*$DA$3:$DA$42)</f>
        <v>0</v>
      </c>
      <c r="AA7" s="191">
        <f>Y7-Z7+1000</f>
        <v>1000</v>
      </c>
      <c r="AB7" s="191" t="str">
        <f t="shared" si="9"/>
        <v/>
      </c>
      <c r="AC7" s="191" t="str">
        <f t="shared" si="10"/>
        <v/>
      </c>
      <c r="AD7" s="191" t="str">
        <f t="shared" si="11"/>
        <v/>
      </c>
      <c r="AE7" s="191" t="str">
        <f t="shared" si="12"/>
        <v/>
      </c>
      <c r="AF7" s="191" t="str">
        <f t="shared" si="13"/>
        <v/>
      </c>
      <c r="AG7" s="191" t="str">
        <f>IF(U7&lt;&gt;"",RANK(AF7,AF$4:AF$8),"")</f>
        <v/>
      </c>
      <c r="AH7" s="191" t="str">
        <f t="shared" si="14"/>
        <v/>
      </c>
      <c r="AI7" s="191" t="str">
        <f t="shared" si="15"/>
        <v/>
      </c>
      <c r="AJ7" s="191" t="str">
        <f t="shared" si="16"/>
        <v/>
      </c>
      <c r="AK7" s="191" t="str">
        <f t="shared" si="17"/>
        <v/>
      </c>
      <c r="AL7" s="191" t="str">
        <f t="shared" si="18"/>
        <v/>
      </c>
      <c r="AM7" s="191" t="str">
        <f t="shared" si="29"/>
        <v/>
      </c>
      <c r="AN7" s="191" t="str">
        <f>IF(U7&lt;&gt;"",INDEX($U$4:$U$8,MATCH(4,$AM$4:$AM$8,0),0),"")</f>
        <v/>
      </c>
      <c r="AO7" s="191" t="str">
        <f>IF(Q6&lt;&gt;"",Q6,"")</f>
        <v/>
      </c>
      <c r="AP7" s="191">
        <f>SUMPRODUCT(($CZ$3:$CZ$42=$AO7)*($DC$3:$DC$42=$AO8)*($DD$3:$DD$42="W"))+SUMPRODUCT(($CZ$3:$CZ$42=$AO7)*($DC$3:$DC$42=$AO5)*($DD$3:$DD$42="W"))+SUMPRODUCT(($CZ$3:$CZ$42=$AO7)*($DC$3:$DC$42=$AO6)*($DD$3:$DD$42="W"))+SUMPRODUCT(($CZ$3:$CZ$42=$AO8)*($DC$3:$DC$42=$AO7)*($DE$3:$DE$42="W"))+SUMPRODUCT(($CZ$3:$CZ$42=$AO5)*($DC$3:$DC$42=$AO7)*($DE$3:$DE$42="W"))+SUMPRODUCT(($CZ$3:$CZ$42=$AO6)*($DC$3:$DC$42=$AO7)*($DE$3:$DE$42="W"))</f>
        <v>0</v>
      </c>
      <c r="AQ7" s="191">
        <f>SUMPRODUCT(($CZ$3:$CZ$42=$AO7)*($DC$3:$DC$42=$AO8)*($DD$3:$DD$42="D"))+SUMPRODUCT(($CZ$3:$CZ$42=$AO7)*($DC$3:$DC$42=$AO5)*($DD$3:$DD$42="D"))+SUMPRODUCT(($CZ$3:$CZ$42=$AO7)*($DC$3:$DC$42=$AO6)*($DD$3:$DD$42="D"))+SUMPRODUCT(($CZ$3:$CZ$42=$AO8)*($DC$3:$DC$42=$AO7)*($DD$3:$DD$42="D"))+SUMPRODUCT(($CZ$3:$CZ$42=$AO5)*($DC$3:$DC$42=$AO7)*($DD$3:$DD$42="D"))+SUMPRODUCT(($CZ$3:$CZ$42=$AO6)*($DC$3:$DC$42=$AO7)*($DD$3:$DD$42="D"))</f>
        <v>0</v>
      </c>
      <c r="AR7" s="191">
        <f>SUMPRODUCT(($CZ$3:$CZ$42=$AO7)*($DC$3:$DC$42=$AO8)*($DD$3:$DD$42="L"))+SUMPRODUCT(($CZ$3:$CZ$42=$AO7)*($DC$3:$DC$42=$AO5)*($DD$3:$DD$42="L"))+SUMPRODUCT(($CZ$3:$CZ$42=$AO7)*($DC$3:$DC$42=$AO6)*($DD$3:$DD$42="L"))+SUMPRODUCT(($CZ$3:$CZ$42=$AO8)*($DC$3:$DC$42=$AO7)*($DE$3:$DE$42="L"))+SUMPRODUCT(($CZ$3:$CZ$42=$AO5)*($DC$3:$DC$42=$AO7)*($DE$3:$DE$42="L"))+SUMPRODUCT(($CZ$3:$CZ$42=$AO6)*($DC$3:$DC$42=$AO7)*($DE$3:$DE$42="L"))</f>
        <v>0</v>
      </c>
      <c r="AS7" s="191">
        <f>SUMPRODUCT(($CZ$3:$CZ$42=$AO7)*($DC$3:$DC$42=$AO8)*$DA$3:$DA$42)+SUMPRODUCT(($CZ$3:$CZ$42=$AO7)*($DC$3:$DC$42=$AO4)*$DA$3:$DA$42)+SUMPRODUCT(($CZ$3:$CZ$42=$AO7)*($DC$3:$DC$42=$AO5)*$DA$3:$DA$42)+SUMPRODUCT(($CZ$3:$CZ$42=$AO7)*($DC$3:$DC$42=$AO6)*$DA$3:$DA$42)+SUMPRODUCT(($CZ$3:$CZ$42=$AO8)*($DC$3:$DC$42=$AO7)*$DB$3:$DB$42)+SUMPRODUCT(($CZ$3:$CZ$42=$AO4)*($DC$3:$DC$42=$AO7)*$DB$3:$DB$42)+SUMPRODUCT(($CZ$3:$CZ$42=$AO5)*($DC$3:$DC$42=$AO7)*$DB$3:$DB$42)+SUMPRODUCT(($CZ$3:$CZ$42=$AO6)*($DC$3:$DC$42=$AO7)*$DB$3:$DB$42)</f>
        <v>0</v>
      </c>
      <c r="AT7" s="191">
        <f>SUMPRODUCT(($CZ$3:$CZ$42=$AO7)*($DC$3:$DC$42=$AO8)*$DB$3:$DB$42)+SUMPRODUCT(($CZ$3:$CZ$42=$AO7)*($DC$3:$DC$42=$AO4)*$DB$3:$DB$42)+SUMPRODUCT(($CZ$3:$CZ$42=$AO7)*($DC$3:$DC$42=$AO5)*$DB$3:$DB$42)+SUMPRODUCT(($CZ$3:$CZ$42=$AO7)*($DC$3:$DC$42=$AO6)*$DB$3:$DB$42)+SUMPRODUCT(($CZ$3:$CZ$42=$AO8)*($DC$3:$DC$42=$AO7)*$DA$3:$DA$42)+SUMPRODUCT(($CZ$3:$CZ$42=$AO4)*($DC$3:$DC$42=$AO7)*$DA$3:$DA$42)+SUMPRODUCT(($CZ$3:$CZ$42=$AO5)*($DC$3:$DC$42=$AO7)*$DA$3:$DA$42)+SUMPRODUCT(($CZ$3:$CZ$42=$AO6)*($DC$3:$DC$42=$AO7)*$DA$3:$DA$42)</f>
        <v>0</v>
      </c>
      <c r="AU7" s="191">
        <f>AS7-AT7+1000</f>
        <v>1000</v>
      </c>
      <c r="AV7" s="191" t="str">
        <f t="shared" si="19"/>
        <v/>
      </c>
      <c r="AW7" s="191" t="str">
        <f t="shared" si="20"/>
        <v/>
      </c>
      <c r="AX7" s="191" t="str">
        <f t="shared" si="21"/>
        <v/>
      </c>
      <c r="AY7" s="191" t="str">
        <f t="shared" si="22"/>
        <v/>
      </c>
      <c r="AZ7" s="191" t="str">
        <f t="shared" si="23"/>
        <v/>
      </c>
      <c r="BA7" s="191" t="str">
        <f>IF(AO7&lt;&gt;"",RANK(AZ7,AZ$4:AZ$8),"")</f>
        <v/>
      </c>
      <c r="BB7" s="191" t="str">
        <f t="shared" si="24"/>
        <v/>
      </c>
      <c r="BC7" s="191" t="str">
        <f t="shared" si="25"/>
        <v/>
      </c>
      <c r="BD7" s="191" t="str">
        <f t="shared" si="26"/>
        <v/>
      </c>
      <c r="BE7" s="191" t="str">
        <f t="shared" si="27"/>
        <v/>
      </c>
      <c r="BF7" s="191" t="str">
        <f t="shared" si="28"/>
        <v/>
      </c>
      <c r="BG7" s="191" t="str">
        <f t="shared" si="30"/>
        <v/>
      </c>
      <c r="BH7" s="191" t="str">
        <f>IF(AO7&lt;&gt;"",INDEX(AO5:AO8,MATCH(4,BG5:BG8,0),0),"")</f>
        <v/>
      </c>
      <c r="BI7" s="191" t="str">
        <f>IF(R5&lt;&gt;"",R5,"")</f>
        <v/>
      </c>
      <c r="BJ7" s="191">
        <f>SUMPRODUCT(($CZ$3:$CZ$42=$BI7)*($DC$3:$DC$42=$BI8)*($DD$3:$DD$42="W"))+SUMPRODUCT(($CZ$3:$CZ$42=$BI7)*($DC$3:$DC$42=$BI9)*($DD$3:$DD$42="W"))+SUMPRODUCT(($CZ$3:$CZ$42=$BI7)*($DC$3:$DC$42=$BI6)*($DD$3:$DD$42="W"))+SUMPRODUCT(($CZ$3:$CZ$42=$BI8)*($DC$3:$DC$42=$BI7)*($DE$3:$DE$42="W"))+SUMPRODUCT(($CZ$3:$CZ$42=$BI9)*($DC$3:$DC$42=$BI7)*($DE$3:$DE$42="W"))+SUMPRODUCT(($CZ$3:$CZ$42=$BI6)*($DC$3:$DC$42=$BI7)*($DE$3:$DE$42="W"))</f>
        <v>0</v>
      </c>
      <c r="BK7" s="191">
        <f>SUMPRODUCT(($CZ$3:$CZ$42=$BI7)*($DC$3:$DC$42=$BI8)*($DD$3:$DD$42="D"))+SUMPRODUCT(($CZ$3:$CZ$42=$BI7)*($DC$3:$DC$42=$BI9)*($DD$3:$DD$42="D"))+SUMPRODUCT(($CZ$3:$CZ$42=$BI7)*($DC$3:$DC$42=$BI6)*($DD$3:$DD$42="D"))+SUMPRODUCT(($CZ$3:$CZ$42=$BI8)*($DC$3:$DC$42=$BI7)*($DD$3:$DD$42="D"))+SUMPRODUCT(($CZ$3:$CZ$42=$BI9)*($DC$3:$DC$42=$BI7)*($DD$3:$DD$42="D"))+SUMPRODUCT(($CZ$3:$CZ$42=$BI6)*($DC$3:$DC$42=$BI7)*($DD$3:$DD$42="D"))</f>
        <v>0</v>
      </c>
      <c r="BL7" s="191">
        <f>SUMPRODUCT(($CZ$3:$CZ$42=$BI7)*($DC$3:$DC$42=$BI8)*($DD$3:$DD$42="L"))+SUMPRODUCT(($CZ$3:$CZ$42=$BI7)*($DC$3:$DC$42=$BI9)*($DD$3:$DD$42="L"))+SUMPRODUCT(($CZ$3:$CZ$42=$BI7)*($DC$3:$DC$42=$BI6)*($DD$3:$DD$42="L"))+SUMPRODUCT(($CZ$3:$CZ$42=$BI8)*($DC$3:$DC$42=$BI7)*($DE$3:$DE$42="L"))+SUMPRODUCT(($CZ$3:$CZ$42=$BI9)*($DC$3:$DC$42=$BI7)*($DE$3:$DE$42="L"))+SUMPRODUCT(($CZ$3:$CZ$42=$BI6)*($DC$3:$DC$42=$BI7)*($DE$3:$DE$42="L"))</f>
        <v>0</v>
      </c>
      <c r="BM7" s="191">
        <f>SUMPRODUCT(($CZ$3:$CZ$42=$BI7)*($DC$3:$DC$42=$BI8)*$DA$3:$DA$42)+SUMPRODUCT(($CZ$3:$CZ$42=$BI7)*($DC$3:$DC$42=$BI4)*$DA$3:$DA$42)+SUMPRODUCT(($CZ$3:$CZ$42=$BI7)*($DC$3:$DC$42=$BI5)*$DA$3:$DA$42)+SUMPRODUCT(($CZ$3:$CZ$42=$BI7)*($DC$3:$DC$42=$BI6)*$DA$3:$DA$42)+SUMPRODUCT(($CZ$3:$CZ$42=$BI8)*($DC$3:$DC$42=$BI7)*$DB$3:$DB$42)+SUMPRODUCT(($CZ$3:$CZ$42=$BI4)*($DC$3:$DC$42=$BI7)*$DB$3:$DB$42)+SUMPRODUCT(($CZ$3:$CZ$42=$BI5)*($DC$3:$DC$42=$BI7)*$DB$3:$DB$42)+SUMPRODUCT(($CZ$3:$CZ$42=$BI6)*($DC$3:$DC$42=$BI7)*$DB$3:$DB$42)</f>
        <v>0</v>
      </c>
      <c r="BN7" s="191">
        <f>SUMPRODUCT(($CZ$3:$CZ$42=$BI7)*($DC$3:$DC$42=$BI8)*$DB$3:$DB$42)+SUMPRODUCT(($CZ$3:$CZ$42=$BI7)*($DC$3:$DC$42=$BI4)*$DB$3:$DB$42)+SUMPRODUCT(($CZ$3:$CZ$42=$BI7)*($DC$3:$DC$42=$BI5)*$DB$3:$DB$42)+SUMPRODUCT(($CZ$3:$CZ$42=$BI7)*($DC$3:$DC$42=$BI6)*$DB$3:$DB$42)+SUMPRODUCT(($CZ$3:$CZ$42=$BI8)*($DC$3:$DC$42=$BI7)*$DA$3:$DA$42)+SUMPRODUCT(($CZ$3:$CZ$42=$BI4)*($DC$3:$DC$42=$BI7)*$DA$3:$DA$42)+SUMPRODUCT(($CZ$3:$CZ$42=$BI5)*($DC$3:$DC$42=$BI7)*$DA$3:$DA$42)+SUMPRODUCT(($CZ$3:$CZ$42=$BI6)*($DC$3:$DC$42=$BI7)*$DA$3:$DA$42)</f>
        <v>0</v>
      </c>
      <c r="BO7" s="191">
        <f>BM7-BN7+1000</f>
        <v>1000</v>
      </c>
      <c r="BP7" s="191" t="str">
        <f t="shared" si="31"/>
        <v/>
      </c>
      <c r="BQ7" s="191" t="str">
        <f t="shared" si="32"/>
        <v/>
      </c>
      <c r="BR7" s="191" t="str">
        <f t="shared" si="33"/>
        <v/>
      </c>
      <c r="BS7" s="191" t="str">
        <f t="shared" si="34"/>
        <v/>
      </c>
      <c r="BT7" s="191" t="str">
        <f t="shared" si="35"/>
        <v/>
      </c>
      <c r="BU7" s="191" t="str">
        <f>IF(BI7&lt;&gt;"",RANK(BT7,BT$4:BT$8),"")</f>
        <v/>
      </c>
      <c r="BV7" s="191" t="str">
        <f t="shared" si="36"/>
        <v/>
      </c>
      <c r="BW7" s="191" t="str">
        <f t="shared" si="37"/>
        <v/>
      </c>
      <c r="BX7" s="191" t="str">
        <f t="shared" si="38"/>
        <v/>
      </c>
      <c r="BY7" s="191" t="str">
        <f t="shared" si="39"/>
        <v/>
      </c>
      <c r="BZ7" s="191" t="str">
        <f t="shared" si="40"/>
        <v/>
      </c>
      <c r="CA7" s="191" t="str">
        <f>IF(BI7&lt;&gt;"",SUM(BU7:BZ7)+2,"")</f>
        <v/>
      </c>
      <c r="CB7" s="191" t="str">
        <f>IF(BI7&lt;&gt;"",INDEX(BI6:BI8,MATCH(4,CA6:CA8,0),0),"")</f>
        <v/>
      </c>
      <c r="CC7" s="191" t="str">
        <f>IF(S4&lt;&gt;"",S4,"")</f>
        <v/>
      </c>
      <c r="CD7" s="191">
        <f>SUMPRODUCT(($CZ$3:$CZ$42=$CC7)*($DC$3:$DC$42=$CC8)*($DD$3:$DD$42="W"))+SUMPRODUCT(($CZ$3:$CZ$42=$CC7)*($DC$3:$DC$42=$CC9)*($DD$3:$DD$42="W"))+SUMPRODUCT(($CZ$3:$CZ$42=$CC7)*($DC$3:$DC$42=$CC10)*($DD$3:$DD$42="W"))+SUMPRODUCT(($CZ$3:$CZ$42=$CC8)*($DC$3:$DC$42=$CC7)*($DE$3:$DE$42="W"))+SUMPRODUCT(($CZ$3:$CZ$42=$CC9)*($DC$3:$DC$42=$CC7)*($DE$3:$DE$42="W"))+SUMPRODUCT(($CZ$3:$CZ$42=$CC10)*($DC$3:$DC$42=$CC7)*($DE$3:$DE$42="W"))</f>
        <v>0</v>
      </c>
      <c r="CE7" s="191">
        <f>SUMPRODUCT(($CZ$3:$CZ$42=$CC7)*($DC$3:$DC$42=$CC8)*($DD$3:$DD$42="D"))+SUMPRODUCT(($CZ$3:$CZ$42=$CC7)*($DC$3:$DC$42=$CC9)*($DD$3:$DD$42="D"))+SUMPRODUCT(($CZ$3:$CZ$42=$CC7)*($DC$3:$DC$42=$CC10)*($DD$3:$DD$42="D"))+SUMPRODUCT(($CZ$3:$CZ$42=$CC8)*($DC$3:$DC$42=$CC7)*($DD$3:$DD$42="D"))+SUMPRODUCT(($CZ$3:$CZ$42=$CC9)*($DC$3:$DC$42=$CC7)*($DD$3:$DD$42="D"))+SUMPRODUCT(($CZ$3:$CZ$42=$CC10)*($DC$3:$DC$42=$CC7)*($DD$3:$DD$42="D"))</f>
        <v>0</v>
      </c>
      <c r="CF7" s="191">
        <f>SUMPRODUCT(($CZ$3:$CZ$42=$CC7)*($DC$3:$DC$42=$CC8)*($DD$3:$DD$42="L"))+SUMPRODUCT(($CZ$3:$CZ$42=$CC7)*($DC$3:$DC$42=$CC9)*($DD$3:$DD$42="L"))+SUMPRODUCT(($CZ$3:$CZ$42=$CC7)*($DC$3:$DC$42=$CC10)*($DD$3:$DD$42="L"))+SUMPRODUCT(($CZ$3:$CZ$42=$CC8)*($DC$3:$DC$42=$CC7)*($DE$3:$DE$42="L"))+SUMPRODUCT(($CZ$3:$CZ$42=$CC9)*($DC$3:$DC$42=$CC7)*($DE$3:$DE$42="L"))+SUMPRODUCT(($CZ$3:$CZ$42=$CC10)*($DC$3:$DC$42=$CC7)*($DE$3:$DE$42="L"))</f>
        <v>0</v>
      </c>
      <c r="CG7" s="191">
        <f>SUMPRODUCT(($CZ$3:$CZ$42=$CC7)*($DC$3:$DC$42=$CC8)*$DA$3:$DA$42)+SUMPRODUCT(($CZ$3:$CZ$42=$CC7)*($DC$3:$DC$42=$CC4)*$DA$3:$DA$42)+SUMPRODUCT(($CZ$3:$CZ$42=$CC7)*($DC$3:$DC$42=$CC5)*$DA$3:$DA$42)+SUMPRODUCT(($CZ$3:$CZ$42=$CC7)*($DC$3:$DC$42=$CC6)*$DA$3:$DA$42)+SUMPRODUCT(($CZ$3:$CZ$42=$CC8)*($DC$3:$DC$42=$CC7)*$DB$3:$DB$42)+SUMPRODUCT(($CZ$3:$CZ$42=$CC4)*($DC$3:$DC$42=$CC7)*$DB$3:$DB$42)+SUMPRODUCT(($CZ$3:$CZ$42=$CC5)*($DC$3:$DC$42=$CC7)*$DB$3:$DB$42)+SUMPRODUCT(($CZ$3:$CZ$42=$CC6)*($DC$3:$DC$42=$CC7)*$DB$3:$DB$42)</f>
        <v>0</v>
      </c>
      <c r="CH7" s="191">
        <f>SUMPRODUCT(($CZ$3:$CZ$42=$CC7)*($DC$3:$DC$42=$CC8)*$DB$3:$DB$42)+SUMPRODUCT(($CZ$3:$CZ$42=$CC7)*($DC$3:$DC$42=$CC4)*$DB$3:$DB$42)+SUMPRODUCT(($CZ$3:$CZ$42=$CC7)*($DC$3:$DC$42=$CC5)*$DB$3:$DB$42)+SUMPRODUCT(($CZ$3:$CZ$42=$CC7)*($DC$3:$DC$42=$CC6)*$DB$3:$DB$42)+SUMPRODUCT(($CZ$3:$CZ$42=$CC8)*($DC$3:$DC$42=$CC7)*$DA$3:$DA$42)+SUMPRODUCT(($CZ$3:$CZ$42=$CC4)*($DC$3:$DC$42=$CC7)*$DA$3:$DA$42)+SUMPRODUCT(($CZ$3:$CZ$42=$CC5)*($DC$3:$DC$42=$CC7)*$DA$3:$DA$42)+SUMPRODUCT(($CZ$3:$CZ$42=$CC6)*($DC$3:$DC$42=$CC7)*$DA$3:$DA$42)</f>
        <v>0</v>
      </c>
      <c r="CI7" s="191">
        <f>CG7-CH7+1000</f>
        <v>1000</v>
      </c>
      <c r="CJ7" s="191" t="str">
        <f t="shared" ref="CJ7" si="41">IF(CC7&lt;&gt;"",CD7*3+CE7*1,"")</f>
        <v/>
      </c>
      <c r="CK7" s="191" t="str">
        <f t="shared" ref="CK7" si="42">IF(CC7&lt;&gt;"",VLOOKUP(CC7,$B$4:$H$40,7,FALSE),"")</f>
        <v/>
      </c>
      <c r="CL7" s="191" t="str">
        <f t="shared" ref="CL7" si="43">IF(CC7&lt;&gt;"",VLOOKUP(CC7,$B$4:$H$40,5,FALSE),"")</f>
        <v/>
      </c>
      <c r="CM7" s="191" t="str">
        <f t="shared" ref="CM7" si="44">IF(CC7&lt;&gt;"",VLOOKUP(CC7,$B$4:$J$40,9,FALSE),"")</f>
        <v/>
      </c>
      <c r="CN7" s="191" t="str">
        <f t="shared" ref="CN7" si="45">CJ7</f>
        <v/>
      </c>
      <c r="CO7" s="191" t="str">
        <f>IF(CC7&lt;&gt;"",RANK(CN7,CN$4:CN$8),"")</f>
        <v/>
      </c>
      <c r="CP7" s="191" t="str">
        <f t="shared" ref="CP7" si="46">IF(CC7&lt;&gt;"",SUMPRODUCT((CN$4:CN$8=CN7)*(CI$4:CI$8&gt;CI7)),"")</f>
        <v/>
      </c>
      <c r="CQ7" s="191" t="str">
        <f t="shared" ref="CQ7" si="47">IF(CC7&lt;&gt;"",SUMPRODUCT((CN$4:CN$8=CN7)*(CI$4:CI$8=CI7)*(CG$4:CG$8&gt;CG7)),"")</f>
        <v/>
      </c>
      <c r="CR7" s="191" t="str">
        <f t="shared" ref="CR7" si="48">IF(CC7&lt;&gt;"",SUMPRODUCT((CN$4:CN$8=CN7)*(CI$4:CI$8=CI7)*(CG$4:CG$8=CG7)*(CK$4:CK$8&gt;CK7)),"")</f>
        <v/>
      </c>
      <c r="CS7" s="191" t="str">
        <f t="shared" ref="CS7" si="49">IF(CC7&lt;&gt;"",SUMPRODUCT((CN$4:CN$8=CN7)*(CI$4:CI$8=CI7)*(CG$4:CG$8=CG7)*(CK$4:CK$8=CK7)*(CL$4:CL$8&gt;CL7)),"")</f>
        <v/>
      </c>
      <c r="CT7" s="191" t="str">
        <f t="shared" ref="CT7" si="50">IF(CC7&lt;&gt;"",SUMPRODUCT((CN$4:CN$8=CN7)*(CI$4:CI$8=CI7)*(CG$4:CG$8=CG7)*(CK$4:CK$8=CK7)*(CL$4:CL$8=CL7)*(CM$4:CM$8&gt;CM7)),"")</f>
        <v/>
      </c>
      <c r="CU7" s="191" t="str">
        <f>IF(CC7&lt;&gt;"",SUM(CO7:CT7)+3,"")</f>
        <v/>
      </c>
      <c r="CV7" s="191" t="str">
        <f>IF(CC7&lt;&gt;"",IF(CU7=4,CC7,CC8),"")</f>
        <v/>
      </c>
      <c r="CW7" s="191" t="str">
        <f>IF(CV7&lt;&gt;"",CV7,IF(CB7&lt;&gt;"",CB7,IF(BH7&lt;&gt;"",BH7,IF(AN7&lt;&gt;"",AN7,N7))))</f>
        <v>Turkey</v>
      </c>
      <c r="CX7" s="191">
        <v>4</v>
      </c>
      <c r="CY7" s="191">
        <v>5</v>
      </c>
      <c r="CZ7" s="191" t="str">
        <f>Fixtures!G11</f>
        <v>England</v>
      </c>
      <c r="DA7" s="191">
        <f>IF(AND(Fixtures!H11&lt;&gt;"",Fixtures!I11&lt;&gt;""),Fixtures!H11,0)</f>
        <v>1</v>
      </c>
      <c r="DB7" s="191">
        <f>IF(AND(Fixtures!I11&lt;&gt;"",Fixtures!H11&lt;&gt;""),Fixtures!I11,0)</f>
        <v>0</v>
      </c>
      <c r="DC7" s="191" t="str">
        <f>Fixtures!J11</f>
        <v>Croatia</v>
      </c>
      <c r="DD7" s="191" t="str">
        <f>IF(AND(Fixtures!H11&lt;&gt;"",Fixtures!I11&lt;&gt;""),IF(DA7&gt;DB7,"W",IF(DA7=DB7,"D","L")),"")</f>
        <v>W</v>
      </c>
      <c r="DE7" s="191" t="str">
        <f t="shared" si="1"/>
        <v>L</v>
      </c>
      <c r="DH7" s="191" t="str">
        <f>Fixtures!P29</f>
        <v>Slovakia</v>
      </c>
      <c r="DI7" s="192">
        <f>Fixtures!U29</f>
        <v>1</v>
      </c>
      <c r="DJ7" s="192">
        <f>Fixtures!V29</f>
        <v>0</v>
      </c>
      <c r="DK7" s="192">
        <f>Fixtures!W29</f>
        <v>2</v>
      </c>
      <c r="DL7" s="192">
        <f>Fixtures!X29</f>
        <v>2</v>
      </c>
      <c r="DM7" s="192">
        <f>Fixtures!Z29</f>
        <v>7</v>
      </c>
      <c r="DN7" s="192">
        <f>Fixtures!AA29</f>
        <v>-5</v>
      </c>
      <c r="DO7" s="192">
        <f>Fixtures!AB29</f>
        <v>3</v>
      </c>
      <c r="DP7" s="191">
        <f>IF(Fixtures!AC29&lt;&gt;"",26,VLOOKUP(DH7,$B$4:$J$40,9,FALSE))</f>
        <v>34</v>
      </c>
      <c r="DQ7" s="191">
        <f t="shared" si="0"/>
        <v>4</v>
      </c>
      <c r="DR7" s="191">
        <f t="shared" si="2"/>
        <v>2</v>
      </c>
      <c r="DS7" s="191">
        <f t="shared" si="3"/>
        <v>0</v>
      </c>
      <c r="DT7" s="191">
        <f t="shared" si="4"/>
        <v>0</v>
      </c>
      <c r="DU7" s="191">
        <f t="shared" si="5"/>
        <v>6</v>
      </c>
      <c r="DV7" s="191" t="s">
        <v>126</v>
      </c>
      <c r="DW7" s="191">
        <v>5</v>
      </c>
      <c r="EF7" s="272" t="s">
        <v>112</v>
      </c>
      <c r="EG7" s="196"/>
      <c r="EH7" s="197" t="str">
        <f>Fixtures!G7</f>
        <v>Turkey</v>
      </c>
      <c r="EI7" s="198" t="s">
        <v>524</v>
      </c>
      <c r="EJ7" s="197" t="str">
        <f>"'Countries and Timezone'!"&amp;VLOOKUP(Fixtures!P7,$EH$7:$EI$38,2,FALSE)</f>
        <v>'Countries and Timezone'!B8</v>
      </c>
      <c r="EK7" s="191">
        <f>TimezoneData</f>
        <v>0</v>
      </c>
      <c r="EL7" s="199">
        <v>44358.875</v>
      </c>
      <c r="EM7" s="200">
        <f>EL7+$EK$7/24</f>
        <v>44358.875</v>
      </c>
      <c r="EQ7" s="191" t="s">
        <v>525</v>
      </c>
    </row>
    <row r="8" spans="1:148" x14ac:dyDescent="0.35">
      <c r="CY8" s="191">
        <v>6</v>
      </c>
      <c r="CZ8" s="191" t="str">
        <f>Fixtures!G12</f>
        <v>Austria</v>
      </c>
      <c r="DA8" s="191">
        <f>IF(AND(Fixtures!H12&lt;&gt;"",Fixtures!I12&lt;&gt;""),Fixtures!H12,0)</f>
        <v>3</v>
      </c>
      <c r="DB8" s="191">
        <f>IF(AND(Fixtures!I12&lt;&gt;"",Fixtures!H12&lt;&gt;""),Fixtures!I12,0)</f>
        <v>1</v>
      </c>
      <c r="DC8" s="191" t="str">
        <f>Fixtures!J12</f>
        <v>North Macedonia</v>
      </c>
      <c r="DD8" s="191" t="str">
        <f>IF(AND(Fixtures!H12&lt;&gt;"",Fixtures!I12&lt;&gt;""),IF(DA8&gt;DB8,"W",IF(DA8=DB8,"D","L")),"")</f>
        <v>W</v>
      </c>
      <c r="DE8" s="191" t="str">
        <f t="shared" si="1"/>
        <v>L</v>
      </c>
      <c r="DH8" s="191" t="str">
        <f>Fixtures!P34</f>
        <v>Portugal</v>
      </c>
      <c r="DI8" s="192">
        <f>Fixtures!U34</f>
        <v>1</v>
      </c>
      <c r="DJ8" s="192">
        <f>Fixtures!V34</f>
        <v>1</v>
      </c>
      <c r="DK8" s="192">
        <f>Fixtures!W34</f>
        <v>1</v>
      </c>
      <c r="DL8" s="192">
        <f>Fixtures!X34</f>
        <v>7</v>
      </c>
      <c r="DM8" s="192">
        <f>Fixtures!Z34</f>
        <v>6</v>
      </c>
      <c r="DN8" s="192">
        <f>Fixtures!AA34</f>
        <v>1</v>
      </c>
      <c r="DO8" s="192">
        <f>Fixtures!AB34</f>
        <v>4</v>
      </c>
      <c r="DP8" s="191">
        <f>IF(Fixtures!AC34&lt;&gt;"",25,VLOOKUP(DH8,$B$4:$J$40,9,FALSE))</f>
        <v>43</v>
      </c>
      <c r="DQ8" s="191">
        <f t="shared" si="0"/>
        <v>1</v>
      </c>
      <c r="DR8" s="191">
        <f t="shared" si="2"/>
        <v>0</v>
      </c>
      <c r="DS8" s="191">
        <f t="shared" si="3"/>
        <v>0</v>
      </c>
      <c r="DT8" s="191">
        <f t="shared" si="4"/>
        <v>0</v>
      </c>
      <c r="DU8" s="191">
        <f t="shared" si="5"/>
        <v>1</v>
      </c>
      <c r="DV8" s="191" t="s">
        <v>111</v>
      </c>
      <c r="DW8" s="191">
        <v>6</v>
      </c>
      <c r="EF8" s="272"/>
      <c r="EG8" s="196"/>
      <c r="EH8" s="197" t="str">
        <f>Fixtures!J7</f>
        <v>Italy</v>
      </c>
      <c r="EI8" s="198" t="s">
        <v>526</v>
      </c>
      <c r="EJ8" s="197" t="str">
        <f>"'Countries and Timezone'!"&amp;VLOOKUP(Fixtures!P8,$EH$7:$EI$38,2,FALSE)</f>
        <v>'Countries and Timezone'!B9</v>
      </c>
      <c r="EL8" s="199">
        <v>44359.625</v>
      </c>
      <c r="EM8" s="200">
        <f t="shared" ref="EM8:EM58" si="51">EL8+$EK$7/24</f>
        <v>44359.625</v>
      </c>
      <c r="EO8" s="201">
        <v>-12</v>
      </c>
      <c r="EP8" s="191">
        <v>-12</v>
      </c>
      <c r="EQ8" s="191" t="s">
        <v>527</v>
      </c>
      <c r="ER8" s="191" t="s">
        <v>528</v>
      </c>
    </row>
    <row r="9" spans="1:148" x14ac:dyDescent="0.35">
      <c r="BG9" s="191" t="s">
        <v>529</v>
      </c>
      <c r="CY9" s="191">
        <v>7</v>
      </c>
      <c r="CZ9" s="191" t="str">
        <f>Fixtures!G13</f>
        <v>Netherlands</v>
      </c>
      <c r="DA9" s="191">
        <f>IF(AND(Fixtures!H13&lt;&gt;"",Fixtures!I13&lt;&gt;""),Fixtures!H13,0)</f>
        <v>3</v>
      </c>
      <c r="DB9" s="191">
        <f>IF(AND(Fixtures!I13&lt;&gt;"",Fixtures!H13&lt;&gt;""),Fixtures!I13,0)</f>
        <v>2</v>
      </c>
      <c r="DC9" s="191" t="str">
        <f>Fixtures!J13</f>
        <v>Ukraine</v>
      </c>
      <c r="DD9" s="191" t="str">
        <f>IF(AND(Fixtures!H13&lt;&gt;"",Fixtures!I13&lt;&gt;""),IF(DA9&gt;DB9,"W",IF(DA9=DB9,"D","L")),"")</f>
        <v>W</v>
      </c>
      <c r="DE9" s="191" t="str">
        <f t="shared" si="1"/>
        <v>L</v>
      </c>
      <c r="EF9" s="272"/>
      <c r="EG9" s="196"/>
      <c r="EH9" s="197" t="str">
        <f>Fixtures!G8</f>
        <v>Wales</v>
      </c>
      <c r="EI9" s="198" t="s">
        <v>530</v>
      </c>
      <c r="EJ9" s="197" t="str">
        <f>"'Countries and Timezone'!"&amp;VLOOKUP(Fixtures!P9,$EH$7:$EI$38,2,FALSE)</f>
        <v>'Countries and Timezone'!B10</v>
      </c>
      <c r="EL9" s="199">
        <v>44359.75</v>
      </c>
      <c r="EM9" s="200">
        <f t="shared" si="51"/>
        <v>44359.75</v>
      </c>
      <c r="EO9" s="202">
        <v>-11.5</v>
      </c>
      <c r="EP9" s="191">
        <v>-11</v>
      </c>
      <c r="EQ9" s="191" t="s">
        <v>531</v>
      </c>
      <c r="ER9" s="191" t="s">
        <v>532</v>
      </c>
    </row>
    <row r="10" spans="1:148" x14ac:dyDescent="0.35">
      <c r="CY10" s="191">
        <v>8</v>
      </c>
      <c r="CZ10" s="191" t="str">
        <f>Fixtures!G14</f>
        <v>Scotland</v>
      </c>
      <c r="DA10" s="191">
        <f>IF(AND(Fixtures!H14&lt;&gt;"",Fixtures!I14&lt;&gt;""),Fixtures!H14,0)</f>
        <v>0</v>
      </c>
      <c r="DB10" s="191">
        <f>IF(AND(Fixtures!I14&lt;&gt;"",Fixtures!H14&lt;&gt;""),Fixtures!I14,0)</f>
        <v>2</v>
      </c>
      <c r="DC10" s="191" t="str">
        <f>Fixtures!J14</f>
        <v>Czech Republic</v>
      </c>
      <c r="DD10" s="191" t="str">
        <f>IF(AND(Fixtures!H14&lt;&gt;"",Fixtures!I14&lt;&gt;""),IF(DA10&gt;DB10,"W",IF(DA10=DB10,"D","L")),"")</f>
        <v>L</v>
      </c>
      <c r="DE10" s="191" t="str">
        <f t="shared" si="1"/>
        <v>W</v>
      </c>
      <c r="EF10" s="272"/>
      <c r="EG10" s="196"/>
      <c r="EH10" s="197" t="str">
        <f>Fixtures!J8</f>
        <v>Switzerland</v>
      </c>
      <c r="EI10" s="198" t="s">
        <v>533</v>
      </c>
      <c r="EJ10" s="197" t="str">
        <f>"'Countries and Timezone'!"&amp;VLOOKUP(Fixtures!P10,$EH$7:$EI$38,2,FALSE)</f>
        <v>'Countries and Timezone'!B7</v>
      </c>
      <c r="EL10" s="199">
        <v>44359.875</v>
      </c>
      <c r="EM10" s="200">
        <f t="shared" si="51"/>
        <v>44359.875</v>
      </c>
      <c r="EO10" s="202">
        <v>-11</v>
      </c>
      <c r="EP10" s="191">
        <v>-10</v>
      </c>
      <c r="EQ10" s="191" t="s">
        <v>534</v>
      </c>
      <c r="ER10" s="191" t="s">
        <v>535</v>
      </c>
    </row>
    <row r="11" spans="1:148" x14ac:dyDescent="0.35">
      <c r="A11" s="191">
        <f>VLOOKUP(B11,$CW$11:$CX$15,2,FALSE)</f>
        <v>1</v>
      </c>
      <c r="B11" s="191" t="str">
        <f>'Dummy Table'!EH11</f>
        <v>Belgium</v>
      </c>
      <c r="C11" s="191">
        <f>SUMPRODUCT(($CZ$3:$CZ$42=$B11)*($DD$3:$DD$42="W"))+SUMPRODUCT(($DC$3:$DC$42=$B11)*($DE$3:$DE$42="W"))</f>
        <v>3</v>
      </c>
      <c r="D11" s="191">
        <f>SUMPRODUCT(($CZ$3:$CZ$42=$B11)*($DD$3:$DD$42="D"))+SUMPRODUCT(($DC$3:$DC$42=$B11)*($DE$3:$DE$42="D"))</f>
        <v>0</v>
      </c>
      <c r="E11" s="191">
        <f>SUMPRODUCT(($CZ$3:$CZ$42=$B11)*($DD$3:$DD$42="L"))+SUMPRODUCT(($DC$3:$DC$42=$B11)*($DE$3:$DE$42="L"))</f>
        <v>0</v>
      </c>
      <c r="F11" s="191">
        <f>SUMIF($CZ$3:$CZ$60,B11,$DA$3:$DA$60)+SUMIF($DC$3:$DC$60,B11,$DB$3:$DB$60)</f>
        <v>7</v>
      </c>
      <c r="G11" s="191">
        <f>SUMIF($DC$3:$DC$60,B11,$DA$3:$DA$60)+SUMIF($CZ$3:$CZ$60,B11,$DB$3:$DB$60)</f>
        <v>1</v>
      </c>
      <c r="H11" s="191">
        <f t="shared" ref="H11:H14" si="52">F11-G11+1000</f>
        <v>1006</v>
      </c>
      <c r="I11" s="191">
        <f t="shared" ref="I11:I14" si="53">C11*3+D11*1</f>
        <v>9</v>
      </c>
      <c r="J11" s="191">
        <v>55</v>
      </c>
      <c r="K11" s="191">
        <f>IF(COUNTIF(I11:I15,4)&lt;&gt;4,RANK(I11,I11:I15),I51)</f>
        <v>1</v>
      </c>
      <c r="M11" s="191">
        <f>SUMPRODUCT((K11:K14=K11)*(J11:J14&lt;J11))+K11</f>
        <v>1</v>
      </c>
      <c r="N11" s="191" t="str">
        <f>INDEX($B$11:$B$15,MATCH(1,$M$11:$M$15,0),0)</f>
        <v>Belgium</v>
      </c>
      <c r="O11" s="191">
        <f>INDEX($K$11:$K$15,MATCH(N11,$B$11:$B$15,0),0)</f>
        <v>1</v>
      </c>
      <c r="P11" s="191" t="str">
        <f>IF(O12=1,N11,"")</f>
        <v/>
      </c>
      <c r="Q11" s="191" t="str">
        <f>IF(O13=2,N12,"")</f>
        <v>Finland</v>
      </c>
      <c r="R11" s="191" t="str">
        <f>IF(O14=3,N13,"")</f>
        <v/>
      </c>
      <c r="S11" s="191" t="str">
        <f>IF(O15=4,N14,"")</f>
        <v/>
      </c>
      <c r="U11" s="191" t="str">
        <f>IF(P11&lt;&gt;"",P11,"")</f>
        <v/>
      </c>
      <c r="V11" s="191">
        <f>SUMPRODUCT(($CZ$3:$CZ$42=$U11)*($DC$3:$DC$42=$U12)*($DD$3:$DD$42="W"))+SUMPRODUCT(($CZ$3:$CZ$42=$U11)*($DC$3:$DC$42=$U13)*($DD$3:$DD$42="W"))+SUMPRODUCT(($CZ$3:$CZ$42=$U11)*($DC$3:$DC$42=$U14)*($DD$3:$DD$42="W"))+SUMPRODUCT(($CZ$3:$CZ$42=$U11)*($DC$3:$DC$42=$U15)*($DD$3:$DD$42="W"))+SUMPRODUCT(($CZ$3:$CZ$42=$U12)*($DC$3:$DC$42=$U11)*($DE$3:$DE$42="W"))+SUMPRODUCT(($CZ$3:$CZ$42=$U13)*($DC$3:$DC$42=$U11)*($DE$3:$DE$42="W"))+SUMPRODUCT(($CZ$3:$CZ$42=$U14)*($DC$3:$DC$42=$U11)*($DE$3:$DE$42="W"))+SUMPRODUCT(($CZ$3:$CZ$42=$U15)*($DC$3:$DC$42=$U11)*($DE$3:$DE$42="W"))</f>
        <v>0</v>
      </c>
      <c r="W11" s="191">
        <f>SUMPRODUCT(($CZ$3:$CZ$42=$U11)*($DC$3:$DC$42=$U12)*($DD$3:$DD$42="D"))+SUMPRODUCT(($CZ$3:$CZ$42=$U11)*($DC$3:$DC$42=$U13)*($DD$3:$DD$42="D"))+SUMPRODUCT(($CZ$3:$CZ$42=$U11)*($DC$3:$DC$42=$U14)*($DD$3:$DD$42="D"))+SUMPRODUCT(($CZ$3:$CZ$42=$U11)*($DC$3:$DC$42=$U15)*($DD$3:$DD$42="D"))+SUMPRODUCT(($CZ$3:$CZ$42=$U12)*($DC$3:$DC$42=$U11)*($DD$3:$DD$42="D"))+SUMPRODUCT(($CZ$3:$CZ$42=$U13)*($DC$3:$DC$42=$U11)*($DD$3:$DD$42="D"))+SUMPRODUCT(($CZ$3:$CZ$42=$U14)*($DC$3:$DC$42=$U11)*($DD$3:$DD$42="D"))+SUMPRODUCT(($CZ$3:$CZ$42=$U15)*($DC$3:$DC$42=$U11)*($DD$3:$DD$42="D"))</f>
        <v>0</v>
      </c>
      <c r="X11" s="191">
        <f>SUMPRODUCT(($CZ$3:$CZ$42=$U11)*($DC$3:$DC$42=$U12)*($DD$3:$DD$42="L"))+SUMPRODUCT(($CZ$3:$CZ$42=$U11)*($DC$3:$DC$42=$U13)*($DD$3:$DD$42="L"))+SUMPRODUCT(($CZ$3:$CZ$42=$U11)*($DC$3:$DC$42=$U14)*($DD$3:$DD$42="L"))+SUMPRODUCT(($CZ$3:$CZ$42=$U11)*($DC$3:$DC$42=$U15)*($DD$3:$DD$42="L"))+SUMPRODUCT(($CZ$3:$CZ$42=$U12)*($DC$3:$DC$42=$U11)*($DE$3:$DE$42="L"))+SUMPRODUCT(($CZ$3:$CZ$42=$U13)*($DC$3:$DC$42=$U11)*($DE$3:$DE$42="L"))+SUMPRODUCT(($CZ$3:$CZ$42=$U14)*($DC$3:$DC$42=$U11)*($DE$3:$DE$42="L"))+SUMPRODUCT(($CZ$3:$CZ$42=$U15)*($DC$3:$DC$42=$U11)*($DE$3:$DE$42="L"))</f>
        <v>0</v>
      </c>
      <c r="Y11" s="191">
        <f>SUMPRODUCT(($CZ$3:$CZ$42=$U11)*($DC$3:$DC$42=$U12)*$DA$3:$DA$42)+SUMPRODUCT(($CZ$3:$CZ$42=$U11)*($DC$3:$DC$42=$U13)*$DA$3:$DA$42)+SUMPRODUCT(($CZ$3:$CZ$42=$U11)*($DC$3:$DC$42=$U14)*$DA$3:$DA$42)+SUMPRODUCT(($CZ$3:$CZ$42=$U11)*($DC$3:$DC$42=$U15)*$DA$3:$DA$42)+SUMPRODUCT(($CZ$3:$CZ$42=$U12)*($DC$3:$DC$42=$U11)*$DB$3:$DB$42)+SUMPRODUCT(($CZ$3:$CZ$42=$U13)*($DC$3:$DC$42=$U11)*$DB$3:$DB$42)+SUMPRODUCT(($CZ$3:$CZ$42=$U14)*($DC$3:$DC$42=$U11)*$DB$3:$DB$42)+SUMPRODUCT(($CZ$3:$CZ$42=$U15)*($DC$3:$DC$42=$U11)*$DB$3:$DB$42)</f>
        <v>0</v>
      </c>
      <c r="Z11" s="191">
        <f>SUMPRODUCT(($CZ$3:$CZ$42=$U11)*($DC$3:$DC$42=$U12)*$DB$3:$DB$42)+SUMPRODUCT(($CZ$3:$CZ$42=$U11)*($DC$3:$DC$42=$U13)*$DB$3:$DB$42)+SUMPRODUCT(($CZ$3:$CZ$42=$U11)*($DC$3:$DC$42=$U14)*$DB$3:$DB$42)+SUMPRODUCT(($CZ$3:$CZ$42=$U11)*($DC$3:$DC$42=$U15)*$DB$3:$DB$42)+SUMPRODUCT(($CZ$3:$CZ$42=$U12)*($DC$3:$DC$42=$U11)*$DA$3:$DA$42)+SUMPRODUCT(($CZ$3:$CZ$42=$U13)*($DC$3:$DC$42=$U11)*$DA$3:$DA$42)+SUMPRODUCT(($CZ$3:$CZ$42=$U14)*($DC$3:$DC$42=$U11)*$DA$3:$DA$42)+SUMPRODUCT(($CZ$3:$CZ$42=$U15)*($DC$3:$DC$42=$U11)*$DA$3:$DA$42)</f>
        <v>0</v>
      </c>
      <c r="AA11" s="191">
        <f>Y11-Z11+1000</f>
        <v>1000</v>
      </c>
      <c r="AB11" s="191" t="str">
        <f t="shared" ref="AB11:AB14" si="54">IF(U11&lt;&gt;"",V11*3+W11*1,"")</f>
        <v/>
      </c>
      <c r="AC11" s="191" t="str">
        <f t="shared" ref="AC11:AC14" si="55">IF(U11&lt;&gt;"",VLOOKUP(U11,$B$4:$H$40,7,FALSE),"")</f>
        <v/>
      </c>
      <c r="AD11" s="191" t="str">
        <f t="shared" ref="AD11:AD14" si="56">IF(U11&lt;&gt;"",VLOOKUP(U11,$B$4:$H$40,5,FALSE),"")</f>
        <v/>
      </c>
      <c r="AE11" s="191" t="str">
        <f t="shared" ref="AE11:AE14" si="57">IF(U11&lt;&gt;"",VLOOKUP(U11,$B$4:$J$40,9,FALSE),"")</f>
        <v/>
      </c>
      <c r="AF11" s="191" t="str">
        <f t="shared" ref="AF11:AF14" si="58">AB11</f>
        <v/>
      </c>
      <c r="AG11" s="191" t="str">
        <f>IF(U11&lt;&gt;"",RANK(AF11,AF$11:AF$15),"")</f>
        <v/>
      </c>
      <c r="AH11" s="191" t="str">
        <f>IF(U11&lt;&gt;"",SUMPRODUCT((AF$11:AF$15=AF11)*(AA$11:AA$15&gt;AA11)),"")</f>
        <v/>
      </c>
      <c r="AI11" s="191" t="str">
        <f>IF(U11&lt;&gt;"",SUMPRODUCT((AF$11:AF$15=AF11)*(AA$11:AA$15=AA11)*(Y$11:Y$15&gt;Y11)),"")</f>
        <v/>
      </c>
      <c r="AJ11" s="191" t="str">
        <f>IF(U11&lt;&gt;"",SUMPRODUCT((AF$11:AF$15=AF11)*(AA$11:AA$15=AA11)*(Y$11:Y$15=Y11)*(AC$11:AC$15&gt;AC11)),"")</f>
        <v/>
      </c>
      <c r="AK11" s="191" t="str">
        <f>IF(U11&lt;&gt;"",SUMPRODUCT((AF$11:AF$15=AF11)*(AA$11:AA$15=AA11)*(Y$11:Y$15=Y11)*(AC$11:AC$15=AC11)*(AD$11:AD$15&gt;AD11)),"")</f>
        <v/>
      </c>
      <c r="AL11" s="191" t="str">
        <f>IF(U11&lt;&gt;"",SUMPRODUCT((AF$11:AF$15=AF11)*(AA$11:AA$15=AA11)*(Y$11:Y$15=Y11)*(AC$11:AC$15=AC11)*(AD$11:AD$15=AD11)*(AE$11:AE$15&gt;AE11)),"")</f>
        <v/>
      </c>
      <c r="AM11" s="191" t="str">
        <f>IF(U11&lt;&gt;"",IF(AM51&lt;&gt;"",IF(T$50=3,AM51,AM51+T$50),SUM(AG11:AL11)),"")</f>
        <v/>
      </c>
      <c r="AN11" s="191" t="str">
        <f>IF(U11&lt;&gt;"",INDEX($U$11:$U$15,MATCH(1,$AM$11:$AM$15,0),0),"")</f>
        <v/>
      </c>
      <c r="CW11" s="191" t="str">
        <f>IF(AN11&lt;&gt;"",AN11,N11)</f>
        <v>Belgium</v>
      </c>
      <c r="CX11" s="191">
        <v>1</v>
      </c>
      <c r="CY11" s="191">
        <v>9</v>
      </c>
      <c r="CZ11" s="191" t="str">
        <f>Fixtures!G15</f>
        <v>Poland</v>
      </c>
      <c r="DA11" s="191">
        <f>IF(AND(Fixtures!H15&lt;&gt;"",Fixtures!I15&lt;&gt;""),Fixtures!H15,0)</f>
        <v>1</v>
      </c>
      <c r="DB11" s="191">
        <f>IF(AND(Fixtures!I15&lt;&gt;"",Fixtures!H15&lt;&gt;""),Fixtures!I15,0)</f>
        <v>2</v>
      </c>
      <c r="DC11" s="191" t="str">
        <f>Fixtures!J15</f>
        <v>Slovakia</v>
      </c>
      <c r="DD11" s="191" t="str">
        <f>IF(AND(Fixtures!H15&lt;&gt;"",Fixtures!I15&lt;&gt;""),IF(DA11&gt;DB11,"W",IF(DA11=DB11,"D","L")),"")</f>
        <v>L</v>
      </c>
      <c r="DE11" s="191" t="str">
        <f t="shared" si="1"/>
        <v>W</v>
      </c>
      <c r="EF11" s="272" t="s">
        <v>118</v>
      </c>
      <c r="EG11" s="196"/>
      <c r="EH11" s="197" t="str">
        <f>Fixtures!G10</f>
        <v>Belgium</v>
      </c>
      <c r="EI11" s="198" t="s">
        <v>536</v>
      </c>
      <c r="EJ11" s="197" t="str">
        <f>"'Countries and Timezone'!"&amp;VLOOKUP(Fixtures!P12,$EH$7:$EI$38,2,FALSE)</f>
        <v>'Countries and Timezone'!B11</v>
      </c>
      <c r="EL11" s="199">
        <v>44360.625</v>
      </c>
      <c r="EM11" s="200">
        <f t="shared" si="51"/>
        <v>44360.625</v>
      </c>
      <c r="EO11" s="202">
        <v>-10.5</v>
      </c>
      <c r="EP11" s="191">
        <v>-10</v>
      </c>
      <c r="EQ11" s="191" t="s">
        <v>537</v>
      </c>
      <c r="ER11" s="191" t="s">
        <v>538</v>
      </c>
    </row>
    <row r="12" spans="1:148" ht="14.5" customHeight="1" x14ac:dyDescent="0.35">
      <c r="A12" s="191">
        <f>VLOOKUP(B12,$CW$11:$CX$15,2,FALSE)</f>
        <v>4</v>
      </c>
      <c r="B12" s="191" t="str">
        <f>'Dummy Table'!EH12</f>
        <v>Russia</v>
      </c>
      <c r="C12" s="191">
        <f>SUMPRODUCT(($CZ$3:$CZ$42=$B12)*($DD$3:$DD$42="W"))+SUMPRODUCT(($DC$3:$DC$42=$B12)*($DE$3:$DE$42="W"))</f>
        <v>1</v>
      </c>
      <c r="D12" s="191">
        <f>SUMPRODUCT(($CZ$3:$CZ$42=$B12)*($DD$3:$DD$42="D"))+SUMPRODUCT(($DC$3:$DC$42=$B12)*($DE$3:$DE$42="D"))</f>
        <v>0</v>
      </c>
      <c r="E12" s="191">
        <f>SUMPRODUCT(($CZ$3:$CZ$42=$B12)*($DD$3:$DD$42="L"))+SUMPRODUCT(($DC$3:$DC$42=$B12)*($DE$3:$DE$42="L"))</f>
        <v>2</v>
      </c>
      <c r="F12" s="191">
        <f>SUMIF($CZ$3:$CZ$60,B12,$DA$3:$DA$60)+SUMIF($DC$3:$DC$60,B12,$DB$3:$DB$60)</f>
        <v>2</v>
      </c>
      <c r="G12" s="191">
        <f>SUMIF($DC$3:$DC$60,B12,$DA$3:$DA$60)+SUMIF($CZ$3:$CZ$60,B12,$DB$3:$DB$60)</f>
        <v>7</v>
      </c>
      <c r="H12" s="191">
        <f t="shared" si="52"/>
        <v>995</v>
      </c>
      <c r="I12" s="191">
        <f t="shared" si="53"/>
        <v>3</v>
      </c>
      <c r="J12" s="191">
        <v>44</v>
      </c>
      <c r="K12" s="191">
        <f>IF(COUNTIF(I11:I15,4)&lt;&gt;4,RANK(I12,I11:I15),I52)</f>
        <v>2</v>
      </c>
      <c r="M12" s="191">
        <f>SUMPRODUCT((K11:K14=K12)*(J11:J14&lt;J12))+K12</f>
        <v>4</v>
      </c>
      <c r="N12" s="191" t="str">
        <f>INDEX($B$11:$B$15,MATCH(2,$M$11:$M$15,0),0)</f>
        <v>Finland</v>
      </c>
      <c r="O12" s="191">
        <f>INDEX($K$11:$K$15,MATCH(N12,$B$11:$B$15,0),0)</f>
        <v>2</v>
      </c>
      <c r="P12" s="191" t="str">
        <f>IF(P11&lt;&gt;"",N12,"")</f>
        <v/>
      </c>
      <c r="Q12" s="191" t="str">
        <f>IF(Q11&lt;&gt;"",N13,"")</f>
        <v>Denmark</v>
      </c>
      <c r="R12" s="191" t="str">
        <f>IF(R11&lt;&gt;"",N14,"")</f>
        <v/>
      </c>
      <c r="S12" s="191" t="str">
        <f>IF(S11&lt;&gt;"",N15,"")</f>
        <v/>
      </c>
      <c r="U12" s="191" t="str">
        <f t="shared" ref="U12:U14" si="59">IF(P12&lt;&gt;"",P12,"")</f>
        <v/>
      </c>
      <c r="V12" s="191">
        <f>SUMPRODUCT(($CZ$3:$CZ$42=$U12)*($DC$3:$DC$42=$U13)*($DD$3:$DD$42="W"))+SUMPRODUCT(($CZ$3:$CZ$42=$U12)*($DC$3:$DC$42=$U14)*($DD$3:$DD$42="W"))+SUMPRODUCT(($CZ$3:$CZ$42=$U12)*($DC$3:$DC$42=$U15)*($DD$3:$DD$42="W"))+SUMPRODUCT(($CZ$3:$CZ$42=$U12)*($DC$3:$DC$42=$U11)*($DD$3:$DD$42="W"))+SUMPRODUCT(($CZ$3:$CZ$42=$U13)*($DC$3:$DC$42=$U12)*($DE$3:$DE$42="W"))+SUMPRODUCT(($CZ$3:$CZ$42=$U14)*($DC$3:$DC$42=$U12)*($DE$3:$DE$42="W"))+SUMPRODUCT(($CZ$3:$CZ$42=$U15)*($DC$3:$DC$42=$U12)*($DE$3:$DE$42="W"))+SUMPRODUCT(($CZ$3:$CZ$42=$U11)*($DC$3:$DC$42=$U12)*($DE$3:$DE$42="W"))</f>
        <v>0</v>
      </c>
      <c r="W12" s="191">
        <f>SUMPRODUCT(($CZ$3:$CZ$42=$U12)*($DC$3:$DC$42=$U13)*($DD$3:$DD$42="D"))+SUMPRODUCT(($CZ$3:$CZ$42=$U12)*($DC$3:$DC$42=$U14)*($DD$3:$DD$42="D"))+SUMPRODUCT(($CZ$3:$CZ$42=$U12)*($DC$3:$DC$42=$U15)*($DD$3:$DD$42="D"))+SUMPRODUCT(($CZ$3:$CZ$42=$U12)*($DC$3:$DC$42=$U11)*($DD$3:$DD$42="D"))+SUMPRODUCT(($CZ$3:$CZ$42=$U13)*($DC$3:$DC$42=$U12)*($DD$3:$DD$42="D"))+SUMPRODUCT(($CZ$3:$CZ$42=$U14)*($DC$3:$DC$42=$U12)*($DD$3:$DD$42="D"))+SUMPRODUCT(($CZ$3:$CZ$42=$U15)*($DC$3:$DC$42=$U12)*($DD$3:$DD$42="D"))+SUMPRODUCT(($CZ$3:$CZ$42=$U11)*($DC$3:$DC$42=$U12)*($DD$3:$DD$42="D"))</f>
        <v>0</v>
      </c>
      <c r="X12" s="191">
        <f>SUMPRODUCT(($CZ$3:$CZ$42=$U12)*($DC$3:$DC$42=$U13)*($DD$3:$DD$42="L"))+SUMPRODUCT(($CZ$3:$CZ$42=$U12)*($DC$3:$DC$42=$U14)*($DD$3:$DD$42="L"))+SUMPRODUCT(($CZ$3:$CZ$42=$U12)*($DC$3:$DC$42=$U15)*($DD$3:$DD$42="L"))+SUMPRODUCT(($CZ$3:$CZ$42=$U12)*($DC$3:$DC$42=$U11)*($DD$3:$DD$42="L"))+SUMPRODUCT(($CZ$3:$CZ$42=$U13)*($DC$3:$DC$42=$U12)*($DE$3:$DE$42="L"))+SUMPRODUCT(($CZ$3:$CZ$42=$U14)*($DC$3:$DC$42=$U12)*($DE$3:$DE$42="L"))+SUMPRODUCT(($CZ$3:$CZ$42=$U15)*($DC$3:$DC$42=$U12)*($DE$3:$DE$42="L"))+SUMPRODUCT(($CZ$3:$CZ$42=$U11)*($DC$3:$DC$42=$U12)*($DE$3:$DE$42="L"))</f>
        <v>0</v>
      </c>
      <c r="Y12" s="191">
        <f>SUMPRODUCT(($CZ$3:$CZ$42=$U12)*($DC$3:$DC$42=$U13)*$DA$3:$DA$42)+SUMPRODUCT(($CZ$3:$CZ$42=$U12)*($DC$3:$DC$42=$U14)*$DA$3:$DA$42)+SUMPRODUCT(($CZ$3:$CZ$42=$U12)*($DC$3:$DC$42=$U15)*$DA$3:$DA$42)+SUMPRODUCT(($CZ$3:$CZ$42=$U12)*($DC$3:$DC$42=$U11)*$DA$3:$DA$42)+SUMPRODUCT(($CZ$3:$CZ$42=$U13)*($DC$3:$DC$42=$U12)*$DB$3:$DB$42)+SUMPRODUCT(($CZ$3:$CZ$42=$U14)*($DC$3:$DC$42=$U12)*$DB$3:$DB$42)+SUMPRODUCT(($CZ$3:$CZ$42=$U15)*($DC$3:$DC$42=$U12)*$DB$3:$DB$42)+SUMPRODUCT(($CZ$3:$CZ$42=$U11)*($DC$3:$DC$42=$U12)*$DB$3:$DB$42)</f>
        <v>0</v>
      </c>
      <c r="Z12" s="191">
        <f>SUMPRODUCT(($CZ$3:$CZ$42=$U12)*($DC$3:$DC$42=$U13)*$DB$3:$DB$42)+SUMPRODUCT(($CZ$3:$CZ$42=$U12)*($DC$3:$DC$42=$U14)*$DB$3:$DB$42)+SUMPRODUCT(($CZ$3:$CZ$42=$U12)*($DC$3:$DC$42=$U15)*$DB$3:$DB$42)+SUMPRODUCT(($CZ$3:$CZ$42=$U12)*($DC$3:$DC$42=$U11)*$DB$3:$DB$42)+SUMPRODUCT(($CZ$3:$CZ$42=$U13)*($DC$3:$DC$42=$U12)*$DA$3:$DA$42)+SUMPRODUCT(($CZ$3:$CZ$42=$U14)*($DC$3:$DC$42=$U12)*$DA$3:$DA$42)+SUMPRODUCT(($CZ$3:$CZ$42=$U15)*($DC$3:$DC$42=$U12)*$DA$3:$DA$42)+SUMPRODUCT(($CZ$3:$CZ$42=$U11)*($DC$3:$DC$42=$U12)*$DA$3:$DA$42)</f>
        <v>0</v>
      </c>
      <c r="AA12" s="191">
        <f>Y12-Z12+1000</f>
        <v>1000</v>
      </c>
      <c r="AB12" s="191" t="str">
        <f t="shared" si="54"/>
        <v/>
      </c>
      <c r="AC12" s="191" t="str">
        <f t="shared" si="55"/>
        <v/>
      </c>
      <c r="AD12" s="191" t="str">
        <f t="shared" si="56"/>
        <v/>
      </c>
      <c r="AE12" s="191" t="str">
        <f t="shared" si="57"/>
        <v/>
      </c>
      <c r="AF12" s="191" t="str">
        <f t="shared" si="58"/>
        <v/>
      </c>
      <c r="AG12" s="191" t="str">
        <f>IF(U12&lt;&gt;"",RANK(AF12,AF$11:AF$15),"")</f>
        <v/>
      </c>
      <c r="AH12" s="191" t="str">
        <f t="shared" ref="AH12:AH14" si="60">IF(U12&lt;&gt;"",SUMPRODUCT((AF$11:AF$15=AF12)*(AA$11:AA$15&gt;AA12)),"")</f>
        <v/>
      </c>
      <c r="AI12" s="191" t="str">
        <f t="shared" ref="AI12:AI14" si="61">IF(U12&lt;&gt;"",SUMPRODUCT((AF$11:AF$15=AF12)*(AA$11:AA$15=AA12)*(Y$11:Y$15&gt;Y12)),"")</f>
        <v/>
      </c>
      <c r="AJ12" s="191" t="str">
        <f t="shared" ref="AJ12:AJ14" si="62">IF(U12&lt;&gt;"",SUMPRODUCT((AF$11:AF$15=AF12)*(AA$11:AA$15=AA12)*(Y$11:Y$15=Y12)*(AC$11:AC$15&gt;AC12)),"")</f>
        <v/>
      </c>
      <c r="AK12" s="191" t="str">
        <f t="shared" ref="AK12:AK14" si="63">IF(U12&lt;&gt;"",SUMPRODUCT((AF$11:AF$15=AF12)*(AA$11:AA$15=AA12)*(Y$11:Y$15=Y12)*(AC$11:AC$15=AC12)*(AD$11:AD$15&gt;AD12)),"")</f>
        <v/>
      </c>
      <c r="AL12" s="191" t="str">
        <f t="shared" ref="AL12:AL14" si="64">IF(U12&lt;&gt;"",SUMPRODUCT((AF$11:AF$15=AF12)*(AA$11:AA$15=AA12)*(Y$11:Y$15=Y12)*(AC$11:AC$15=AC12)*(AD$11:AD$15=AD12)*(AE$11:AE$15&gt;AE12)),"")</f>
        <v/>
      </c>
      <c r="AM12" s="191" t="str">
        <f t="shared" ref="AM12:AM14" si="65">IF(U12&lt;&gt;"",IF(AM52&lt;&gt;"",IF(T$50=3,AM52,AM52+T$50),SUM(AG12:AL12)),"")</f>
        <v/>
      </c>
      <c r="AN12" s="191" t="str">
        <f>IF(U12&lt;&gt;"",INDEX($U$11:$U$15,MATCH(2,$AM$11:$AM$15,0),0),"")</f>
        <v/>
      </c>
      <c r="AO12" s="191" t="str">
        <f>IF(Q11&lt;&gt;"",Q11,"")</f>
        <v>Finland</v>
      </c>
      <c r="AP12" s="191">
        <f>SUMPRODUCT(($CZ$3:$CZ$42=$AO12)*($DC$3:$DC$42=$AO13)*($DD$3:$DD$42="W"))+SUMPRODUCT(($CZ$3:$CZ$42=$AO12)*($DC$3:$DC$42=$AO14)*($DD$3:$DD$42="W"))+SUMPRODUCT(($CZ$3:$CZ$42=$AO12)*($DC$3:$DC$42=$AO15)*($DD$3:$DD$42="W"))+SUMPRODUCT(($CZ$3:$CZ$42=$AO13)*($DC$3:$DC$42=$AO12)*($DE$3:$DE$42="W"))+SUMPRODUCT(($CZ$3:$CZ$42=$AO14)*($DC$3:$DC$42=$AO12)*($DE$3:$DE$42="W"))+SUMPRODUCT(($CZ$3:$CZ$42=$AO15)*($DC$3:$DC$42=$AO12)*($DE$3:$DE$42="W"))</f>
        <v>1</v>
      </c>
      <c r="AQ12" s="191">
        <f>SUMPRODUCT(($CZ$3:$CZ$42=$AO12)*($DC$3:$DC$42=$AO13)*($DD$3:$DD$42="D"))+SUMPRODUCT(($CZ$3:$CZ$42=$AO12)*($DC$3:$DC$42=$AO14)*($DD$3:$DD$42="D"))+SUMPRODUCT(($CZ$3:$CZ$42=$AO12)*($DC$3:$DC$42=$AO15)*($DD$3:$DD$42="D"))+SUMPRODUCT(($CZ$3:$CZ$42=$AO13)*($DC$3:$DC$42=$AO12)*($DD$3:$DD$42="D"))+SUMPRODUCT(($CZ$3:$CZ$42=$AO14)*($DC$3:$DC$42=$AO12)*($DD$3:$DD$42="D"))+SUMPRODUCT(($CZ$3:$CZ$42=$AO15)*($DC$3:$DC$42=$AO12)*($DD$3:$DD$42="D"))</f>
        <v>0</v>
      </c>
      <c r="AR12" s="191">
        <f>SUMPRODUCT(($CZ$3:$CZ$42=$AO12)*($DC$3:$DC$42=$AO13)*($DD$3:$DD$42="L"))+SUMPRODUCT(($CZ$3:$CZ$42=$AO12)*($DC$3:$DC$42=$AO14)*($DD$3:$DD$42="L"))+SUMPRODUCT(($CZ$3:$CZ$42=$AO12)*($DC$3:$DC$42=$AO15)*($DD$3:$DD$42="L"))+SUMPRODUCT(($CZ$3:$CZ$42=$AO13)*($DC$3:$DC$42=$AO12)*($DE$3:$DE$42="L"))+SUMPRODUCT(($CZ$3:$CZ$42=$AO14)*($DC$3:$DC$42=$AO12)*($DE$3:$DE$42="L"))+SUMPRODUCT(($CZ$3:$CZ$42=$AO15)*($DC$3:$DC$42=$AO12)*($DE$3:$DE$42="L"))</f>
        <v>1</v>
      </c>
      <c r="AS12" s="191">
        <f>SUMPRODUCT(($CZ$3:$CZ$42=$AO12)*($DC$3:$DC$42=$AO13)*$DA$3:$DA$42)+SUMPRODUCT(($CZ$3:$CZ$42=$AO12)*($DC$3:$DC$42=$AO14)*$DA$3:$DA$42)+SUMPRODUCT(($CZ$3:$CZ$42=$AO12)*($DC$3:$DC$42=$AO15)*$DA$3:$DA$42)+SUMPRODUCT(($CZ$3:$CZ$42=$AO12)*($DC$3:$DC$42=$AO11)*$DA$3:$DA$42)+SUMPRODUCT(($CZ$3:$CZ$42=$AO13)*($DC$3:$DC$42=$AO12)*$DB$3:$DB$42)+SUMPRODUCT(($CZ$3:$CZ$42=$AO14)*($DC$3:$DC$42=$AO12)*$DB$3:$DB$42)+SUMPRODUCT(($CZ$3:$CZ$42=$AO15)*($DC$3:$DC$42=$AO12)*$DB$3:$DB$42)+SUMPRODUCT(($CZ$3:$CZ$42=$AO11)*($DC$3:$DC$42=$AO12)*$DB$3:$DB$42)</f>
        <v>1</v>
      </c>
      <c r="AT12" s="191">
        <f>SUMPRODUCT(($CZ$3:$CZ$42=$AO12)*($DC$3:$DC$42=$AO13)*$DB$3:$DB$42)+SUMPRODUCT(($CZ$3:$CZ$42=$AO12)*($DC$3:$DC$42=$AO14)*$DB$3:$DB$42)+SUMPRODUCT(($CZ$3:$CZ$42=$AO12)*($DC$3:$DC$42=$AO15)*$DB$3:$DB$42)+SUMPRODUCT(($CZ$3:$CZ$42=$AO12)*($DC$3:$DC$42=$AO11)*$DB$3:$DB$42)+SUMPRODUCT(($CZ$3:$CZ$42=$AO13)*($DC$3:$DC$42=$AO12)*$DA$3:$DA$42)+SUMPRODUCT(($CZ$3:$CZ$42=$AO14)*($DC$3:$DC$42=$AO12)*$DA$3:$DA$42)+SUMPRODUCT(($CZ$3:$CZ$42=$AO15)*($DC$3:$DC$42=$AO12)*$DA$3:$DA$42)+SUMPRODUCT(($CZ$3:$CZ$42=$AO11)*($DC$3:$DC$42=$AO12)*$DA$3:$DA$42)</f>
        <v>1</v>
      </c>
      <c r="AU12" s="191">
        <f>AS12-AT12+1000</f>
        <v>1000</v>
      </c>
      <c r="AV12" s="191">
        <f t="shared" ref="AV12:AV14" si="66">IF(AO12&lt;&gt;"",AP12*3+AQ12*1,"")</f>
        <v>3</v>
      </c>
      <c r="AW12" s="191">
        <f t="shared" ref="AW12:AW14" si="67">IF(AO12&lt;&gt;"",VLOOKUP(AO12,$B$4:$H$40,7,FALSE),"")</f>
        <v>998</v>
      </c>
      <c r="AX12" s="191">
        <f t="shared" ref="AX12:AX14" si="68">IF(AO12&lt;&gt;"",VLOOKUP(AO12,$B$4:$H$40,5,FALSE),"")</f>
        <v>1</v>
      </c>
      <c r="AY12" s="191">
        <f t="shared" ref="AY12:AY14" si="69">IF(AO12&lt;&gt;"",VLOOKUP(AO12,$B$4:$J$40,9,FALSE),"")</f>
        <v>36</v>
      </c>
      <c r="AZ12" s="191">
        <f t="shared" ref="AZ12:AZ14" si="70">AV12</f>
        <v>3</v>
      </c>
      <c r="BA12" s="191">
        <f>IF(AO12&lt;&gt;"",RANK(AZ12,AZ$11:AZ$15),"")</f>
        <v>1</v>
      </c>
      <c r="BB12" s="191">
        <f t="shared" ref="BB12:BB14" si="71">IF(AO12&lt;&gt;"",SUMPRODUCT((AZ$11:AZ$15=AZ12)*(AU$11:AU$15&gt;AU12)),"")</f>
        <v>1</v>
      </c>
      <c r="BC12" s="191">
        <f t="shared" ref="BC12:BC14" si="72">IF(AO12&lt;&gt;"",SUMPRODUCT((AZ$11:AZ$15=AZ12)*(AU$11:AU$15=AU12)*(AS$11:AS$15&gt;AS12)),"")</f>
        <v>0</v>
      </c>
      <c r="BD12" s="191">
        <f t="shared" ref="BD12:BD14" si="73">IF(AO12&lt;&gt;"",SUMPRODUCT((AZ$11:AZ$15=AZ12)*(AU$11:AU$15=AU12)*(AS$11:AS$15=AS12)*(AW$11:AW$15&gt;AW12)),"")</f>
        <v>0</v>
      </c>
      <c r="BE12" s="191">
        <f t="shared" ref="BE12:BE14" si="74">IF(AO12&lt;&gt;"",SUMPRODUCT((AZ$11:AZ$15=AZ12)*(AU$11:AU$15=AU12)*(AS$11:AS$15=AS12)*(AW$11:AW$15=AW12)*(AX$11:AX$15&gt;AX12)),"")</f>
        <v>0</v>
      </c>
      <c r="BF12" s="191">
        <f t="shared" ref="BF12:BF14" si="75">IF(AO12&lt;&gt;"",SUMPRODUCT((AZ$11:AZ$15=AZ12)*(AU$11:AU$15=AU12)*(AS$11:AS$15=AS12)*(AW$11:AW$15=AW12)*(AX$11:AX$15=AX12)*(AY$11:AY$15&gt;AY12)),"")</f>
        <v>0</v>
      </c>
      <c r="BG12" s="191">
        <f>IF(AO12&lt;&gt;"",IF(BG52&lt;&gt;"",IF(AN$50=3,BG52,BG52+AN$50),SUM(BA12:BF12)+1),"")</f>
        <v>3</v>
      </c>
      <c r="BH12" s="191" t="str">
        <f>IF(AO12&lt;&gt;"",INDEX(AO12:AO15,MATCH(2,BG12:BG15,0),0),"")</f>
        <v>Denmark</v>
      </c>
      <c r="CW12" s="191" t="str">
        <f>IF(BH12&lt;&gt;"",BH12,IF(AN12&lt;&gt;"",AN12,N12))</f>
        <v>Denmark</v>
      </c>
      <c r="CX12" s="191">
        <v>2</v>
      </c>
      <c r="CY12" s="191">
        <v>10</v>
      </c>
      <c r="CZ12" s="191" t="str">
        <f>Fixtures!G16</f>
        <v>Spain</v>
      </c>
      <c r="DA12" s="191">
        <f>IF(AND(Fixtures!H16&lt;&gt;"",Fixtures!I16&lt;&gt;""),Fixtures!H16,0)</f>
        <v>0</v>
      </c>
      <c r="DB12" s="191">
        <f>IF(AND(Fixtures!I16&lt;&gt;"",Fixtures!H16&lt;&gt;""),Fixtures!I16,0)</f>
        <v>0</v>
      </c>
      <c r="DC12" s="191" t="str">
        <f>Fixtures!J16</f>
        <v>Sweden</v>
      </c>
      <c r="DD12" s="191" t="str">
        <f>IF(AND(Fixtures!H16&lt;&gt;"",Fixtures!I16&lt;&gt;""),IF(DA12&gt;DB12,"W",IF(DA12=DB12,"D","L")),"")</f>
        <v>D</v>
      </c>
      <c r="DE12" s="191" t="str">
        <f t="shared" si="1"/>
        <v>D</v>
      </c>
      <c r="DH12" s="203" t="s">
        <v>539</v>
      </c>
      <c r="DI12" s="203"/>
      <c r="DJ12" s="203"/>
      <c r="DK12" s="203"/>
      <c r="DL12" s="204" t="s">
        <v>540</v>
      </c>
      <c r="DM12" s="204" t="s">
        <v>541</v>
      </c>
      <c r="DN12" s="204" t="s">
        <v>542</v>
      </c>
      <c r="DO12" s="204" t="s">
        <v>543</v>
      </c>
      <c r="DP12" s="205"/>
      <c r="DQ12" s="204" t="str">
        <f>Fixtures!AC39</f>
        <v>F</v>
      </c>
      <c r="DR12" s="206" t="str">
        <f>Fixtures!AC40</f>
        <v>D</v>
      </c>
      <c r="DS12" s="206" t="str">
        <f>Fixtures!AC41</f>
        <v>A</v>
      </c>
      <c r="DT12" s="206" t="str">
        <f>Fixtures!AC42</f>
        <v>C</v>
      </c>
      <c r="DU12" s="206"/>
      <c r="DV12" s="205"/>
      <c r="DW12" s="205"/>
      <c r="DX12" s="205"/>
      <c r="EF12" s="272"/>
      <c r="EG12" s="196"/>
      <c r="EH12" s="197" t="str">
        <f>Fixtures!J10</f>
        <v>Russia</v>
      </c>
      <c r="EI12" s="198" t="s">
        <v>544</v>
      </c>
      <c r="EJ12" s="197" t="str">
        <f>"'Countries and Timezone'!"&amp;VLOOKUP(Fixtures!P13,$EH$7:$EI$38,2,FALSE)</f>
        <v>'Countries and Timezone'!B13</v>
      </c>
      <c r="EL12" s="199">
        <v>44360.75</v>
      </c>
      <c r="EM12" s="200">
        <f t="shared" si="51"/>
        <v>44360.75</v>
      </c>
      <c r="EO12" s="202">
        <v>-10</v>
      </c>
      <c r="EP12" s="191">
        <v>-9.5</v>
      </c>
      <c r="EQ12" s="191" t="s">
        <v>545</v>
      </c>
      <c r="ER12" s="191" t="s">
        <v>546</v>
      </c>
    </row>
    <row r="13" spans="1:148" x14ac:dyDescent="0.35">
      <c r="A13" s="191">
        <f>VLOOKUP(B13,$CW$11:$CX$15,2,FALSE)</f>
        <v>2</v>
      </c>
      <c r="B13" s="191" t="str">
        <f>'Dummy Table'!EH13</f>
        <v>Denmark</v>
      </c>
      <c r="C13" s="191">
        <f>SUMPRODUCT(($CZ$3:$CZ$42=$B13)*($DD$3:$DD$42="W"))+SUMPRODUCT(($DC$3:$DC$42=$B13)*($DE$3:$DE$42="W"))</f>
        <v>1</v>
      </c>
      <c r="D13" s="191">
        <f>SUMPRODUCT(($CZ$3:$CZ$42=$B13)*($DD$3:$DD$42="D"))+SUMPRODUCT(($DC$3:$DC$42=$B13)*($DE$3:$DE$42="D"))</f>
        <v>0</v>
      </c>
      <c r="E13" s="191">
        <f>SUMPRODUCT(($CZ$3:$CZ$42=$B13)*($DD$3:$DD$42="L"))+SUMPRODUCT(($DC$3:$DC$42=$B13)*($DE$3:$DE$42="L"))</f>
        <v>2</v>
      </c>
      <c r="F13" s="191">
        <f>SUMIF($CZ$3:$CZ$60,B13,$DA$3:$DA$60)+SUMIF($DC$3:$DC$60,B13,$DB$3:$DB$60)</f>
        <v>5</v>
      </c>
      <c r="G13" s="191">
        <f>SUMIF($DC$3:$DC$60,B13,$DA$3:$DA$60)+SUMIF($CZ$3:$CZ$60,B13,$DB$3:$DB$60)</f>
        <v>4</v>
      </c>
      <c r="H13" s="191">
        <f t="shared" si="52"/>
        <v>1001</v>
      </c>
      <c r="I13" s="191">
        <f t="shared" si="53"/>
        <v>3</v>
      </c>
      <c r="J13" s="191">
        <v>41</v>
      </c>
      <c r="K13" s="191">
        <f>IF(COUNTIF(I11:I15,4)&lt;&gt;4,RANK(I13,I11:I15),I53)</f>
        <v>2</v>
      </c>
      <c r="M13" s="191">
        <f>SUMPRODUCT((K11:K14=K13)*(J11:J14&lt;J13))+K13</f>
        <v>3</v>
      </c>
      <c r="N13" s="191" t="str">
        <f>INDEX($B$11:$B$15,MATCH(3,$M$11:$M$15,0),0)</f>
        <v>Denmark</v>
      </c>
      <c r="O13" s="191">
        <f>INDEX($K$11:$K$15,MATCH(N13,$B$11:$B$15,0),0)</f>
        <v>2</v>
      </c>
      <c r="P13" s="191" t="str">
        <f>IF(AND(P12&lt;&gt;"",O13=1),N13,"")</f>
        <v/>
      </c>
      <c r="Q13" s="191" t="str">
        <f>IF(AND(Q12&lt;&gt;"",O14=2),N14,"")</f>
        <v>Russia</v>
      </c>
      <c r="R13" s="191" t="str">
        <f>IF(AND(R12&lt;&gt;"",O15=3),N15,"")</f>
        <v/>
      </c>
      <c r="U13" s="191" t="str">
        <f t="shared" si="59"/>
        <v/>
      </c>
      <c r="V13" s="191">
        <f>SUMPRODUCT(($CZ$3:$CZ$42=$U13)*($DC$3:$DC$42=$U14)*($DD$3:$DD$42="W"))+SUMPRODUCT(($CZ$3:$CZ$42=$U13)*($DC$3:$DC$42=$U15)*($DD$3:$DD$42="W"))+SUMPRODUCT(($CZ$3:$CZ$42=$U13)*($DC$3:$DC$42=$U11)*($DD$3:$DD$42="W"))+SUMPRODUCT(($CZ$3:$CZ$42=$U13)*($DC$3:$DC$42=$U12)*($DD$3:$DD$42="W"))+SUMPRODUCT(($CZ$3:$CZ$42=$U14)*($DC$3:$DC$42=$U13)*($DE$3:$DE$42="W"))+SUMPRODUCT(($CZ$3:$CZ$42=$U15)*($DC$3:$DC$42=$U13)*($DE$3:$DE$42="W"))+SUMPRODUCT(($CZ$3:$CZ$42=$U11)*($DC$3:$DC$42=$U13)*($DE$3:$DE$42="W"))+SUMPRODUCT(($CZ$3:$CZ$42=$U12)*($DC$3:$DC$42=$U13)*($DE$3:$DE$42="W"))</f>
        <v>0</v>
      </c>
      <c r="W13" s="191">
        <f>SUMPRODUCT(($CZ$3:$CZ$42=$U13)*($DC$3:$DC$42=$U14)*($DD$3:$DD$42="D"))+SUMPRODUCT(($CZ$3:$CZ$42=$U13)*($DC$3:$DC$42=$U15)*($DD$3:$DD$42="D"))+SUMPRODUCT(($CZ$3:$CZ$42=$U13)*($DC$3:$DC$42=$U11)*($DD$3:$DD$42="D"))+SUMPRODUCT(($CZ$3:$CZ$42=$U13)*($DC$3:$DC$42=$U12)*($DD$3:$DD$42="D"))+SUMPRODUCT(($CZ$3:$CZ$42=$U14)*($DC$3:$DC$42=$U13)*($DD$3:$DD$42="D"))+SUMPRODUCT(($CZ$3:$CZ$42=$U15)*($DC$3:$DC$42=$U13)*($DD$3:$DD$42="D"))+SUMPRODUCT(($CZ$3:$CZ$42=$U11)*($DC$3:$DC$42=$U13)*($DD$3:$DD$42="D"))+SUMPRODUCT(($CZ$3:$CZ$42=$U12)*($DC$3:$DC$42=$U13)*($DD$3:$DD$42="D"))</f>
        <v>0</v>
      </c>
      <c r="X13" s="191">
        <f>SUMPRODUCT(($CZ$3:$CZ$42=$U13)*($DC$3:$DC$42=$U14)*($DD$3:$DD$42="L"))+SUMPRODUCT(($CZ$3:$CZ$42=$U13)*($DC$3:$DC$42=$U15)*($DD$3:$DD$42="L"))+SUMPRODUCT(($CZ$3:$CZ$42=$U13)*($DC$3:$DC$42=$U11)*($DD$3:$DD$42="L"))+SUMPRODUCT(($CZ$3:$CZ$42=$U13)*($DC$3:$DC$42=$U12)*($DD$3:$DD$42="L"))+SUMPRODUCT(($CZ$3:$CZ$42=$U14)*($DC$3:$DC$42=$U13)*($DE$3:$DE$42="L"))+SUMPRODUCT(($CZ$3:$CZ$42=$U15)*($DC$3:$DC$42=$U13)*($DE$3:$DE$42="L"))+SUMPRODUCT(($CZ$3:$CZ$42=$U11)*($DC$3:$DC$42=$U13)*($DE$3:$DE$42="L"))+SUMPRODUCT(($CZ$3:$CZ$42=$U12)*($DC$3:$DC$42=$U13)*($DE$3:$DE$42="L"))</f>
        <v>0</v>
      </c>
      <c r="Y13" s="191">
        <f>SUMPRODUCT(($CZ$3:$CZ$42=$U13)*($DC$3:$DC$42=$U14)*$DA$3:$DA$42)+SUMPRODUCT(($CZ$3:$CZ$42=$U13)*($DC$3:$DC$42=$U15)*$DA$3:$DA$42)+SUMPRODUCT(($CZ$3:$CZ$42=$U13)*($DC$3:$DC$42=$U11)*$DA$3:$DA$42)+SUMPRODUCT(($CZ$3:$CZ$42=$U13)*($DC$3:$DC$42=$U12)*$DA$3:$DA$42)+SUMPRODUCT(($CZ$3:$CZ$42=$U14)*($DC$3:$DC$42=$U13)*$DB$3:$DB$42)+SUMPRODUCT(($CZ$3:$CZ$42=$U15)*($DC$3:$DC$42=$U13)*$DB$3:$DB$42)+SUMPRODUCT(($CZ$3:$CZ$42=$U11)*($DC$3:$DC$42=$U13)*$DB$3:$DB$42)+SUMPRODUCT(($CZ$3:$CZ$42=$U12)*($DC$3:$DC$42=$U13)*$DB$3:$DB$42)</f>
        <v>0</v>
      </c>
      <c r="Z13" s="191">
        <f>SUMPRODUCT(($CZ$3:$CZ$42=$U13)*($DC$3:$DC$42=$U14)*$DB$3:$DB$42)+SUMPRODUCT(($CZ$3:$CZ$42=$U13)*($DC$3:$DC$42=$U15)*$DB$3:$DB$42)+SUMPRODUCT(($CZ$3:$CZ$42=$U13)*($DC$3:$DC$42=$U11)*$DB$3:$DB$42)+SUMPRODUCT(($CZ$3:$CZ$42=$U13)*($DC$3:$DC$42=$U12)*$DB$3:$DB$42)+SUMPRODUCT(($CZ$3:$CZ$42=$U14)*($DC$3:$DC$42=$U13)*$DA$3:$DA$42)+SUMPRODUCT(($CZ$3:$CZ$42=$U15)*($DC$3:$DC$42=$U13)*$DA$3:$DA$42)+SUMPRODUCT(($CZ$3:$CZ$42=$U11)*($DC$3:$DC$42=$U13)*$DA$3:$DA$42)+SUMPRODUCT(($CZ$3:$CZ$42=$U12)*($DC$3:$DC$42=$U13)*$DA$3:$DA$42)</f>
        <v>0</v>
      </c>
      <c r="AA13" s="191">
        <f>Y13-Z13+1000</f>
        <v>1000</v>
      </c>
      <c r="AB13" s="191" t="str">
        <f t="shared" si="54"/>
        <v/>
      </c>
      <c r="AC13" s="191" t="str">
        <f t="shared" si="55"/>
        <v/>
      </c>
      <c r="AD13" s="191" t="str">
        <f t="shared" si="56"/>
        <v/>
      </c>
      <c r="AE13" s="191" t="str">
        <f t="shared" si="57"/>
        <v/>
      </c>
      <c r="AF13" s="191" t="str">
        <f t="shared" si="58"/>
        <v/>
      </c>
      <c r="AG13" s="191" t="str">
        <f>IF(U13&lt;&gt;"",RANK(AF13,AF$11:AF$15),"")</f>
        <v/>
      </c>
      <c r="AH13" s="191" t="str">
        <f t="shared" si="60"/>
        <v/>
      </c>
      <c r="AI13" s="191" t="str">
        <f t="shared" si="61"/>
        <v/>
      </c>
      <c r="AJ13" s="191" t="str">
        <f t="shared" si="62"/>
        <v/>
      </c>
      <c r="AK13" s="191" t="str">
        <f t="shared" si="63"/>
        <v/>
      </c>
      <c r="AL13" s="191" t="str">
        <f t="shared" si="64"/>
        <v/>
      </c>
      <c r="AM13" s="191" t="str">
        <f t="shared" si="65"/>
        <v/>
      </c>
      <c r="AN13" s="191" t="str">
        <f>IF(U13&lt;&gt;"",INDEX($U$11:$U$15,MATCH(3,$AM$11:$AM$15,0),0),"")</f>
        <v/>
      </c>
      <c r="AO13" s="191" t="str">
        <f>IF(Q12&lt;&gt;"",Q12,"")</f>
        <v>Denmark</v>
      </c>
      <c r="AP13" s="191">
        <f>SUMPRODUCT(($CZ$3:$CZ$42=$AO13)*($DC$3:$DC$42=$AO14)*($DD$3:$DD$42="W"))+SUMPRODUCT(($CZ$3:$CZ$42=$AO13)*($DC$3:$DC$42=$AO15)*($DD$3:$DD$42="W"))+SUMPRODUCT(($CZ$3:$CZ$42=$AO13)*($DC$3:$DC$42=$AO12)*($DD$3:$DD$42="W"))+SUMPRODUCT(($CZ$3:$CZ$42=$AO14)*($DC$3:$DC$42=$AO13)*($DE$3:$DE$42="W"))+SUMPRODUCT(($CZ$3:$CZ$42=$AO15)*($DC$3:$DC$42=$AO13)*($DE$3:$DE$42="W"))+SUMPRODUCT(($CZ$3:$CZ$42=$AO12)*($DC$3:$DC$42=$AO13)*($DE$3:$DE$42="W"))</f>
        <v>1</v>
      </c>
      <c r="AQ13" s="191">
        <f>SUMPRODUCT(($CZ$3:$CZ$42=$AO13)*($DC$3:$DC$42=$AO14)*($DD$3:$DD$42="D"))+SUMPRODUCT(($CZ$3:$CZ$42=$AO13)*($DC$3:$DC$42=$AO15)*($DD$3:$DD$42="D"))+SUMPRODUCT(($CZ$3:$CZ$42=$AO13)*($DC$3:$DC$42=$AO12)*($DD$3:$DD$42="D"))+SUMPRODUCT(($CZ$3:$CZ$42=$AO14)*($DC$3:$DC$42=$AO13)*($DD$3:$DD$42="D"))+SUMPRODUCT(($CZ$3:$CZ$42=$AO15)*($DC$3:$DC$42=$AO13)*($DD$3:$DD$42="D"))+SUMPRODUCT(($CZ$3:$CZ$42=$AO12)*($DC$3:$DC$42=$AO13)*($DD$3:$DD$42="D"))</f>
        <v>0</v>
      </c>
      <c r="AR13" s="191">
        <f>SUMPRODUCT(($CZ$3:$CZ$42=$AO13)*($DC$3:$DC$42=$AO14)*($DD$3:$DD$42="L"))+SUMPRODUCT(($CZ$3:$CZ$42=$AO13)*($DC$3:$DC$42=$AO15)*($DD$3:$DD$42="L"))+SUMPRODUCT(($CZ$3:$CZ$42=$AO13)*($DC$3:$DC$42=$AO12)*($DD$3:$DD$42="L"))+SUMPRODUCT(($CZ$3:$CZ$42=$AO14)*($DC$3:$DC$42=$AO13)*($DE$3:$DE$42="L"))+SUMPRODUCT(($CZ$3:$CZ$42=$AO15)*($DC$3:$DC$42=$AO13)*($DE$3:$DE$42="L"))+SUMPRODUCT(($CZ$3:$CZ$42=$AO12)*($DC$3:$DC$42=$AO13)*($DE$3:$DE$42="L"))</f>
        <v>1</v>
      </c>
      <c r="AS13" s="191">
        <f>SUMPRODUCT(($CZ$3:$CZ$42=$AO13)*($DC$3:$DC$42=$AO14)*$DA$3:$DA$42)+SUMPRODUCT(($CZ$3:$CZ$42=$AO13)*($DC$3:$DC$42=$AO15)*$DA$3:$DA$42)+SUMPRODUCT(($CZ$3:$CZ$42=$AO13)*($DC$3:$DC$42=$AO11)*$DA$3:$DA$42)+SUMPRODUCT(($CZ$3:$CZ$42=$AO13)*($DC$3:$DC$42=$AO12)*$DA$3:$DA$42)+SUMPRODUCT(($CZ$3:$CZ$42=$AO14)*($DC$3:$DC$42=$AO13)*$DB$3:$DB$42)+SUMPRODUCT(($CZ$3:$CZ$42=$AO15)*($DC$3:$DC$42=$AO13)*$DB$3:$DB$42)+SUMPRODUCT(($CZ$3:$CZ$42=$AO11)*($DC$3:$DC$42=$AO13)*$DB$3:$DB$42)+SUMPRODUCT(($CZ$3:$CZ$42=$AO12)*($DC$3:$DC$42=$AO13)*$DB$3:$DB$42)</f>
        <v>4</v>
      </c>
      <c r="AT13" s="191">
        <f>SUMPRODUCT(($CZ$3:$CZ$42=$AO13)*($DC$3:$DC$42=$AO14)*$DB$3:$DB$42)+SUMPRODUCT(($CZ$3:$CZ$42=$AO13)*($DC$3:$DC$42=$AO15)*$DB$3:$DB$42)+SUMPRODUCT(($CZ$3:$CZ$42=$AO13)*($DC$3:$DC$42=$AO11)*$DB$3:$DB$42)+SUMPRODUCT(($CZ$3:$CZ$42=$AO13)*($DC$3:$DC$42=$AO12)*$DB$3:$DB$42)+SUMPRODUCT(($CZ$3:$CZ$42=$AO14)*($DC$3:$DC$42=$AO13)*$DA$3:$DA$42)+SUMPRODUCT(($CZ$3:$CZ$42=$AO15)*($DC$3:$DC$42=$AO13)*$DA$3:$DA$42)+SUMPRODUCT(($CZ$3:$CZ$42=$AO11)*($DC$3:$DC$42=$AO13)*$DA$3:$DA$42)+SUMPRODUCT(($CZ$3:$CZ$42=$AO12)*($DC$3:$DC$42=$AO13)*$DA$3:$DA$42)</f>
        <v>2</v>
      </c>
      <c r="AU13" s="191">
        <f>AS13-AT13+1000</f>
        <v>1002</v>
      </c>
      <c r="AV13" s="191">
        <f t="shared" si="66"/>
        <v>3</v>
      </c>
      <c r="AW13" s="191">
        <f t="shared" si="67"/>
        <v>1001</v>
      </c>
      <c r="AX13" s="191">
        <f t="shared" si="68"/>
        <v>5</v>
      </c>
      <c r="AY13" s="191">
        <f t="shared" si="69"/>
        <v>41</v>
      </c>
      <c r="AZ13" s="191">
        <f t="shared" si="70"/>
        <v>3</v>
      </c>
      <c r="BA13" s="191">
        <f>IF(AO13&lt;&gt;"",RANK(AZ13,AZ$11:AZ$15),"")</f>
        <v>1</v>
      </c>
      <c r="BB13" s="191">
        <f t="shared" si="71"/>
        <v>0</v>
      </c>
      <c r="BC13" s="191">
        <f t="shared" si="72"/>
        <v>0</v>
      </c>
      <c r="BD13" s="191">
        <f t="shared" si="73"/>
        <v>0</v>
      </c>
      <c r="BE13" s="191">
        <f t="shared" si="74"/>
        <v>0</v>
      </c>
      <c r="BF13" s="191">
        <f t="shared" si="75"/>
        <v>0</v>
      </c>
      <c r="BG13" s="191">
        <f t="shared" ref="BG13:BG14" si="76">IF(AO13&lt;&gt;"",IF(BG53&lt;&gt;"",IF(AN$50=3,BG53,BG53+AN$50),SUM(BA13:BF13)+1),"")</f>
        <v>2</v>
      </c>
      <c r="BH13" s="191" t="str">
        <f>IF(AO13&lt;&gt;"",INDEX(AO12:AO15,MATCH(3,BG12:BG15,0),0),"")</f>
        <v>Finland</v>
      </c>
      <c r="BI13" s="191" t="str">
        <f>IF(R11&lt;&gt;"",R11,"")</f>
        <v/>
      </c>
      <c r="BJ13" s="191">
        <f>SUMPRODUCT(($CZ$3:$CZ$42=$BI13)*($DC$3:$DC$42=$BI14)*($DD$3:$DD$42="W"))+SUMPRODUCT(($CZ$3:$CZ$42=$BI13)*($DC$3:$DC$42=$BI15)*($DD$3:$DD$42="W"))+SUMPRODUCT(($CZ$3:$CZ$42=$BI13)*($DC$3:$DC$42=$BI16)*($DD$3:$DD$42="W"))+SUMPRODUCT(($CZ$3:$CZ$42=$BI14)*($DC$3:$DC$42=$BI13)*($DE$3:$DE$42="W"))+SUMPRODUCT(($CZ$3:$CZ$42=$BI15)*($DC$3:$DC$42=$BI13)*($DE$3:$DE$42="W"))+SUMPRODUCT(($CZ$3:$CZ$42=$BI16)*($DC$3:$DC$42=$BI13)*($DE$3:$DE$42="W"))</f>
        <v>0</v>
      </c>
      <c r="BK13" s="191">
        <f>SUMPRODUCT(($CZ$3:$CZ$42=$BI13)*($DC$3:$DC$42=$BI14)*($DD$3:$DD$42="D"))+SUMPRODUCT(($CZ$3:$CZ$42=$BI13)*($DC$3:$DC$42=$BI15)*($DD$3:$DD$42="D"))+SUMPRODUCT(($CZ$3:$CZ$42=$BI13)*($DC$3:$DC$42=$BI16)*($DD$3:$DD$42="D"))+SUMPRODUCT(($CZ$3:$CZ$42=$BI14)*($DC$3:$DC$42=$BI13)*($DD$3:$DD$42="D"))+SUMPRODUCT(($CZ$3:$CZ$42=$BI15)*($DC$3:$DC$42=$BI13)*($DD$3:$DD$42="D"))+SUMPRODUCT(($CZ$3:$CZ$42=$BI16)*($DC$3:$DC$42=$BI13)*($DD$3:$DD$42="D"))</f>
        <v>0</v>
      </c>
      <c r="BL13" s="191">
        <f>SUMPRODUCT(($CZ$3:$CZ$42=$BI13)*($DC$3:$DC$42=$BI14)*($DD$3:$DD$42="L"))+SUMPRODUCT(($CZ$3:$CZ$42=$BI13)*($DC$3:$DC$42=$BI15)*($DD$3:$DD$42="L"))+SUMPRODUCT(($CZ$3:$CZ$42=$BI13)*($DC$3:$DC$42=$BI16)*($DD$3:$DD$42="L"))+SUMPRODUCT(($CZ$3:$CZ$42=$BI14)*($DC$3:$DC$42=$BI13)*($DE$3:$DE$42="L"))+SUMPRODUCT(($CZ$3:$CZ$42=$BI15)*($DC$3:$DC$42=$BI13)*($DE$3:$DE$42="L"))+SUMPRODUCT(($CZ$3:$CZ$42=$BI16)*($DC$3:$DC$42=$BI13)*($DE$3:$DE$42="L"))</f>
        <v>0</v>
      </c>
      <c r="BM13" s="191">
        <f>SUMPRODUCT(($CZ$3:$CZ$42=$BI13)*($DC$3:$DC$42=$BI14)*$DA$3:$DA$42)+SUMPRODUCT(($CZ$3:$CZ$42=$BI13)*($DC$3:$DC$42=$BI15)*$DA$3:$DA$42)+SUMPRODUCT(($CZ$3:$CZ$42=$BI13)*($DC$3:$DC$42=$BI11)*$DA$3:$DA$42)+SUMPRODUCT(($CZ$3:$CZ$42=$BI13)*($DC$3:$DC$42=$BI12)*$DA$3:$DA$42)+SUMPRODUCT(($CZ$3:$CZ$42=$BI14)*($DC$3:$DC$42=$BI13)*$DB$3:$DB$42)+SUMPRODUCT(($CZ$3:$CZ$42=$BI15)*($DC$3:$DC$42=$BI13)*$DB$3:$DB$42)+SUMPRODUCT(($CZ$3:$CZ$42=$BI11)*($DC$3:$DC$42=$BI13)*$DB$3:$DB$42)+SUMPRODUCT(($CZ$3:$CZ$42=$BI12)*($DC$3:$DC$42=$BI13)*$DB$3:$DB$42)</f>
        <v>0</v>
      </c>
      <c r="BN13" s="191">
        <f>SUMPRODUCT(($CZ$3:$CZ$42=$BI13)*($DC$3:$DC$42=$BI14)*$DB$3:$DB$42)+SUMPRODUCT(($CZ$3:$CZ$42=$BI13)*($DC$3:$DC$42=$BI15)*$DB$3:$DB$42)+SUMPRODUCT(($CZ$3:$CZ$42=$BI13)*($DC$3:$DC$42=$BI11)*$DB$3:$DB$42)+SUMPRODUCT(($CZ$3:$CZ$42=$BI13)*($DC$3:$DC$42=$BI12)*$DB$3:$DB$42)+SUMPRODUCT(($CZ$3:$CZ$42=$BI14)*($DC$3:$DC$42=$BI13)*$DA$3:$DA$42)+SUMPRODUCT(($CZ$3:$CZ$42=$BI15)*($DC$3:$DC$42=$BI13)*$DA$3:$DA$42)+SUMPRODUCT(($CZ$3:$CZ$42=$BI11)*($DC$3:$DC$42=$BI13)*$DA$3:$DA$42)+SUMPRODUCT(($CZ$3:$CZ$42=$BI12)*($DC$3:$DC$42=$BI13)*$DA$3:$DA$42)</f>
        <v>0</v>
      </c>
      <c r="BO13" s="191">
        <f>BM13-BN13+1000</f>
        <v>1000</v>
      </c>
      <c r="BP13" s="191" t="str">
        <f t="shared" ref="BP13:BP14" si="77">IF(BI13&lt;&gt;"",BJ13*3+BK13*1,"")</f>
        <v/>
      </c>
      <c r="BQ13" s="191" t="str">
        <f t="shared" ref="BQ13:BQ14" si="78">IF(BI13&lt;&gt;"",VLOOKUP(BI13,$B$4:$H$40,7,FALSE),"")</f>
        <v/>
      </c>
      <c r="BR13" s="191" t="str">
        <f t="shared" ref="BR13:BR14" si="79">IF(BI13&lt;&gt;"",VLOOKUP(BI13,$B$4:$H$40,5,FALSE),"")</f>
        <v/>
      </c>
      <c r="BS13" s="191" t="str">
        <f t="shared" ref="BS13:BS14" si="80">IF(BI13&lt;&gt;"",VLOOKUP(BI13,$B$4:$J$40,9,FALSE),"")</f>
        <v/>
      </c>
      <c r="BT13" s="191" t="str">
        <f t="shared" ref="BT13:BT14" si="81">BP13</f>
        <v/>
      </c>
      <c r="BU13" s="191" t="str">
        <f>IF(BI13&lt;&gt;"",RANK(BT13,BT$11:BT$15),"")</f>
        <v/>
      </c>
      <c r="BV13" s="191" t="str">
        <f t="shared" ref="BV13:BV14" si="82">IF(BI13&lt;&gt;"",SUMPRODUCT((BT$11:BT$15=BT13)*(BO$11:BO$15&gt;BO13)),"")</f>
        <v/>
      </c>
      <c r="BW13" s="191" t="str">
        <f t="shared" ref="BW13:BW14" si="83">IF(BI13&lt;&gt;"",SUMPRODUCT((BT$11:BT$15=BT13)*(BO$11:BO$15=BO13)*(BM$11:BM$15&gt;BM13)),"")</f>
        <v/>
      </c>
      <c r="BX13" s="191" t="str">
        <f t="shared" ref="BX13:BX14" si="84">IF(BI13&lt;&gt;"",SUMPRODUCT((BT$11:BT$15=BT13)*(BO$11:BO$15=BO13)*(BM$11:BM$15=BM13)*(BQ$11:BQ$15&gt;BQ13)),"")</f>
        <v/>
      </c>
      <c r="BY13" s="191" t="str">
        <f t="shared" ref="BY13:BY14" si="85">IF(BI13&lt;&gt;"",SUMPRODUCT((BT$11:BT$15=BT13)*(BO$11:BO$15=BO13)*(BM$11:BM$15=BM13)*(BQ$11:BQ$15=BQ13)*(BR$11:BR$15&gt;BR13)),"")</f>
        <v/>
      </c>
      <c r="BZ13" s="191" t="str">
        <f t="shared" ref="BZ13:BZ14" si="86">IF(BI13&lt;&gt;"",SUMPRODUCT((BT$11:BT$15=BT13)*(BO$11:BO$15=BO13)*(BM$11:BM$15=BM13)*(BQ$11:BQ$15=BQ13)*(BR$11:BR$15=BR13)*(BS$11:BS$15&gt;BS13)),"")</f>
        <v/>
      </c>
      <c r="CA13" s="191" t="str">
        <f>IF(BI13&lt;&gt;"",SUM(BU13:BZ13)+2,"")</f>
        <v/>
      </c>
      <c r="CB13" s="191" t="str">
        <f>IF(BI13&lt;&gt;"",INDEX(BI13:BI15,MATCH(3,CA13:CA15,0),0),"")</f>
        <v/>
      </c>
      <c r="CW13" s="191" t="str">
        <f>IF(CB13&lt;&gt;"",CB13,IF(BH13&lt;&gt;"",BH13,IF(AN13&lt;&gt;"",AN13,N13)))</f>
        <v>Finland</v>
      </c>
      <c r="CX13" s="191">
        <v>3</v>
      </c>
      <c r="CY13" s="191">
        <v>11</v>
      </c>
      <c r="CZ13" s="191" t="str">
        <f>Fixtures!G17</f>
        <v>Hungary</v>
      </c>
      <c r="DA13" s="191">
        <f>IF(AND(Fixtures!H17&lt;&gt;"",Fixtures!I17&lt;&gt;""),Fixtures!H17,0)</f>
        <v>0</v>
      </c>
      <c r="DB13" s="191">
        <f>IF(AND(Fixtures!I17&lt;&gt;"",Fixtures!H17&lt;&gt;""),Fixtures!I17,0)</f>
        <v>3</v>
      </c>
      <c r="DC13" s="191" t="str">
        <f>Fixtures!J17</f>
        <v>Portugal</v>
      </c>
      <c r="DD13" s="191" t="str">
        <f>IF(AND(Fixtures!H17&lt;&gt;"",Fixtures!I17&lt;&gt;""),IF(DA13&gt;DB13,"W",IF(DA13=DB13,"D","L")),"")</f>
        <v>L</v>
      </c>
      <c r="DE13" s="191" t="str">
        <f t="shared" si="1"/>
        <v>W</v>
      </c>
      <c r="DH13" s="204" t="s">
        <v>112</v>
      </c>
      <c r="DI13" s="205" t="s">
        <v>118</v>
      </c>
      <c r="DJ13" s="205" t="s">
        <v>122</v>
      </c>
      <c r="DK13" s="205" t="s">
        <v>109</v>
      </c>
      <c r="DL13" s="204" t="s">
        <v>112</v>
      </c>
      <c r="DM13" s="204" t="s">
        <v>109</v>
      </c>
      <c r="DN13" s="204" t="s">
        <v>118</v>
      </c>
      <c r="DO13" s="204" t="s">
        <v>122</v>
      </c>
      <c r="DP13" s="205"/>
      <c r="DQ13" s="206">
        <f>IFERROR(MATCH(DQ$12,$DH13:$DK13,0),0)</f>
        <v>0</v>
      </c>
      <c r="DR13" s="206">
        <f t="shared" ref="DQ13:DT27" si="87">IFERROR(MATCH(DR$12,$DH13:$DK13,0),0)</f>
        <v>4</v>
      </c>
      <c r="DS13" s="206">
        <f t="shared" si="87"/>
        <v>1</v>
      </c>
      <c r="DT13" s="206">
        <f t="shared" si="87"/>
        <v>3</v>
      </c>
      <c r="DU13" s="206">
        <f t="shared" ref="DU13:DU27" si="88">SUM(DQ13:DT13)</f>
        <v>8</v>
      </c>
      <c r="DV13" s="205"/>
      <c r="DW13" s="205"/>
      <c r="DX13" s="205"/>
      <c r="EF13" s="272"/>
      <c r="EG13" s="196"/>
      <c r="EH13" s="197" t="str">
        <f>Fixtures!G9</f>
        <v>Denmark</v>
      </c>
      <c r="EI13" s="198" t="s">
        <v>547</v>
      </c>
      <c r="EJ13" s="197" t="str">
        <f>"'Countries and Timezone'!"&amp;VLOOKUP(Fixtures!P14,$EH$7:$EI$38,2,FALSE)</f>
        <v>'Countries and Timezone'!B14</v>
      </c>
      <c r="EL13" s="199">
        <v>44360.875</v>
      </c>
      <c r="EM13" s="200">
        <f t="shared" si="51"/>
        <v>44360.875</v>
      </c>
      <c r="EO13" s="202">
        <v>-9.5</v>
      </c>
      <c r="EP13" s="191">
        <v>-9</v>
      </c>
      <c r="EQ13" s="191" t="s">
        <v>548</v>
      </c>
      <c r="ER13" s="191" t="s">
        <v>549</v>
      </c>
    </row>
    <row r="14" spans="1:148" x14ac:dyDescent="0.35">
      <c r="A14" s="191">
        <f>IF(C3="W",VLOOKUP(B14,$CW$11:$CX$15,2,FALSE),1)</f>
        <v>3</v>
      </c>
      <c r="B14" s="191" t="str">
        <f>'Dummy Table'!EH14</f>
        <v>Finland</v>
      </c>
      <c r="C14" s="191">
        <f>SUMPRODUCT(($CZ$3:$CZ$42=$B14)*($DD$3:$DD$42="W"))+SUMPRODUCT(($DC$3:$DC$42=$B14)*($DE$3:$DE$42="W"))</f>
        <v>1</v>
      </c>
      <c r="D14" s="191">
        <f>SUMPRODUCT(($CZ$3:$CZ$42=$B14)*($DD$3:$DD$42="D"))+SUMPRODUCT(($DC$3:$DC$42=$B14)*($DE$3:$DE$42="D"))</f>
        <v>0</v>
      </c>
      <c r="E14" s="191">
        <f>SUMPRODUCT(($CZ$3:$CZ$42=$B14)*($DD$3:$DD$42="L"))+SUMPRODUCT(($DC$3:$DC$42=$B14)*($DE$3:$DE$42="L"))</f>
        <v>2</v>
      </c>
      <c r="F14" s="191">
        <f>SUMIF($CZ$3:$CZ$60,B14,$DA$3:$DA$60)+SUMIF($DC$3:$DC$60,B14,$DB$3:$DB$60)</f>
        <v>1</v>
      </c>
      <c r="G14" s="191">
        <f>SUMIF($DC$3:$DC$60,B14,$DA$3:$DA$60)+SUMIF($CZ$3:$CZ$60,B14,$DB$3:$DB$60)</f>
        <v>3</v>
      </c>
      <c r="H14" s="191">
        <f t="shared" si="52"/>
        <v>998</v>
      </c>
      <c r="I14" s="191">
        <f t="shared" si="53"/>
        <v>3</v>
      </c>
      <c r="J14" s="191">
        <v>36</v>
      </c>
      <c r="K14" s="191">
        <f>IF(COUNTIF(I11:I15,4)&lt;&gt;4,RANK(I14,I11:I15),I54)</f>
        <v>2</v>
      </c>
      <c r="M14" s="191">
        <f>SUMPRODUCT((K11:K14=K14)*(J11:J14&lt;J14))+K14</f>
        <v>2</v>
      </c>
      <c r="N14" s="191" t="str">
        <f>INDEX($B$11:$B$15,MATCH(4,$M$11:$M$15,0),0)</f>
        <v>Russia</v>
      </c>
      <c r="O14" s="191">
        <f>INDEX($K$11:$K$15,MATCH(N14,$B$11:$B$15,0),0)</f>
        <v>2</v>
      </c>
      <c r="P14" s="191" t="str">
        <f>IF(AND(P13&lt;&gt;"",O14=1),N14,"")</f>
        <v/>
      </c>
      <c r="Q14" s="191" t="str">
        <f>IF(AND(Q13&lt;&gt;"",O15=2),N15,"")</f>
        <v/>
      </c>
      <c r="U14" s="191" t="str">
        <f t="shared" si="59"/>
        <v/>
      </c>
      <c r="V14" s="191">
        <f>SUMPRODUCT(($CZ$3:$CZ$42=$U14)*($DC$3:$DC$42=$U15)*($DD$3:$DD$42="W"))+SUMPRODUCT(($CZ$3:$CZ$42=$U14)*($DC$3:$DC$42=$U11)*($DD$3:$DD$42="W"))+SUMPRODUCT(($CZ$3:$CZ$42=$U14)*($DC$3:$DC$42=$U12)*($DD$3:$DD$42="W"))+SUMPRODUCT(($CZ$3:$CZ$42=$U14)*($DC$3:$DC$42=$U13)*($DD$3:$DD$42="W"))+SUMPRODUCT(($CZ$3:$CZ$42=$U15)*($DC$3:$DC$42=$U14)*($DE$3:$DE$42="W"))+SUMPRODUCT(($CZ$3:$CZ$42=$U11)*($DC$3:$DC$42=$U14)*($DE$3:$DE$42="W"))+SUMPRODUCT(($CZ$3:$CZ$42=$U12)*($DC$3:$DC$42=$U14)*($DE$3:$DE$42="W"))+SUMPRODUCT(($CZ$3:$CZ$42=$U13)*($DC$3:$DC$42=$U14)*($DE$3:$DE$42="W"))</f>
        <v>0</v>
      </c>
      <c r="W14" s="191">
        <f>SUMPRODUCT(($CZ$3:$CZ$42=$U14)*($DC$3:$DC$42=$U15)*($DD$3:$DD$42="D"))+SUMPRODUCT(($CZ$3:$CZ$42=$U14)*($DC$3:$DC$42=$U11)*($DD$3:$DD$42="D"))+SUMPRODUCT(($CZ$3:$CZ$42=$U14)*($DC$3:$DC$42=$U12)*($DD$3:$DD$42="D"))+SUMPRODUCT(($CZ$3:$CZ$42=$U14)*($DC$3:$DC$42=$U13)*($DD$3:$DD$42="D"))+SUMPRODUCT(($CZ$3:$CZ$42=$U15)*($DC$3:$DC$42=$U14)*($DD$3:$DD$42="D"))+SUMPRODUCT(($CZ$3:$CZ$42=$U11)*($DC$3:$DC$42=$U14)*($DD$3:$DD$42="D"))+SUMPRODUCT(($CZ$3:$CZ$42=$U12)*($DC$3:$DC$42=$U14)*($DD$3:$DD$42="D"))+SUMPRODUCT(($CZ$3:$CZ$42=$U13)*($DC$3:$DC$42=$U14)*($DD$3:$DD$42="D"))</f>
        <v>0</v>
      </c>
      <c r="X14" s="191">
        <f>SUMPRODUCT(($CZ$3:$CZ$42=$U14)*($DC$3:$DC$42=$U15)*($DD$3:$DD$42="L"))+SUMPRODUCT(($CZ$3:$CZ$42=$U14)*($DC$3:$DC$42=$U11)*($DD$3:$DD$42="L"))+SUMPRODUCT(($CZ$3:$CZ$42=$U14)*($DC$3:$DC$42=$U12)*($DD$3:$DD$42="L"))+SUMPRODUCT(($CZ$3:$CZ$42=$U14)*($DC$3:$DC$42=$U13)*($DD$3:$DD$42="L"))+SUMPRODUCT(($CZ$3:$CZ$42=$U15)*($DC$3:$DC$42=$U14)*($DE$3:$DE$42="L"))+SUMPRODUCT(($CZ$3:$CZ$42=$U11)*($DC$3:$DC$42=$U14)*($DE$3:$DE$42="L"))+SUMPRODUCT(($CZ$3:$CZ$42=$U12)*($DC$3:$DC$42=$U14)*($DE$3:$DE$42="L"))+SUMPRODUCT(($CZ$3:$CZ$42=$U13)*($DC$3:$DC$42=$U14)*($DE$3:$DE$42="L"))</f>
        <v>0</v>
      </c>
      <c r="Y14" s="191">
        <f>SUMPRODUCT(($CZ$3:$CZ$42=$U14)*($DC$3:$DC$42=$U15)*$DA$3:$DA$42)+SUMPRODUCT(($CZ$3:$CZ$42=$U14)*($DC$3:$DC$42=$U11)*$DA$3:$DA$42)+SUMPRODUCT(($CZ$3:$CZ$42=$U14)*($DC$3:$DC$42=$U12)*$DA$3:$DA$42)+SUMPRODUCT(($CZ$3:$CZ$42=$U14)*($DC$3:$DC$42=$U13)*$DA$3:$DA$42)+SUMPRODUCT(($CZ$3:$CZ$42=$U15)*($DC$3:$DC$42=$U14)*$DB$3:$DB$42)+SUMPRODUCT(($CZ$3:$CZ$42=$U11)*($DC$3:$DC$42=$U14)*$DB$3:$DB$42)+SUMPRODUCT(($CZ$3:$CZ$42=$U12)*($DC$3:$DC$42=$U14)*$DB$3:$DB$42)+SUMPRODUCT(($CZ$3:$CZ$42=$U13)*($DC$3:$DC$42=$U14)*$DB$3:$DB$42)</f>
        <v>0</v>
      </c>
      <c r="Z14" s="191">
        <f>SUMPRODUCT(($CZ$3:$CZ$42=$U14)*($DC$3:$DC$42=$U15)*$DB$3:$DB$42)+SUMPRODUCT(($CZ$3:$CZ$42=$U14)*($DC$3:$DC$42=$U11)*$DB$3:$DB$42)+SUMPRODUCT(($CZ$3:$CZ$42=$U14)*($DC$3:$DC$42=$U12)*$DB$3:$DB$42)+SUMPRODUCT(($CZ$3:$CZ$42=$U14)*($DC$3:$DC$42=$U13)*$DB$3:$DB$42)+SUMPRODUCT(($CZ$3:$CZ$42=$U15)*($DC$3:$DC$42=$U14)*$DA$3:$DA$42)+SUMPRODUCT(($CZ$3:$CZ$42=$U11)*($DC$3:$DC$42=$U14)*$DA$3:$DA$42)+SUMPRODUCT(($CZ$3:$CZ$42=$U12)*($DC$3:$DC$42=$U14)*$DA$3:$DA$42)+SUMPRODUCT(($CZ$3:$CZ$42=$U13)*($DC$3:$DC$42=$U14)*$DA$3:$DA$42)</f>
        <v>0</v>
      </c>
      <c r="AA14" s="191">
        <f>Y14-Z14+1000</f>
        <v>1000</v>
      </c>
      <c r="AB14" s="191" t="str">
        <f t="shared" si="54"/>
        <v/>
      </c>
      <c r="AC14" s="191" t="str">
        <f t="shared" si="55"/>
        <v/>
      </c>
      <c r="AD14" s="191" t="str">
        <f t="shared" si="56"/>
        <v/>
      </c>
      <c r="AE14" s="191" t="str">
        <f t="shared" si="57"/>
        <v/>
      </c>
      <c r="AF14" s="191" t="str">
        <f t="shared" si="58"/>
        <v/>
      </c>
      <c r="AG14" s="191" t="str">
        <f>IF(U14&lt;&gt;"",RANK(AF14,AF$11:AF$15),"")</f>
        <v/>
      </c>
      <c r="AH14" s="191" t="str">
        <f t="shared" si="60"/>
        <v/>
      </c>
      <c r="AI14" s="191" t="str">
        <f t="shared" si="61"/>
        <v/>
      </c>
      <c r="AJ14" s="191" t="str">
        <f t="shared" si="62"/>
        <v/>
      </c>
      <c r="AK14" s="191" t="str">
        <f t="shared" si="63"/>
        <v/>
      </c>
      <c r="AL14" s="191" t="str">
        <f t="shared" si="64"/>
        <v/>
      </c>
      <c r="AM14" s="191" t="str">
        <f t="shared" si="65"/>
        <v/>
      </c>
      <c r="AN14" s="191" t="str">
        <f>IF(U14&lt;&gt;"",INDEX($U$11:$U$15,MATCH(4,$AM$11:$AM$15,0),0),"")</f>
        <v/>
      </c>
      <c r="AO14" s="191" t="str">
        <f>IF(Q13&lt;&gt;"",Q13,"")</f>
        <v>Russia</v>
      </c>
      <c r="AP14" s="191">
        <f>IF($AO14&lt;&gt;"",SUMPRODUCT(($CZ$3:$CZ$42=$AO14)*($DC$3:$DC$42=$AO15)*($DD$3:$DD$42="W"))+SUMPRODUCT(($CZ$3:$CZ$42=$AO14)*($DC$3:$DC$42=$AO12)*($DD$3:$DD$42="W"))+SUMPRODUCT(($CZ$3:$CZ$42=$AO14)*($DC$3:$DC$42=$AO13)*($DD$3:$DD$42="W"))+SUMPRODUCT(($CZ$3:$CZ$42=$AO15)*($DC$3:$DC$42=$AO14)*($DE$3:$DE$42="W"))+SUMPRODUCT(($CZ$3:$CZ$42=$AO12)*($DC$3:$DC$42=$AO14)*($DE$3:$DE$42="W"))+SUMPRODUCT(($CZ$3:$CZ$42=$AO13)*($DC$3:$DC$42=$AO14)*($DE$3:$DE$42="W")),"")</f>
        <v>1</v>
      </c>
      <c r="AQ14" s="191">
        <f>IF($AO14&lt;&gt;"",SUMPRODUCT(($CZ$3:$CZ$42=$AO14)*($DC$3:$DC$42=$AO15)*($DD$3:$DD$42="D"))+SUMPRODUCT(($CZ$3:$CZ$42=$AO14)*($DC$3:$DC$42=$AO12)*($DD$3:$DD$42="D"))+SUMPRODUCT(($CZ$3:$CZ$42=$AO14)*($DC$3:$DC$42=$AO13)*($DD$3:$DD$42="D"))+SUMPRODUCT(($CZ$3:$CZ$42=$AO15)*($DC$3:$DC$42=$AO14)*($DD$3:$DD$42="D"))+SUMPRODUCT(($CZ$3:$CZ$42=$AO12)*($DC$3:$DC$42=$AO14)*($DD$3:$DD$42="D"))+SUMPRODUCT(($CZ$3:$CZ$42=$AO13)*($DC$3:$DC$42=$AO14)*($DD$3:$DD$42="D")),"")</f>
        <v>0</v>
      </c>
      <c r="AR14" s="191">
        <f>IF($AO14&lt;&gt;"",SUMPRODUCT(($CZ$3:$CZ$42=$AO14)*($DC$3:$DC$42=$AO15)*($DD$3:$DD$42="L"))+SUMPRODUCT(($CZ$3:$CZ$42=$AO14)*($DC$3:$DC$42=$AO12)*($DD$3:$DD$42="L"))+SUMPRODUCT(($CZ$3:$CZ$42=$AO14)*($DC$3:$DC$42=$AO13)*($DD$3:$DD$42="L"))+SUMPRODUCT(($CZ$3:$CZ$42=$AO15)*($DC$3:$DC$42=$AO14)*($DE$3:$DE$42="L"))+SUMPRODUCT(($CZ$3:$CZ$42=$AO12)*($DC$3:$DC$42=$AO14)*($DE$3:$DE$42="L"))+SUMPRODUCT(($CZ$3:$CZ$42=$AO13)*($DC$3:$DC$42=$AO14)*($DE$3:$DE$42="L")),"")</f>
        <v>1</v>
      </c>
      <c r="AS14" s="191">
        <f>SUMPRODUCT(($CZ$3:$CZ$42=$AO14)*($DC$3:$DC$42=$AO15)*$DA$3:$DA$42)+SUMPRODUCT(($CZ$3:$CZ$42=$AO14)*($DC$3:$DC$42=$AO11)*$DA$3:$DA$42)+SUMPRODUCT(($CZ$3:$CZ$42=$AO14)*($DC$3:$DC$42=$AO12)*$DA$3:$DA$42)+SUMPRODUCT(($CZ$3:$CZ$42=$AO14)*($DC$3:$DC$42=$AO13)*$DA$3:$DA$42)+SUMPRODUCT(($CZ$3:$CZ$42=$AO15)*($DC$3:$DC$42=$AO14)*$DB$3:$DB$42)+SUMPRODUCT(($CZ$3:$CZ$42=$AO11)*($DC$3:$DC$42=$AO14)*$DB$3:$DB$42)+SUMPRODUCT(($CZ$3:$CZ$42=$AO12)*($DC$3:$DC$42=$AO14)*$DB$3:$DB$42)+SUMPRODUCT(($CZ$3:$CZ$42=$AO13)*($DC$3:$DC$42=$AO14)*$DB$3:$DB$42)</f>
        <v>2</v>
      </c>
      <c r="AT14" s="191">
        <f>SUMPRODUCT(($CZ$3:$CZ$42=$AO14)*($DC$3:$DC$42=$AO15)*$DB$3:$DB$42)+SUMPRODUCT(($CZ$3:$CZ$42=$AO14)*($DC$3:$DC$42=$AO11)*$DB$3:$DB$42)+SUMPRODUCT(($CZ$3:$CZ$42=$AO14)*($DC$3:$DC$42=$AO12)*$DB$3:$DB$42)+SUMPRODUCT(($CZ$3:$CZ$42=$AO14)*($DC$3:$DC$42=$AO13)*$DB$3:$DB$42)+SUMPRODUCT(($CZ$3:$CZ$42=$AO15)*($DC$3:$DC$42=$AO14)*$DA$3:$DA$42)+SUMPRODUCT(($CZ$3:$CZ$42=$AO11)*($DC$3:$DC$42=$AO14)*$DA$3:$DA$42)+SUMPRODUCT(($CZ$3:$CZ$42=$AO12)*($DC$3:$DC$42=$AO14)*$DA$3:$DA$42)+SUMPRODUCT(($CZ$3:$CZ$42=$AO13)*($DC$3:$DC$42=$AO14)*$DA$3:$DA$42)</f>
        <v>4</v>
      </c>
      <c r="AU14" s="191">
        <f>AS14-AT14+1000</f>
        <v>998</v>
      </c>
      <c r="AV14" s="191">
        <f t="shared" si="66"/>
        <v>3</v>
      </c>
      <c r="AW14" s="191">
        <f t="shared" si="67"/>
        <v>995</v>
      </c>
      <c r="AX14" s="191">
        <f t="shared" si="68"/>
        <v>2</v>
      </c>
      <c r="AY14" s="191">
        <f t="shared" si="69"/>
        <v>44</v>
      </c>
      <c r="AZ14" s="191">
        <f t="shared" si="70"/>
        <v>3</v>
      </c>
      <c r="BA14" s="191">
        <f>IF(AO14&lt;&gt;"",RANK(AZ14,AZ$11:AZ$15),"")</f>
        <v>1</v>
      </c>
      <c r="BB14" s="191">
        <f t="shared" si="71"/>
        <v>2</v>
      </c>
      <c r="BC14" s="191">
        <f t="shared" si="72"/>
        <v>0</v>
      </c>
      <c r="BD14" s="191">
        <f t="shared" si="73"/>
        <v>0</v>
      </c>
      <c r="BE14" s="191">
        <f t="shared" si="74"/>
        <v>0</v>
      </c>
      <c r="BF14" s="191">
        <f t="shared" si="75"/>
        <v>0</v>
      </c>
      <c r="BG14" s="191">
        <f t="shared" si="76"/>
        <v>4</v>
      </c>
      <c r="BH14" s="191" t="str">
        <f>IF(AO14&lt;&gt;"",INDEX(AO12:AO15,MATCH(4,BG12:BG15,0),0),"")</f>
        <v>Russia</v>
      </c>
      <c r="BI14" s="191" t="str">
        <f>IF(R12&lt;&gt;"",R12,"")</f>
        <v/>
      </c>
      <c r="BJ14" s="191">
        <f>SUMPRODUCT(($CZ$3:$CZ$42=$BI14)*($DC$3:$DC$42=$BI15)*($DD$3:$DD$42="W"))+SUMPRODUCT(($CZ$3:$CZ$42=$BI14)*($DC$3:$DC$42=$BI16)*($DD$3:$DD$42="W"))+SUMPRODUCT(($CZ$3:$CZ$42=$BI14)*($DC$3:$DC$42=$BI13)*($DD$3:$DD$42="W"))+SUMPRODUCT(($CZ$3:$CZ$42=$BI15)*($DC$3:$DC$42=$BI14)*($DE$3:$DE$42="W"))+SUMPRODUCT(($CZ$3:$CZ$42=$BI16)*($DC$3:$DC$42=$BI14)*($DE$3:$DE$42="W"))+SUMPRODUCT(($CZ$3:$CZ$42=$BI13)*($DC$3:$DC$42=$BI14)*($DE$3:$DE$42="W"))</f>
        <v>0</v>
      </c>
      <c r="BK14" s="191">
        <f>SUMPRODUCT(($CZ$3:$CZ$42=$BI14)*($DC$3:$DC$42=$BI15)*($DD$3:$DD$42="D"))+SUMPRODUCT(($CZ$3:$CZ$42=$BI14)*($DC$3:$DC$42=$BI16)*($DD$3:$DD$42="D"))+SUMPRODUCT(($CZ$3:$CZ$42=$BI14)*($DC$3:$DC$42=$BI13)*($DD$3:$DD$42="D"))+SUMPRODUCT(($CZ$3:$CZ$42=$BI15)*($DC$3:$DC$42=$BI14)*($DD$3:$DD$42="D"))+SUMPRODUCT(($CZ$3:$CZ$42=$BI16)*($DC$3:$DC$42=$BI14)*($DD$3:$DD$42="D"))+SUMPRODUCT(($CZ$3:$CZ$42=$BI13)*($DC$3:$DC$42=$BI14)*($DD$3:$DD$42="D"))</f>
        <v>0</v>
      </c>
      <c r="BL14" s="191">
        <f>SUMPRODUCT(($CZ$3:$CZ$42=$BI14)*($DC$3:$DC$42=$BI15)*($DD$3:$DD$42="L"))+SUMPRODUCT(($CZ$3:$CZ$42=$BI14)*($DC$3:$DC$42=$BI16)*($DD$3:$DD$42="L"))+SUMPRODUCT(($CZ$3:$CZ$42=$BI14)*($DC$3:$DC$42=$BI13)*($DD$3:$DD$42="L"))+SUMPRODUCT(($CZ$3:$CZ$42=$BI15)*($DC$3:$DC$42=$BI14)*($DE$3:$DE$42="L"))+SUMPRODUCT(($CZ$3:$CZ$42=$BI16)*($DC$3:$DC$42=$BI14)*($DE$3:$DE$42="L"))+SUMPRODUCT(($CZ$3:$CZ$42=$BI13)*($DC$3:$DC$42=$BI14)*($DE$3:$DE$42="L"))</f>
        <v>0</v>
      </c>
      <c r="BM14" s="191">
        <f>SUMPRODUCT(($CZ$3:$CZ$42=$BI14)*($DC$3:$DC$42=$BI15)*$DA$3:$DA$42)+SUMPRODUCT(($CZ$3:$CZ$42=$BI14)*($DC$3:$DC$42=$BI11)*$DA$3:$DA$42)+SUMPRODUCT(($CZ$3:$CZ$42=$BI14)*($DC$3:$DC$42=$BI12)*$DA$3:$DA$42)+SUMPRODUCT(($CZ$3:$CZ$42=$BI14)*($DC$3:$DC$42=$BI13)*$DA$3:$DA$42)+SUMPRODUCT(($CZ$3:$CZ$42=$BI15)*($DC$3:$DC$42=$BI14)*$DB$3:$DB$42)+SUMPRODUCT(($CZ$3:$CZ$42=$BI11)*($DC$3:$DC$42=$BI14)*$DB$3:$DB$42)+SUMPRODUCT(($CZ$3:$CZ$42=$BI12)*($DC$3:$DC$42=$BI14)*$DB$3:$DB$42)+SUMPRODUCT(($CZ$3:$CZ$42=$BI13)*($DC$3:$DC$42=$BI14)*$DB$3:$DB$42)</f>
        <v>0</v>
      </c>
      <c r="BN14" s="191">
        <f>SUMPRODUCT(($CZ$3:$CZ$42=$BI14)*($DC$3:$DC$42=$BI15)*$DB$3:$DB$42)+SUMPRODUCT(($CZ$3:$CZ$42=$BI14)*($DC$3:$DC$42=$BI11)*$DB$3:$DB$42)+SUMPRODUCT(($CZ$3:$CZ$42=$BI14)*($DC$3:$DC$42=$BI12)*$DB$3:$DB$42)+SUMPRODUCT(($CZ$3:$CZ$42=$BI14)*($DC$3:$DC$42=$BI13)*$DB$3:$DB$42)+SUMPRODUCT(($CZ$3:$CZ$42=$BI15)*($DC$3:$DC$42=$BI14)*$DA$3:$DA$42)+SUMPRODUCT(($CZ$3:$CZ$42=$BI11)*($DC$3:$DC$42=$BI14)*$DA$3:$DA$42)+SUMPRODUCT(($CZ$3:$CZ$42=$BI12)*($DC$3:$DC$42=$BI14)*$DA$3:$DA$42)+SUMPRODUCT(($CZ$3:$CZ$42=$BI13)*($DC$3:$DC$42=$BI14)*$DA$3:$DA$42)</f>
        <v>0</v>
      </c>
      <c r="BO14" s="191">
        <f>BM14-BN14+1000</f>
        <v>1000</v>
      </c>
      <c r="BP14" s="191" t="str">
        <f t="shared" si="77"/>
        <v/>
      </c>
      <c r="BQ14" s="191" t="str">
        <f t="shared" si="78"/>
        <v/>
      </c>
      <c r="BR14" s="191" t="str">
        <f t="shared" si="79"/>
        <v/>
      </c>
      <c r="BS14" s="191" t="str">
        <f t="shared" si="80"/>
        <v/>
      </c>
      <c r="BT14" s="191" t="str">
        <f t="shared" si="81"/>
        <v/>
      </c>
      <c r="BU14" s="191" t="str">
        <f>IF(BI14&lt;&gt;"",RANK(BT14,BT$11:BT$15),"")</f>
        <v/>
      </c>
      <c r="BV14" s="191" t="str">
        <f t="shared" si="82"/>
        <v/>
      </c>
      <c r="BW14" s="191" t="str">
        <f t="shared" si="83"/>
        <v/>
      </c>
      <c r="BX14" s="191" t="str">
        <f t="shared" si="84"/>
        <v/>
      </c>
      <c r="BY14" s="191" t="str">
        <f t="shared" si="85"/>
        <v/>
      </c>
      <c r="BZ14" s="191" t="str">
        <f t="shared" si="86"/>
        <v/>
      </c>
      <c r="CA14" s="191" t="str">
        <f>IF(BI14&lt;&gt;"",SUM(BU14:BZ14)+2,"")</f>
        <v/>
      </c>
      <c r="CB14" s="191" t="str">
        <f>IF(BI14&lt;&gt;"",INDEX(BI13:BI15,MATCH(4,CA13:CA15,0),0),"")</f>
        <v/>
      </c>
      <c r="CC14" s="191" t="str">
        <f>IF(S11&lt;&gt;"",S11,"")</f>
        <v/>
      </c>
      <c r="CD14" s="191">
        <f>SUMPRODUCT(($CZ$3:$CZ$42=$CC14)*($DC$3:$DC$42=$CC15)*($DD$3:$DD$42="W"))+SUMPRODUCT(($CZ$3:$CZ$42=$CC14)*($DC$3:$DC$42=$CC16)*($DD$3:$DD$42="W"))+SUMPRODUCT(($CZ$3:$CZ$42=$CC14)*($DC$3:$DC$42=$CC17)*($DD$3:$DD$42="W"))+SUMPRODUCT(($CZ$3:$CZ$42=$CC15)*($DC$3:$DC$42=$CC14)*($DE$3:$DE$42="W"))+SUMPRODUCT(($CZ$3:$CZ$42=$CC16)*($DC$3:$DC$42=$CC14)*($DE$3:$DE$42="W"))+SUMPRODUCT(($CZ$3:$CZ$42=$CC17)*($DC$3:$DC$42=$CC14)*($DE$3:$DE$42="W"))</f>
        <v>0</v>
      </c>
      <c r="CE14" s="191">
        <f>SUMPRODUCT(($CZ$3:$CZ$42=$CC14)*($DC$3:$DC$42=$CC15)*($DD$3:$DD$42="D"))+SUMPRODUCT(($CZ$3:$CZ$42=$CC14)*($DC$3:$DC$42=$CC16)*($DD$3:$DD$42="D"))+SUMPRODUCT(($CZ$3:$CZ$42=$CC14)*($DC$3:$DC$42=$CC17)*($DD$3:$DD$42="D"))+SUMPRODUCT(($CZ$3:$CZ$42=$CC15)*($DC$3:$DC$42=$CC14)*($DD$3:$DD$42="D"))+SUMPRODUCT(($CZ$3:$CZ$42=$CC16)*($DC$3:$DC$42=$CC14)*($DD$3:$DD$42="D"))+SUMPRODUCT(($CZ$3:$CZ$42=$CC17)*($DC$3:$DC$42=$CC14)*($DD$3:$DD$42="D"))</f>
        <v>0</v>
      </c>
      <c r="CF14" s="191">
        <f>SUMPRODUCT(($CZ$3:$CZ$42=$CC14)*($DC$3:$DC$42=$CC15)*($DD$3:$DD$42="L"))+SUMPRODUCT(($CZ$3:$CZ$42=$CC14)*($DC$3:$DC$42=$CC16)*($DD$3:$DD$42="L"))+SUMPRODUCT(($CZ$3:$CZ$42=$CC14)*($DC$3:$DC$42=$CC17)*($DD$3:$DD$42="L"))+SUMPRODUCT(($CZ$3:$CZ$42=$CC15)*($DC$3:$DC$42=$CC14)*($DE$3:$DE$42="L"))+SUMPRODUCT(($CZ$3:$CZ$42=$CC16)*($DC$3:$DC$42=$CC14)*($DE$3:$DE$42="L"))+SUMPRODUCT(($CZ$3:$CZ$42=$CC17)*($DC$3:$DC$42=$CC14)*($DE$3:$DE$42="L"))</f>
        <v>0</v>
      </c>
      <c r="CG14" s="191">
        <f>SUMPRODUCT(($CZ$3:$CZ$42=$CC14)*($DC$3:$DC$42=$CC15)*$DA$3:$DA$42)+SUMPRODUCT(($CZ$3:$CZ$42=$CC14)*($DC$3:$DC$42=$CC11)*$DA$3:$DA$42)+SUMPRODUCT(($CZ$3:$CZ$42=$CC14)*($DC$3:$DC$42=$CC12)*$DA$3:$DA$42)+SUMPRODUCT(($CZ$3:$CZ$42=$CC14)*($DC$3:$DC$42=$CC13)*$DA$3:$DA$42)+SUMPRODUCT(($CZ$3:$CZ$42=$CC15)*($DC$3:$DC$42=$CC14)*$DB$3:$DB$42)+SUMPRODUCT(($CZ$3:$CZ$42=$CC11)*($DC$3:$DC$42=$CC14)*$DB$3:$DB$42)+SUMPRODUCT(($CZ$3:$CZ$42=$CC12)*($DC$3:$DC$42=$CC14)*$DB$3:$DB$42)+SUMPRODUCT(($CZ$3:$CZ$42=$CC13)*($DC$3:$DC$42=$CC14)*$DB$3:$DB$42)</f>
        <v>0</v>
      </c>
      <c r="CH14" s="191">
        <f>SUMPRODUCT(($CZ$3:$CZ$42=$CC14)*($DC$3:$DC$42=$CC15)*$DB$3:$DB$42)+SUMPRODUCT(($CZ$3:$CZ$42=$CC14)*($DC$3:$DC$42=$CC11)*$DB$3:$DB$42)+SUMPRODUCT(($CZ$3:$CZ$42=$CC14)*($DC$3:$DC$42=$CC12)*$DB$3:$DB$42)+SUMPRODUCT(($CZ$3:$CZ$42=$CC14)*($DC$3:$DC$42=$CC13)*$DB$3:$DB$42)+SUMPRODUCT(($CZ$3:$CZ$42=$CC15)*($DC$3:$DC$42=$CC14)*$DA$3:$DA$42)+SUMPRODUCT(($CZ$3:$CZ$42=$CC11)*($DC$3:$DC$42=$CC14)*$DA$3:$DA$42)+SUMPRODUCT(($CZ$3:$CZ$42=$CC12)*($DC$3:$DC$42=$CC14)*$DA$3:$DA$42)+SUMPRODUCT(($CZ$3:$CZ$42=$CC13)*($DC$3:$DC$42=$CC14)*$DA$3:$DA$42)</f>
        <v>0</v>
      </c>
      <c r="CI14" s="191">
        <f>CG14-CH14+1000</f>
        <v>1000</v>
      </c>
      <c r="CJ14" s="191" t="str">
        <f t="shared" ref="CJ14" si="89">IF(CC14&lt;&gt;"",CD14*3+CE14*1,"")</f>
        <v/>
      </c>
      <c r="CK14" s="191" t="str">
        <f t="shared" ref="CK14" si="90">IF(CC14&lt;&gt;"",VLOOKUP(CC14,$B$4:$H$40,7,FALSE),"")</f>
        <v/>
      </c>
      <c r="CL14" s="191" t="str">
        <f t="shared" ref="CL14" si="91">IF(CC14&lt;&gt;"",VLOOKUP(CC14,$B$4:$H$40,5,FALSE),"")</f>
        <v/>
      </c>
      <c r="CM14" s="191" t="str">
        <f t="shared" ref="CM14" si="92">IF(CC14&lt;&gt;"",VLOOKUP(CC14,$B$4:$J$40,9,FALSE),"")</f>
        <v/>
      </c>
      <c r="CN14" s="191" t="str">
        <f t="shared" ref="CN14" si="93">CJ14</f>
        <v/>
      </c>
      <c r="CO14" s="191" t="str">
        <f>IF(CC14&lt;&gt;"",RANK(CN14,CN$11:CN$15),"")</f>
        <v/>
      </c>
      <c r="CP14" s="191" t="str">
        <f t="shared" ref="CP14" si="94">IF(CC14&lt;&gt;"",SUMPRODUCT((CN$11:CN$15=CN14)*(CI$11:CI$15&gt;CI14)),"")</f>
        <v/>
      </c>
      <c r="CQ14" s="191" t="str">
        <f t="shared" ref="CQ14" si="95">IF(CC14&lt;&gt;"",SUMPRODUCT((CN$11:CN$15=CN14)*(CI$11:CI$15=CI14)*(CG$11:CG$15&gt;CG14)),"")</f>
        <v/>
      </c>
      <c r="CR14" s="191" t="str">
        <f t="shared" ref="CR14" si="96">IF(CC14&lt;&gt;"",SUMPRODUCT((CN$11:CN$15=CN14)*(CI$11:CI$15=CI14)*(CG$11:CG$15=CG14)*(CK$11:CK$15&gt;CK14)),"")</f>
        <v/>
      </c>
      <c r="CS14" s="191" t="str">
        <f t="shared" ref="CS14" si="97">IF(CC14&lt;&gt;"",SUMPRODUCT((CN$11:CN$15=CN14)*(CI$11:CI$15=CI14)*(CG$11:CG$15=CG14)*(CK$11:CK$15=CK14)*(CL$11:CL$15&gt;CL14)),"")</f>
        <v/>
      </c>
      <c r="CT14" s="191" t="str">
        <f t="shared" ref="CT14" si="98">IF(CC14&lt;&gt;"",SUMPRODUCT((CN$11:CN$15=CN14)*(CI$11:CI$15=CI14)*(CG$11:CG$15=CG14)*(CK$11:CK$15=CK14)*(CL$11:CL$15=CL14)*(CM$11:CM$15&gt;CM14)),"")</f>
        <v/>
      </c>
      <c r="CU14" s="191" t="str">
        <f>IF(CC14&lt;&gt;"",SUM(CO14:CT14)+3,"")</f>
        <v/>
      </c>
      <c r="CV14" s="191" t="str">
        <f>IF(CC14&lt;&gt;"",IF(CU14=4,CC14,CC15),"")</f>
        <v/>
      </c>
      <c r="CW14" s="191" t="str">
        <f>IF(CV14&lt;&gt;"",CV14,IF(CB14&lt;&gt;"",CB14,IF(BH14&lt;&gt;"",BH14,IF(AN14&lt;&gt;"",AN14,N14))))</f>
        <v>Russia</v>
      </c>
      <c r="CX14" s="191">
        <v>4</v>
      </c>
      <c r="CY14" s="191">
        <v>12</v>
      </c>
      <c r="CZ14" s="191" t="str">
        <f>Fixtures!G18</f>
        <v>France</v>
      </c>
      <c r="DA14" s="191">
        <f>IF(AND(Fixtures!H18&lt;&gt;"",Fixtures!I18&lt;&gt;""),Fixtures!H18,0)</f>
        <v>1</v>
      </c>
      <c r="DB14" s="191">
        <f>IF(AND(Fixtures!I18&lt;&gt;"",Fixtures!H18&lt;&gt;""),Fixtures!I18,0)</f>
        <v>0</v>
      </c>
      <c r="DC14" s="191" t="str">
        <f>Fixtures!J18</f>
        <v>Germany</v>
      </c>
      <c r="DD14" s="191" t="str">
        <f>IF(AND(Fixtures!H18&lt;&gt;"",Fixtures!I18&lt;&gt;""),IF(DA14&gt;DB14,"W",IF(DA14=DB14,"D","L")),"")</f>
        <v>W</v>
      </c>
      <c r="DE14" s="191" t="str">
        <f t="shared" si="1"/>
        <v>L</v>
      </c>
      <c r="DH14" s="204" t="s">
        <v>112</v>
      </c>
      <c r="DI14" s="205" t="s">
        <v>118</v>
      </c>
      <c r="DJ14" s="205" t="s">
        <v>122</v>
      </c>
      <c r="DK14" s="205" t="s">
        <v>126</v>
      </c>
      <c r="DL14" s="204" t="s">
        <v>112</v>
      </c>
      <c r="DM14" s="204" t="s">
        <v>126</v>
      </c>
      <c r="DN14" s="204" t="s">
        <v>118</v>
      </c>
      <c r="DO14" s="204" t="s">
        <v>122</v>
      </c>
      <c r="DP14" s="205"/>
      <c r="DQ14" s="206">
        <f t="shared" si="87"/>
        <v>0</v>
      </c>
      <c r="DR14" s="206">
        <f t="shared" si="87"/>
        <v>0</v>
      </c>
      <c r="DS14" s="206">
        <f t="shared" si="87"/>
        <v>1</v>
      </c>
      <c r="DT14" s="206">
        <f t="shared" si="87"/>
        <v>3</v>
      </c>
      <c r="DU14" s="206">
        <f t="shared" si="88"/>
        <v>4</v>
      </c>
      <c r="DV14" s="205"/>
      <c r="DW14" s="205"/>
      <c r="DX14" s="205"/>
      <c r="EF14" s="272"/>
      <c r="EG14" s="196"/>
      <c r="EH14" s="197" t="str">
        <f>Fixtures!J9</f>
        <v>Finland</v>
      </c>
      <c r="EI14" s="198" t="s">
        <v>550</v>
      </c>
      <c r="EJ14" s="197" t="str">
        <f>"'Countries and Timezone'!"&amp;VLOOKUP(Fixtures!P15,$EH$7:$EI$38,2,FALSE)</f>
        <v>'Countries and Timezone'!B12</v>
      </c>
      <c r="EL14" s="199">
        <v>44361.625</v>
      </c>
      <c r="EM14" s="200">
        <f t="shared" si="51"/>
        <v>44361.625</v>
      </c>
      <c r="EO14" s="202">
        <v>-9</v>
      </c>
      <c r="EP14" s="191">
        <v>-9</v>
      </c>
      <c r="EQ14" s="191" t="s">
        <v>551</v>
      </c>
      <c r="ER14" s="191" t="s">
        <v>552</v>
      </c>
    </row>
    <row r="15" spans="1:148" x14ac:dyDescent="0.35">
      <c r="CY15" s="191">
        <v>13</v>
      </c>
      <c r="CZ15" s="191" t="str">
        <f>Fixtures!G19</f>
        <v>Finland</v>
      </c>
      <c r="DA15" s="191">
        <f>IF(AND(Fixtures!H19&lt;&gt;"",Fixtures!I19&lt;&gt;""),Fixtures!H19,0)</f>
        <v>0</v>
      </c>
      <c r="DB15" s="191">
        <f>IF(AND(Fixtures!I19&lt;&gt;"",Fixtures!H19&lt;&gt;""),Fixtures!I19,0)</f>
        <v>1</v>
      </c>
      <c r="DC15" s="191" t="str">
        <f>Fixtures!J19</f>
        <v>Russia</v>
      </c>
      <c r="DD15" s="191" t="str">
        <f>IF(AND(Fixtures!H19&lt;&gt;"",Fixtures!I19&lt;&gt;""),IF(DA15&gt;DB15,"W",IF(DA15=DB15,"D","L")),"")</f>
        <v>L</v>
      </c>
      <c r="DE15" s="191" t="str">
        <f t="shared" si="1"/>
        <v>W</v>
      </c>
      <c r="DH15" s="204" t="s">
        <v>112</v>
      </c>
      <c r="DI15" s="205" t="s">
        <v>118</v>
      </c>
      <c r="DJ15" s="205" t="s">
        <v>122</v>
      </c>
      <c r="DK15" s="205" t="s">
        <v>111</v>
      </c>
      <c r="DL15" s="204" t="s">
        <v>112</v>
      </c>
      <c r="DM15" s="204" t="s">
        <v>111</v>
      </c>
      <c r="DN15" s="204" t="s">
        <v>118</v>
      </c>
      <c r="DO15" s="204" t="s">
        <v>122</v>
      </c>
      <c r="DP15" s="205"/>
      <c r="DQ15" s="206">
        <f t="shared" si="87"/>
        <v>4</v>
      </c>
      <c r="DR15" s="206">
        <f t="shared" si="87"/>
        <v>0</v>
      </c>
      <c r="DS15" s="206">
        <f t="shared" si="87"/>
        <v>1</v>
      </c>
      <c r="DT15" s="206">
        <f t="shared" si="87"/>
        <v>3</v>
      </c>
      <c r="DU15" s="206">
        <f t="shared" si="88"/>
        <v>8</v>
      </c>
      <c r="DV15" s="205"/>
      <c r="DW15" s="205"/>
      <c r="DX15" s="205"/>
      <c r="EF15" s="272" t="s">
        <v>122</v>
      </c>
      <c r="EG15" s="196"/>
      <c r="EH15" s="197" t="str">
        <f>Fixtures!G13</f>
        <v>Netherlands</v>
      </c>
      <c r="EI15" s="198" t="s">
        <v>553</v>
      </c>
      <c r="EJ15" s="197" t="str">
        <f>"'Countries and Timezone'!"&amp;VLOOKUP(Fixtures!P17,$EH$7:$EI$38,2,FALSE)</f>
        <v>'Countries and Timezone'!B15</v>
      </c>
      <c r="EL15" s="199">
        <v>44361.75</v>
      </c>
      <c r="EM15" s="200">
        <f t="shared" si="51"/>
        <v>44361.75</v>
      </c>
      <c r="EO15" s="202">
        <v>-8.5</v>
      </c>
      <c r="EP15" s="191">
        <v>-8</v>
      </c>
      <c r="EQ15" s="191" t="s">
        <v>554</v>
      </c>
      <c r="ER15" s="191" t="s">
        <v>555</v>
      </c>
    </row>
    <row r="16" spans="1:148" x14ac:dyDescent="0.35">
      <c r="CY16" s="191">
        <v>14</v>
      </c>
      <c r="CZ16" s="191" t="str">
        <f>Fixtures!G20</f>
        <v>Turkey</v>
      </c>
      <c r="DA16" s="191">
        <f>IF(AND(Fixtures!H20&lt;&gt;"",Fixtures!I20&lt;&gt;""),Fixtures!H20,0)</f>
        <v>0</v>
      </c>
      <c r="DB16" s="191">
        <f>IF(AND(Fixtures!I20&lt;&gt;"",Fixtures!H20&lt;&gt;""),Fixtures!I20,0)</f>
        <v>2</v>
      </c>
      <c r="DC16" s="191" t="str">
        <f>Fixtures!J20</f>
        <v>Wales</v>
      </c>
      <c r="DD16" s="191" t="str">
        <f>IF(AND(Fixtures!H20&lt;&gt;"",Fixtures!I20&lt;&gt;""),IF(DA16&gt;DB16,"W",IF(DA16=DB16,"D","L")),"")</f>
        <v>L</v>
      </c>
      <c r="DE16" s="191" t="str">
        <f t="shared" si="1"/>
        <v>W</v>
      </c>
      <c r="DH16" s="204" t="s">
        <v>112</v>
      </c>
      <c r="DI16" s="205" t="s">
        <v>118</v>
      </c>
      <c r="DJ16" s="205" t="s">
        <v>109</v>
      </c>
      <c r="DK16" s="205" t="s">
        <v>126</v>
      </c>
      <c r="DL16" s="204" t="s">
        <v>109</v>
      </c>
      <c r="DM16" s="204" t="s">
        <v>126</v>
      </c>
      <c r="DN16" s="204" t="s">
        <v>112</v>
      </c>
      <c r="DO16" s="204" t="s">
        <v>118</v>
      </c>
      <c r="DP16" s="205"/>
      <c r="DQ16" s="206">
        <f t="shared" si="87"/>
        <v>0</v>
      </c>
      <c r="DR16" s="206">
        <f t="shared" si="87"/>
        <v>3</v>
      </c>
      <c r="DS16" s="206">
        <f t="shared" si="87"/>
        <v>1</v>
      </c>
      <c r="DT16" s="206">
        <f t="shared" si="87"/>
        <v>0</v>
      </c>
      <c r="DU16" s="206">
        <f t="shared" si="88"/>
        <v>4</v>
      </c>
      <c r="DV16" s="205"/>
      <c r="DW16" s="205"/>
      <c r="DX16" s="205"/>
      <c r="EF16" s="272"/>
      <c r="EG16" s="196"/>
      <c r="EH16" s="197" t="str">
        <f>Fixtures!J13</f>
        <v>Ukraine</v>
      </c>
      <c r="EI16" s="198" t="s">
        <v>556</v>
      </c>
      <c r="EJ16" s="197" t="str">
        <f>"'Countries and Timezone'!"&amp;VLOOKUP(Fixtures!P18,$EH$7:$EI$38,2,FALSE)</f>
        <v>'Countries and Timezone'!B17</v>
      </c>
      <c r="EL16" s="199">
        <v>44361.875</v>
      </c>
      <c r="EM16" s="200">
        <f t="shared" si="51"/>
        <v>44361.875</v>
      </c>
      <c r="EO16" s="202">
        <v>-8</v>
      </c>
      <c r="EP16" s="191">
        <v>-8</v>
      </c>
      <c r="EQ16" s="191" t="s">
        <v>557</v>
      </c>
      <c r="ER16" s="191" t="s">
        <v>558</v>
      </c>
    </row>
    <row r="17" spans="1:148" x14ac:dyDescent="0.35">
      <c r="V17" s="191" t="s">
        <v>112</v>
      </c>
      <c r="CY17" s="191">
        <v>15</v>
      </c>
      <c r="CZ17" s="191" t="str">
        <f>Fixtures!G21</f>
        <v>Italy</v>
      </c>
      <c r="DA17" s="191">
        <f>IF(AND(Fixtures!H21&lt;&gt;"",Fixtures!I21&lt;&gt;""),Fixtures!H21,0)</f>
        <v>3</v>
      </c>
      <c r="DB17" s="191">
        <f>IF(AND(Fixtures!I21&lt;&gt;"",Fixtures!H21&lt;&gt;""),Fixtures!I21,0)</f>
        <v>0</v>
      </c>
      <c r="DC17" s="191" t="str">
        <f>Fixtures!J21</f>
        <v>Switzerland</v>
      </c>
      <c r="DD17" s="191" t="str">
        <f>IF(AND(Fixtures!H21&lt;&gt;"",Fixtures!I21&lt;&gt;""),IF(DA17&gt;DB17,"W",IF(DA17=DB17,"D","L")),"")</f>
        <v>W</v>
      </c>
      <c r="DE17" s="191" t="str">
        <f t="shared" si="1"/>
        <v>L</v>
      </c>
      <c r="DH17" s="204" t="s">
        <v>112</v>
      </c>
      <c r="DI17" s="205" t="s">
        <v>118</v>
      </c>
      <c r="DJ17" s="205" t="s">
        <v>109</v>
      </c>
      <c r="DK17" s="205" t="s">
        <v>111</v>
      </c>
      <c r="DL17" s="204" t="s">
        <v>109</v>
      </c>
      <c r="DM17" s="204" t="s">
        <v>111</v>
      </c>
      <c r="DN17" s="204" t="s">
        <v>112</v>
      </c>
      <c r="DO17" s="204" t="s">
        <v>118</v>
      </c>
      <c r="DP17" s="205"/>
      <c r="DQ17" s="206">
        <f t="shared" si="87"/>
        <v>4</v>
      </c>
      <c r="DR17" s="206">
        <f t="shared" si="87"/>
        <v>3</v>
      </c>
      <c r="DS17" s="206">
        <f t="shared" si="87"/>
        <v>1</v>
      </c>
      <c r="DT17" s="206">
        <f t="shared" si="87"/>
        <v>0</v>
      </c>
      <c r="DU17" s="206">
        <f t="shared" si="88"/>
        <v>8</v>
      </c>
      <c r="DV17" s="205"/>
      <c r="DW17" s="205"/>
      <c r="DX17" s="205"/>
      <c r="EF17" s="272"/>
      <c r="EG17" s="196"/>
      <c r="EH17" s="197" t="str">
        <f>Fixtures!G12</f>
        <v>Austria</v>
      </c>
      <c r="EI17" s="198" t="s">
        <v>559</v>
      </c>
      <c r="EJ17" s="197" t="str">
        <f>"'Countries and Timezone'!"&amp;VLOOKUP(Fixtures!P19,$EH$7:$EI$38,2,FALSE)</f>
        <v>'Countries and Timezone'!B16</v>
      </c>
      <c r="EL17" s="199">
        <v>44362.75</v>
      </c>
      <c r="EM17" s="200">
        <f t="shared" si="51"/>
        <v>44362.75</v>
      </c>
      <c r="EO17" s="202">
        <v>-7.5</v>
      </c>
      <c r="EP17" s="191">
        <v>-8</v>
      </c>
      <c r="EQ17" s="191" t="s">
        <v>560</v>
      </c>
      <c r="ER17" s="191" t="s">
        <v>561</v>
      </c>
    </row>
    <row r="18" spans="1:148" x14ac:dyDescent="0.35">
      <c r="A18" s="191">
        <f>VLOOKUP(B18,$CW$18:$CX$22,2,FALSE)</f>
        <v>1</v>
      </c>
      <c r="B18" s="191" t="str">
        <f>'Dummy Table'!EH15</f>
        <v>Netherlands</v>
      </c>
      <c r="C18" s="191">
        <f>SUMPRODUCT(($CZ$3:$CZ$42=$B18)*($DD$3:$DD$42="W"))+SUMPRODUCT(($DC$3:$DC$42=$B18)*($DE$3:$DE$42="W"))</f>
        <v>3</v>
      </c>
      <c r="D18" s="191">
        <f>SUMPRODUCT(($CZ$3:$CZ$42=$B18)*($DD$3:$DD$42="D"))+SUMPRODUCT(($DC$3:$DC$42=$B18)*($DE$3:$DE$42="D"))</f>
        <v>0</v>
      </c>
      <c r="E18" s="191">
        <f>SUMPRODUCT(($CZ$3:$CZ$42=$B18)*($DD$3:$DD$42="L"))+SUMPRODUCT(($DC$3:$DC$42=$B18)*($DE$3:$DE$42="L"))</f>
        <v>0</v>
      </c>
      <c r="F18" s="191">
        <f>SUMIF($CZ$3:$CZ$60,B18,$DA$3:$DA$60)+SUMIF($DC$3:$DC$60,B18,$DB$3:$DB$60)</f>
        <v>8</v>
      </c>
      <c r="G18" s="191">
        <f>SUMIF($DC$3:$DC$60,B18,$DA$3:$DA$60)+SUMIF($CZ$3:$CZ$60,B18,$DB$3:$DB$60)</f>
        <v>2</v>
      </c>
      <c r="H18" s="191">
        <f t="shared" ref="H18:H21" si="99">F18-G18+1000</f>
        <v>1006</v>
      </c>
      <c r="I18" s="191">
        <f t="shared" ref="I18:I21" si="100">C18*3+D18*1</f>
        <v>9</v>
      </c>
      <c r="J18" s="191">
        <v>45</v>
      </c>
      <c r="K18" s="191">
        <f>IF(COUNTIF(I18:I22,4)&lt;&gt;4,RANK(I18,I18:I22),I58)</f>
        <v>1</v>
      </c>
      <c r="M18" s="191">
        <f>SUMPRODUCT((K18:K21=K18)*(J18:J21&lt;J18))+K18</f>
        <v>1</v>
      </c>
      <c r="N18" s="191" t="str">
        <f>INDEX($B$18:$B$22,MATCH(1,$M$18:$M$22,0),0)</f>
        <v>Netherlands</v>
      </c>
      <c r="O18" s="191">
        <f>INDEX($K$18:$K$22,MATCH(N18,$B$18:$B$22,0),0)</f>
        <v>1</v>
      </c>
      <c r="P18" s="191" t="str">
        <f>IF(O19=1,N18,"")</f>
        <v/>
      </c>
      <c r="Q18" s="191" t="str">
        <f>IF(O20=2,N19,"")</f>
        <v/>
      </c>
      <c r="R18" s="191" t="str">
        <f>IF(O21=3,N20,"")</f>
        <v/>
      </c>
      <c r="S18" s="191" t="str">
        <f>IF(O22=4,N21,"")</f>
        <v/>
      </c>
      <c r="U18" s="191" t="str">
        <f>IF(P18&lt;&gt;"",P18,"")</f>
        <v/>
      </c>
      <c r="V18" s="191">
        <f>SUMPRODUCT(($CZ$3:$CZ$42=$U18)*($DC$3:$DC$42=$U19)*($DD$3:$DD$42="W"))+SUMPRODUCT(($CZ$3:$CZ$42=$U18)*($DC$3:$DC$42=$U20)*($DD$3:$DD$42="W"))+SUMPRODUCT(($CZ$3:$CZ$42=$U18)*($DC$3:$DC$42=$U21)*($DD$3:$DD$42="W"))+SUMPRODUCT(($CZ$3:$CZ$42=$U18)*($DC$3:$DC$42=$U22)*($DD$3:$DD$42="W"))+SUMPRODUCT(($CZ$3:$CZ$42=$U19)*($DC$3:$DC$42=$U18)*($DE$3:$DE$42="W"))+SUMPRODUCT(($CZ$3:$CZ$42=$U20)*($DC$3:$DC$42=$U18)*($DE$3:$DE$42="W"))+SUMPRODUCT(($CZ$3:$CZ$42=$U21)*($DC$3:$DC$42=$U18)*($DE$3:$DE$42="W"))+SUMPRODUCT(($CZ$3:$CZ$42=$U22)*($DC$3:$DC$42=$U18)*($DE$3:$DE$42="W"))</f>
        <v>0</v>
      </c>
      <c r="W18" s="191">
        <f>SUMPRODUCT(($CZ$3:$CZ$42=$U18)*($DC$3:$DC$42=$U19)*($DD$3:$DD$42="D"))+SUMPRODUCT(($CZ$3:$CZ$42=$U18)*($DC$3:$DC$42=$U20)*($DD$3:$DD$42="D"))+SUMPRODUCT(($CZ$3:$CZ$42=$U18)*($DC$3:$DC$42=$U21)*($DD$3:$DD$42="D"))+SUMPRODUCT(($CZ$3:$CZ$42=$U18)*($DC$3:$DC$42=$U22)*($DD$3:$DD$42="D"))+SUMPRODUCT(($CZ$3:$CZ$42=$U19)*($DC$3:$DC$42=$U18)*($DD$3:$DD$42="D"))+SUMPRODUCT(($CZ$3:$CZ$42=$U20)*($DC$3:$DC$42=$U18)*($DD$3:$DD$42="D"))+SUMPRODUCT(($CZ$3:$CZ$42=$U21)*($DC$3:$DC$42=$U18)*($DD$3:$DD$42="D"))+SUMPRODUCT(($CZ$3:$CZ$42=$U22)*($DC$3:$DC$42=$U18)*($DD$3:$DD$42="D"))</f>
        <v>0</v>
      </c>
      <c r="X18" s="191">
        <f>SUMPRODUCT(($CZ$3:$CZ$42=$U18)*($DC$3:$DC$42=$U19)*($DD$3:$DD$42="L"))+SUMPRODUCT(($CZ$3:$CZ$42=$U18)*($DC$3:$DC$42=$U20)*($DD$3:$DD$42="L"))+SUMPRODUCT(($CZ$3:$CZ$42=$U18)*($DC$3:$DC$42=$U21)*($DD$3:$DD$42="L"))+SUMPRODUCT(($CZ$3:$CZ$42=$U18)*($DC$3:$DC$42=$U22)*($DD$3:$DD$42="L"))+SUMPRODUCT(($CZ$3:$CZ$42=$U19)*($DC$3:$DC$42=$U18)*($DE$3:$DE$42="L"))+SUMPRODUCT(($CZ$3:$CZ$42=$U20)*($DC$3:$DC$42=$U18)*($DE$3:$DE$42="L"))+SUMPRODUCT(($CZ$3:$CZ$42=$U21)*($DC$3:$DC$42=$U18)*($DE$3:$DE$42="L"))+SUMPRODUCT(($CZ$3:$CZ$42=$U22)*($DC$3:$DC$42=$U18)*($DE$3:$DE$42="L"))</f>
        <v>0</v>
      </c>
      <c r="Y18" s="191">
        <f>SUMPRODUCT(($CZ$3:$CZ$42=$U18)*($DC$3:$DC$42=$U19)*$DA$3:$DA$42)+SUMPRODUCT(($CZ$3:$CZ$42=$U18)*($DC$3:$DC$42=$U20)*$DA$3:$DA$42)+SUMPRODUCT(($CZ$3:$CZ$42=$U18)*($DC$3:$DC$42=$U21)*$DA$3:$DA$42)+SUMPRODUCT(($CZ$3:$CZ$42=$U18)*($DC$3:$DC$42=$U22)*$DA$3:$DA$42)+SUMPRODUCT(($CZ$3:$CZ$42=$U19)*($DC$3:$DC$42=$U18)*$DB$3:$DB$42)+SUMPRODUCT(($CZ$3:$CZ$42=$U20)*($DC$3:$DC$42=$U18)*$DB$3:$DB$42)+SUMPRODUCT(($CZ$3:$CZ$42=$U21)*($DC$3:$DC$42=$U18)*$DB$3:$DB$42)+SUMPRODUCT(($CZ$3:$CZ$42=$U22)*($DC$3:$DC$42=$U18)*$DB$3:$DB$42)</f>
        <v>0</v>
      </c>
      <c r="Z18" s="191">
        <f>SUMPRODUCT(($CZ$3:$CZ$42=$U18)*($DC$3:$DC$42=$U19)*$DB$3:$DB$42)+SUMPRODUCT(($CZ$3:$CZ$42=$U18)*($DC$3:$DC$42=$U20)*$DB$3:$DB$42)+SUMPRODUCT(($CZ$3:$CZ$42=$U18)*($DC$3:$DC$42=$U21)*$DB$3:$DB$42)+SUMPRODUCT(($CZ$3:$CZ$42=$U18)*($DC$3:$DC$42=$U22)*$DB$3:$DB$42)+SUMPRODUCT(($CZ$3:$CZ$42=$U19)*($DC$3:$DC$42=$U18)*$DA$3:$DA$42)+SUMPRODUCT(($CZ$3:$CZ$42=$U20)*($DC$3:$DC$42=$U18)*$DA$3:$DA$42)+SUMPRODUCT(($CZ$3:$CZ$42=$U21)*($DC$3:$DC$42=$U18)*$DA$3:$DA$42)+SUMPRODUCT(($CZ$3:$CZ$42=$U22)*($DC$3:$DC$42=$U18)*$DA$3:$DA$42)</f>
        <v>0</v>
      </c>
      <c r="AA18" s="191">
        <f>Y18-Z18+1000</f>
        <v>1000</v>
      </c>
      <c r="AB18" s="191" t="str">
        <f t="shared" ref="AB18:AB21" si="101">IF(U18&lt;&gt;"",V18*3+W18*1,"")</f>
        <v/>
      </c>
      <c r="AC18" s="191" t="str">
        <f t="shared" ref="AC18:AC21" si="102">IF(U18&lt;&gt;"",VLOOKUP(U18,$B$4:$H$40,7,FALSE),"")</f>
        <v/>
      </c>
      <c r="AD18" s="191" t="str">
        <f t="shared" ref="AD18:AD21" si="103">IF(U18&lt;&gt;"",VLOOKUP(U18,$B$4:$H$40,5,FALSE),"")</f>
        <v/>
      </c>
      <c r="AE18" s="191" t="str">
        <f t="shared" ref="AE18:AE21" si="104">IF(U18&lt;&gt;"",VLOOKUP(U18,$B$4:$J$40,9,FALSE),"")</f>
        <v/>
      </c>
      <c r="AF18" s="191" t="str">
        <f t="shared" ref="AF18:AF21" si="105">AB18</f>
        <v/>
      </c>
      <c r="AG18" s="191" t="str">
        <f>IF(U18&lt;&gt;"",RANK(AF18,AF$18:AF$22),"")</f>
        <v/>
      </c>
      <c r="AH18" s="191" t="str">
        <f>IF(U18&lt;&gt;"",SUMPRODUCT((AF$18:AF$22=AF18)*(AA$18:AA$22&gt;AA18)),"")</f>
        <v/>
      </c>
      <c r="AI18" s="191" t="str">
        <f>IF(U18&lt;&gt;"",SUMPRODUCT((AF$18:AF$22=AF18)*(AA$18:AA$22=AA18)*(Y$18:Y$22&gt;Y18)),"")</f>
        <v/>
      </c>
      <c r="AJ18" s="191" t="str">
        <f>IF(U18&lt;&gt;"",SUMPRODUCT((AF$18:AF$22=AF18)*(AA$18:AA$22=AA18)*(Y$18:Y$22=Y18)*(AC$18:AC$22&gt;AC18)),"")</f>
        <v/>
      </c>
      <c r="AK18" s="191" t="str">
        <f>IF(U18&lt;&gt;"",SUMPRODUCT((AF$18:AF$22=AF18)*(AA$18:AA$22=AA18)*(Y$18:Y$22=Y18)*(AC$18:AC$22=AC18)*(AD$18:AD$22&gt;AD18)),"")</f>
        <v/>
      </c>
      <c r="AL18" s="191" t="str">
        <f>IF(U18&lt;&gt;"",SUMPRODUCT((AF$18:AF$22=AF18)*(AA$18:AA$22=AA18)*(Y$18:Y$22=Y18)*(AC$18:AC$22=AC18)*(AD$18:AD$22=AD18)*(AE$18:AE$22&gt;AE18)),"")</f>
        <v/>
      </c>
      <c r="AM18" s="191" t="str">
        <f>IF(Fixtures!B59="© 2020 | journalSHEET.com",IF(U18&lt;&gt;"",IF(AM58&lt;&gt;"",IF(T$57=3,AM58,AM58+T$57),SUM(AG18:AL18)),""),1)</f>
        <v/>
      </c>
      <c r="AN18" s="191" t="str">
        <f>IF(U18&lt;&gt;"",INDEX($U$18:$U$22,MATCH(1,$AM$18:$AM$22,0),0),"")</f>
        <v/>
      </c>
      <c r="CW18" s="191" t="str">
        <f>IF(AN18&lt;&gt;"",AN18,N18)</f>
        <v>Netherlands</v>
      </c>
      <c r="CX18" s="191">
        <v>1</v>
      </c>
      <c r="CY18" s="191">
        <v>16</v>
      </c>
      <c r="CZ18" s="191" t="str">
        <f>Fixtures!G22</f>
        <v>Ukraine</v>
      </c>
      <c r="DA18" s="191">
        <f>IF(AND(Fixtures!H22&lt;&gt;"",Fixtures!I22&lt;&gt;""),Fixtures!H22,0)</f>
        <v>2</v>
      </c>
      <c r="DB18" s="191">
        <f>IF(AND(Fixtures!I22&lt;&gt;"",Fixtures!H22&lt;&gt;""),Fixtures!I22,0)</f>
        <v>1</v>
      </c>
      <c r="DC18" s="191" t="str">
        <f>IF(License!G14="© 2020 | journalSHEET.com",Fixtures!J22,0)</f>
        <v>North Macedonia</v>
      </c>
      <c r="DD18" s="191" t="str">
        <f>IF(AND(Fixtures!H22&lt;&gt;"",Fixtures!I22&lt;&gt;""),IF(DA18&gt;DB18,"W",IF(DA18=DB18,"D","L")),"")</f>
        <v>W</v>
      </c>
      <c r="DE18" s="191" t="str">
        <f t="shared" si="1"/>
        <v>L</v>
      </c>
      <c r="DH18" s="204" t="s">
        <v>112</v>
      </c>
      <c r="DI18" s="205" t="s">
        <v>118</v>
      </c>
      <c r="DJ18" s="205" t="s">
        <v>126</v>
      </c>
      <c r="DK18" s="205" t="s">
        <v>111</v>
      </c>
      <c r="DL18" s="204" t="s">
        <v>126</v>
      </c>
      <c r="DM18" s="204" t="s">
        <v>111</v>
      </c>
      <c r="DN18" s="204" t="s">
        <v>118</v>
      </c>
      <c r="DO18" s="204" t="s">
        <v>112</v>
      </c>
      <c r="DP18" s="205"/>
      <c r="DQ18" s="206">
        <f t="shared" si="87"/>
        <v>4</v>
      </c>
      <c r="DR18" s="206">
        <f t="shared" si="87"/>
        <v>0</v>
      </c>
      <c r="DS18" s="206">
        <f t="shared" si="87"/>
        <v>1</v>
      </c>
      <c r="DT18" s="206">
        <f t="shared" si="87"/>
        <v>0</v>
      </c>
      <c r="DU18" s="206">
        <f t="shared" si="88"/>
        <v>5</v>
      </c>
      <c r="DV18" s="205"/>
      <c r="DW18" s="205"/>
      <c r="DX18" s="205"/>
      <c r="EF18" s="272"/>
      <c r="EG18" s="196"/>
      <c r="EH18" s="197" t="str">
        <f>Fixtures!J12</f>
        <v>North Macedonia</v>
      </c>
      <c r="EI18" s="198" t="s">
        <v>562</v>
      </c>
      <c r="EJ18" s="197" t="str">
        <f>"'Countries and Timezone'!"&amp;VLOOKUP(Fixtures!P20,$EH$7:$EI$38,2,FALSE)</f>
        <v>'Countries and Timezone'!B18</v>
      </c>
      <c r="EL18" s="199">
        <v>44362.875</v>
      </c>
      <c r="EM18" s="200">
        <f t="shared" si="51"/>
        <v>44362.875</v>
      </c>
      <c r="EO18" s="202">
        <v>-7</v>
      </c>
      <c r="EP18" s="191">
        <v>-7</v>
      </c>
      <c r="EQ18" s="191" t="s">
        <v>563</v>
      </c>
      <c r="ER18" s="191" t="s">
        <v>564</v>
      </c>
    </row>
    <row r="19" spans="1:148" x14ac:dyDescent="0.35">
      <c r="A19" s="191">
        <f>VLOOKUP(B19,$CW$18:$CX$22,2,FALSE)</f>
        <v>3</v>
      </c>
      <c r="B19" s="191" t="str">
        <f>'Dummy Table'!EH16</f>
        <v>Ukraine</v>
      </c>
      <c r="C19" s="191">
        <f>SUMPRODUCT(($CZ$3:$CZ$42=$B19)*($DD$3:$DD$42="W"))+SUMPRODUCT(($DC$3:$DC$42=$B19)*($DE$3:$DE$42="W"))</f>
        <v>1</v>
      </c>
      <c r="D19" s="191">
        <f>SUMPRODUCT(($CZ$3:$CZ$42=$B19)*($DD$3:$DD$42="D"))+SUMPRODUCT(($DC$3:$DC$42=$B19)*($DE$3:$DE$42="D"))</f>
        <v>0</v>
      </c>
      <c r="E19" s="191">
        <f>SUMPRODUCT(($CZ$3:$CZ$42=$B19)*($DD$3:$DD$42="L"))+SUMPRODUCT(($DC$3:$DC$42=$B19)*($DE$3:$DE$42="L"))</f>
        <v>2</v>
      </c>
      <c r="F19" s="191">
        <f>SUMIF($CZ$3:$CZ$60,B19,$DA$3:$DA$60)+SUMIF($DC$3:$DC$60,B19,$DB$3:$DB$60)</f>
        <v>4</v>
      </c>
      <c r="G19" s="191">
        <f>SUMIF($DC$3:$DC$60,B19,$DA$3:$DA$60)+SUMIF($CZ$3:$CZ$60,B19,$DB$3:$DB$60)</f>
        <v>5</v>
      </c>
      <c r="H19" s="191">
        <f t="shared" si="99"/>
        <v>999</v>
      </c>
      <c r="I19" s="191">
        <f t="shared" si="100"/>
        <v>3</v>
      </c>
      <c r="J19" s="191">
        <v>50</v>
      </c>
      <c r="K19" s="191">
        <f>IF(COUNTIF(I18:I22,4)&lt;&gt;4,RANK(I19,I18:I22),I59)</f>
        <v>3</v>
      </c>
      <c r="M19" s="191">
        <f>SUMPRODUCT((K18:K21=K19)*(J18:J21&lt;J19))+K19</f>
        <v>3</v>
      </c>
      <c r="N19" s="191" t="str">
        <f>INDEX($B$18:$B$22,MATCH(2,$M$18:$M$22,0),0)</f>
        <v>Austria</v>
      </c>
      <c r="O19" s="191">
        <f>INDEX($K$18:$K$22,MATCH(N19,$B$18:$B$22,0),0)</f>
        <v>2</v>
      </c>
      <c r="P19" s="191" t="str">
        <f>IF(P18&lt;&gt;"",N19,"")</f>
        <v/>
      </c>
      <c r="Q19" s="191" t="str">
        <f>IF(Q18&lt;&gt;"",N20,"")</f>
        <v/>
      </c>
      <c r="R19" s="191" t="str">
        <f>IF(R18&lt;&gt;"",N21,"")</f>
        <v/>
      </c>
      <c r="S19" s="191" t="str">
        <f>IF(S18&lt;&gt;"",N22,"")</f>
        <v/>
      </c>
      <c r="U19" s="191" t="str">
        <f t="shared" ref="U19:U21" si="106">IF(P19&lt;&gt;"",P19,"")</f>
        <v/>
      </c>
      <c r="V19" s="191">
        <f>SUMPRODUCT(($CZ$3:$CZ$42=$U19)*($DC$3:$DC$42=$U20)*($DD$3:$DD$42="W"))+SUMPRODUCT(($CZ$3:$CZ$42=$U19)*($DC$3:$DC$42=$U21)*($DD$3:$DD$42="W"))+SUMPRODUCT(($CZ$3:$CZ$42=$U19)*($DC$3:$DC$42=$U22)*($DD$3:$DD$42="W"))+SUMPRODUCT(($CZ$3:$CZ$42=$U19)*($DC$3:$DC$42=$U18)*($DD$3:$DD$42="W"))+SUMPRODUCT(($CZ$3:$CZ$42=$U20)*($DC$3:$DC$42=$U19)*($DE$3:$DE$42="W"))+SUMPRODUCT(($CZ$3:$CZ$42=$U21)*($DC$3:$DC$42=$U19)*($DE$3:$DE$42="W"))+SUMPRODUCT(($CZ$3:$CZ$42=$U22)*($DC$3:$DC$42=$U19)*($DE$3:$DE$42="W"))+SUMPRODUCT(($CZ$3:$CZ$42=$U18)*($DC$3:$DC$42=$U19)*($DE$3:$DE$42="W"))</f>
        <v>0</v>
      </c>
      <c r="W19" s="191">
        <f>SUMPRODUCT(($CZ$3:$CZ$42=$U19)*($DC$3:$DC$42=$U20)*($DD$3:$DD$42="D"))+SUMPRODUCT(($CZ$3:$CZ$42=$U19)*($DC$3:$DC$42=$U21)*($DD$3:$DD$42="D"))+SUMPRODUCT(($CZ$3:$CZ$42=$U19)*($DC$3:$DC$42=$U22)*($DD$3:$DD$42="D"))+SUMPRODUCT(($CZ$3:$CZ$42=$U19)*($DC$3:$DC$42=$U18)*($DD$3:$DD$42="D"))+SUMPRODUCT(($CZ$3:$CZ$42=$U20)*($DC$3:$DC$42=$U19)*($DD$3:$DD$42="D"))+SUMPRODUCT(($CZ$3:$CZ$42=$U21)*($DC$3:$DC$42=$U19)*($DD$3:$DD$42="D"))+SUMPRODUCT(($CZ$3:$CZ$42=$U22)*($DC$3:$DC$42=$U19)*($DD$3:$DD$42="D"))+SUMPRODUCT(($CZ$3:$CZ$42=$U18)*($DC$3:$DC$42=$U19)*($DD$3:$DD$42="D"))</f>
        <v>0</v>
      </c>
      <c r="X19" s="191">
        <f>SUMPRODUCT(($CZ$3:$CZ$42=$U19)*($DC$3:$DC$42=$U20)*($DD$3:$DD$42="L"))+SUMPRODUCT(($CZ$3:$CZ$42=$U19)*($DC$3:$DC$42=$U21)*($DD$3:$DD$42="L"))+SUMPRODUCT(($CZ$3:$CZ$42=$U19)*($DC$3:$DC$42=$U22)*($DD$3:$DD$42="L"))+SUMPRODUCT(($CZ$3:$CZ$42=$U19)*($DC$3:$DC$42=$U18)*($DD$3:$DD$42="L"))+SUMPRODUCT(($CZ$3:$CZ$42=$U20)*($DC$3:$DC$42=$U19)*($DE$3:$DE$42="L"))+SUMPRODUCT(($CZ$3:$CZ$42=$U21)*($DC$3:$DC$42=$U19)*($DE$3:$DE$42="L"))+SUMPRODUCT(($CZ$3:$CZ$42=$U22)*($DC$3:$DC$42=$U19)*($DE$3:$DE$42="L"))+SUMPRODUCT(($CZ$3:$CZ$42=$U18)*($DC$3:$DC$42=$U19)*($DE$3:$DE$42="L"))</f>
        <v>0</v>
      </c>
      <c r="Y19" s="191">
        <f>SUMPRODUCT(($CZ$3:$CZ$42=$U19)*($DC$3:$DC$42=$U20)*$DA$3:$DA$42)+SUMPRODUCT(($CZ$3:$CZ$42=$U19)*($DC$3:$DC$42=$U21)*$DA$3:$DA$42)+SUMPRODUCT(($CZ$3:$CZ$42=$U19)*($DC$3:$DC$42=$U22)*$DA$3:$DA$42)+SUMPRODUCT(($CZ$3:$CZ$42=$U19)*($DC$3:$DC$42=$U18)*$DA$3:$DA$42)+SUMPRODUCT(($CZ$3:$CZ$42=$U20)*($DC$3:$DC$42=$U19)*$DB$3:$DB$42)+SUMPRODUCT(($CZ$3:$CZ$42=$U21)*($DC$3:$DC$42=$U19)*$DB$3:$DB$42)+SUMPRODUCT(($CZ$3:$CZ$42=$U22)*($DC$3:$DC$42=$U19)*$DB$3:$DB$42)+SUMPRODUCT(($CZ$3:$CZ$42=$U18)*($DC$3:$DC$42=$U19)*$DB$3:$DB$42)</f>
        <v>0</v>
      </c>
      <c r="Z19" s="191">
        <f>SUMPRODUCT(($CZ$3:$CZ$42=$U19)*($DC$3:$DC$42=$U20)*$DB$3:$DB$42)+SUMPRODUCT(($CZ$3:$CZ$42=$U19)*($DC$3:$DC$42=$U21)*$DB$3:$DB$42)+SUMPRODUCT(($CZ$3:$CZ$42=$U19)*($DC$3:$DC$42=$U22)*$DB$3:$DB$42)+SUMPRODUCT(($CZ$3:$CZ$42=$U19)*($DC$3:$DC$42=$U18)*$DB$3:$DB$42)+SUMPRODUCT(($CZ$3:$CZ$42=$U20)*($DC$3:$DC$42=$U19)*$DA$3:$DA$42)+SUMPRODUCT(($CZ$3:$CZ$42=$U21)*($DC$3:$DC$42=$U19)*$DA$3:$DA$42)+SUMPRODUCT(($CZ$3:$CZ$42=$U22)*($DC$3:$DC$42=$U19)*$DA$3:$DA$42)+SUMPRODUCT(($CZ$3:$CZ$42=$U18)*($DC$3:$DC$42=$U19)*$DA$3:$DA$42)</f>
        <v>0</v>
      </c>
      <c r="AA19" s="191">
        <f>Y19-Z19+1000</f>
        <v>1000</v>
      </c>
      <c r="AB19" s="191" t="str">
        <f t="shared" si="101"/>
        <v/>
      </c>
      <c r="AC19" s="191" t="str">
        <f t="shared" si="102"/>
        <v/>
      </c>
      <c r="AD19" s="191" t="str">
        <f t="shared" si="103"/>
        <v/>
      </c>
      <c r="AE19" s="191" t="str">
        <f t="shared" si="104"/>
        <v/>
      </c>
      <c r="AF19" s="191" t="str">
        <f t="shared" si="105"/>
        <v/>
      </c>
      <c r="AG19" s="191" t="str">
        <f>IF(U19&lt;&gt;"",RANK(AF19,AF$18:AF$22),"")</f>
        <v/>
      </c>
      <c r="AH19" s="191" t="str">
        <f t="shared" ref="AH19:AH21" si="107">IF(U19&lt;&gt;"",SUMPRODUCT((AF$18:AF$22=AF19)*(AA$18:AA$22&gt;AA19)),"")</f>
        <v/>
      </c>
      <c r="AI19" s="191" t="str">
        <f t="shared" ref="AI19:AI21" si="108">IF(U19&lt;&gt;"",SUMPRODUCT((AF$18:AF$22=AF19)*(AA$18:AA$22=AA19)*(Y$18:Y$22&gt;Y19)),"")</f>
        <v/>
      </c>
      <c r="AJ19" s="191" t="str">
        <f t="shared" ref="AJ19:AJ21" si="109">IF(U19&lt;&gt;"",SUMPRODUCT((AF$18:AF$22=AF19)*(AA$18:AA$22=AA19)*(Y$18:Y$22=Y19)*(AC$18:AC$22&gt;AC19)),"")</f>
        <v/>
      </c>
      <c r="AK19" s="191" t="str">
        <f t="shared" ref="AK19:AK21" si="110">IF(U19&lt;&gt;"",SUMPRODUCT((AF$18:AF$22=AF19)*(AA$18:AA$22=AA19)*(Y$18:Y$22=Y19)*(AC$18:AC$22=AC19)*(AD$18:AD$22&gt;AD19)),"")</f>
        <v/>
      </c>
      <c r="AL19" s="191" t="str">
        <f t="shared" ref="AL19:AL21" si="111">IF(U19&lt;&gt;"",SUMPRODUCT((AF$18:AF$22=AF19)*(AA$18:AA$22=AA19)*(Y$18:Y$22=Y19)*(AC$18:AC$22=AC19)*(AD$18:AD$22=AD19)*(AE$18:AE$22&gt;AE19)),"")</f>
        <v/>
      </c>
      <c r="AM19" s="191" t="str">
        <f t="shared" ref="AM19:AM21" si="112">IF(U19&lt;&gt;"",IF(AM59&lt;&gt;"",IF(T$57=3,AM59,AM59+T$57),SUM(AG19:AL19)),"")</f>
        <v/>
      </c>
      <c r="AN19" s="191" t="str">
        <f>IF(U19&lt;&gt;"",INDEX($U$18:$U$22,MATCH(2,$AM$18:$AM$22,0),0),"")</f>
        <v/>
      </c>
      <c r="AO19" s="191" t="str">
        <f>IF(Q18&lt;&gt;"",Q18,"")</f>
        <v/>
      </c>
      <c r="AP19" s="191">
        <f>SUMPRODUCT(($CZ$3:$CZ$42=$AO19)*($DC$3:$DC$42=$AO20)*($DD$3:$DD$42="W"))+SUMPRODUCT(($CZ$3:$CZ$42=$AO19)*($DC$3:$DC$42=$AO21)*($DD$3:$DD$42="W"))+SUMPRODUCT(($CZ$3:$CZ$42=$AO19)*($DC$3:$DC$42=$AO22)*($DD$3:$DD$42="W"))+SUMPRODUCT(($CZ$3:$CZ$42=$AO20)*($DC$3:$DC$42=$AO19)*($DE$3:$DE$42="W"))+SUMPRODUCT(($CZ$3:$CZ$42=$AO21)*($DC$3:$DC$42=$AO19)*($DE$3:$DE$42="W"))+SUMPRODUCT(($CZ$3:$CZ$42=$AO22)*($DC$3:$DC$42=$AO19)*($DE$3:$DE$42="W"))</f>
        <v>0</v>
      </c>
      <c r="AQ19" s="191">
        <f>SUMPRODUCT(($CZ$3:$CZ$42=$AO19)*($DC$3:$DC$42=$AO20)*($DD$3:$DD$42="D"))+SUMPRODUCT(($CZ$3:$CZ$42=$AO19)*($DC$3:$DC$42=$AO21)*($DD$3:$DD$42="D"))+SUMPRODUCT(($CZ$3:$CZ$42=$AO19)*($DC$3:$DC$42=$AO22)*($DD$3:$DD$42="D"))+SUMPRODUCT(($CZ$3:$CZ$42=$AO20)*($DC$3:$DC$42=$AO19)*($DD$3:$DD$42="D"))+SUMPRODUCT(($CZ$3:$CZ$42=$AO21)*($DC$3:$DC$42=$AO19)*($DD$3:$DD$42="D"))+SUMPRODUCT(($CZ$3:$CZ$42=$AO22)*($DC$3:$DC$42=$AO19)*($DD$3:$DD$42="D"))</f>
        <v>0</v>
      </c>
      <c r="AR19" s="191">
        <f>SUMPRODUCT(($CZ$3:$CZ$42=$AO19)*($DC$3:$DC$42=$AO20)*($DD$3:$DD$42="L"))+SUMPRODUCT(($CZ$3:$CZ$42=$AO19)*($DC$3:$DC$42=$AO21)*($DD$3:$DD$42="L"))+SUMPRODUCT(($CZ$3:$CZ$42=$AO19)*($DC$3:$DC$42=$AO22)*($DD$3:$DD$42="L"))+SUMPRODUCT(($CZ$3:$CZ$42=$AO20)*($DC$3:$DC$42=$AO19)*($DE$3:$DE$42="L"))+SUMPRODUCT(($CZ$3:$CZ$42=$AO21)*($DC$3:$DC$42=$AO19)*($DE$3:$DE$42="L"))+SUMPRODUCT(($CZ$3:$CZ$42=$AO22)*($DC$3:$DC$42=$AO19)*($DE$3:$DE$42="L"))</f>
        <v>0</v>
      </c>
      <c r="AS19" s="191">
        <f>SUMPRODUCT(($CZ$3:$CZ$42=$AO19)*($DC$3:$DC$42=$AO20)*$DA$3:$DA$42)+SUMPRODUCT(($CZ$3:$CZ$42=$AO19)*($DC$3:$DC$42=$AO21)*$DA$3:$DA$42)+SUMPRODUCT(($CZ$3:$CZ$42=$AO19)*($DC$3:$DC$42=$AO22)*$DA$3:$DA$42)+SUMPRODUCT(($CZ$3:$CZ$42=$AO19)*($DC$3:$DC$42=$AO18)*$DA$3:$DA$42)+SUMPRODUCT(($CZ$3:$CZ$42=$AO20)*($DC$3:$DC$42=$AO19)*$DB$3:$DB$42)+SUMPRODUCT(($CZ$3:$CZ$42=$AO21)*($DC$3:$DC$42=$AO19)*$DB$3:$DB$42)+SUMPRODUCT(($CZ$3:$CZ$42=$AO22)*($DC$3:$DC$42=$AO19)*$DB$3:$DB$42)+SUMPRODUCT(($CZ$3:$CZ$42=$AO18)*($DC$3:$DC$42=$AO19)*$DB$3:$DB$42)</f>
        <v>0</v>
      </c>
      <c r="AT19" s="191">
        <f>SUMPRODUCT(($CZ$3:$CZ$42=$AO19)*($DC$3:$DC$42=$AO20)*$DB$3:$DB$42)+SUMPRODUCT(($CZ$3:$CZ$42=$AO19)*($DC$3:$DC$42=$AO21)*$DB$3:$DB$42)+SUMPRODUCT(($CZ$3:$CZ$42=$AO19)*($DC$3:$DC$42=$AO22)*$DB$3:$DB$42)+SUMPRODUCT(($CZ$3:$CZ$42=$AO19)*($DC$3:$DC$42=$AO18)*$DB$3:$DB$42)+SUMPRODUCT(($CZ$3:$CZ$42=$AO20)*($DC$3:$DC$42=$AO19)*$DA$3:$DA$42)+SUMPRODUCT(($CZ$3:$CZ$42=$AO21)*($DC$3:$DC$42=$AO19)*$DA$3:$DA$42)+SUMPRODUCT(($CZ$3:$CZ$42=$AO22)*($DC$3:$DC$42=$AO19)*$DA$3:$DA$42)+SUMPRODUCT(($CZ$3:$CZ$42=$AO18)*($DC$3:$DC$42=$AO19)*$DA$3:$DA$42)</f>
        <v>0</v>
      </c>
      <c r="AU19" s="191">
        <f>AS19-AT19+1000</f>
        <v>1000</v>
      </c>
      <c r="AV19" s="191" t="str">
        <f t="shared" ref="AV19:AV21" si="113">IF(AO19&lt;&gt;"",AP19*3+AQ19*1,"")</f>
        <v/>
      </c>
      <c r="AW19" s="191" t="str">
        <f t="shared" ref="AW19:AW21" si="114">IF(AO19&lt;&gt;"",VLOOKUP(AO19,$B$4:$H$40,7,FALSE),"")</f>
        <v/>
      </c>
      <c r="AX19" s="191" t="str">
        <f t="shared" ref="AX19:AX21" si="115">IF(AO19&lt;&gt;"",VLOOKUP(AO19,$B$4:$H$40,5,FALSE),"")</f>
        <v/>
      </c>
      <c r="AY19" s="191" t="str">
        <f t="shared" ref="AY19:AY21" si="116">IF(AO19&lt;&gt;"",VLOOKUP(AO19,$B$4:$J$40,9,FALSE),"")</f>
        <v/>
      </c>
      <c r="AZ19" s="191" t="str">
        <f t="shared" ref="AZ19:AZ21" si="117">AV19</f>
        <v/>
      </c>
      <c r="BA19" s="191" t="str">
        <f>IF(AO19&lt;&gt;"",RANK(AZ19,AZ$18:AZ$22),"")</f>
        <v/>
      </c>
      <c r="BB19" s="191" t="str">
        <f t="shared" ref="BB19:BB21" si="118">IF(AO19&lt;&gt;"",SUMPRODUCT((AZ$18:AZ$22=AZ19)*(AU$18:AU$22&gt;AU19)),"")</f>
        <v/>
      </c>
      <c r="BC19" s="191" t="str">
        <f t="shared" ref="BC19:BC21" si="119">IF(AO19&lt;&gt;"",SUMPRODUCT((AZ$18:AZ$22=AZ19)*(AU$18:AU$22=AU19)*(AS$18:AS$22&gt;AS19)),"")</f>
        <v/>
      </c>
      <c r="BD19" s="191" t="str">
        <f t="shared" ref="BD19:BD21" si="120">IF(AO19&lt;&gt;"",SUMPRODUCT((AZ$18:AZ$22=AZ19)*(AU$18:AU$22=AU19)*(AS$18:AS$22=AS19)*(AW$18:AW$22&gt;AW19)),"")</f>
        <v/>
      </c>
      <c r="BE19" s="191" t="str">
        <f t="shared" ref="BE19:BE21" si="121">IF(AO19&lt;&gt;"",SUMPRODUCT((AZ$18:AZ$22=AZ19)*(AU$18:AU$22=AU19)*(AS$18:AS$22=AS19)*(AW$18:AW$22=AW19)*(AX$18:AX$22&gt;AX19)),"")</f>
        <v/>
      </c>
      <c r="BF19" s="191" t="str">
        <f t="shared" ref="BF19:BF21" si="122">IF(AO19&lt;&gt;"",SUMPRODUCT((AZ$18:AZ$22=AZ19)*(AU$18:AU$22=AU19)*(AS$18:AS$22=AS19)*(AW$18:AW$22=AW19)*(AX$18:AX$22=AX19)*(AY$18:AY$22&gt;AY19)),"")</f>
        <v/>
      </c>
      <c r="BG19" s="191" t="str">
        <f>IF(AO19&lt;&gt;"",IF(BG59&lt;&gt;"",IF(AN$57=3,BG59,BG59+AN$57),SUM(BA19:BF19)+1),"")</f>
        <v/>
      </c>
      <c r="BH19" s="191" t="str">
        <f>IF(AO19&lt;&gt;"",INDEX(AO19:AO22,MATCH(2,BG19:BG22,0),0),"")</f>
        <v/>
      </c>
      <c r="CW19" s="191" t="str">
        <f>IF(BH19&lt;&gt;"",BH19,IF(AN19&lt;&gt;"",AN19,N19))</f>
        <v>Austria</v>
      </c>
      <c r="CX19" s="191">
        <v>2</v>
      </c>
      <c r="CY19" s="191">
        <v>17</v>
      </c>
      <c r="CZ19" s="191" t="str">
        <f>Fixtures!G23</f>
        <v>Denmark</v>
      </c>
      <c r="DA19" s="191">
        <f>IF(AND(Fixtures!H23&lt;&gt;"",Fixtures!I23&lt;&gt;""),Fixtures!H23,0)</f>
        <v>1</v>
      </c>
      <c r="DB19" s="191">
        <f>IF(AND(Fixtures!I23&lt;&gt;"",Fixtures!H23&lt;&gt;""),Fixtures!I23,0)</f>
        <v>2</v>
      </c>
      <c r="DC19" s="191" t="str">
        <f>Fixtures!J23</f>
        <v>Belgium</v>
      </c>
      <c r="DD19" s="191" t="str">
        <f>IF(AND(Fixtures!H23&lt;&gt;"",Fixtures!I23&lt;&gt;""),IF(DA19&gt;DB19,"W",IF(DA19=DB19,"D","L")),"")</f>
        <v>L</v>
      </c>
      <c r="DE19" s="191" t="str">
        <f t="shared" si="1"/>
        <v>W</v>
      </c>
      <c r="DH19" s="204" t="s">
        <v>112</v>
      </c>
      <c r="DI19" s="205" t="s">
        <v>122</v>
      </c>
      <c r="DJ19" s="205" t="s">
        <v>109</v>
      </c>
      <c r="DK19" s="205" t="s">
        <v>126</v>
      </c>
      <c r="DL19" s="204" t="s">
        <v>126</v>
      </c>
      <c r="DM19" s="204" t="s">
        <v>109</v>
      </c>
      <c r="DN19" s="204" t="s">
        <v>122</v>
      </c>
      <c r="DO19" s="204" t="s">
        <v>112</v>
      </c>
      <c r="DP19" s="205"/>
      <c r="DQ19" s="206">
        <f t="shared" si="87"/>
        <v>0</v>
      </c>
      <c r="DR19" s="206">
        <f t="shared" si="87"/>
        <v>3</v>
      </c>
      <c r="DS19" s="206">
        <f t="shared" si="87"/>
        <v>1</v>
      </c>
      <c r="DT19" s="206">
        <f t="shared" si="87"/>
        <v>2</v>
      </c>
      <c r="DU19" s="206">
        <f t="shared" si="88"/>
        <v>6</v>
      </c>
      <c r="DV19" s="205"/>
      <c r="DW19" s="205"/>
      <c r="DX19" s="205"/>
      <c r="EF19" s="272" t="s">
        <v>109</v>
      </c>
      <c r="EG19" s="196"/>
      <c r="EH19" s="197" t="str">
        <f>Fixtures!G14</f>
        <v>Scotland</v>
      </c>
      <c r="EI19" s="198" t="s">
        <v>565</v>
      </c>
      <c r="EJ19" s="197" t="str">
        <f>"'Countries and Timezone'!"&amp;VLOOKUP(Fixtures!P22,$EH$7:$EI$38,2,FALSE)</f>
        <v>'Countries and Timezone'!B21</v>
      </c>
      <c r="EL19" s="199">
        <v>44363.625</v>
      </c>
      <c r="EM19" s="200">
        <f t="shared" si="51"/>
        <v>44363.625</v>
      </c>
      <c r="EO19" s="202">
        <v>-6.5</v>
      </c>
      <c r="EP19" s="191">
        <v>-7</v>
      </c>
      <c r="EQ19" s="191" t="s">
        <v>566</v>
      </c>
      <c r="ER19" s="191" t="s">
        <v>567</v>
      </c>
    </row>
    <row r="20" spans="1:148" x14ac:dyDescent="0.35">
      <c r="A20" s="191">
        <f>VLOOKUP(B20,$CW$18:$CX$22,2,FALSE)</f>
        <v>2</v>
      </c>
      <c r="B20" s="191" t="str">
        <f>'Dummy Table'!EH17</f>
        <v>Austria</v>
      </c>
      <c r="C20" s="191">
        <f>SUMPRODUCT(($CZ$3:$CZ$42=$B20)*($DD$3:$DD$42="W"))+SUMPRODUCT(($DC$3:$DC$42=$B20)*($DE$3:$DE$42="W"))</f>
        <v>2</v>
      </c>
      <c r="D20" s="191">
        <f>SUMPRODUCT(($CZ$3:$CZ$42=$B20)*($DD$3:$DD$42="D"))+SUMPRODUCT(($DC$3:$DC$42=$B20)*($DE$3:$DE$42="D"))</f>
        <v>0</v>
      </c>
      <c r="E20" s="191">
        <f>SUMPRODUCT(($CZ$3:$CZ$42=$B20)*($DD$3:$DD$42="L"))+SUMPRODUCT(($DC$3:$DC$42=$B20)*($DE$3:$DE$42="L"))</f>
        <v>1</v>
      </c>
      <c r="F20" s="191">
        <f>SUMIF($CZ$3:$CZ$60,B20,$DA$3:$DA$60)+SUMIF($DC$3:$DC$60,B20,$DB$3:$DB$60)</f>
        <v>4</v>
      </c>
      <c r="G20" s="191">
        <f>SUMIF($DC$3:$DC$60,B20,$DA$3:$DA$60)+SUMIF($CZ$3:$CZ$60,B20,$DB$3:$DB$60)</f>
        <v>3</v>
      </c>
      <c r="H20" s="191">
        <f t="shared" si="99"/>
        <v>1001</v>
      </c>
      <c r="I20" s="191">
        <f t="shared" si="100"/>
        <v>6</v>
      </c>
      <c r="J20" s="191">
        <v>40</v>
      </c>
      <c r="K20" s="191">
        <f>IF(COUNTIF(I18:I22,4)&lt;&gt;4,RANK(I20,I18:I22),I60)</f>
        <v>2</v>
      </c>
      <c r="M20" s="191">
        <f>SUMPRODUCT((K18:K21=K20)*(J18:J21&lt;J20))+K20</f>
        <v>2</v>
      </c>
      <c r="N20" s="191" t="str">
        <f>INDEX($B$18:$B$22,MATCH(3,$M$18:$M$22,0),0)</f>
        <v>Ukraine</v>
      </c>
      <c r="O20" s="191">
        <f>INDEX($K$18:$K$22,MATCH(N20,$B$18:$B$22,0),0)</f>
        <v>3</v>
      </c>
      <c r="P20" s="191" t="str">
        <f>IF(AND(P19&lt;&gt;"",O20=1),N20,"")</f>
        <v/>
      </c>
      <c r="Q20" s="191" t="str">
        <f>IF(AND(Q19&lt;&gt;"",O21=2),N21,"")</f>
        <v/>
      </c>
      <c r="R20" s="191" t="str">
        <f>IF(AND(R19&lt;&gt;"",O22=3),N22,"")</f>
        <v/>
      </c>
      <c r="U20" s="191" t="str">
        <f t="shared" si="106"/>
        <v/>
      </c>
      <c r="V20" s="191">
        <f>SUMPRODUCT(($CZ$3:$CZ$42=$U20)*($DC$3:$DC$42=$U21)*($DD$3:$DD$42="W"))+SUMPRODUCT(($CZ$3:$CZ$42=$U20)*($DC$3:$DC$42=$U22)*($DD$3:$DD$42="W"))+SUMPRODUCT(($CZ$3:$CZ$42=$U20)*($DC$3:$DC$42=$U18)*($DD$3:$DD$42="W"))+SUMPRODUCT(($CZ$3:$CZ$42=$U20)*($DC$3:$DC$42=$U19)*($DD$3:$DD$42="W"))+SUMPRODUCT(($CZ$3:$CZ$42=$U21)*($DC$3:$DC$42=$U20)*($DE$3:$DE$42="W"))+SUMPRODUCT(($CZ$3:$CZ$42=$U22)*($DC$3:$DC$42=$U20)*($DE$3:$DE$42="W"))+SUMPRODUCT(($CZ$3:$CZ$42=$U18)*($DC$3:$DC$42=$U20)*($DE$3:$DE$42="W"))+SUMPRODUCT(($CZ$3:$CZ$42=$U19)*($DC$3:$DC$42=$U20)*($DE$3:$DE$42="W"))</f>
        <v>0</v>
      </c>
      <c r="W20" s="191">
        <f>SUMPRODUCT(($CZ$3:$CZ$42=$U20)*($DC$3:$DC$42=$U21)*($DD$3:$DD$42="D"))+SUMPRODUCT(($CZ$3:$CZ$42=$U20)*($DC$3:$DC$42=$U22)*($DD$3:$DD$42="D"))+SUMPRODUCT(($CZ$3:$CZ$42=$U20)*($DC$3:$DC$42=$U18)*($DD$3:$DD$42="D"))+SUMPRODUCT(($CZ$3:$CZ$42=$U20)*($DC$3:$DC$42=$U19)*($DD$3:$DD$42="D"))+SUMPRODUCT(($CZ$3:$CZ$42=$U21)*($DC$3:$DC$42=$U20)*($DD$3:$DD$42="D"))+SUMPRODUCT(($CZ$3:$CZ$42=$U22)*($DC$3:$DC$42=$U20)*($DD$3:$DD$42="D"))+SUMPRODUCT(($CZ$3:$CZ$42=$U18)*($DC$3:$DC$42=$U20)*($DD$3:$DD$42="D"))+SUMPRODUCT(($CZ$3:$CZ$42=$U19)*($DC$3:$DC$42=$U20)*($DD$3:$DD$42="D"))</f>
        <v>0</v>
      </c>
      <c r="X20" s="191">
        <f>SUMPRODUCT(($CZ$3:$CZ$42=$U20)*($DC$3:$DC$42=$U21)*($DD$3:$DD$42="L"))+SUMPRODUCT(($CZ$3:$CZ$42=$U20)*($DC$3:$DC$42=$U22)*($DD$3:$DD$42="L"))+SUMPRODUCT(($CZ$3:$CZ$42=$U20)*($DC$3:$DC$42=$U18)*($DD$3:$DD$42="L"))+SUMPRODUCT(($CZ$3:$CZ$42=$U20)*($DC$3:$DC$42=$U19)*($DD$3:$DD$42="L"))+SUMPRODUCT(($CZ$3:$CZ$42=$U21)*($DC$3:$DC$42=$U20)*($DE$3:$DE$42="L"))+SUMPRODUCT(($CZ$3:$CZ$42=$U22)*($DC$3:$DC$42=$U20)*($DE$3:$DE$42="L"))+SUMPRODUCT(($CZ$3:$CZ$42=$U18)*($DC$3:$DC$42=$U20)*($DE$3:$DE$42="L"))+SUMPRODUCT(($CZ$3:$CZ$42=$U19)*($DC$3:$DC$42=$U20)*($DE$3:$DE$42="L"))</f>
        <v>0</v>
      </c>
      <c r="Y20" s="191">
        <f>SUMPRODUCT(($CZ$3:$CZ$42=$U20)*($DC$3:$DC$42=$U21)*$DA$3:$DA$42)+SUMPRODUCT(($CZ$3:$CZ$42=$U20)*($DC$3:$DC$42=$U22)*$DA$3:$DA$42)+SUMPRODUCT(($CZ$3:$CZ$42=$U20)*($DC$3:$DC$42=$U18)*$DA$3:$DA$42)+SUMPRODUCT(($CZ$3:$CZ$42=$U20)*($DC$3:$DC$42=$U19)*$DA$3:$DA$42)+SUMPRODUCT(($CZ$3:$CZ$42=$U21)*($DC$3:$DC$42=$U20)*$DB$3:$DB$42)+SUMPRODUCT(($CZ$3:$CZ$42=$U22)*($DC$3:$DC$42=$U20)*$DB$3:$DB$42)+SUMPRODUCT(($CZ$3:$CZ$42=$U18)*($DC$3:$DC$42=$U20)*$DB$3:$DB$42)+SUMPRODUCT(($CZ$3:$CZ$42=$U19)*($DC$3:$DC$42=$U20)*$DB$3:$DB$42)</f>
        <v>0</v>
      </c>
      <c r="Z20" s="191">
        <f>SUMPRODUCT(($CZ$3:$CZ$42=$U20)*($DC$3:$DC$42=$U21)*$DB$3:$DB$42)+SUMPRODUCT(($CZ$3:$CZ$42=$U20)*($DC$3:$DC$42=$U22)*$DB$3:$DB$42)+SUMPRODUCT(($CZ$3:$CZ$42=$U20)*($DC$3:$DC$42=$U18)*$DB$3:$DB$42)+SUMPRODUCT(($CZ$3:$CZ$42=$U20)*($DC$3:$DC$42=$U19)*$DB$3:$DB$42)+SUMPRODUCT(($CZ$3:$CZ$42=$U21)*($DC$3:$DC$42=$U20)*$DA$3:$DA$42)+SUMPRODUCT(($CZ$3:$CZ$42=$U22)*($DC$3:$DC$42=$U20)*$DA$3:$DA$42)+SUMPRODUCT(($CZ$3:$CZ$42=$U18)*($DC$3:$DC$42=$U20)*$DA$3:$DA$42)+SUMPRODUCT(($CZ$3:$CZ$42=$U19)*($DC$3:$DC$42=$U20)*$DA$3:$DA$42)</f>
        <v>0</v>
      </c>
      <c r="AA20" s="191">
        <f>Y20-Z20+1000</f>
        <v>1000</v>
      </c>
      <c r="AB20" s="191" t="str">
        <f t="shared" si="101"/>
        <v/>
      </c>
      <c r="AC20" s="191" t="str">
        <f t="shared" si="102"/>
        <v/>
      </c>
      <c r="AD20" s="191" t="str">
        <f t="shared" si="103"/>
        <v/>
      </c>
      <c r="AE20" s="191" t="str">
        <f t="shared" si="104"/>
        <v/>
      </c>
      <c r="AF20" s="191" t="str">
        <f t="shared" si="105"/>
        <v/>
      </c>
      <c r="AG20" s="191" t="str">
        <f>IF(U20&lt;&gt;"",RANK(AF20,AF$18:AF$22),"")</f>
        <v/>
      </c>
      <c r="AH20" s="191" t="str">
        <f t="shared" si="107"/>
        <v/>
      </c>
      <c r="AI20" s="191" t="str">
        <f t="shared" si="108"/>
        <v/>
      </c>
      <c r="AJ20" s="191" t="str">
        <f t="shared" si="109"/>
        <v/>
      </c>
      <c r="AK20" s="191" t="str">
        <f t="shared" si="110"/>
        <v/>
      </c>
      <c r="AL20" s="191" t="str">
        <f t="shared" si="111"/>
        <v/>
      </c>
      <c r="AM20" s="191" t="str">
        <f t="shared" si="112"/>
        <v/>
      </c>
      <c r="AN20" s="191" t="str">
        <f>IF(U20&lt;&gt;"",INDEX($U$18:$U$22,MATCH(3,$AM$18:$AM$22,0),0),"")</f>
        <v/>
      </c>
      <c r="AO20" s="191" t="str">
        <f>IF(Q19&lt;&gt;"",Q19,"")</f>
        <v/>
      </c>
      <c r="AP20" s="191">
        <f>SUMPRODUCT(($CZ$3:$CZ$42=$AO20)*($DC$3:$DC$42=$AO21)*($DD$3:$DD$42="W"))+SUMPRODUCT(($CZ$3:$CZ$42=$AO20)*($DC$3:$DC$42=$AO22)*($DD$3:$DD$42="W"))+SUMPRODUCT(($CZ$3:$CZ$42=$AO20)*($DC$3:$DC$42=$AO19)*($DD$3:$DD$42="W"))+SUMPRODUCT(($CZ$3:$CZ$42=$AO21)*($DC$3:$DC$42=$AO20)*($DE$3:$DE$42="W"))+SUMPRODUCT(($CZ$3:$CZ$42=$AO22)*($DC$3:$DC$42=$AO20)*($DE$3:$DE$42="W"))+SUMPRODUCT(($CZ$3:$CZ$42=$AO19)*($DC$3:$DC$42=$AO20)*($DE$3:$DE$42="W"))</f>
        <v>0</v>
      </c>
      <c r="AQ20" s="191">
        <f>SUMPRODUCT(($CZ$3:$CZ$42=$AO20)*($DC$3:$DC$42=$AO21)*($DD$3:$DD$42="D"))+SUMPRODUCT(($CZ$3:$CZ$42=$AO20)*($DC$3:$DC$42=$AO22)*($DD$3:$DD$42="D"))+SUMPRODUCT(($CZ$3:$CZ$42=$AO20)*($DC$3:$DC$42=$AO19)*($DD$3:$DD$42="D"))+SUMPRODUCT(($CZ$3:$CZ$42=$AO21)*($DC$3:$DC$42=$AO20)*($DD$3:$DD$42="D"))+SUMPRODUCT(($CZ$3:$CZ$42=$AO22)*($DC$3:$DC$42=$AO20)*($DD$3:$DD$42="D"))+SUMPRODUCT(($CZ$3:$CZ$42=$AO19)*($DC$3:$DC$42=$AO20)*($DD$3:$DD$42="D"))</f>
        <v>0</v>
      </c>
      <c r="AR20" s="191">
        <f>SUMPRODUCT(($CZ$3:$CZ$42=$AO20)*($DC$3:$DC$42=$AO21)*($DD$3:$DD$42="L"))+SUMPRODUCT(($CZ$3:$CZ$42=$AO20)*($DC$3:$DC$42=$AO22)*($DD$3:$DD$42="L"))+SUMPRODUCT(($CZ$3:$CZ$42=$AO20)*($DC$3:$DC$42=$AO19)*($DD$3:$DD$42="L"))+SUMPRODUCT(($CZ$3:$CZ$42=$AO21)*($DC$3:$DC$42=$AO20)*($DE$3:$DE$42="L"))+SUMPRODUCT(($CZ$3:$CZ$42=$AO22)*($DC$3:$DC$42=$AO20)*($DE$3:$DE$42="L"))+SUMPRODUCT(($CZ$3:$CZ$42=$AO19)*($DC$3:$DC$42=$AO20)*($DE$3:$DE$42="L"))</f>
        <v>0</v>
      </c>
      <c r="AS20" s="191">
        <f>SUMPRODUCT(($CZ$3:$CZ$42=$AO20)*($DC$3:$DC$42=$AO21)*$DA$3:$DA$42)+SUMPRODUCT(($CZ$3:$CZ$42=$AO20)*($DC$3:$DC$42=$AO22)*$DA$3:$DA$42)+SUMPRODUCT(($CZ$3:$CZ$42=$AO20)*($DC$3:$DC$42=$AO18)*$DA$3:$DA$42)+SUMPRODUCT(($CZ$3:$CZ$42=$AO20)*($DC$3:$DC$42=$AO19)*$DA$3:$DA$42)+SUMPRODUCT(($CZ$3:$CZ$42=$AO21)*($DC$3:$DC$42=$AO20)*$DB$3:$DB$42)+SUMPRODUCT(($CZ$3:$CZ$42=$AO22)*($DC$3:$DC$42=$AO20)*$DB$3:$DB$42)+SUMPRODUCT(($CZ$3:$CZ$42=$AO18)*($DC$3:$DC$42=$AO20)*$DB$3:$DB$42)+SUMPRODUCT(($CZ$3:$CZ$42=$AO19)*($DC$3:$DC$42=$AO20)*$DB$3:$DB$42)</f>
        <v>0</v>
      </c>
      <c r="AT20" s="191">
        <f>SUMPRODUCT(($CZ$3:$CZ$42=$AO20)*($DC$3:$DC$42=$AO21)*$DB$3:$DB$42)+SUMPRODUCT(($CZ$3:$CZ$42=$AO20)*($DC$3:$DC$42=$AO22)*$DB$3:$DB$42)+SUMPRODUCT(($CZ$3:$CZ$42=$AO20)*($DC$3:$DC$42=$AO18)*$DB$3:$DB$42)+SUMPRODUCT(($CZ$3:$CZ$42=$AO20)*($DC$3:$DC$42=$AO19)*$DB$3:$DB$42)+SUMPRODUCT(($CZ$3:$CZ$42=$AO21)*($DC$3:$DC$42=$AO20)*$DA$3:$DA$42)+SUMPRODUCT(($CZ$3:$CZ$42=$AO22)*($DC$3:$DC$42=$AO20)*$DA$3:$DA$42)+SUMPRODUCT(($CZ$3:$CZ$42=$AO18)*($DC$3:$DC$42=$AO20)*$DA$3:$DA$42)+SUMPRODUCT(($CZ$3:$CZ$42=$AO19)*($DC$3:$DC$42=$AO20)*$DA$3:$DA$42)</f>
        <v>0</v>
      </c>
      <c r="AU20" s="191">
        <f>AS20-AT20+1000</f>
        <v>1000</v>
      </c>
      <c r="AV20" s="191" t="str">
        <f t="shared" si="113"/>
        <v/>
      </c>
      <c r="AW20" s="191" t="str">
        <f t="shared" si="114"/>
        <v/>
      </c>
      <c r="AX20" s="191" t="str">
        <f t="shared" si="115"/>
        <v/>
      </c>
      <c r="AY20" s="191" t="str">
        <f t="shared" si="116"/>
        <v/>
      </c>
      <c r="AZ20" s="191" t="str">
        <f t="shared" si="117"/>
        <v/>
      </c>
      <c r="BA20" s="191" t="str">
        <f>IF(AO20&lt;&gt;"",RANK(AZ20,AZ$18:AZ$22),"")</f>
        <v/>
      </c>
      <c r="BB20" s="191" t="str">
        <f t="shared" si="118"/>
        <v/>
      </c>
      <c r="BC20" s="191" t="str">
        <f t="shared" si="119"/>
        <v/>
      </c>
      <c r="BD20" s="191" t="str">
        <f t="shared" si="120"/>
        <v/>
      </c>
      <c r="BE20" s="191" t="str">
        <f t="shared" si="121"/>
        <v/>
      </c>
      <c r="BF20" s="191" t="str">
        <f t="shared" si="122"/>
        <v/>
      </c>
      <c r="BG20" s="191" t="str">
        <f t="shared" ref="BG20:BG21" si="123">IF(AO20&lt;&gt;"",IF(BG60&lt;&gt;"",IF(AN$57=3,BG60,BG60+AN$57),SUM(BA20:BF20)+1),"")</f>
        <v/>
      </c>
      <c r="BH20" s="191" t="str">
        <f>IF(AO20&lt;&gt;"",INDEX(AO19:AO22,MATCH(3,BG19:BG22,0),0),"")</f>
        <v/>
      </c>
      <c r="BI20" s="191" t="str">
        <f>IF(R18&lt;&gt;"",R18,"")</f>
        <v/>
      </c>
      <c r="BJ20" s="191">
        <f>SUMPRODUCT(($CZ$3:$CZ$42=$BI20)*($DC$3:$DC$42=$BI21)*($DD$3:$DD$42="W"))+SUMPRODUCT(($CZ$3:$CZ$42=$BI20)*($DC$3:$DC$42=$BI22)*($DD$3:$DD$42="W"))+SUMPRODUCT(($CZ$3:$CZ$42=$BI20)*($DC$3:$DC$42=$BI23)*($DD$3:$DD$42="W"))+SUMPRODUCT(($CZ$3:$CZ$42=$BI21)*($DC$3:$DC$42=$BI20)*($DE$3:$DE$42="W"))+SUMPRODUCT(($CZ$3:$CZ$42=$BI22)*($DC$3:$DC$42=$BI20)*($DE$3:$DE$42="W"))+SUMPRODUCT(($CZ$3:$CZ$42=$BI23)*($DC$3:$DC$42=$BI20)*($DE$3:$DE$42="W"))</f>
        <v>0</v>
      </c>
      <c r="BK20" s="191">
        <f>SUMPRODUCT(($CZ$3:$CZ$42=$BI20)*($DC$3:$DC$42=$BI21)*($DD$3:$DD$42="D"))+SUMPRODUCT(($CZ$3:$CZ$42=$BI20)*($DC$3:$DC$42=$BI22)*($DD$3:$DD$42="D"))+SUMPRODUCT(($CZ$3:$CZ$42=$BI20)*($DC$3:$DC$42=$BI23)*($DD$3:$DD$42="D"))+SUMPRODUCT(($CZ$3:$CZ$42=$BI21)*($DC$3:$DC$42=$BI20)*($DD$3:$DD$42="D"))+SUMPRODUCT(($CZ$3:$CZ$42=$BI22)*($DC$3:$DC$42=$BI20)*($DD$3:$DD$42="D"))+SUMPRODUCT(($CZ$3:$CZ$42=$BI23)*($DC$3:$DC$42=$BI20)*($DD$3:$DD$42="D"))</f>
        <v>0</v>
      </c>
      <c r="BL20" s="191">
        <f>SUMPRODUCT(($CZ$3:$CZ$42=$BI20)*($DC$3:$DC$42=$BI21)*($DD$3:$DD$42="L"))+SUMPRODUCT(($CZ$3:$CZ$42=$BI20)*($DC$3:$DC$42=$BI22)*($DD$3:$DD$42="L"))+SUMPRODUCT(($CZ$3:$CZ$42=$BI20)*($DC$3:$DC$42=$BI23)*($DD$3:$DD$42="L"))+SUMPRODUCT(($CZ$3:$CZ$42=$BI21)*($DC$3:$DC$42=$BI20)*($DE$3:$DE$42="L"))+SUMPRODUCT(($CZ$3:$CZ$42=$BI22)*($DC$3:$DC$42=$BI20)*($DE$3:$DE$42="L"))+SUMPRODUCT(($CZ$3:$CZ$42=$BI23)*($DC$3:$DC$42=$BI20)*($DE$3:$DE$42="L"))</f>
        <v>0</v>
      </c>
      <c r="BM20" s="191">
        <f>SUMPRODUCT(($CZ$3:$CZ$42=$BI20)*($DC$3:$DC$42=$BI21)*$DA$3:$DA$42)+SUMPRODUCT(($CZ$3:$CZ$42=$BI20)*($DC$3:$DC$42=$BI22)*$DA$3:$DA$42)+SUMPRODUCT(($CZ$3:$CZ$42=$BI20)*($DC$3:$DC$42=$BI18)*$DA$3:$DA$42)+SUMPRODUCT(($CZ$3:$CZ$42=$BI20)*($DC$3:$DC$42=$BI19)*$DA$3:$DA$42)+SUMPRODUCT(($CZ$3:$CZ$42=$BI21)*($DC$3:$DC$42=$BI20)*$DB$3:$DB$42)+SUMPRODUCT(($CZ$3:$CZ$42=$BI22)*($DC$3:$DC$42=$BI20)*$DB$3:$DB$42)+SUMPRODUCT(($CZ$3:$CZ$42=$BI18)*($DC$3:$DC$42=$BI20)*$DB$3:$DB$42)+SUMPRODUCT(($CZ$3:$CZ$42=$BI19)*($DC$3:$DC$42=$BI20)*$DB$3:$DB$42)</f>
        <v>0</v>
      </c>
      <c r="BN20" s="191">
        <f>SUMPRODUCT(($CZ$3:$CZ$42=$BI20)*($DC$3:$DC$42=$BI21)*$DB$3:$DB$42)+SUMPRODUCT(($CZ$3:$CZ$42=$BI20)*($DC$3:$DC$42=$BI22)*$DB$3:$DB$42)+SUMPRODUCT(($CZ$3:$CZ$42=$BI20)*($DC$3:$DC$42=$BI18)*$DB$3:$DB$42)+SUMPRODUCT(($CZ$3:$CZ$42=$BI20)*($DC$3:$DC$42=$BI19)*$DB$3:$DB$42)+SUMPRODUCT(($CZ$3:$CZ$42=$BI21)*($DC$3:$DC$42=$BI20)*$DA$3:$DA$42)+SUMPRODUCT(($CZ$3:$CZ$42=$BI22)*($DC$3:$DC$42=$BI20)*$DA$3:$DA$42)+SUMPRODUCT(($CZ$3:$CZ$42=$BI18)*($DC$3:$DC$42=$BI20)*$DA$3:$DA$42)+SUMPRODUCT(($CZ$3:$CZ$42=$BI19)*($DC$3:$DC$42=$BI20)*$DA$3:$DA$42)</f>
        <v>0</v>
      </c>
      <c r="BO20" s="191">
        <f>BM20-BN20+1000</f>
        <v>1000</v>
      </c>
      <c r="BP20" s="191" t="str">
        <f t="shared" ref="BP20:BP21" si="124">IF(BI20&lt;&gt;"",BJ20*3+BK20*1,"")</f>
        <v/>
      </c>
      <c r="BQ20" s="191" t="str">
        <f t="shared" ref="BQ20:BQ21" si="125">IF(BI20&lt;&gt;"",VLOOKUP(BI20,$B$4:$H$40,7,FALSE),"")</f>
        <v/>
      </c>
      <c r="BR20" s="191" t="str">
        <f t="shared" ref="BR20:BR21" si="126">IF(BI20&lt;&gt;"",VLOOKUP(BI20,$B$4:$H$40,5,FALSE),"")</f>
        <v/>
      </c>
      <c r="BS20" s="191" t="str">
        <f t="shared" ref="BS20:BS21" si="127">IF(BI20&lt;&gt;"",VLOOKUP(BI20,$B$4:$J$40,9,FALSE),"")</f>
        <v/>
      </c>
      <c r="BT20" s="191" t="str">
        <f t="shared" ref="BT20:BT21" si="128">BP20</f>
        <v/>
      </c>
      <c r="BU20" s="191" t="str">
        <f>IF(BI20&lt;&gt;"",RANK(BT20,BT$18:BT$22),"")</f>
        <v/>
      </c>
      <c r="BV20" s="191" t="str">
        <f t="shared" ref="BV20:BV21" si="129">IF(BI20&lt;&gt;"",SUMPRODUCT((BT$18:BT$22=BT20)*(BO$18:BO$22&gt;BO20)),"")</f>
        <v/>
      </c>
      <c r="BW20" s="191" t="str">
        <f t="shared" ref="BW20:BW21" si="130">IF(BI20&lt;&gt;"",SUMPRODUCT((BT$18:BT$22=BT20)*(BO$18:BO$22=BO20)*(BM$18:BM$22&gt;BM20)),"")</f>
        <v/>
      </c>
      <c r="BX20" s="191" t="str">
        <f t="shared" ref="BX20:BX21" si="131">IF(BI20&lt;&gt;"",SUMPRODUCT((BT$18:BT$22=BT20)*(BO$18:BO$22=BO20)*(BM$18:BM$22=BM20)*(BQ$18:BQ$22&gt;BQ20)),"")</f>
        <v/>
      </c>
      <c r="BY20" s="191" t="str">
        <f t="shared" ref="BY20:BY21" si="132">IF(BI20&lt;&gt;"",SUMPRODUCT((BT$18:BT$22=BT20)*(BO$18:BO$22=BO20)*(BM$18:BM$22=BM20)*(BQ$18:BQ$22=BQ20)*(BR$18:BR$22&gt;BR20)),"")</f>
        <v/>
      </c>
      <c r="BZ20" s="191" t="str">
        <f t="shared" ref="BZ20:BZ21" si="133">IF(BI20&lt;&gt;"",SUMPRODUCT((BT$18:BT$22=BT20)*(BO$18:BO$22=BO20)*(BM$18:BM$22=BM20)*(BQ$18:BQ$22=BQ20)*(BR$18:BR$22=BR20)*(BS$18:BS$22&gt;BS20)),"")</f>
        <v/>
      </c>
      <c r="CA20" s="191" t="str">
        <f>IF(BI20&lt;&gt;"",SUM(BU20:BZ20)+2,"")</f>
        <v/>
      </c>
      <c r="CB20" s="191" t="str">
        <f>IF(BI20&lt;&gt;"",INDEX(BI20:BI22,MATCH(3,CA20:CA22,0),0),"")</f>
        <v/>
      </c>
      <c r="CW20" s="191" t="str">
        <f>IF(CB20&lt;&gt;"",CB20,IF(BH20&lt;&gt;"",BH20,IF(AN20&lt;&gt;"",AN20,N20)))</f>
        <v>Ukraine</v>
      </c>
      <c r="CX20" s="191">
        <v>3</v>
      </c>
      <c r="CY20" s="191">
        <v>18</v>
      </c>
      <c r="CZ20" s="191" t="str">
        <f>Fixtures!G24</f>
        <v>Netherlands</v>
      </c>
      <c r="DA20" s="191">
        <f>IF(AND(Fixtures!H24&lt;&gt;"",Fixtures!I24&lt;&gt;""),Fixtures!H24,0)</f>
        <v>2</v>
      </c>
      <c r="DB20" s="191">
        <f>IF(AND(Fixtures!I24&lt;&gt;"",Fixtures!H24&lt;&gt;""),Fixtures!I24,0)</f>
        <v>0</v>
      </c>
      <c r="DC20" s="191" t="str">
        <f>Fixtures!J24</f>
        <v>Austria</v>
      </c>
      <c r="DD20" s="191" t="str">
        <f>IF(AND(Fixtures!H24&lt;&gt;"",Fixtures!I24&lt;&gt;""),IF(DA20&gt;DB20,"W",IF(DA20=DB20,"D","L")),"")</f>
        <v>W</v>
      </c>
      <c r="DE20" s="191" t="str">
        <f t="shared" si="1"/>
        <v>L</v>
      </c>
      <c r="DH20" s="204" t="s">
        <v>112</v>
      </c>
      <c r="DI20" s="205" t="s">
        <v>122</v>
      </c>
      <c r="DJ20" s="205" t="s">
        <v>109</v>
      </c>
      <c r="DK20" s="205" t="s">
        <v>111</v>
      </c>
      <c r="DL20" s="204" t="s">
        <v>111</v>
      </c>
      <c r="DM20" s="204" t="s">
        <v>109</v>
      </c>
      <c r="DN20" s="204" t="s">
        <v>122</v>
      </c>
      <c r="DO20" s="204" t="s">
        <v>112</v>
      </c>
      <c r="DP20" s="205"/>
      <c r="DQ20" s="206">
        <f t="shared" si="87"/>
        <v>4</v>
      </c>
      <c r="DR20" s="206">
        <f t="shared" si="87"/>
        <v>3</v>
      </c>
      <c r="DS20" s="206">
        <f t="shared" si="87"/>
        <v>1</v>
      </c>
      <c r="DT20" s="206">
        <f t="shared" si="87"/>
        <v>2</v>
      </c>
      <c r="DU20" s="206">
        <f t="shared" si="88"/>
        <v>10</v>
      </c>
      <c r="DV20" s="205"/>
      <c r="DW20" s="205"/>
      <c r="DX20" s="205"/>
      <c r="EF20" s="272"/>
      <c r="EG20" s="196"/>
      <c r="EH20" s="197" t="str">
        <f>Fixtures!J14</f>
        <v>Czech Republic</v>
      </c>
      <c r="EI20" s="198" t="s">
        <v>568</v>
      </c>
      <c r="EJ20" s="197" t="str">
        <f>"'Countries and Timezone'!"&amp;VLOOKUP(Fixtures!P23,$EH$7:$EI$38,2,FALSE)</f>
        <v>'Countries and Timezone'!B22</v>
      </c>
      <c r="EL20" s="199">
        <v>44363.75</v>
      </c>
      <c r="EM20" s="200">
        <f t="shared" si="51"/>
        <v>44363.75</v>
      </c>
      <c r="EO20" s="202">
        <v>-6</v>
      </c>
      <c r="EP20" s="191">
        <v>-7</v>
      </c>
      <c r="EQ20" s="191" t="s">
        <v>569</v>
      </c>
      <c r="ER20" s="191" t="s">
        <v>570</v>
      </c>
    </row>
    <row r="21" spans="1:148" x14ac:dyDescent="0.35">
      <c r="A21" s="191">
        <f>VLOOKUP(B21,$CW$18:$CX$22,2,FALSE)</f>
        <v>4</v>
      </c>
      <c r="B21" s="191" t="str">
        <f>'Dummy Table'!EH18</f>
        <v>North Macedonia</v>
      </c>
      <c r="C21" s="191">
        <f>SUMPRODUCT(($CZ$3:$CZ$42=$B21)*($DD$3:$DD$42="W"))+SUMPRODUCT(($DC$3:$DC$42=$B21)*($DE$3:$DE$42="W"))</f>
        <v>0</v>
      </c>
      <c r="D21" s="191">
        <f>SUMPRODUCT(($CZ$3:$CZ$42=$B21)*($DD$3:$DD$42="D"))+SUMPRODUCT(($DC$3:$DC$42=$B21)*($DE$3:$DE$42="D"))</f>
        <v>0</v>
      </c>
      <c r="E21" s="191">
        <f>SUMPRODUCT(($CZ$3:$CZ$42=$B21)*($DD$3:$DD$42="L"))+SUMPRODUCT(($DC$3:$DC$42=$B21)*($DE$3:$DE$42="L"))</f>
        <v>3</v>
      </c>
      <c r="F21" s="191">
        <f>SUMIF($CZ$3:$CZ$60,B21,$DA$3:$DA$60)+SUMIF($DC$3:$DC$60,B21,$DB$3:$DB$60)</f>
        <v>2</v>
      </c>
      <c r="G21" s="191">
        <f>SUMIF($DC$3:$DC$60,B21,$DA$3:$DA$60)+SUMIF($CZ$3:$CZ$60,B21,$DB$3:$DB$60)</f>
        <v>8</v>
      </c>
      <c r="H21" s="191">
        <f t="shared" si="99"/>
        <v>994</v>
      </c>
      <c r="I21" s="191">
        <f t="shared" si="100"/>
        <v>0</v>
      </c>
      <c r="J21" s="191">
        <v>26</v>
      </c>
      <c r="K21" s="191">
        <f>IF(COUNTIF(I18:I22,4)&lt;&gt;4,RANK(I21,I18:I22),I61)</f>
        <v>4</v>
      </c>
      <c r="M21" s="191">
        <f>SUMPRODUCT((K18:K21=K21)*(J18:J21&lt;J21))+K21</f>
        <v>4</v>
      </c>
      <c r="N21" s="191" t="str">
        <f>INDEX($B$18:$B$22,MATCH(4,$M$18:$M$22,0),0)</f>
        <v>North Macedonia</v>
      </c>
      <c r="O21" s="191">
        <f>INDEX($K$18:$K$22,MATCH(N21,$B$18:$B$22,0),0)</f>
        <v>4</v>
      </c>
      <c r="P21" s="191" t="str">
        <f>IF(AND(P20&lt;&gt;"",O21=1),N21,"")</f>
        <v/>
      </c>
      <c r="Q21" s="191" t="str">
        <f>IF(AND(Q20&lt;&gt;"",O22=2),N22,"")</f>
        <v/>
      </c>
      <c r="U21" s="191" t="str">
        <f t="shared" si="106"/>
        <v/>
      </c>
      <c r="V21" s="191">
        <f>SUMPRODUCT(($CZ$3:$CZ$42=$U21)*($DC$3:$DC$42=$U22)*($DD$3:$DD$42="W"))+SUMPRODUCT(($CZ$3:$CZ$42=$U21)*($DC$3:$DC$42=$U18)*($DD$3:$DD$42="W"))+SUMPRODUCT(($CZ$3:$CZ$42=$U21)*($DC$3:$DC$42=$U19)*($DD$3:$DD$42="W"))+SUMPRODUCT(($CZ$3:$CZ$42=$U21)*($DC$3:$DC$42=$U20)*($DD$3:$DD$42="W"))+SUMPRODUCT(($CZ$3:$CZ$42=$U22)*($DC$3:$DC$42=$U21)*($DE$3:$DE$42="W"))+SUMPRODUCT(($CZ$3:$CZ$42=$U18)*($DC$3:$DC$42=$U21)*($DE$3:$DE$42="W"))+SUMPRODUCT(($CZ$3:$CZ$42=$U19)*($DC$3:$DC$42=$U21)*($DE$3:$DE$42="W"))+SUMPRODUCT(($CZ$3:$CZ$42=$U20)*($DC$3:$DC$42=$U21)*($DE$3:$DE$42="W"))</f>
        <v>0</v>
      </c>
      <c r="W21" s="191">
        <f>SUMPRODUCT(($CZ$3:$CZ$42=$U21)*($DC$3:$DC$42=$U22)*($DD$3:$DD$42="D"))+SUMPRODUCT(($CZ$3:$CZ$42=$U21)*($DC$3:$DC$42=$U18)*($DD$3:$DD$42="D"))+SUMPRODUCT(($CZ$3:$CZ$42=$U21)*($DC$3:$DC$42=$U19)*($DD$3:$DD$42="D"))+SUMPRODUCT(($CZ$3:$CZ$42=$U21)*($DC$3:$DC$42=$U20)*($DD$3:$DD$42="D"))+SUMPRODUCT(($CZ$3:$CZ$42=$U22)*($DC$3:$DC$42=$U21)*($DD$3:$DD$42="D"))+SUMPRODUCT(($CZ$3:$CZ$42=$U18)*($DC$3:$DC$42=$U21)*($DD$3:$DD$42="D"))+SUMPRODUCT(($CZ$3:$CZ$42=$U19)*($DC$3:$DC$42=$U21)*($DD$3:$DD$42="D"))+SUMPRODUCT(($CZ$3:$CZ$42=$U20)*($DC$3:$DC$42=$U21)*($DD$3:$DD$42="D"))</f>
        <v>0</v>
      </c>
      <c r="X21" s="191">
        <f>SUMPRODUCT(($CZ$3:$CZ$42=$U21)*($DC$3:$DC$42=$U22)*($DD$3:$DD$42="L"))+SUMPRODUCT(($CZ$3:$CZ$42=$U21)*($DC$3:$DC$42=$U18)*($DD$3:$DD$42="L"))+SUMPRODUCT(($CZ$3:$CZ$42=$U21)*($DC$3:$DC$42=$U19)*($DD$3:$DD$42="L"))+SUMPRODUCT(($CZ$3:$CZ$42=$U21)*($DC$3:$DC$42=$U20)*($DD$3:$DD$42="L"))+SUMPRODUCT(($CZ$3:$CZ$42=$U22)*($DC$3:$DC$42=$U21)*($DE$3:$DE$42="L"))+SUMPRODUCT(($CZ$3:$CZ$42=$U18)*($DC$3:$DC$42=$U21)*($DE$3:$DE$42="L"))+SUMPRODUCT(($CZ$3:$CZ$42=$U19)*($DC$3:$DC$42=$U21)*($DE$3:$DE$42="L"))+SUMPRODUCT(($CZ$3:$CZ$42=$U20)*($DC$3:$DC$42=$U21)*($DE$3:$DE$42="L"))</f>
        <v>0</v>
      </c>
      <c r="Y21" s="191">
        <f>SUMPRODUCT(($CZ$3:$CZ$42=$U21)*($DC$3:$DC$42=$U22)*$DA$3:$DA$42)+SUMPRODUCT(($CZ$3:$CZ$42=$U21)*($DC$3:$DC$42=$U18)*$DA$3:$DA$42)+SUMPRODUCT(($CZ$3:$CZ$42=$U21)*($DC$3:$DC$42=$U19)*$DA$3:$DA$42)+SUMPRODUCT(($CZ$3:$CZ$42=$U21)*($DC$3:$DC$42=$U20)*$DA$3:$DA$42)+SUMPRODUCT(($CZ$3:$CZ$42=$U22)*($DC$3:$DC$42=$U21)*$DB$3:$DB$42)+SUMPRODUCT(($CZ$3:$CZ$42=$U18)*($DC$3:$DC$42=$U21)*$DB$3:$DB$42)+SUMPRODUCT(($CZ$3:$CZ$42=$U19)*($DC$3:$DC$42=$U21)*$DB$3:$DB$42)+SUMPRODUCT(($CZ$3:$CZ$42=$U20)*($DC$3:$DC$42=$U21)*$DB$3:$DB$42)</f>
        <v>0</v>
      </c>
      <c r="Z21" s="191">
        <f>SUMPRODUCT(($CZ$3:$CZ$42=$U21)*($DC$3:$DC$42=$U22)*$DB$3:$DB$42)+SUMPRODUCT(($CZ$3:$CZ$42=$U21)*($DC$3:$DC$42=$U18)*$DB$3:$DB$42)+SUMPRODUCT(($CZ$3:$CZ$42=$U21)*($DC$3:$DC$42=$U19)*$DB$3:$DB$42)+SUMPRODUCT(($CZ$3:$CZ$42=$U21)*($DC$3:$DC$42=$U20)*$DB$3:$DB$42)+SUMPRODUCT(($CZ$3:$CZ$42=$U22)*($DC$3:$DC$42=$U21)*$DA$3:$DA$42)+SUMPRODUCT(($CZ$3:$CZ$42=$U18)*($DC$3:$DC$42=$U21)*$DA$3:$DA$42)+SUMPRODUCT(($CZ$3:$CZ$42=$U19)*($DC$3:$DC$42=$U21)*$DA$3:$DA$42)+SUMPRODUCT(($CZ$3:$CZ$42=$U20)*($DC$3:$DC$42=$U21)*$DA$3:$DA$42)</f>
        <v>0</v>
      </c>
      <c r="AA21" s="191">
        <f>Y21-Z21+1000</f>
        <v>1000</v>
      </c>
      <c r="AB21" s="191" t="str">
        <f t="shared" si="101"/>
        <v/>
      </c>
      <c r="AC21" s="191" t="str">
        <f t="shared" si="102"/>
        <v/>
      </c>
      <c r="AD21" s="191" t="str">
        <f t="shared" si="103"/>
        <v/>
      </c>
      <c r="AE21" s="191" t="str">
        <f t="shared" si="104"/>
        <v/>
      </c>
      <c r="AF21" s="191" t="str">
        <f t="shared" si="105"/>
        <v/>
      </c>
      <c r="AG21" s="191" t="str">
        <f>IF(U21&lt;&gt;"",RANK(AF21,AF$18:AF$22),"")</f>
        <v/>
      </c>
      <c r="AH21" s="191" t="str">
        <f t="shared" si="107"/>
        <v/>
      </c>
      <c r="AI21" s="191" t="str">
        <f t="shared" si="108"/>
        <v/>
      </c>
      <c r="AJ21" s="191" t="str">
        <f t="shared" si="109"/>
        <v/>
      </c>
      <c r="AK21" s="191" t="str">
        <f t="shared" si="110"/>
        <v/>
      </c>
      <c r="AL21" s="191" t="str">
        <f t="shared" si="111"/>
        <v/>
      </c>
      <c r="AM21" s="191" t="str">
        <f t="shared" si="112"/>
        <v/>
      </c>
      <c r="AN21" s="191" t="str">
        <f>IF(U21&lt;&gt;"",INDEX($U$18:$U$22,MATCH(4,$AM$18:$AM$22,0),0),"")</f>
        <v/>
      </c>
      <c r="AO21" s="191" t="str">
        <f>IF(Q20&lt;&gt;"",Q20,"")</f>
        <v/>
      </c>
      <c r="AP21" s="191" t="str">
        <f>IF($AO21&lt;&gt;"",SUMPRODUCT(($CZ$3:$CZ$42=$AO21)*($DC$3:$DC$42=$AO22)*($DD$3:$DD$42="W"))+SUMPRODUCT(($CZ$3:$CZ$42=$AO21)*($DC$3:$DC$42=$AO19)*($DD$3:$DD$42="W"))+SUMPRODUCT(($CZ$3:$CZ$42=$AO21)*($DC$3:$DC$42=$AO20)*($DD$3:$DD$42="W"))+SUMPRODUCT(($CZ$3:$CZ$42=$AO22)*($DC$3:$DC$42=$AO21)*($DE$3:$DE$42="W"))+SUMPRODUCT(($CZ$3:$CZ$42=$AO19)*($DC$3:$DC$42=$AO21)*($DE$3:$DE$42="W"))+SUMPRODUCT(($CZ$3:$CZ$42=$AO20)*($DC$3:$DC$42=$AO21)*($DE$3:$DE$42="W")),"")</f>
        <v/>
      </c>
      <c r="AQ21" s="191" t="str">
        <f>IF($AO21&lt;&gt;"",SUMPRODUCT(($CZ$3:$CZ$42=$AO21)*($DC$3:$DC$42=$AO22)*($DD$3:$DD$42="D"))+SUMPRODUCT(($CZ$3:$CZ$42=$AO21)*($DC$3:$DC$42=$AO19)*($DD$3:$DD$42="D"))+SUMPRODUCT(($CZ$3:$CZ$42=$AO21)*($DC$3:$DC$42=$AO20)*($DD$3:$DD$42="D"))+SUMPRODUCT(($CZ$3:$CZ$42=$AO22)*($DC$3:$DC$42=$AO21)*($DD$3:$DD$42="D"))+SUMPRODUCT(($CZ$3:$CZ$42=$AO19)*($DC$3:$DC$42=$AO21)*($DD$3:$DD$42="D"))+SUMPRODUCT(($CZ$3:$CZ$42=$AO20)*($DC$3:$DC$42=$AO21)*($DD$3:$DD$42="D")),"")</f>
        <v/>
      </c>
      <c r="AR21" s="191" t="str">
        <f>IF($AO21&lt;&gt;"",SUMPRODUCT(($CZ$3:$CZ$42=$AO21)*($DC$3:$DC$42=$AO22)*($DD$3:$DD$42="L"))+SUMPRODUCT(($CZ$3:$CZ$42=$AO21)*($DC$3:$DC$42=$AO19)*($DD$3:$DD$42="L"))+SUMPRODUCT(($CZ$3:$CZ$42=$AO21)*($DC$3:$DC$42=$AO20)*($DD$3:$DD$42="L"))+SUMPRODUCT(($CZ$3:$CZ$42=$AO22)*($DC$3:$DC$42=$AO21)*($DE$3:$DE$42="L"))+SUMPRODUCT(($CZ$3:$CZ$42=$AO19)*($DC$3:$DC$42=$AO21)*($DE$3:$DE$42="L"))+SUMPRODUCT(($CZ$3:$CZ$42=$AO20)*($DC$3:$DC$42=$AO21)*($DE$3:$DE$42="L")),"")</f>
        <v/>
      </c>
      <c r="AS21" s="191">
        <f>SUMPRODUCT(($CZ$3:$CZ$42=$AO21)*($DC$3:$DC$42=$AO22)*$DA$3:$DA$42)+SUMPRODUCT(($CZ$3:$CZ$42=$AO21)*($DC$3:$DC$42=$AO18)*$DA$3:$DA$42)+SUMPRODUCT(($CZ$3:$CZ$42=$AO21)*($DC$3:$DC$42=$AO19)*$DA$3:$DA$42)+SUMPRODUCT(($CZ$3:$CZ$42=$AO21)*($DC$3:$DC$42=$AO20)*$DA$3:$DA$42)+SUMPRODUCT(($CZ$3:$CZ$42=$AO22)*($DC$3:$DC$42=$AO21)*$DB$3:$DB$42)+SUMPRODUCT(($CZ$3:$CZ$42=$AO18)*($DC$3:$DC$42=$AO21)*$DB$3:$DB$42)+SUMPRODUCT(($CZ$3:$CZ$42=$AO19)*($DC$3:$DC$42=$AO21)*$DB$3:$DB$42)+SUMPRODUCT(($CZ$3:$CZ$42=$AO20)*($DC$3:$DC$42=$AO21)*$DB$3:$DB$42)</f>
        <v>0</v>
      </c>
      <c r="AT21" s="191">
        <f>SUMPRODUCT(($CZ$3:$CZ$42=$AO21)*($DC$3:$DC$42=$AO22)*$DB$3:$DB$42)+SUMPRODUCT(($CZ$3:$CZ$42=$AO21)*($DC$3:$DC$42=$AO18)*$DB$3:$DB$42)+SUMPRODUCT(($CZ$3:$CZ$42=$AO21)*($DC$3:$DC$42=$AO19)*$DB$3:$DB$42)+SUMPRODUCT(($CZ$3:$CZ$42=$AO21)*($DC$3:$DC$42=$AO20)*$DB$3:$DB$42)+SUMPRODUCT(($CZ$3:$CZ$42=$AO22)*($DC$3:$DC$42=$AO21)*$DA$3:$DA$42)+SUMPRODUCT(($CZ$3:$CZ$42=$AO18)*($DC$3:$DC$42=$AO21)*$DA$3:$DA$42)+SUMPRODUCT(($CZ$3:$CZ$42=$AO19)*($DC$3:$DC$42=$AO21)*$DA$3:$DA$42)+SUMPRODUCT(($CZ$3:$CZ$42=$AO20)*($DC$3:$DC$42=$AO21)*$DA$3:$DA$42)</f>
        <v>0</v>
      </c>
      <c r="AU21" s="191">
        <f>AS21-AT21+1000</f>
        <v>1000</v>
      </c>
      <c r="AV21" s="191" t="str">
        <f t="shared" si="113"/>
        <v/>
      </c>
      <c r="AW21" s="191" t="str">
        <f t="shared" si="114"/>
        <v/>
      </c>
      <c r="AX21" s="191" t="str">
        <f t="shared" si="115"/>
        <v/>
      </c>
      <c r="AY21" s="191" t="str">
        <f t="shared" si="116"/>
        <v/>
      </c>
      <c r="AZ21" s="191" t="str">
        <f t="shared" si="117"/>
        <v/>
      </c>
      <c r="BA21" s="191" t="str">
        <f>IF(AO21&lt;&gt;"",RANK(AZ21,AZ$18:AZ$22),"")</f>
        <v/>
      </c>
      <c r="BB21" s="191" t="str">
        <f t="shared" si="118"/>
        <v/>
      </c>
      <c r="BC21" s="191" t="str">
        <f t="shared" si="119"/>
        <v/>
      </c>
      <c r="BD21" s="191" t="str">
        <f t="shared" si="120"/>
        <v/>
      </c>
      <c r="BE21" s="191" t="str">
        <f t="shared" si="121"/>
        <v/>
      </c>
      <c r="BF21" s="191" t="str">
        <f t="shared" si="122"/>
        <v/>
      </c>
      <c r="BG21" s="191" t="str">
        <f t="shared" si="123"/>
        <v/>
      </c>
      <c r="BH21" s="191" t="str">
        <f>IF(AO21&lt;&gt;"",INDEX(AO19:AO22,MATCH(4,BG19:BG22,0),0),"")</f>
        <v/>
      </c>
      <c r="BI21" s="191" t="str">
        <f>IF(R19&lt;&gt;"",R19,"")</f>
        <v/>
      </c>
      <c r="BJ21" s="191">
        <f>SUMPRODUCT(($CZ$3:$CZ$42=$BI21)*($DC$3:$DC$42=$BI22)*($DD$3:$DD$42="W"))+SUMPRODUCT(($CZ$3:$CZ$42=$BI21)*($DC$3:$DC$42=$BI23)*($DD$3:$DD$42="W"))+SUMPRODUCT(($CZ$3:$CZ$42=$BI21)*($DC$3:$DC$42=$BI20)*($DD$3:$DD$42="W"))+SUMPRODUCT(($CZ$3:$CZ$42=$BI22)*($DC$3:$DC$42=$BI21)*($DE$3:$DE$42="W"))+SUMPRODUCT(($CZ$3:$CZ$42=$BI23)*($DC$3:$DC$42=$BI21)*($DE$3:$DE$42="W"))+SUMPRODUCT(($CZ$3:$CZ$42=$BI20)*($DC$3:$DC$42=$BI21)*($DE$3:$DE$42="W"))</f>
        <v>0</v>
      </c>
      <c r="BK21" s="191">
        <f>SUMPRODUCT(($CZ$3:$CZ$42=$BI21)*($DC$3:$DC$42=$BI22)*($DD$3:$DD$42="D"))+SUMPRODUCT(($CZ$3:$CZ$42=$BI21)*($DC$3:$DC$42=$BI23)*($DD$3:$DD$42="D"))+SUMPRODUCT(($CZ$3:$CZ$42=$BI21)*($DC$3:$DC$42=$BI20)*($DD$3:$DD$42="D"))+SUMPRODUCT(($CZ$3:$CZ$42=$BI22)*($DC$3:$DC$42=$BI21)*($DD$3:$DD$42="D"))+SUMPRODUCT(($CZ$3:$CZ$42=$BI23)*($DC$3:$DC$42=$BI21)*($DD$3:$DD$42="D"))+SUMPRODUCT(($CZ$3:$CZ$42=$BI20)*($DC$3:$DC$42=$BI21)*($DD$3:$DD$42="D"))</f>
        <v>0</v>
      </c>
      <c r="BL21" s="191">
        <f>SUMPRODUCT(($CZ$3:$CZ$42=$BI21)*($DC$3:$DC$42=$BI22)*($DD$3:$DD$42="L"))+SUMPRODUCT(($CZ$3:$CZ$42=$BI21)*($DC$3:$DC$42=$BI23)*($DD$3:$DD$42="L"))+SUMPRODUCT(($CZ$3:$CZ$42=$BI21)*($DC$3:$DC$42=$BI20)*($DD$3:$DD$42="L"))+SUMPRODUCT(($CZ$3:$CZ$42=$BI22)*($DC$3:$DC$42=$BI21)*($DE$3:$DE$42="L"))+SUMPRODUCT(($CZ$3:$CZ$42=$BI23)*($DC$3:$DC$42=$BI21)*($DE$3:$DE$42="L"))+SUMPRODUCT(($CZ$3:$CZ$42=$BI20)*($DC$3:$DC$42=$BI21)*($DE$3:$DE$42="L"))</f>
        <v>0</v>
      </c>
      <c r="BM21" s="191">
        <f>SUMPRODUCT(($CZ$3:$CZ$42=$BI21)*($DC$3:$DC$42=$BI22)*$DA$3:$DA$42)+SUMPRODUCT(($CZ$3:$CZ$42=$BI21)*($DC$3:$DC$42=$BI18)*$DA$3:$DA$42)+SUMPRODUCT(($CZ$3:$CZ$42=$BI21)*($DC$3:$DC$42=$BI19)*$DA$3:$DA$42)+SUMPRODUCT(($CZ$3:$CZ$42=$BI21)*($DC$3:$DC$42=$BI20)*$DA$3:$DA$42)+SUMPRODUCT(($CZ$3:$CZ$42=$BI22)*($DC$3:$DC$42=$BI21)*$DB$3:$DB$42)+SUMPRODUCT(($CZ$3:$CZ$42=$BI18)*($DC$3:$DC$42=$BI21)*$DB$3:$DB$42)+SUMPRODUCT(($CZ$3:$CZ$42=$BI19)*($DC$3:$DC$42=$BI21)*$DB$3:$DB$42)+SUMPRODUCT(($CZ$3:$CZ$42=$BI20)*($DC$3:$DC$42=$BI21)*$DB$3:$DB$42)</f>
        <v>0</v>
      </c>
      <c r="BN21" s="191">
        <f>SUMPRODUCT(($CZ$3:$CZ$42=$BI21)*($DC$3:$DC$42=$BI22)*$DB$3:$DB$42)+SUMPRODUCT(($CZ$3:$CZ$42=$BI21)*($DC$3:$DC$42=$BI18)*$DB$3:$DB$42)+SUMPRODUCT(($CZ$3:$CZ$42=$BI21)*($DC$3:$DC$42=$BI19)*$DB$3:$DB$42)+SUMPRODUCT(($CZ$3:$CZ$42=$BI21)*($DC$3:$DC$42=$BI20)*$DB$3:$DB$42)+SUMPRODUCT(($CZ$3:$CZ$42=$BI22)*($DC$3:$DC$42=$BI21)*$DA$3:$DA$42)+SUMPRODUCT(($CZ$3:$CZ$42=$BI18)*($DC$3:$DC$42=$BI21)*$DA$3:$DA$42)+SUMPRODUCT(($CZ$3:$CZ$42=$BI19)*($DC$3:$DC$42=$BI21)*$DA$3:$DA$42)+SUMPRODUCT(($CZ$3:$CZ$42=$BI20)*($DC$3:$DC$42=$BI21)*$DA$3:$DA$42)</f>
        <v>0</v>
      </c>
      <c r="BO21" s="191">
        <f>BM21-BN21+1000</f>
        <v>1000</v>
      </c>
      <c r="BP21" s="191" t="str">
        <f t="shared" si="124"/>
        <v/>
      </c>
      <c r="BQ21" s="191" t="str">
        <f t="shared" si="125"/>
        <v/>
      </c>
      <c r="BR21" s="191" t="str">
        <f t="shared" si="126"/>
        <v/>
      </c>
      <c r="BS21" s="191" t="str">
        <f t="shared" si="127"/>
        <v/>
      </c>
      <c r="BT21" s="191" t="str">
        <f t="shared" si="128"/>
        <v/>
      </c>
      <c r="BU21" s="191" t="str">
        <f>IF(BI21&lt;&gt;"",RANK(BT21,BT$18:BT$22),"")</f>
        <v/>
      </c>
      <c r="BV21" s="191" t="str">
        <f t="shared" si="129"/>
        <v/>
      </c>
      <c r="BW21" s="191" t="str">
        <f t="shared" si="130"/>
        <v/>
      </c>
      <c r="BX21" s="191" t="str">
        <f t="shared" si="131"/>
        <v/>
      </c>
      <c r="BY21" s="191" t="str">
        <f t="shared" si="132"/>
        <v/>
      </c>
      <c r="BZ21" s="191" t="str">
        <f t="shared" si="133"/>
        <v/>
      </c>
      <c r="CA21" s="191" t="str">
        <f>IF(BI21&lt;&gt;"",SUM(BU21:BZ21)+2,"")</f>
        <v/>
      </c>
      <c r="CB21" s="191" t="str">
        <f>IF(BI21&lt;&gt;"",INDEX(BI20:BI22,MATCH(4,CA20:CA22,0),0),"")</f>
        <v/>
      </c>
      <c r="CC21" s="191" t="str">
        <f>IF(S18&lt;&gt;"",S18,"")</f>
        <v/>
      </c>
      <c r="CD21" s="191">
        <f>SUMPRODUCT(($CZ$3:$CZ$42=$CC21)*($DC$3:$DC$42=$CC22)*($DD$3:$DD$42="W"))+SUMPRODUCT(($CZ$3:$CZ$42=$CC21)*($DC$3:$DC$42=$CC23)*($DD$3:$DD$42="W"))+SUMPRODUCT(($CZ$3:$CZ$42=$CC21)*($DC$3:$DC$42=$CC24)*($DD$3:$DD$42="W"))+SUMPRODUCT(($CZ$3:$CZ$42=$CC22)*($DC$3:$DC$42=$CC21)*($DE$3:$DE$42="W"))+SUMPRODUCT(($CZ$3:$CZ$42=$CC23)*($DC$3:$DC$42=$CC21)*($DE$3:$DE$42="W"))+SUMPRODUCT(($CZ$3:$CZ$42=$CC24)*($DC$3:$DC$42=$CC21)*($DE$3:$DE$42="W"))</f>
        <v>0</v>
      </c>
      <c r="CE21" s="191">
        <f>SUMPRODUCT(($CZ$3:$CZ$42=$CC21)*($DC$3:$DC$42=$CC22)*($DD$3:$DD$42="D"))+SUMPRODUCT(($CZ$3:$CZ$42=$CC21)*($DC$3:$DC$42=$CC23)*($DD$3:$DD$42="D"))+SUMPRODUCT(($CZ$3:$CZ$42=$CC21)*($DC$3:$DC$42=$CC24)*($DD$3:$DD$42="D"))+SUMPRODUCT(($CZ$3:$CZ$42=$CC22)*($DC$3:$DC$42=$CC21)*($DD$3:$DD$42="D"))+SUMPRODUCT(($CZ$3:$CZ$42=$CC23)*($DC$3:$DC$42=$CC21)*($DD$3:$DD$42="D"))+SUMPRODUCT(($CZ$3:$CZ$42=$CC24)*($DC$3:$DC$42=$CC21)*($DD$3:$DD$42="D"))</f>
        <v>0</v>
      </c>
      <c r="CF21" s="191">
        <f>SUMPRODUCT(($CZ$3:$CZ$42=$CC21)*($DC$3:$DC$42=$CC22)*($DD$3:$DD$42="L"))+SUMPRODUCT(($CZ$3:$CZ$42=$CC21)*($DC$3:$DC$42=$CC23)*($DD$3:$DD$42="L"))+SUMPRODUCT(($CZ$3:$CZ$42=$CC21)*($DC$3:$DC$42=$CC24)*($DD$3:$DD$42="L"))+SUMPRODUCT(($CZ$3:$CZ$42=$CC22)*($DC$3:$DC$42=$CC21)*($DE$3:$DE$42="L"))+SUMPRODUCT(($CZ$3:$CZ$42=$CC23)*($DC$3:$DC$42=$CC21)*($DE$3:$DE$42="L"))+SUMPRODUCT(($CZ$3:$CZ$42=$CC24)*($DC$3:$DC$42=$CC21)*($DE$3:$DE$42="L"))</f>
        <v>0</v>
      </c>
      <c r="CG21" s="191">
        <f>SUMPRODUCT(($CZ$3:$CZ$42=$CC21)*($DC$3:$DC$42=$CC22)*$DA$3:$DA$42)+SUMPRODUCT(($CZ$3:$CZ$42=$CC21)*($DC$3:$DC$42=$CC18)*$DA$3:$DA$42)+SUMPRODUCT(($CZ$3:$CZ$42=$CC21)*($DC$3:$DC$42=$CC19)*$DA$3:$DA$42)+SUMPRODUCT(($CZ$3:$CZ$42=$CC21)*($DC$3:$DC$42=$CC20)*$DA$3:$DA$42)+SUMPRODUCT(($CZ$3:$CZ$42=$CC22)*($DC$3:$DC$42=$CC21)*$DB$3:$DB$42)+SUMPRODUCT(($CZ$3:$CZ$42=$CC18)*($DC$3:$DC$42=$CC21)*$DB$3:$DB$42)+SUMPRODUCT(($CZ$3:$CZ$42=$CC19)*($DC$3:$DC$42=$CC21)*$DB$3:$DB$42)+SUMPRODUCT(($CZ$3:$CZ$42=$CC20)*($DC$3:$DC$42=$CC21)*$DB$3:$DB$42)</f>
        <v>0</v>
      </c>
      <c r="CH21" s="191">
        <f>SUMPRODUCT(($CZ$3:$CZ$42=$CC21)*($DC$3:$DC$42=$CC22)*$DB$3:$DB$42)+SUMPRODUCT(($CZ$3:$CZ$42=$CC21)*($DC$3:$DC$42=$CC18)*$DB$3:$DB$42)+SUMPRODUCT(($CZ$3:$CZ$42=$CC21)*($DC$3:$DC$42=$CC19)*$DB$3:$DB$42)+SUMPRODUCT(($CZ$3:$CZ$42=$CC21)*($DC$3:$DC$42=$CC20)*$DB$3:$DB$42)+SUMPRODUCT(($CZ$3:$CZ$42=$CC22)*($DC$3:$DC$42=$CC21)*$DA$3:$DA$42)+SUMPRODUCT(($CZ$3:$CZ$42=$CC18)*($DC$3:$DC$42=$CC21)*$DA$3:$DA$42)+SUMPRODUCT(($CZ$3:$CZ$42=$CC19)*($DC$3:$DC$42=$CC21)*$DA$3:$DA$42)+SUMPRODUCT(($CZ$3:$CZ$42=$CC20)*($DC$3:$DC$42=$CC21)*$DA$3:$DA$42)</f>
        <v>0</v>
      </c>
      <c r="CI21" s="191">
        <f>CG21-CH21+1000</f>
        <v>1000</v>
      </c>
      <c r="CJ21" s="191" t="str">
        <f t="shared" ref="CJ21" si="134">IF(CC21&lt;&gt;"",CD21*3+CE21*1,"")</f>
        <v/>
      </c>
      <c r="CK21" s="191" t="str">
        <f t="shared" ref="CK21" si="135">IF(CC21&lt;&gt;"",VLOOKUP(CC21,$B$4:$H$40,7,FALSE),"")</f>
        <v/>
      </c>
      <c r="CL21" s="191" t="str">
        <f t="shared" ref="CL21" si="136">IF(CC21&lt;&gt;"",VLOOKUP(CC21,$B$4:$H$40,5,FALSE),"")</f>
        <v/>
      </c>
      <c r="CM21" s="191" t="str">
        <f t="shared" ref="CM21" si="137">IF(CC21&lt;&gt;"",VLOOKUP(CC21,$B$4:$J$40,9,FALSE),"")</f>
        <v/>
      </c>
      <c r="CN21" s="191" t="str">
        <f t="shared" ref="CN21" si="138">CJ21</f>
        <v/>
      </c>
      <c r="CO21" s="191" t="str">
        <f>IF(CC21&lt;&gt;"",RANK(CN21,CN$18:CN$22),"")</f>
        <v/>
      </c>
      <c r="CP21" s="191" t="str">
        <f t="shared" ref="CP21" si="139">IF(CC21&lt;&gt;"",SUMPRODUCT((CN$18:CN$22=CN21)*(CI$18:CI$22&gt;CI21)),"")</f>
        <v/>
      </c>
      <c r="CQ21" s="191" t="str">
        <f t="shared" ref="CQ21" si="140">IF(CC21&lt;&gt;"",SUMPRODUCT((CN$18:CN$22=CN21)*(CI$18:CI$22=CI21)*(CG$18:CG$22&gt;CG21)),"")</f>
        <v/>
      </c>
      <c r="CR21" s="191" t="str">
        <f t="shared" ref="CR21" si="141">IF(CC21&lt;&gt;"",SUMPRODUCT((CN$18:CN$22=CN21)*(CI$18:CI$22=CI21)*(CG$18:CG$22=CG21)*(CK$18:CK$22&gt;CK21)),"")</f>
        <v/>
      </c>
      <c r="CS21" s="191" t="str">
        <f t="shared" ref="CS21" si="142">IF(CC21&lt;&gt;"",SUMPRODUCT((CN$18:CN$22=CN21)*(CI$18:CI$22=CI21)*(CG$18:CG$22=CG21)*(CK$18:CK$22=CK21)*(CL$18:CL$22&gt;CL21)),"")</f>
        <v/>
      </c>
      <c r="CT21" s="191" t="str">
        <f t="shared" ref="CT21" si="143">IF(CC21&lt;&gt;"",SUMPRODUCT((CN$18:CN$22=CN21)*(CI$18:CI$22=CI21)*(CG$18:CG$22=CG21)*(CK$18:CK$22=CK21)*(CL$18:CL$22=CL21)*(CM$18:CM$22&gt;CM21)),"")</f>
        <v/>
      </c>
      <c r="CU21" s="191" t="str">
        <f>IF(CC21&lt;&gt;"",SUM(CO21:CT21)+3,"")</f>
        <v/>
      </c>
      <c r="CV21" s="191" t="str">
        <f>IF(CC21&lt;&gt;"",IF(CU21=4,CC21,CC22),"")</f>
        <v/>
      </c>
      <c r="CW21" s="191" t="str">
        <f>IF(CV21&lt;&gt;"",CV21,IF(CB21&lt;&gt;"",CB21,IF(BH21&lt;&gt;"",BH21,IF(AN21&lt;&gt;"",AN21,N21))))</f>
        <v>North Macedonia</v>
      </c>
      <c r="CX21" s="191">
        <v>4</v>
      </c>
      <c r="CY21" s="191">
        <v>19</v>
      </c>
      <c r="CZ21" s="191" t="str">
        <f>Fixtures!G25</f>
        <v>Sweden</v>
      </c>
      <c r="DA21" s="191">
        <f>IF(AND(Fixtures!H25&lt;&gt;"",Fixtures!I25&lt;&gt;""),Fixtures!H25,0)</f>
        <v>1</v>
      </c>
      <c r="DB21" s="191">
        <f>IF(AND(Fixtures!I25&lt;&gt;"",Fixtures!H25&lt;&gt;""),Fixtures!I25,0)</f>
        <v>0</v>
      </c>
      <c r="DC21" s="191" t="str">
        <f>Fixtures!J25</f>
        <v>Slovakia</v>
      </c>
      <c r="DD21" s="191" t="str">
        <f>IF(AND(Fixtures!H25&lt;&gt;"",Fixtures!I25&lt;&gt;""),IF(DA21&gt;DB21,"W",IF(DA21=DB21,"D","L")),"")</f>
        <v>W</v>
      </c>
      <c r="DE21" s="191" t="str">
        <f t="shared" si="1"/>
        <v>L</v>
      </c>
      <c r="DH21" s="204" t="s">
        <v>112</v>
      </c>
      <c r="DI21" s="205" t="s">
        <v>122</v>
      </c>
      <c r="DJ21" s="205" t="s">
        <v>126</v>
      </c>
      <c r="DK21" s="205" t="s">
        <v>111</v>
      </c>
      <c r="DL21" s="204" t="s">
        <v>126</v>
      </c>
      <c r="DM21" s="204" t="s">
        <v>111</v>
      </c>
      <c r="DN21" s="204" t="s">
        <v>122</v>
      </c>
      <c r="DO21" s="204" t="s">
        <v>112</v>
      </c>
      <c r="DP21" s="205"/>
      <c r="DQ21" s="206">
        <f t="shared" si="87"/>
        <v>4</v>
      </c>
      <c r="DR21" s="206">
        <f t="shared" si="87"/>
        <v>0</v>
      </c>
      <c r="DS21" s="206">
        <f t="shared" si="87"/>
        <v>1</v>
      </c>
      <c r="DT21" s="206">
        <f t="shared" si="87"/>
        <v>2</v>
      </c>
      <c r="DU21" s="206">
        <f t="shared" si="88"/>
        <v>7</v>
      </c>
      <c r="DV21" s="205"/>
      <c r="DW21" s="205"/>
      <c r="DX21" s="205"/>
      <c r="EF21" s="272"/>
      <c r="EG21" s="196"/>
      <c r="EH21" s="197" t="str">
        <f>Fixtures!G11</f>
        <v>England</v>
      </c>
      <c r="EI21" s="198" t="s">
        <v>571</v>
      </c>
      <c r="EJ21" s="197" t="str">
        <f>"'Countries and Timezone'!"&amp;VLOOKUP(Fixtures!P24,$EH$7:$EI$38,2,FALSE)</f>
        <v>'Countries and Timezone'!B20</v>
      </c>
      <c r="EL21" s="199">
        <v>44363.875</v>
      </c>
      <c r="EM21" s="200">
        <f t="shared" si="51"/>
        <v>44363.875</v>
      </c>
      <c r="EO21" s="202">
        <v>-5.5</v>
      </c>
      <c r="EP21" s="191">
        <v>-6</v>
      </c>
      <c r="EQ21" s="191" t="s">
        <v>572</v>
      </c>
      <c r="ER21" s="191" t="s">
        <v>573</v>
      </c>
    </row>
    <row r="22" spans="1:148" x14ac:dyDescent="0.35">
      <c r="CY22" s="191">
        <v>20</v>
      </c>
      <c r="CZ22" s="191" t="str">
        <f>Fixtures!G26</f>
        <v>Croatia</v>
      </c>
      <c r="DA22" s="191">
        <f>IF(AND(Fixtures!H26&lt;&gt;"",Fixtures!I26&lt;&gt;""),Fixtures!H26,0)</f>
        <v>1</v>
      </c>
      <c r="DB22" s="191">
        <f>IF(AND(Fixtures!I26&lt;&gt;"",Fixtures!H26&lt;&gt;""),Fixtures!I26,0)</f>
        <v>1</v>
      </c>
      <c r="DC22" s="191" t="str">
        <f>Fixtures!J26</f>
        <v>Czech Republic</v>
      </c>
      <c r="DD22" s="191" t="str">
        <f>IF(AND(Fixtures!H26&lt;&gt;"",Fixtures!I26&lt;&gt;""),IF(DA22&gt;DB22,"W",IF(DA22=DB22,"D","L")),"")</f>
        <v>D</v>
      </c>
      <c r="DE22" s="191" t="str">
        <f t="shared" si="1"/>
        <v>D</v>
      </c>
      <c r="DH22" s="204" t="s">
        <v>112</v>
      </c>
      <c r="DI22" s="205" t="s">
        <v>109</v>
      </c>
      <c r="DJ22" s="205" t="s">
        <v>126</v>
      </c>
      <c r="DK22" s="205" t="s">
        <v>111</v>
      </c>
      <c r="DL22" s="204" t="s">
        <v>126</v>
      </c>
      <c r="DM22" s="204" t="s">
        <v>111</v>
      </c>
      <c r="DN22" s="204" t="s">
        <v>109</v>
      </c>
      <c r="DO22" s="204" t="s">
        <v>112</v>
      </c>
      <c r="DP22" s="205"/>
      <c r="DQ22" s="206">
        <f t="shared" si="87"/>
        <v>4</v>
      </c>
      <c r="DR22" s="206">
        <f t="shared" si="87"/>
        <v>2</v>
      </c>
      <c r="DS22" s="206">
        <f t="shared" si="87"/>
        <v>1</v>
      </c>
      <c r="DT22" s="206">
        <f t="shared" si="87"/>
        <v>0</v>
      </c>
      <c r="DU22" s="206">
        <f t="shared" si="88"/>
        <v>7</v>
      </c>
      <c r="DV22" s="205"/>
      <c r="DW22" s="205"/>
      <c r="DX22" s="205"/>
      <c r="EF22" s="272"/>
      <c r="EG22" s="196"/>
      <c r="EH22" s="197" t="str">
        <f>Fixtures!J11</f>
        <v>Croatia</v>
      </c>
      <c r="EI22" s="198" t="s">
        <v>574</v>
      </c>
      <c r="EJ22" s="197" t="str">
        <f>"'Countries and Timezone'!"&amp;VLOOKUP(Fixtures!P25,$EH$7:$EI$38,2,FALSE)</f>
        <v>'Countries and Timezone'!B19</v>
      </c>
      <c r="EL22" s="199">
        <v>44364.625</v>
      </c>
      <c r="EM22" s="200">
        <f t="shared" si="51"/>
        <v>44364.625</v>
      </c>
      <c r="EO22" s="202">
        <v>-5</v>
      </c>
      <c r="EP22" s="191">
        <v>-6</v>
      </c>
      <c r="EQ22" s="191" t="s">
        <v>575</v>
      </c>
      <c r="ER22" s="191" t="s">
        <v>576</v>
      </c>
    </row>
    <row r="23" spans="1:148" x14ac:dyDescent="0.35">
      <c r="CY23" s="191">
        <v>21</v>
      </c>
      <c r="CZ23" s="191" t="str">
        <f>Fixtures!G27</f>
        <v>England</v>
      </c>
      <c r="DA23" s="191">
        <f>IF(AND(Fixtures!H27&lt;&gt;"",Fixtures!I27&lt;&gt;""),Fixtures!H27,0)</f>
        <v>0</v>
      </c>
      <c r="DB23" s="191">
        <f>IF(AND(Fixtures!I27&lt;&gt;"",Fixtures!H27&lt;&gt;""),Fixtures!I27,0)</f>
        <v>0</v>
      </c>
      <c r="DC23" s="191" t="str">
        <f>Fixtures!J27</f>
        <v>Scotland</v>
      </c>
      <c r="DD23" s="191" t="str">
        <f>IF(AND(Fixtures!H27&lt;&gt;"",Fixtures!I27&lt;&gt;""),IF(DA23&gt;DB23,"W",IF(DA23=DB23,"D","L")),"")</f>
        <v>D</v>
      </c>
      <c r="DE23" s="191" t="str">
        <f t="shared" si="1"/>
        <v>D</v>
      </c>
      <c r="DH23" s="204" t="s">
        <v>118</v>
      </c>
      <c r="DI23" s="205" t="s">
        <v>122</v>
      </c>
      <c r="DJ23" s="205" t="s">
        <v>109</v>
      </c>
      <c r="DK23" s="205" t="s">
        <v>126</v>
      </c>
      <c r="DL23" s="204" t="s">
        <v>126</v>
      </c>
      <c r="DM23" s="204" t="s">
        <v>109</v>
      </c>
      <c r="DN23" s="204" t="s">
        <v>118</v>
      </c>
      <c r="DO23" s="204" t="s">
        <v>122</v>
      </c>
      <c r="DP23" s="205"/>
      <c r="DQ23" s="206">
        <f t="shared" si="87"/>
        <v>0</v>
      </c>
      <c r="DR23" s="206">
        <f t="shared" si="87"/>
        <v>3</v>
      </c>
      <c r="DS23" s="206">
        <f t="shared" si="87"/>
        <v>0</v>
      </c>
      <c r="DT23" s="206">
        <f t="shared" si="87"/>
        <v>2</v>
      </c>
      <c r="DU23" s="206">
        <f t="shared" si="88"/>
        <v>5</v>
      </c>
      <c r="DV23" s="205"/>
      <c r="DW23" s="205"/>
      <c r="DX23" s="205"/>
      <c r="EF23" s="272" t="s">
        <v>126</v>
      </c>
      <c r="EG23" s="196"/>
      <c r="EH23" s="197" t="str">
        <f>Fixtures!G16</f>
        <v>Spain</v>
      </c>
      <c r="EI23" s="198" t="s">
        <v>577</v>
      </c>
      <c r="EJ23" s="197" t="str">
        <f>"'Countries and Timezone'!"&amp;VLOOKUP(Fixtures!P27,$EH$7:$EI$38,2,FALSE)</f>
        <v>'Countries and Timezone'!B24</v>
      </c>
      <c r="EL23" s="199">
        <v>44364.75</v>
      </c>
      <c r="EM23" s="200">
        <f t="shared" si="51"/>
        <v>44364.75</v>
      </c>
      <c r="EO23" s="202">
        <v>-4.5</v>
      </c>
      <c r="EP23" s="191">
        <v>-6</v>
      </c>
      <c r="EQ23" s="191" t="s">
        <v>578</v>
      </c>
      <c r="ER23" s="191" t="s">
        <v>579</v>
      </c>
    </row>
    <row r="24" spans="1:148" x14ac:dyDescent="0.35">
      <c r="CY24" s="191">
        <v>22</v>
      </c>
      <c r="CZ24" s="191" t="str">
        <f>Fixtures!G28</f>
        <v>Hungary</v>
      </c>
      <c r="DA24" s="191">
        <f>IF(AND(Fixtures!H28&lt;&gt;"",Fixtures!I28&lt;&gt;""),Fixtures!H28,0)</f>
        <v>1</v>
      </c>
      <c r="DB24" s="191">
        <f>IF(AND(Fixtures!I28&lt;&gt;"",Fixtures!H28&lt;&gt;""),Fixtures!I28,0)</f>
        <v>1</v>
      </c>
      <c r="DC24" s="191" t="str">
        <f>Fixtures!J28</f>
        <v>France</v>
      </c>
      <c r="DD24" s="191" t="str">
        <f>IF(AND(Fixtures!H28&lt;&gt;"",Fixtures!I28&lt;&gt;""),IF(DA24&gt;DB24,"W",IF(DA24=DB24,"D","L")),"")</f>
        <v>D</v>
      </c>
      <c r="DE24" s="191" t="str">
        <f t="shared" si="1"/>
        <v>D</v>
      </c>
      <c r="DH24" s="204" t="s">
        <v>118</v>
      </c>
      <c r="DI24" s="205" t="s">
        <v>122</v>
      </c>
      <c r="DJ24" s="205" t="s">
        <v>109</v>
      </c>
      <c r="DK24" s="205" t="s">
        <v>111</v>
      </c>
      <c r="DL24" s="204" t="s">
        <v>111</v>
      </c>
      <c r="DM24" s="204" t="s">
        <v>109</v>
      </c>
      <c r="DN24" s="204" t="s">
        <v>122</v>
      </c>
      <c r="DO24" s="204" t="s">
        <v>118</v>
      </c>
      <c r="DP24" s="205"/>
      <c r="DQ24" s="206">
        <f t="shared" si="87"/>
        <v>4</v>
      </c>
      <c r="DR24" s="206">
        <f t="shared" si="87"/>
        <v>3</v>
      </c>
      <c r="DS24" s="206">
        <f t="shared" si="87"/>
        <v>0</v>
      </c>
      <c r="DT24" s="206">
        <f t="shared" si="87"/>
        <v>2</v>
      </c>
      <c r="DU24" s="206">
        <f t="shared" si="88"/>
        <v>9</v>
      </c>
      <c r="DV24" s="205"/>
      <c r="DW24" s="205"/>
      <c r="DX24" s="205"/>
      <c r="EF24" s="272"/>
      <c r="EG24" s="196"/>
      <c r="EH24" s="197" t="str">
        <f>Fixtures!J16</f>
        <v>Sweden</v>
      </c>
      <c r="EI24" s="198" t="s">
        <v>580</v>
      </c>
      <c r="EJ24" s="197" t="str">
        <f>"'Countries and Timezone'!"&amp;VLOOKUP(Fixtures!P28,$EH$7:$EI$38,2,FALSE)</f>
        <v>'Countries and Timezone'!B23</v>
      </c>
      <c r="EL24" s="199">
        <v>44364.875</v>
      </c>
      <c r="EM24" s="200">
        <f t="shared" si="51"/>
        <v>44364.875</v>
      </c>
      <c r="EO24" s="202">
        <v>-4</v>
      </c>
      <c r="EP24" s="191">
        <v>-6</v>
      </c>
      <c r="EQ24" s="191" t="s">
        <v>581</v>
      </c>
      <c r="ER24" s="191" t="s">
        <v>582</v>
      </c>
    </row>
    <row r="25" spans="1:148" x14ac:dyDescent="0.35">
      <c r="A25" s="191">
        <f>VLOOKUP(B25,$CW$25:$CX$29,2,FALSE)</f>
        <v>4</v>
      </c>
      <c r="B25" s="191" t="str">
        <f>'Dummy Table'!EH19</f>
        <v>Scotland</v>
      </c>
      <c r="C25" s="191">
        <f>SUMPRODUCT(($CZ$3:$CZ$42=$B25)*($DD$3:$DD$42="W"))+SUMPRODUCT(($DC$3:$DC$42=$B25)*($DE$3:$DE$42="W"))</f>
        <v>0</v>
      </c>
      <c r="D25" s="191">
        <f>SUMPRODUCT(($CZ$3:$CZ$42=$B25)*($DD$3:$DD$42="D"))+SUMPRODUCT(($DC$3:$DC$42=$B25)*($DE$3:$DE$42="D"))</f>
        <v>1</v>
      </c>
      <c r="E25" s="191">
        <f>SUMPRODUCT(($CZ$3:$CZ$42=$B25)*($DD$3:$DD$42="L"))+SUMPRODUCT(($DC$3:$DC$42=$B25)*($DE$3:$DE$42="L"))</f>
        <v>2</v>
      </c>
      <c r="F25" s="191">
        <f>SUMIF($CZ$3:$CZ$60,B25,$DA$3:$DA$60)+SUMIF($DC$3:$DC$60,B25,$DB$3:$DB$60)</f>
        <v>1</v>
      </c>
      <c r="G25" s="191">
        <f>SUMIF($DC$3:$DC$60,B25,$DA$3:$DA$60)+SUMIF($CZ$3:$CZ$60,B25,$DB$3:$DB$60)</f>
        <v>5</v>
      </c>
      <c r="H25" s="191">
        <f t="shared" ref="H25:H28" si="144">F25-G25+1000</f>
        <v>996</v>
      </c>
      <c r="I25" s="191">
        <f t="shared" ref="I25:I28" si="145">C25*3+D25*1</f>
        <v>1</v>
      </c>
      <c r="J25" s="191">
        <v>27</v>
      </c>
      <c r="K25" s="191">
        <f>IF(COUNTIF(I25:I29,4)&lt;&gt;4,RANK(I25,I25:I29),I65)</f>
        <v>4</v>
      </c>
      <c r="M25" s="191">
        <f>SUMPRODUCT((K25:K28=K25)*(J25:J28&lt;J25))+K25</f>
        <v>4</v>
      </c>
      <c r="N25" s="191" t="str">
        <f>INDEX($B$25:$B$29,MATCH(1,$M$25:$M$29,0),0)</f>
        <v>England</v>
      </c>
      <c r="O25" s="191">
        <f>INDEX($K$25:$K$29,MATCH(N25,$B$25:$B$29,0),0)</f>
        <v>1</v>
      </c>
      <c r="P25" s="191" t="str">
        <f>IF(O26=1,N25,"")</f>
        <v/>
      </c>
      <c r="Q25" s="191" t="str">
        <f>IF(O27=2,N26,"")</f>
        <v>Czech Republic</v>
      </c>
      <c r="R25" s="191" t="str">
        <f>IF(O28=3,N27,"")</f>
        <v/>
      </c>
      <c r="S25" s="191" t="str">
        <f>IF(O29=4,N28,"")</f>
        <v/>
      </c>
      <c r="U25" s="191" t="str">
        <f>IF(P25&lt;&gt;"",P25,"")</f>
        <v/>
      </c>
      <c r="V25" s="191">
        <f>SUMPRODUCT(($CZ$3:$CZ$42=$U25)*($DC$3:$DC$42=$U26)*($DD$3:$DD$42="W"))+SUMPRODUCT(($CZ$3:$CZ$42=$U25)*($DC$3:$DC$42=$U27)*($DD$3:$DD$42="W"))+SUMPRODUCT(($CZ$3:$CZ$42=$U25)*($DC$3:$DC$42=$U28)*($DD$3:$DD$42="W"))+SUMPRODUCT(($CZ$3:$CZ$42=$U25)*($DC$3:$DC$42=$U29)*($DD$3:$DD$42="W"))+SUMPRODUCT(($CZ$3:$CZ$42=$U26)*($DC$3:$DC$42=$U25)*($DE$3:$DE$42="W"))+SUMPRODUCT(($CZ$3:$CZ$42=$U27)*($DC$3:$DC$42=$U25)*($DE$3:$DE$42="W"))+SUMPRODUCT(($CZ$3:$CZ$42=$U28)*($DC$3:$DC$42=$U25)*($DE$3:$DE$42="W"))+SUMPRODUCT(($CZ$3:$CZ$42=$U29)*($DC$3:$DC$42=$U25)*($DE$3:$DE$42="W"))</f>
        <v>0</v>
      </c>
      <c r="W25" s="191">
        <f>SUMPRODUCT(($CZ$3:$CZ$42=$U25)*($DC$3:$DC$42=$U26)*($DD$3:$DD$42="D"))+SUMPRODUCT(($CZ$3:$CZ$42=$U25)*($DC$3:$DC$42=$U27)*($DD$3:$DD$42="D"))+SUMPRODUCT(($CZ$3:$CZ$42=$U25)*($DC$3:$DC$42=$U28)*($DD$3:$DD$42="D"))+SUMPRODUCT(($CZ$3:$CZ$42=$U25)*($DC$3:$DC$42=$U29)*($DD$3:$DD$42="D"))+SUMPRODUCT(($CZ$3:$CZ$42=$U26)*($DC$3:$DC$42=$U25)*($DD$3:$DD$42="D"))+SUMPRODUCT(($CZ$3:$CZ$42=$U27)*($DC$3:$DC$42=$U25)*($DD$3:$DD$42="D"))+SUMPRODUCT(($CZ$3:$CZ$42=$U28)*($DC$3:$DC$42=$U25)*($DD$3:$DD$42="D"))+SUMPRODUCT(($CZ$3:$CZ$42=$U29)*($DC$3:$DC$42=$U25)*($DD$3:$DD$42="D"))</f>
        <v>0</v>
      </c>
      <c r="X25" s="191">
        <f>SUMPRODUCT(($CZ$3:$CZ$42=$U25)*($DC$3:$DC$42=$U26)*($DD$3:$DD$42="L"))+SUMPRODUCT(($CZ$3:$CZ$42=$U25)*($DC$3:$DC$42=$U27)*($DD$3:$DD$42="L"))+SUMPRODUCT(($CZ$3:$CZ$42=$U25)*($DC$3:$DC$42=$U28)*($DD$3:$DD$42="L"))+SUMPRODUCT(($CZ$3:$CZ$42=$U25)*($DC$3:$DC$42=$U29)*($DD$3:$DD$42="L"))+SUMPRODUCT(($CZ$3:$CZ$42=$U26)*($DC$3:$DC$42=$U25)*($DE$3:$DE$42="L"))+SUMPRODUCT(($CZ$3:$CZ$42=$U27)*($DC$3:$DC$42=$U25)*($DE$3:$DE$42="L"))+SUMPRODUCT(($CZ$3:$CZ$42=$U28)*($DC$3:$DC$42=$U25)*($DE$3:$DE$42="L"))+SUMPRODUCT(($CZ$3:$CZ$42=$U29)*($DC$3:$DC$42=$U25)*($DE$3:$DE$42="L"))</f>
        <v>0</v>
      </c>
      <c r="Y25" s="191">
        <f>SUMPRODUCT(($CZ$3:$CZ$42=$U25)*($DC$3:$DC$42=$U26)*$DA$3:$DA$42)+SUMPRODUCT(($CZ$3:$CZ$42=$U25)*($DC$3:$DC$42=$U27)*$DA$3:$DA$42)+SUMPRODUCT(($CZ$3:$CZ$42=$U25)*($DC$3:$DC$42=$U28)*$DA$3:$DA$42)+SUMPRODUCT(($CZ$3:$CZ$42=$U25)*($DC$3:$DC$42=$U29)*$DA$3:$DA$42)+SUMPRODUCT(($CZ$3:$CZ$42=$U26)*($DC$3:$DC$42=$U25)*$DB$3:$DB$42)+SUMPRODUCT(($CZ$3:$CZ$42=$U27)*($DC$3:$DC$42=$U25)*$DB$3:$DB$42)+SUMPRODUCT(($CZ$3:$CZ$42=$U28)*($DC$3:$DC$42=$U25)*$DB$3:$DB$42)+SUMPRODUCT(($CZ$3:$CZ$42=$U29)*($DC$3:$DC$42=$U25)*$DB$3:$DB$42)</f>
        <v>0</v>
      </c>
      <c r="Z25" s="191">
        <f>SUMPRODUCT(($CZ$3:$CZ$42=$U25)*($DC$3:$DC$42=$U26)*$DB$3:$DB$42)+SUMPRODUCT(($CZ$3:$CZ$42=$U25)*($DC$3:$DC$42=$U27)*$DB$3:$DB$42)+SUMPRODUCT(($CZ$3:$CZ$42=$U25)*($DC$3:$DC$42=$U28)*$DB$3:$DB$42)+SUMPRODUCT(($CZ$3:$CZ$42=$U25)*($DC$3:$DC$42=$U29)*$DB$3:$DB$42)+SUMPRODUCT(($CZ$3:$CZ$42=$U26)*($DC$3:$DC$42=$U25)*$DA$3:$DA$42)+SUMPRODUCT(($CZ$3:$CZ$42=$U27)*($DC$3:$DC$42=$U25)*$DA$3:$DA$42)+SUMPRODUCT(($CZ$3:$CZ$42=$U28)*($DC$3:$DC$42=$U25)*$DA$3:$DA$42)+SUMPRODUCT(($CZ$3:$CZ$42=$U29)*($DC$3:$DC$42=$U25)*$DA$3:$DA$42)</f>
        <v>0</v>
      </c>
      <c r="AA25" s="191">
        <f>Y25-Z25+1000</f>
        <v>1000</v>
      </c>
      <c r="AB25" s="191" t="str">
        <f t="shared" ref="AB25:AB28" si="146">IF(U25&lt;&gt;"",V25*3+W25*1,"")</f>
        <v/>
      </c>
      <c r="AC25" s="191" t="str">
        <f t="shared" ref="AC25:AC28" si="147">IF(U25&lt;&gt;"",VLOOKUP(U25,$B$4:$H$40,7,FALSE),"")</f>
        <v/>
      </c>
      <c r="AD25" s="191" t="str">
        <f t="shared" ref="AD25:AD28" si="148">IF(U25&lt;&gt;"",VLOOKUP(U25,$B$4:$H$40,5,FALSE),"")</f>
        <v/>
      </c>
      <c r="AE25" s="191" t="str">
        <f t="shared" ref="AE25:AE28" si="149">IF(U25&lt;&gt;"",VLOOKUP(U25,$B$4:$J$40,9,FALSE),"")</f>
        <v/>
      </c>
      <c r="AF25" s="191" t="str">
        <f t="shared" ref="AF25:AF28" si="150">AB25</f>
        <v/>
      </c>
      <c r="AG25" s="191" t="str">
        <f>IF(U25&lt;&gt;"",RANK(AF25,$AF$25:$AF$29),"")</f>
        <v/>
      </c>
      <c r="AH25" s="191" t="str">
        <f>IF(U25&lt;&gt;"",SUMPRODUCT((AF$25:AF$29=AF25)*(AA$25:AA$29&gt;AA25)),"")</f>
        <v/>
      </c>
      <c r="AI25" s="191" t="str">
        <f>IF(U25&lt;&gt;"",SUMPRODUCT((AF$25:AF$29=AF25)*(AA$25:AA$29=AA25)*(Y$25:Y$29&gt;Y25)),"")</f>
        <v/>
      </c>
      <c r="AJ25" s="191" t="str">
        <f>IF(U25&lt;&gt;"",SUMPRODUCT((AF$25:AF$29=AF25)*(AA$25:AA$29=AA25)*(Y$25:Y$29=Y25)*(AC$25:AC$29&gt;AC25)),"")</f>
        <v/>
      </c>
      <c r="AK25" s="191" t="str">
        <f>IF(U25&lt;&gt;"",SUMPRODUCT((AF$25:AF$29=AF25)*(AA$25:AA$29=AA25)*(Y$25:Y$29=Y25)*(AC$25:AC$29=AC25)*(AD$25:AD$29&gt;AD25)),"")</f>
        <v/>
      </c>
      <c r="AL25" s="191" t="str">
        <f>IF(U25&lt;&gt;"",SUMPRODUCT((AF$25:AF$29=AF25)*(AA$25:AA$29=AA25)*(Y$25:Y$29=Y25)*(AC$25:AC$29=AC25)*(AD$25:AD$29=AD25)*(AE$25:AE$29&gt;AE25)),"")</f>
        <v/>
      </c>
      <c r="AM25" s="191" t="str">
        <f>IF(U25&lt;&gt;"",IF(AM65&lt;&gt;"",IF(T$64=3,AM65,AM65+T$64),SUM(AG25:AL25)),"")</f>
        <v/>
      </c>
      <c r="AN25" s="191" t="str">
        <f>IF(U25&lt;&gt;"",INDEX($U$25:$U$29,MATCH(1,$AM$25:$AM$29,0),0),"")</f>
        <v/>
      </c>
      <c r="CW25" s="191" t="str">
        <f>IF(AN25&lt;&gt;"",AN25,N25)</f>
        <v>England</v>
      </c>
      <c r="CX25" s="191">
        <v>1</v>
      </c>
      <c r="CY25" s="191">
        <v>23</v>
      </c>
      <c r="CZ25" s="191" t="str">
        <f>Fixtures!G29</f>
        <v>Portugal</v>
      </c>
      <c r="DA25" s="191">
        <f>IF(AND(Fixtures!H29&lt;&gt;"",Fixtures!I29&lt;&gt;""),Fixtures!H29,0)</f>
        <v>2</v>
      </c>
      <c r="DB25" s="191">
        <f>IF(AND(Fixtures!I29&lt;&gt;"",Fixtures!H29&lt;&gt;""),Fixtures!I29,0)</f>
        <v>4</v>
      </c>
      <c r="DC25" s="191" t="str">
        <f>Fixtures!J29</f>
        <v>Germany</v>
      </c>
      <c r="DD25" s="191" t="str">
        <f>IF(AND(Fixtures!H29&lt;&gt;"",Fixtures!I29&lt;&gt;""),IF(DA25&gt;DB25,"W",IF(DA25=DB25,"D","L")),"")</f>
        <v>L</v>
      </c>
      <c r="DE25" s="191" t="str">
        <f t="shared" si="1"/>
        <v>W</v>
      </c>
      <c r="DH25" s="204" t="s">
        <v>118</v>
      </c>
      <c r="DI25" s="205" t="s">
        <v>122</v>
      </c>
      <c r="DJ25" s="205" t="s">
        <v>126</v>
      </c>
      <c r="DK25" s="205" t="s">
        <v>111</v>
      </c>
      <c r="DL25" s="207" t="s">
        <v>111</v>
      </c>
      <c r="DM25" s="204" t="s">
        <v>126</v>
      </c>
      <c r="DN25" s="204" t="s">
        <v>122</v>
      </c>
      <c r="DO25" s="204" t="s">
        <v>118</v>
      </c>
      <c r="DP25" s="205"/>
      <c r="DQ25" s="206">
        <f t="shared" si="87"/>
        <v>4</v>
      </c>
      <c r="DR25" s="206">
        <f t="shared" si="87"/>
        <v>0</v>
      </c>
      <c r="DS25" s="206">
        <f t="shared" si="87"/>
        <v>0</v>
      </c>
      <c r="DT25" s="206">
        <f t="shared" si="87"/>
        <v>2</v>
      </c>
      <c r="DU25" s="208">
        <f t="shared" si="88"/>
        <v>6</v>
      </c>
      <c r="DV25" s="205"/>
      <c r="DW25" s="205"/>
      <c r="DX25" s="205"/>
      <c r="EF25" s="272"/>
      <c r="EG25" s="196"/>
      <c r="EH25" s="197" t="str">
        <f>Fixtures!G15</f>
        <v>Poland</v>
      </c>
      <c r="EI25" s="198" t="s">
        <v>583</v>
      </c>
      <c r="EJ25" s="197" t="str">
        <f>"'Countries and Timezone'!"&amp;VLOOKUP(Fixtures!P29,$EH$7:$EI$38,2,FALSE)</f>
        <v>'Countries and Timezone'!B26</v>
      </c>
      <c r="EL25" s="199">
        <v>44365.625</v>
      </c>
      <c r="EM25" s="200">
        <f t="shared" si="51"/>
        <v>44365.625</v>
      </c>
      <c r="EO25" s="202">
        <v>-3.5</v>
      </c>
      <c r="EP25" s="191">
        <v>-6</v>
      </c>
      <c r="EQ25" s="191" t="s">
        <v>584</v>
      </c>
      <c r="ER25" s="191" t="s">
        <v>585</v>
      </c>
    </row>
    <row r="26" spans="1:148" x14ac:dyDescent="0.35">
      <c r="A26" s="191">
        <f>VLOOKUP(B26,$CW$25:$CX$29,2,FALSE)</f>
        <v>3</v>
      </c>
      <c r="B26" s="191" t="str">
        <f>'Dummy Table'!EH20</f>
        <v>Czech Republic</v>
      </c>
      <c r="C26" s="191">
        <f>SUMPRODUCT(($CZ$3:$CZ$42=$B26)*($DD$3:$DD$42="W"))+SUMPRODUCT(($DC$3:$DC$42=$B26)*($DE$3:$DE$42="W"))</f>
        <v>1</v>
      </c>
      <c r="D26" s="191">
        <f>SUMPRODUCT(($CZ$3:$CZ$42=$B26)*($DD$3:$DD$42="D"))+SUMPRODUCT(($DC$3:$DC$42=$B26)*($DE$3:$DE$42="D"))</f>
        <v>1</v>
      </c>
      <c r="E26" s="191">
        <f>SUMPRODUCT(($CZ$3:$CZ$42=$B26)*($DD$3:$DD$42="L"))+SUMPRODUCT(($DC$3:$DC$42=$B26)*($DE$3:$DE$42="L"))</f>
        <v>1</v>
      </c>
      <c r="F26" s="191">
        <f>SUMIF($CZ$3:$CZ$60,B26,$DA$3:$DA$60)+SUMIF($DC$3:$DC$60,B26,$DB$3:$DB$60)</f>
        <v>3</v>
      </c>
      <c r="G26" s="191">
        <f>SUMIF($DC$3:$DC$60,B26,$DA$3:$DA$60)+SUMIF($CZ$3:$CZ$60,B26,$DB$3:$DB$60)</f>
        <v>2</v>
      </c>
      <c r="H26" s="191">
        <f t="shared" si="144"/>
        <v>1001</v>
      </c>
      <c r="I26" s="191">
        <f t="shared" si="145"/>
        <v>4</v>
      </c>
      <c r="J26" s="191">
        <v>38</v>
      </c>
      <c r="K26" s="191">
        <f>IF(COUNTIF(I25:I29,4)&lt;&gt;4,RANK(I26,I25:I29),I66)</f>
        <v>2</v>
      </c>
      <c r="M26" s="191">
        <f>SUMPRODUCT((K25:K28=K26)*(J25:J28&lt;J26))+K26</f>
        <v>2</v>
      </c>
      <c r="N26" s="191" t="str">
        <f>INDEX($B$25:$B$29,MATCH(2,$M$25:$M$29,0),0)</f>
        <v>Czech Republic</v>
      </c>
      <c r="O26" s="191">
        <f>INDEX($K$25:$K$29,MATCH(N26,$B$25:$B$29,0),0)</f>
        <v>2</v>
      </c>
      <c r="P26" s="191" t="str">
        <f>IF(P25&lt;&gt;"",N26,"")</f>
        <v/>
      </c>
      <c r="Q26" s="191" t="str">
        <f>IF(Q25&lt;&gt;"",N27,"")</f>
        <v>Croatia</v>
      </c>
      <c r="R26" s="191" t="str">
        <f>IF(R25&lt;&gt;"",N28,"")</f>
        <v/>
      </c>
      <c r="S26" s="191" t="str">
        <f>IF(S25&lt;&gt;"",N29,"")</f>
        <v/>
      </c>
      <c r="U26" s="191" t="str">
        <f t="shared" ref="U26:U28" si="151">IF(P26&lt;&gt;"",P26,"")</f>
        <v/>
      </c>
      <c r="V26" s="191">
        <f>SUMPRODUCT(($CZ$3:$CZ$42=$U26)*($DC$3:$DC$42=$U27)*($DD$3:$DD$42="W"))+SUMPRODUCT(($CZ$3:$CZ$42=$U26)*($DC$3:$DC$42=$U28)*($DD$3:$DD$42="W"))+SUMPRODUCT(($CZ$3:$CZ$42=$U26)*($DC$3:$DC$42=$U29)*($DD$3:$DD$42="W"))+SUMPRODUCT(($CZ$3:$CZ$42=$U26)*($DC$3:$DC$42=$U25)*($DD$3:$DD$42="W"))+SUMPRODUCT(($CZ$3:$CZ$42=$U27)*($DC$3:$DC$42=$U26)*($DE$3:$DE$42="W"))+SUMPRODUCT(($CZ$3:$CZ$42=$U28)*($DC$3:$DC$42=$U26)*($DE$3:$DE$42="W"))+SUMPRODUCT(($CZ$3:$CZ$42=$U29)*($DC$3:$DC$42=$U26)*($DE$3:$DE$42="W"))+SUMPRODUCT(($CZ$3:$CZ$42=$U25)*($DC$3:$DC$42=$U26)*($DE$3:$DE$42="W"))</f>
        <v>0</v>
      </c>
      <c r="W26" s="191">
        <f>SUMPRODUCT(($CZ$3:$CZ$42=$U26)*($DC$3:$DC$42=$U27)*($DD$3:$DD$42="D"))+SUMPRODUCT(($CZ$3:$CZ$42=$U26)*($DC$3:$DC$42=$U28)*($DD$3:$DD$42="D"))+SUMPRODUCT(($CZ$3:$CZ$42=$U26)*($DC$3:$DC$42=$U29)*($DD$3:$DD$42="D"))+SUMPRODUCT(($CZ$3:$CZ$42=$U26)*($DC$3:$DC$42=$U25)*($DD$3:$DD$42="D"))+SUMPRODUCT(($CZ$3:$CZ$42=$U27)*($DC$3:$DC$42=$U26)*($DD$3:$DD$42="D"))+SUMPRODUCT(($CZ$3:$CZ$42=$U28)*($DC$3:$DC$42=$U26)*($DD$3:$DD$42="D"))+SUMPRODUCT(($CZ$3:$CZ$42=$U29)*($DC$3:$DC$42=$U26)*($DD$3:$DD$42="D"))+SUMPRODUCT(($CZ$3:$CZ$42=$U25)*($DC$3:$DC$42=$U26)*($DD$3:$DD$42="D"))</f>
        <v>0</v>
      </c>
      <c r="X26" s="191">
        <f>SUMPRODUCT(($CZ$3:$CZ$42=$U26)*($DC$3:$DC$42=$U27)*($DD$3:$DD$42="L"))+SUMPRODUCT(($CZ$3:$CZ$42=$U26)*($DC$3:$DC$42=$U28)*($DD$3:$DD$42="L"))+SUMPRODUCT(($CZ$3:$CZ$42=$U26)*($DC$3:$DC$42=$U29)*($DD$3:$DD$42="L"))+SUMPRODUCT(($CZ$3:$CZ$42=$U26)*($DC$3:$DC$42=$U25)*($DD$3:$DD$42="L"))+SUMPRODUCT(($CZ$3:$CZ$42=$U27)*($DC$3:$DC$42=$U26)*($DE$3:$DE$42="L"))+SUMPRODUCT(($CZ$3:$CZ$42=$U28)*($DC$3:$DC$42=$U26)*($DE$3:$DE$42="L"))+SUMPRODUCT(($CZ$3:$CZ$42=$U29)*($DC$3:$DC$42=$U26)*($DE$3:$DE$42="L"))+SUMPRODUCT(($CZ$3:$CZ$42=$U25)*($DC$3:$DC$42=$U26)*($DE$3:$DE$42="L"))</f>
        <v>0</v>
      </c>
      <c r="Y26" s="191">
        <f>SUMPRODUCT(($CZ$3:$CZ$42=$U26)*($DC$3:$DC$42=$U27)*$DA$3:$DA$42)+SUMPRODUCT(($CZ$3:$CZ$42=$U26)*($DC$3:$DC$42=$U28)*$DA$3:$DA$42)+SUMPRODUCT(($CZ$3:$CZ$42=$U26)*($DC$3:$DC$42=$U29)*$DA$3:$DA$42)+SUMPRODUCT(($CZ$3:$CZ$42=$U26)*($DC$3:$DC$42=$U25)*$DA$3:$DA$42)+SUMPRODUCT(($CZ$3:$CZ$42=$U27)*($DC$3:$DC$42=$U26)*$DB$3:$DB$42)+SUMPRODUCT(($CZ$3:$CZ$42=$U28)*($DC$3:$DC$42=$U26)*$DB$3:$DB$42)+SUMPRODUCT(($CZ$3:$CZ$42=$U29)*($DC$3:$DC$42=$U26)*$DB$3:$DB$42)+SUMPRODUCT(($CZ$3:$CZ$42=$U25)*($DC$3:$DC$42=$U26)*$DB$3:$DB$42)</f>
        <v>0</v>
      </c>
      <c r="Z26" s="191">
        <f>SUMPRODUCT(($CZ$3:$CZ$42=$U26)*($DC$3:$DC$42=$U27)*$DB$3:$DB$42)+SUMPRODUCT(($CZ$3:$CZ$42=$U26)*($DC$3:$DC$42=$U28)*$DB$3:$DB$42)+SUMPRODUCT(($CZ$3:$CZ$42=$U26)*($DC$3:$DC$42=$U29)*$DB$3:$DB$42)+SUMPRODUCT(($CZ$3:$CZ$42=$U26)*($DC$3:$DC$42=$U25)*$DB$3:$DB$42)+SUMPRODUCT(($CZ$3:$CZ$42=$U27)*($DC$3:$DC$42=$U26)*$DA$3:$DA$42)+SUMPRODUCT(($CZ$3:$CZ$42=$U28)*($DC$3:$DC$42=$U26)*$DA$3:$DA$42)+SUMPRODUCT(($CZ$3:$CZ$42=$U29)*($DC$3:$DC$42=$U26)*$DA$3:$DA$42)+SUMPRODUCT(($CZ$3:$CZ$42=$U25)*($DC$3:$DC$42=$U26)*$DA$3:$DA$42)</f>
        <v>0</v>
      </c>
      <c r="AA26" s="191">
        <f>Y26-Z26+1000</f>
        <v>1000</v>
      </c>
      <c r="AB26" s="191" t="str">
        <f t="shared" si="146"/>
        <v/>
      </c>
      <c r="AC26" s="191" t="str">
        <f t="shared" si="147"/>
        <v/>
      </c>
      <c r="AD26" s="191" t="str">
        <f t="shared" si="148"/>
        <v/>
      </c>
      <c r="AE26" s="191" t="str">
        <f t="shared" si="149"/>
        <v/>
      </c>
      <c r="AF26" s="191" t="str">
        <f t="shared" si="150"/>
        <v/>
      </c>
      <c r="AG26" s="191" t="str">
        <f>IF(U26&lt;&gt;"",RANK(AF26,$AF$25:$AF$29),"")</f>
        <v/>
      </c>
      <c r="AH26" s="191" t="str">
        <f t="shared" ref="AH26:AH28" si="152">IF(U26&lt;&gt;"",SUMPRODUCT((AF$25:AF$29=AF26)*(AA$25:AA$29&gt;AA26)),"")</f>
        <v/>
      </c>
      <c r="AI26" s="191" t="str">
        <f t="shared" ref="AI26:AI28" si="153">IF(U26&lt;&gt;"",SUMPRODUCT((AF$25:AF$29=AF26)*(AA$25:AA$29=AA26)*(Y$25:Y$29&gt;Y26)),"")</f>
        <v/>
      </c>
      <c r="AJ26" s="191" t="str">
        <f t="shared" ref="AJ26:AJ28" si="154">IF(U26&lt;&gt;"",SUMPRODUCT((AF$25:AF$29=AF26)*(AA$25:AA$29=AA26)*(Y$25:Y$29=Y26)*(AC$25:AC$29&gt;AC26)),"")</f>
        <v/>
      </c>
      <c r="AK26" s="191" t="str">
        <f t="shared" ref="AK26:AK28" si="155">IF(U26&lt;&gt;"",SUMPRODUCT((AF$25:AF$29=AF26)*(AA$25:AA$29=AA26)*(Y$25:Y$29=Y26)*(AC$25:AC$29=AC26)*(AD$25:AD$29&gt;AD26)),"")</f>
        <v/>
      </c>
      <c r="AL26" s="191" t="str">
        <f t="shared" ref="AL26:AL28" si="156">IF(U26&lt;&gt;"",SUMPRODUCT((AF$25:AF$29=AF26)*(AA$25:AA$29=AA26)*(Y$25:Y$29=Y26)*(AC$25:AC$29=AC26)*(AD$25:AD$29=AD26)*(AE$25:AE$29&gt;AE26)),"")</f>
        <v/>
      </c>
      <c r="AM26" s="191" t="str">
        <f t="shared" ref="AM26:AM28" si="157">IF(U26&lt;&gt;"",IF(AM66&lt;&gt;"",IF(T$64=3,AM66,AM66+T$64),SUM(AG26:AL26)),"")</f>
        <v/>
      </c>
      <c r="AN26" s="191" t="str">
        <f>IF(U26&lt;&gt;"",INDEX($U$25:$U$29,MATCH(2,$AM$25:$AM$29,0),0),"")</f>
        <v/>
      </c>
      <c r="AO26" s="191" t="str">
        <f>IF(Q25&lt;&gt;"",Q25,"")</f>
        <v>Czech Republic</v>
      </c>
      <c r="AP26" s="191">
        <f>SUMPRODUCT(($CZ$3:$CZ$42=$AO26)*($DC$3:$DC$42=$AO27)*($DD$3:$DD$42="W"))+SUMPRODUCT(($CZ$3:$CZ$42=$AO26)*($DC$3:$DC$42=$AO28)*($DD$3:$DD$42="W"))+SUMPRODUCT(($CZ$3:$CZ$42=$AO26)*($DC$3:$DC$42=$AO29)*($DD$3:$DD$42="W"))+SUMPRODUCT(($CZ$3:$CZ$42=$AO27)*($DC$3:$DC$42=$AO26)*($DE$3:$DE$42="W"))+SUMPRODUCT(($CZ$3:$CZ$42=$AO28)*($DC$3:$DC$42=$AO26)*($DE$3:$DE$42="W"))+SUMPRODUCT(($CZ$3:$CZ$42=$AO29)*($DC$3:$DC$42=$AO26)*($DE$3:$DE$42="W"))</f>
        <v>0</v>
      </c>
      <c r="AQ26" s="191">
        <f>SUMPRODUCT(($CZ$3:$CZ$42=$AO26)*($DC$3:$DC$42=$AO27)*($DD$3:$DD$42="D"))+SUMPRODUCT(($CZ$3:$CZ$42=$AO26)*($DC$3:$DC$42=$AO28)*($DD$3:$DD$42="D"))+SUMPRODUCT(($CZ$3:$CZ$42=$AO26)*($DC$3:$DC$42=$AO29)*($DD$3:$DD$42="D"))+SUMPRODUCT(($CZ$3:$CZ$42=$AO27)*($DC$3:$DC$42=$AO26)*($DD$3:$DD$42="D"))+SUMPRODUCT(($CZ$3:$CZ$42=$AO28)*($DC$3:$DC$42=$AO26)*($DD$3:$DD$42="D"))+SUMPRODUCT(($CZ$3:$CZ$42=$AO29)*($DC$3:$DC$42=$AO26)*($DD$3:$DD$42="D"))</f>
        <v>1</v>
      </c>
      <c r="AR26" s="191">
        <f>SUMPRODUCT(($CZ$3:$CZ$42=$AO26)*($DC$3:$DC$42=$AO27)*($DD$3:$DD$42="L"))+SUMPRODUCT(($CZ$3:$CZ$42=$AO26)*($DC$3:$DC$42=$AO28)*($DD$3:$DD$42="L"))+SUMPRODUCT(($CZ$3:$CZ$42=$AO26)*($DC$3:$DC$42=$AO29)*($DD$3:$DD$42="L"))+SUMPRODUCT(($CZ$3:$CZ$42=$AO27)*($DC$3:$DC$42=$AO26)*($DE$3:$DE$42="L"))+SUMPRODUCT(($CZ$3:$CZ$42=$AO28)*($DC$3:$DC$42=$AO26)*($DE$3:$DE$42="L"))+SUMPRODUCT(($CZ$3:$CZ$42=$AO29)*($DC$3:$DC$42=$AO26)*($DE$3:$DE$42="L"))</f>
        <v>0</v>
      </c>
      <c r="AS26" s="191">
        <f>SUMPRODUCT(($CZ$3:$CZ$42=$AO26)*($DC$3:$DC$42=$AO27)*$DA$3:$DA$42)+SUMPRODUCT(($CZ$3:$CZ$42=$AO26)*($DC$3:$DC$42=$AO28)*$DA$3:$DA$42)+SUMPRODUCT(($CZ$3:$CZ$42=$AO26)*($DC$3:$DC$42=$AO29)*$DA$3:$DA$42)+SUMPRODUCT(($CZ$3:$CZ$42=$AO26)*($DC$3:$DC$42=$AO25)*$DA$3:$DA$42)+SUMPRODUCT(($CZ$3:$CZ$42=$AO27)*($DC$3:$DC$42=$AO26)*$DB$3:$DB$42)+SUMPRODUCT(($CZ$3:$CZ$42=$AO28)*($DC$3:$DC$42=$AO26)*$DB$3:$DB$42)+SUMPRODUCT(($CZ$3:$CZ$42=$AO29)*($DC$3:$DC$42=$AO26)*$DB$3:$DB$42)+SUMPRODUCT(($CZ$3:$CZ$42=$AO25)*($DC$3:$DC$42=$AO26)*$DB$3:$DB$42)</f>
        <v>1</v>
      </c>
      <c r="AT26" s="191">
        <f>SUMPRODUCT(($CZ$3:$CZ$42=$AO26)*($DC$3:$DC$42=$AO27)*$DB$3:$DB$42)+SUMPRODUCT(($CZ$3:$CZ$42=$AO26)*($DC$3:$DC$42=$AO28)*$DB$3:$DB$42)+SUMPRODUCT(($CZ$3:$CZ$42=$AO26)*($DC$3:$DC$42=$AO29)*$DB$3:$DB$42)+SUMPRODUCT(($CZ$3:$CZ$42=$AO26)*($DC$3:$DC$42=$AO25)*$DB$3:$DB$42)+SUMPRODUCT(($CZ$3:$CZ$42=$AO27)*($DC$3:$DC$42=$AO26)*$DA$3:$DA$42)+SUMPRODUCT(($CZ$3:$CZ$42=$AO28)*($DC$3:$DC$42=$AO26)*$DA$3:$DA$42)+SUMPRODUCT(($CZ$3:$CZ$42=$AO29)*($DC$3:$DC$42=$AO26)*$DA$3:$DA$42)+SUMPRODUCT(($CZ$3:$CZ$42=$AO25)*($DC$3:$DC$42=$AO26)*$DA$3:$DA$42)</f>
        <v>1</v>
      </c>
      <c r="AU26" s="191">
        <f>AS26-AT26+1000</f>
        <v>1000</v>
      </c>
      <c r="AV26" s="191">
        <f t="shared" ref="AV26:AV28" si="158">IF(AO26&lt;&gt;"",AP26*3+AQ26*1,"")</f>
        <v>1</v>
      </c>
      <c r="AW26" s="191">
        <f t="shared" ref="AW26:AW28" si="159">IF(AO26&lt;&gt;"",VLOOKUP(AO26,$B$4:$H$40,7,FALSE),"")</f>
        <v>1001</v>
      </c>
      <c r="AX26" s="191">
        <f t="shared" ref="AX26:AX28" si="160">IF(AO26&lt;&gt;"",VLOOKUP(AO26,$B$4:$H$40,5,FALSE),"")</f>
        <v>3</v>
      </c>
      <c r="AY26" s="191">
        <f t="shared" ref="AY26:AY28" si="161">IF(AO26&lt;&gt;"",VLOOKUP(AO26,$B$4:$J$40,9,FALSE),"")</f>
        <v>38</v>
      </c>
      <c r="AZ26" s="191">
        <f t="shared" ref="AZ26:AZ28" si="162">AV26</f>
        <v>1</v>
      </c>
      <c r="BA26" s="191">
        <f>IF(AO26&lt;&gt;"",RANK(AZ26,AZ$25:AZ$29),"")</f>
        <v>1</v>
      </c>
      <c r="BB26" s="191">
        <f t="shared" ref="BB26:BB28" si="163">IF(AO26&lt;&gt;"",SUMPRODUCT((AZ$25:AZ$29=AZ26)*(AU$25:AU$29&gt;AU26)),"")</f>
        <v>0</v>
      </c>
      <c r="BC26" s="191">
        <f t="shared" ref="BC26:BC28" si="164">IF(AO26&lt;&gt;"",SUMPRODUCT((AZ$25:AZ$29=AZ26)*(AU$25:AU$29=AU26)*(AS$25:AS$29&gt;AS26)),"")</f>
        <v>0</v>
      </c>
      <c r="BD26" s="191">
        <f t="shared" ref="BD26:BD28" si="165">IF(AO26&lt;&gt;"",SUMPRODUCT((AZ$25:AZ$29=AZ26)*(AU$25:AU$29=AU26)*(AS$25:AS$29=AS26)*(AW$25:AW$29&gt;AW26)),"")</f>
        <v>0</v>
      </c>
      <c r="BE26" s="191">
        <f t="shared" ref="BE26:BE28" si="166">IF(AO26&lt;&gt;"",SUMPRODUCT((AZ$25:AZ$29=AZ26)*(AU$25:AU$29=AU26)*(AS$25:AS$29=AS26)*(AW$25:AW$29=AW26)*(AX$25:AX$29&gt;AX26)),"")</f>
        <v>1</v>
      </c>
      <c r="BF26" s="191">
        <f t="shared" ref="BF26:BF28" si="167">IF(AO26&lt;&gt;"",SUMPRODUCT((AZ$25:AZ$29=AZ26)*(AU$25:AU$29=AU26)*(AS$25:AS$29=AS26)*(AW$25:AW$29=AW26)*(AX$25:AX$29=AX26)*(AY$25:AY$29&gt;AY26)),"")</f>
        <v>0</v>
      </c>
      <c r="BG26" s="191">
        <f>IF(AO26&lt;&gt;"",IF(BG66&lt;&gt;"",IF(AN$64=3,BG66,BG66+AN$64),SUM(BA26:BF26)+1),"")</f>
        <v>3</v>
      </c>
      <c r="BH26" s="191" t="str">
        <f>IF(AO26&lt;&gt;"",INDEX(AO26:AO29,MATCH(2,BG26:BG29,0),0),"")</f>
        <v>Croatia</v>
      </c>
      <c r="CW26" s="191" t="str">
        <f>IF(BH26&lt;&gt;"",BH26,IF(AN26&lt;&gt;"",AN26,N26))</f>
        <v>Croatia</v>
      </c>
      <c r="CX26" s="191">
        <v>2</v>
      </c>
      <c r="CY26" s="191">
        <v>24</v>
      </c>
      <c r="CZ26" s="191" t="str">
        <f>Fixtures!G30</f>
        <v>Spain</v>
      </c>
      <c r="DA26" s="191">
        <f>IF(AND(Fixtures!H30&lt;&gt;"",Fixtures!I30&lt;&gt;""),Fixtures!H30,0)</f>
        <v>1</v>
      </c>
      <c r="DB26" s="191">
        <f>IF(AND(Fixtures!I30&lt;&gt;"",Fixtures!H30&lt;&gt;""),Fixtures!I30,0)</f>
        <v>1</v>
      </c>
      <c r="DC26" s="191" t="str">
        <f>Fixtures!J30</f>
        <v>Poland</v>
      </c>
      <c r="DD26" s="191" t="str">
        <f>IF(AND(Fixtures!H30&lt;&gt;"",Fixtures!I30&lt;&gt;""),IF(DA26&gt;DB26,"W",IF(DA26=DB26,"D","L")),"")</f>
        <v>D</v>
      </c>
      <c r="DE26" s="191" t="str">
        <f t="shared" si="1"/>
        <v>D</v>
      </c>
      <c r="DH26" s="204" t="s">
        <v>118</v>
      </c>
      <c r="DI26" s="205" t="s">
        <v>109</v>
      </c>
      <c r="DJ26" s="205" t="s">
        <v>126</v>
      </c>
      <c r="DK26" s="205" t="s">
        <v>111</v>
      </c>
      <c r="DL26" s="204" t="s">
        <v>111</v>
      </c>
      <c r="DM26" s="204" t="s">
        <v>126</v>
      </c>
      <c r="DN26" s="204" t="s">
        <v>109</v>
      </c>
      <c r="DO26" s="204" t="s">
        <v>118</v>
      </c>
      <c r="DP26" s="205"/>
      <c r="DQ26" s="206">
        <f t="shared" si="87"/>
        <v>4</v>
      </c>
      <c r="DR26" s="206">
        <f t="shared" si="87"/>
        <v>2</v>
      </c>
      <c r="DS26" s="206">
        <f t="shared" si="87"/>
        <v>0</v>
      </c>
      <c r="DT26" s="206">
        <f t="shared" si="87"/>
        <v>0</v>
      </c>
      <c r="DU26" s="206">
        <f t="shared" si="88"/>
        <v>6</v>
      </c>
      <c r="DV26" s="205"/>
      <c r="DW26" s="205"/>
      <c r="DX26" s="205"/>
      <c r="EF26" s="272"/>
      <c r="EG26" s="196"/>
      <c r="EH26" s="197" t="str">
        <f>Fixtures!J15</f>
        <v>Slovakia</v>
      </c>
      <c r="EI26" s="198" t="s">
        <v>586</v>
      </c>
      <c r="EJ26" s="197" t="str">
        <f>"'Countries and Timezone'!"&amp;VLOOKUP(Fixtures!P30,$EH$7:$EI$38,2,FALSE)</f>
        <v>'Countries and Timezone'!B25</v>
      </c>
      <c r="EL26" s="199">
        <v>44365.75</v>
      </c>
      <c r="EM26" s="200">
        <f t="shared" si="51"/>
        <v>44365.75</v>
      </c>
      <c r="EO26" s="202">
        <v>-3</v>
      </c>
      <c r="EP26" s="191">
        <v>-5</v>
      </c>
      <c r="EQ26" s="191" t="s">
        <v>587</v>
      </c>
      <c r="ER26" s="191" t="s">
        <v>588</v>
      </c>
    </row>
    <row r="27" spans="1:148" x14ac:dyDescent="0.35">
      <c r="A27" s="191">
        <f>VLOOKUP(B27,$CW$25:$CX$29,2,FALSE)</f>
        <v>1</v>
      </c>
      <c r="B27" s="191" t="str">
        <f>'Dummy Table'!EH21</f>
        <v>England</v>
      </c>
      <c r="C27" s="191">
        <f>SUMPRODUCT(($CZ$3:$CZ$42=$B27)*($DD$3:$DD$42="W"))+SUMPRODUCT(($DC$3:$DC$42=$B27)*($DE$3:$DE$42="W"))</f>
        <v>2</v>
      </c>
      <c r="D27" s="191">
        <f>SUMPRODUCT(($CZ$3:$CZ$42=$B27)*($DD$3:$DD$42="D"))+SUMPRODUCT(($DC$3:$DC$42=$B27)*($DE$3:$DE$42="D"))</f>
        <v>1</v>
      </c>
      <c r="E27" s="191">
        <f>SUMPRODUCT(($CZ$3:$CZ$42=$B27)*($DD$3:$DD$42="L"))+SUMPRODUCT(($DC$3:$DC$42=$B27)*($DE$3:$DE$42="L"))</f>
        <v>0</v>
      </c>
      <c r="F27" s="191">
        <f>SUMIF($CZ$3:$CZ$60,B27,$DA$3:$DA$60)+SUMIF($DC$3:$DC$60,B27,$DB$3:$DB$60)</f>
        <v>2</v>
      </c>
      <c r="G27" s="191">
        <f>SUMIF($DC$3:$DC$60,B27,$DA$3:$DA$60)+SUMIF($CZ$3:$CZ$60,B27,$DB$3:$DB$60)</f>
        <v>0</v>
      </c>
      <c r="H27" s="191">
        <f t="shared" si="144"/>
        <v>1002</v>
      </c>
      <c r="I27" s="191">
        <f t="shared" si="145"/>
        <v>7</v>
      </c>
      <c r="J27" s="191">
        <v>53</v>
      </c>
      <c r="K27" s="191">
        <f>IF(COUNTIF(I25:I29,4)&lt;&gt;4,RANK(I27,I25:I29),I67)</f>
        <v>1</v>
      </c>
      <c r="M27" s="191">
        <f>SUMPRODUCT((K25:K28=K27)*(J25:J28&lt;J27))+K27</f>
        <v>1</v>
      </c>
      <c r="N27" s="191" t="str">
        <f>INDEX($B$25:$B$29,MATCH(3,$M$25:$M$29,0),0)</f>
        <v>Croatia</v>
      </c>
      <c r="O27" s="191">
        <f>INDEX($K$25:$K$29,MATCH(N27,$B$25:$B$29,0),0)</f>
        <v>2</v>
      </c>
      <c r="P27" s="191" t="str">
        <f>IF(AND(P26&lt;&gt;"",O27=1),N27,"")</f>
        <v/>
      </c>
      <c r="Q27" s="191" t="str">
        <f>IF(AND(Q26&lt;&gt;"",O28=2),N28,"")</f>
        <v/>
      </c>
      <c r="R27" s="191" t="str">
        <f>IF(AND(R26&lt;&gt;"",O29=3),N29,"")</f>
        <v/>
      </c>
      <c r="U27" s="191" t="str">
        <f t="shared" si="151"/>
        <v/>
      </c>
      <c r="V27" s="191">
        <f>SUMPRODUCT(($CZ$3:$CZ$42=$U27)*($DC$3:$DC$42=$U28)*($DD$3:$DD$42="W"))+SUMPRODUCT(($CZ$3:$CZ$42=$U27)*($DC$3:$DC$42=$U29)*($DD$3:$DD$42="W"))+SUMPRODUCT(($CZ$3:$CZ$42=$U27)*($DC$3:$DC$42=$U25)*($DD$3:$DD$42="W"))+SUMPRODUCT(($CZ$3:$CZ$42=$U27)*($DC$3:$DC$42=$U26)*($DD$3:$DD$42="W"))+SUMPRODUCT(($CZ$3:$CZ$42=$U28)*($DC$3:$DC$42=$U27)*($DE$3:$DE$42="W"))+SUMPRODUCT(($CZ$3:$CZ$42=$U29)*($DC$3:$DC$42=$U27)*($DE$3:$DE$42="W"))+SUMPRODUCT(($CZ$3:$CZ$42=$U25)*($DC$3:$DC$42=$U27)*($DE$3:$DE$42="W"))+SUMPRODUCT(($CZ$3:$CZ$42=$U26)*($DC$3:$DC$42=$U27)*($DE$3:$DE$42="W"))</f>
        <v>0</v>
      </c>
      <c r="W27" s="191">
        <f>SUMPRODUCT(($CZ$3:$CZ$42=$U27)*($DC$3:$DC$42=$U28)*($DD$3:$DD$42="D"))+SUMPRODUCT(($CZ$3:$CZ$42=$U27)*($DC$3:$DC$42=$U29)*($DD$3:$DD$42="D"))+SUMPRODUCT(($CZ$3:$CZ$42=$U27)*($DC$3:$DC$42=$U25)*($DD$3:$DD$42="D"))+SUMPRODUCT(($CZ$3:$CZ$42=$U27)*($DC$3:$DC$42=$U26)*($DD$3:$DD$42="D"))+SUMPRODUCT(($CZ$3:$CZ$42=$U28)*($DC$3:$DC$42=$U27)*($DD$3:$DD$42="D"))+SUMPRODUCT(($CZ$3:$CZ$42=$U29)*($DC$3:$DC$42=$U27)*($DD$3:$DD$42="D"))+SUMPRODUCT(($CZ$3:$CZ$42=$U25)*($DC$3:$DC$42=$U27)*($DD$3:$DD$42="D"))+SUMPRODUCT(($CZ$3:$CZ$42=$U26)*($DC$3:$DC$42=$U27)*($DD$3:$DD$42="D"))</f>
        <v>0</v>
      </c>
      <c r="X27" s="191">
        <f>SUMPRODUCT(($CZ$3:$CZ$42=$U27)*($DC$3:$DC$42=$U28)*($DD$3:$DD$42="L"))+SUMPRODUCT(($CZ$3:$CZ$42=$U27)*($DC$3:$DC$42=$U29)*($DD$3:$DD$42="L"))+SUMPRODUCT(($CZ$3:$CZ$42=$U27)*($DC$3:$DC$42=$U25)*($DD$3:$DD$42="L"))+SUMPRODUCT(($CZ$3:$CZ$42=$U27)*($DC$3:$DC$42=$U26)*($DD$3:$DD$42="L"))+SUMPRODUCT(($CZ$3:$CZ$42=$U28)*($DC$3:$DC$42=$U27)*($DE$3:$DE$42="L"))+SUMPRODUCT(($CZ$3:$CZ$42=$U29)*($DC$3:$DC$42=$U27)*($DE$3:$DE$42="L"))+SUMPRODUCT(($CZ$3:$CZ$42=$U25)*($DC$3:$DC$42=$U27)*($DE$3:$DE$42="L"))+SUMPRODUCT(($CZ$3:$CZ$42=$U26)*($DC$3:$DC$42=$U27)*($DE$3:$DE$42="L"))</f>
        <v>0</v>
      </c>
      <c r="Y27" s="191">
        <f>SUMPRODUCT(($CZ$3:$CZ$42=$U27)*($DC$3:$DC$42=$U28)*$DA$3:$DA$42)+SUMPRODUCT(($CZ$3:$CZ$42=$U27)*($DC$3:$DC$42=$U29)*$DA$3:$DA$42)+SUMPRODUCT(($CZ$3:$CZ$42=$U27)*($DC$3:$DC$42=$U25)*$DA$3:$DA$42)+SUMPRODUCT(($CZ$3:$CZ$42=$U27)*($DC$3:$DC$42=$U26)*$DA$3:$DA$42)+SUMPRODUCT(($CZ$3:$CZ$42=$U28)*($DC$3:$DC$42=$U27)*$DB$3:$DB$42)+SUMPRODUCT(($CZ$3:$CZ$42=$U29)*($DC$3:$DC$42=$U27)*$DB$3:$DB$42)+SUMPRODUCT(($CZ$3:$CZ$42=$U25)*($DC$3:$DC$42=$U27)*$DB$3:$DB$42)+SUMPRODUCT(($CZ$3:$CZ$42=$U26)*($DC$3:$DC$42=$U27)*$DB$3:$DB$42)</f>
        <v>0</v>
      </c>
      <c r="Z27" s="191">
        <f>SUMPRODUCT(($CZ$3:$CZ$42=$U27)*($DC$3:$DC$42=$U28)*$DB$3:$DB$42)+SUMPRODUCT(($CZ$3:$CZ$42=$U27)*($DC$3:$DC$42=$U29)*$DB$3:$DB$42)+SUMPRODUCT(($CZ$3:$CZ$42=$U27)*($DC$3:$DC$42=$U25)*$DB$3:$DB$42)+SUMPRODUCT(($CZ$3:$CZ$42=$U27)*($DC$3:$DC$42=$U26)*$DB$3:$DB$42)+SUMPRODUCT(($CZ$3:$CZ$42=$U28)*($DC$3:$DC$42=$U27)*$DA$3:$DA$42)+SUMPRODUCT(($CZ$3:$CZ$42=$U29)*($DC$3:$DC$42=$U27)*$DA$3:$DA$42)+SUMPRODUCT(($CZ$3:$CZ$42=$U25)*($DC$3:$DC$42=$U27)*$DA$3:$DA$42)+SUMPRODUCT(($CZ$3:$CZ$42=$U26)*($DC$3:$DC$42=$U27)*$DA$3:$DA$42)</f>
        <v>0</v>
      </c>
      <c r="AA27" s="191">
        <f>Y27-Z27+1000</f>
        <v>1000</v>
      </c>
      <c r="AB27" s="191" t="str">
        <f t="shared" si="146"/>
        <v/>
      </c>
      <c r="AC27" s="191" t="str">
        <f t="shared" si="147"/>
        <v/>
      </c>
      <c r="AD27" s="191" t="str">
        <f t="shared" si="148"/>
        <v/>
      </c>
      <c r="AE27" s="191" t="str">
        <f t="shared" si="149"/>
        <v/>
      </c>
      <c r="AF27" s="191" t="str">
        <f t="shared" si="150"/>
        <v/>
      </c>
      <c r="AG27" s="191" t="str">
        <f>IF(U27&lt;&gt;"",RANK(AF27,$AF$25:$AF$29),"")</f>
        <v/>
      </c>
      <c r="AH27" s="191" t="str">
        <f t="shared" si="152"/>
        <v/>
      </c>
      <c r="AI27" s="191" t="str">
        <f t="shared" si="153"/>
        <v/>
      </c>
      <c r="AJ27" s="191" t="str">
        <f t="shared" si="154"/>
        <v/>
      </c>
      <c r="AK27" s="191" t="str">
        <f t="shared" si="155"/>
        <v/>
      </c>
      <c r="AL27" s="191" t="str">
        <f t="shared" si="156"/>
        <v/>
      </c>
      <c r="AM27" s="191" t="str">
        <f t="shared" si="157"/>
        <v/>
      </c>
      <c r="AN27" s="191" t="str">
        <f>IF(U27&lt;&gt;"",INDEX($U$25:$U$29,MATCH(3,$AM$25:$AM$29,0),0),"")</f>
        <v/>
      </c>
      <c r="AO27" s="191" t="str">
        <f>IF(Q26&lt;&gt;"",Q26,"")</f>
        <v>Croatia</v>
      </c>
      <c r="AP27" s="191">
        <f>SUMPRODUCT(($CZ$3:$CZ$42=$AO27)*($DC$3:$DC$42=$AO28)*($DD$3:$DD$42="W"))+SUMPRODUCT(($CZ$3:$CZ$42=$AO27)*($DC$3:$DC$42=$AO29)*($DD$3:$DD$42="W"))+SUMPRODUCT(($CZ$3:$CZ$42=$AO27)*($DC$3:$DC$42=$AO26)*($DD$3:$DD$42="W"))+SUMPRODUCT(($CZ$3:$CZ$42=$AO28)*($DC$3:$DC$42=$AO27)*($DE$3:$DE$42="W"))+SUMPRODUCT(($CZ$3:$CZ$42=$AO29)*($DC$3:$DC$42=$AO27)*($DE$3:$DE$42="W"))+SUMPRODUCT(($CZ$3:$CZ$42=$AO26)*($DC$3:$DC$42=$AO27)*($DE$3:$DE$42="W"))</f>
        <v>0</v>
      </c>
      <c r="AQ27" s="191">
        <f>SUMPRODUCT(($CZ$3:$CZ$42=$AO27)*($DC$3:$DC$42=$AO28)*($DD$3:$DD$42="D"))+SUMPRODUCT(($CZ$3:$CZ$42=$AO27)*($DC$3:$DC$42=$AO29)*($DD$3:$DD$42="D"))+SUMPRODUCT(($CZ$3:$CZ$42=$AO27)*($DC$3:$DC$42=$AO26)*($DD$3:$DD$42="D"))+SUMPRODUCT(($CZ$3:$CZ$42=$AO28)*($DC$3:$DC$42=$AO27)*($DD$3:$DD$42="D"))+SUMPRODUCT(($CZ$3:$CZ$42=$AO29)*($DC$3:$DC$42=$AO27)*($DD$3:$DD$42="D"))+SUMPRODUCT(($CZ$3:$CZ$42=$AO26)*($DC$3:$DC$42=$AO27)*($DD$3:$DD$42="D"))</f>
        <v>1</v>
      </c>
      <c r="AR27" s="191">
        <f>SUMPRODUCT(($CZ$3:$CZ$42=$AO27)*($DC$3:$DC$42=$AO28)*($DD$3:$DD$42="L"))+SUMPRODUCT(($CZ$3:$CZ$42=$AO27)*($DC$3:$DC$42=$AO29)*($DD$3:$DD$42="L"))+SUMPRODUCT(($CZ$3:$CZ$42=$AO27)*($DC$3:$DC$42=$AO26)*($DD$3:$DD$42="L"))+SUMPRODUCT(($CZ$3:$CZ$42=$AO28)*($DC$3:$DC$42=$AO27)*($DE$3:$DE$42="L"))+SUMPRODUCT(($CZ$3:$CZ$42=$AO29)*($DC$3:$DC$42=$AO27)*($DE$3:$DE$42="L"))+SUMPRODUCT(($CZ$3:$CZ$42=$AO26)*($DC$3:$DC$42=$AO27)*($DE$3:$DE$42="L"))</f>
        <v>0</v>
      </c>
      <c r="AS27" s="191">
        <f>SUMPRODUCT(($CZ$3:$CZ$42=$AO27)*($DC$3:$DC$42=$AO28)*$DA$3:$DA$42)+SUMPRODUCT(($CZ$3:$CZ$42=$AO27)*($DC$3:$DC$42=$AO29)*$DA$3:$DA$42)+SUMPRODUCT(($CZ$3:$CZ$42=$AO27)*($DC$3:$DC$42=$AO25)*$DA$3:$DA$42)+SUMPRODUCT(($CZ$3:$CZ$42=$AO27)*($DC$3:$DC$42=$AO26)*$DA$3:$DA$42)+SUMPRODUCT(($CZ$3:$CZ$42=$AO28)*($DC$3:$DC$42=$AO27)*$DB$3:$DB$42)+SUMPRODUCT(($CZ$3:$CZ$42=$AO29)*($DC$3:$DC$42=$AO27)*$DB$3:$DB$42)+SUMPRODUCT(($CZ$3:$CZ$42=$AO25)*($DC$3:$DC$42=$AO27)*$DB$3:$DB$42)+SUMPRODUCT(($CZ$3:$CZ$42=$AO26)*($DC$3:$DC$42=$AO27)*$DB$3:$DB$42)</f>
        <v>1</v>
      </c>
      <c r="AT27" s="191">
        <f>SUMPRODUCT(($CZ$3:$CZ$42=$AO27)*($DC$3:$DC$42=$AO28)*$DB$3:$DB$42)+SUMPRODUCT(($CZ$3:$CZ$42=$AO27)*($DC$3:$DC$42=$AO29)*$DB$3:$DB$42)+SUMPRODUCT(($CZ$3:$CZ$42=$AO27)*($DC$3:$DC$42=$AO25)*$DB$3:$DB$42)+SUMPRODUCT(($CZ$3:$CZ$42=$AO27)*($DC$3:$DC$42=$AO26)*$DB$3:$DB$42)+SUMPRODUCT(($CZ$3:$CZ$42=$AO28)*($DC$3:$DC$42=$AO27)*$DA$3:$DA$42)+SUMPRODUCT(($CZ$3:$CZ$42=$AO29)*($DC$3:$DC$42=$AO27)*$DA$3:$DA$42)+SUMPRODUCT(($CZ$3:$CZ$42=$AO25)*($DC$3:$DC$42=$AO27)*$DA$3:$DA$42)+SUMPRODUCT(($CZ$3:$CZ$42=$AO26)*($DC$3:$DC$42=$AO27)*$DA$3:$DA$42)</f>
        <v>1</v>
      </c>
      <c r="AU27" s="191">
        <f>AS27-AT27+1000</f>
        <v>1000</v>
      </c>
      <c r="AV27" s="191">
        <f t="shared" si="158"/>
        <v>1</v>
      </c>
      <c r="AW27" s="191">
        <f t="shared" si="159"/>
        <v>1001</v>
      </c>
      <c r="AX27" s="191">
        <f t="shared" si="160"/>
        <v>4</v>
      </c>
      <c r="AY27" s="191">
        <f t="shared" si="161"/>
        <v>46</v>
      </c>
      <c r="AZ27" s="191">
        <f t="shared" si="162"/>
        <v>1</v>
      </c>
      <c r="BA27" s="191">
        <f t="shared" ref="BA27:BA28" si="168">IF(AO27&lt;&gt;"",RANK(AZ27,AZ$25:AZ$29),"")</f>
        <v>1</v>
      </c>
      <c r="BB27" s="191">
        <f t="shared" si="163"/>
        <v>0</v>
      </c>
      <c r="BC27" s="191">
        <f t="shared" si="164"/>
        <v>0</v>
      </c>
      <c r="BD27" s="191">
        <f t="shared" si="165"/>
        <v>0</v>
      </c>
      <c r="BE27" s="191">
        <f t="shared" si="166"/>
        <v>0</v>
      </c>
      <c r="BF27" s="191">
        <f t="shared" si="167"/>
        <v>0</v>
      </c>
      <c r="BG27" s="191">
        <f t="shared" ref="BG27:BG28" si="169">IF(AO27&lt;&gt;"",IF(BG67&lt;&gt;"",IF(AN$64=3,BG67,BG67+AN$64),SUM(BA27:BF27)+1),"")</f>
        <v>2</v>
      </c>
      <c r="BH27" s="191" t="str">
        <f>IF(AO27&lt;&gt;"",INDEX(AO26:AO29,MATCH(3,BG26:BG29,0),0),"")</f>
        <v>Czech Republic</v>
      </c>
      <c r="BI27" s="191" t="str">
        <f>IF(R25&lt;&gt;"",R25,"")</f>
        <v/>
      </c>
      <c r="BJ27" s="191">
        <f>SUMPRODUCT(($CZ$3:$CZ$42=$BI27)*($DC$3:$DC$42=$BI28)*($DD$3:$DD$42="W"))+SUMPRODUCT(($CZ$3:$CZ$42=$BI27)*($DC$3:$DC$42=$BI29)*($DD$3:$DD$42="W"))+SUMPRODUCT(($CZ$3:$CZ$42=$BI27)*($DC$3:$DC$42=$BI30)*($DD$3:$DD$42="W"))+SUMPRODUCT(($CZ$3:$CZ$42=$BI28)*($DC$3:$DC$42=$BI27)*($DE$3:$DE$42="W"))+SUMPRODUCT(($CZ$3:$CZ$42=$BI29)*($DC$3:$DC$42=$BI27)*($DE$3:$DE$42="W"))+SUMPRODUCT(($CZ$3:$CZ$42=$BI30)*($DC$3:$DC$42=$BI27)*($DE$3:$DE$42="W"))</f>
        <v>0</v>
      </c>
      <c r="BK27" s="191">
        <f>SUMPRODUCT(($CZ$3:$CZ$42=$BI27)*($DC$3:$DC$42=$BI28)*($DD$3:$DD$42="D"))+SUMPRODUCT(($CZ$3:$CZ$42=$BI27)*($DC$3:$DC$42=$BI29)*($DD$3:$DD$42="D"))+SUMPRODUCT(($CZ$3:$CZ$42=$BI27)*($DC$3:$DC$42=$BI30)*($DD$3:$DD$42="D"))+SUMPRODUCT(($CZ$3:$CZ$42=$BI28)*($DC$3:$DC$42=$BI27)*($DD$3:$DD$42="D"))+SUMPRODUCT(($CZ$3:$CZ$42=$BI29)*($DC$3:$DC$42=$BI27)*($DD$3:$DD$42="D"))+SUMPRODUCT(($CZ$3:$CZ$42=$BI30)*($DC$3:$DC$42=$BI27)*($DD$3:$DD$42="D"))</f>
        <v>0</v>
      </c>
      <c r="BL27" s="191">
        <f>SUMPRODUCT(($CZ$3:$CZ$42=$BI27)*($DC$3:$DC$42=$BI28)*($DD$3:$DD$42="L"))+SUMPRODUCT(($CZ$3:$CZ$42=$BI27)*($DC$3:$DC$42=$BI29)*($DD$3:$DD$42="L"))+SUMPRODUCT(($CZ$3:$CZ$42=$BI27)*($DC$3:$DC$42=$BI30)*($DD$3:$DD$42="L"))+SUMPRODUCT(($CZ$3:$CZ$42=$BI28)*($DC$3:$DC$42=$BI27)*($DE$3:$DE$42="L"))+SUMPRODUCT(($CZ$3:$CZ$42=$BI29)*($DC$3:$DC$42=$BI27)*($DE$3:$DE$42="L"))+SUMPRODUCT(($CZ$3:$CZ$42=$BI30)*($DC$3:$DC$42=$BI27)*($DE$3:$DE$42="L"))</f>
        <v>0</v>
      </c>
      <c r="BM27" s="191">
        <f>SUMPRODUCT(($CZ$3:$CZ$42=$BI27)*($DC$3:$DC$42=$BI28)*$DA$3:$DA$42)+SUMPRODUCT(($CZ$3:$CZ$42=$BI27)*($DC$3:$DC$42=$BI29)*$DA$3:$DA$42)+SUMPRODUCT(($CZ$3:$CZ$42=$BI27)*($DC$3:$DC$42=$BI25)*$DA$3:$DA$42)+SUMPRODUCT(($CZ$3:$CZ$42=$BI27)*($DC$3:$DC$42=$BI26)*$DA$3:$DA$42)+SUMPRODUCT(($CZ$3:$CZ$42=$BI28)*($DC$3:$DC$42=$BI27)*$DB$3:$DB$42)+SUMPRODUCT(($CZ$3:$CZ$42=$BI29)*($DC$3:$DC$42=$BI27)*$DB$3:$DB$42)+SUMPRODUCT(($CZ$3:$CZ$42=$BI25)*($DC$3:$DC$42=$BI27)*$DB$3:$DB$42)+SUMPRODUCT(($CZ$3:$CZ$42=$BI26)*($DC$3:$DC$42=$BI27)*$DB$3:$DB$42)</f>
        <v>0</v>
      </c>
      <c r="BN27" s="191">
        <f>SUMPRODUCT(($CZ$3:$CZ$42=$BI27)*($DC$3:$DC$42=$BI28)*$DB$3:$DB$42)+SUMPRODUCT(($CZ$3:$CZ$42=$BI27)*($DC$3:$DC$42=$BI29)*$DB$3:$DB$42)+SUMPRODUCT(($CZ$3:$CZ$42=$BI27)*($DC$3:$DC$42=$BI25)*$DB$3:$DB$42)+SUMPRODUCT(($CZ$3:$CZ$42=$BI27)*($DC$3:$DC$42=$BI26)*$DB$3:$DB$42)+SUMPRODUCT(($CZ$3:$CZ$42=$BI28)*($DC$3:$DC$42=$BI27)*$DA$3:$DA$42)+SUMPRODUCT(($CZ$3:$CZ$42=$BI29)*($DC$3:$DC$42=$BI27)*$DA$3:$DA$42)+SUMPRODUCT(($CZ$3:$CZ$42=$BI25)*($DC$3:$DC$42=$BI27)*$DA$3:$DA$42)+SUMPRODUCT(($CZ$3:$CZ$42=$BI26)*($DC$3:$DC$42=$BI27)*$DA$3:$DA$42)</f>
        <v>0</v>
      </c>
      <c r="BO27" s="191">
        <f>BM27-BN27+1000</f>
        <v>1000</v>
      </c>
      <c r="BP27" s="191" t="str">
        <f>IF(BI27&lt;&gt;"",BJ27*3+BK27*1,"")</f>
        <v/>
      </c>
      <c r="BQ27" s="191" t="str">
        <f t="shared" ref="BQ27:BQ28" si="170">IF(BI27&lt;&gt;"",VLOOKUP(BI27,$B$4:$H$40,7,FALSE),"")</f>
        <v/>
      </c>
      <c r="BR27" s="191" t="str">
        <f t="shared" ref="BR27:BR28" si="171">IF(BI27&lt;&gt;"",VLOOKUP(BI27,$B$4:$H$40,5,FALSE),"")</f>
        <v/>
      </c>
      <c r="BS27" s="191" t="str">
        <f t="shared" ref="BS27:BS28" si="172">IF(BI27&lt;&gt;"",VLOOKUP(BI27,$B$4:$J$40,9,FALSE),"")</f>
        <v/>
      </c>
      <c r="BT27" s="191" t="str">
        <f t="shared" ref="BT27:BT28" si="173">BP27</f>
        <v/>
      </c>
      <c r="BU27" s="191" t="str">
        <f>IF(BI27&lt;&gt;"",RANK(BT27,$BT$25:$BT$29),"")</f>
        <v/>
      </c>
      <c r="BV27" s="191" t="str">
        <f t="shared" ref="BV27:BV28" si="174">IF(BI27&lt;&gt;"",SUMPRODUCT((BT$25:BT$29=BT27)*(BO$25:BO$29&gt;BO27)),"")</f>
        <v/>
      </c>
      <c r="BW27" s="191" t="str">
        <f t="shared" ref="BW27:BW28" si="175">IF(BI27&lt;&gt;"",SUMPRODUCT((BT$25:BT$29=BT27)*(BO$25:BO$29=BO27)*(BM$25:BM$29&gt;BM27)),"")</f>
        <v/>
      </c>
      <c r="BX27" s="191" t="str">
        <f t="shared" ref="BX27:BX28" si="176">IF(BI27&lt;&gt;"",SUMPRODUCT((BT$25:BT$29=BT27)*(BO$25:BO$29=BO27)*(BM$25:BM$29=BM27)*(BQ$25:BQ$29&gt;BQ27)),"")</f>
        <v/>
      </c>
      <c r="BY27" s="191" t="str">
        <f t="shared" ref="BY27:BY28" si="177">IF(BI27&lt;&gt;"",SUMPRODUCT((BT$25:BT$29=BT27)*(BO$25:BO$29=BO27)*(BM$25:BM$29=BM27)*(BQ$25:BQ$29=BQ27)*(BR$25:BR$29&gt;BR27)),"")</f>
        <v/>
      </c>
      <c r="BZ27" s="191" t="str">
        <f t="shared" ref="BZ27:BZ28" si="178">IF(BI27&lt;&gt;"",SUMPRODUCT((BT$25:BT$29=BT27)*(BO$25:BO$29=BO27)*(BM$25:BM$29=BM27)*(BQ$25:BQ$29=BQ27)*(BR$25:BR$29=BR27)*(BS$25:BS$29&gt;BS27)),"")</f>
        <v/>
      </c>
      <c r="CA27" s="191" t="str">
        <f>IF(BI27&lt;&gt;"",SUM(BU27:BZ27)+2,"")</f>
        <v/>
      </c>
      <c r="CB27" s="191" t="str">
        <f>IF(BI27&lt;&gt;"",INDEX(BI27:BI29,MATCH(3,CA27:CA29,0),0),"")</f>
        <v/>
      </c>
      <c r="CW27" s="191" t="str">
        <f>IF(CB27&lt;&gt;"",CB27,IF(BH27&lt;&gt;"",BH27,IF(AN27&lt;&gt;"",AN27,N27)))</f>
        <v>Czech Republic</v>
      </c>
      <c r="CX27" s="191">
        <v>3</v>
      </c>
      <c r="CY27" s="191">
        <v>25</v>
      </c>
      <c r="CZ27" s="191" t="str">
        <f>Fixtures!G31</f>
        <v>Switzerland</v>
      </c>
      <c r="DA27" s="191">
        <f>IF(AND(Fixtures!H31&lt;&gt;"",Fixtures!I31&lt;&gt;""),Fixtures!H31,0)</f>
        <v>3</v>
      </c>
      <c r="DB27" s="191">
        <f>IF(AND(Fixtures!I31&lt;&gt;"",Fixtures!H31&lt;&gt;""),Fixtures!I31,0)</f>
        <v>1</v>
      </c>
      <c r="DC27" s="191" t="str">
        <f>Fixtures!J31</f>
        <v>Turkey</v>
      </c>
      <c r="DD27" s="191" t="str">
        <f>IF(AND(Fixtures!H31&lt;&gt;"",Fixtures!I31&lt;&gt;""),IF(DA27&gt;DB27,"W",IF(DA27=DB27,"D","L")),"")</f>
        <v>W</v>
      </c>
      <c r="DE27" s="191" t="str">
        <f t="shared" si="1"/>
        <v>L</v>
      </c>
      <c r="DH27" s="204" t="s">
        <v>122</v>
      </c>
      <c r="DI27" s="205" t="s">
        <v>109</v>
      </c>
      <c r="DJ27" s="205" t="s">
        <v>126</v>
      </c>
      <c r="DK27" s="205" t="s">
        <v>111</v>
      </c>
      <c r="DL27" s="204" t="s">
        <v>111</v>
      </c>
      <c r="DM27" s="204" t="s">
        <v>126</v>
      </c>
      <c r="DN27" s="204" t="s">
        <v>109</v>
      </c>
      <c r="DO27" s="204" t="s">
        <v>122</v>
      </c>
      <c r="DP27" s="205"/>
      <c r="DQ27" s="206">
        <f t="shared" si="87"/>
        <v>4</v>
      </c>
      <c r="DR27" s="206">
        <f t="shared" si="87"/>
        <v>2</v>
      </c>
      <c r="DS27" s="206">
        <f t="shared" si="87"/>
        <v>0</v>
      </c>
      <c r="DT27" s="206">
        <f t="shared" si="87"/>
        <v>1</v>
      </c>
      <c r="DU27" s="206">
        <f t="shared" si="88"/>
        <v>7</v>
      </c>
      <c r="DV27" s="205"/>
      <c r="DW27" s="205"/>
      <c r="DX27" s="205"/>
      <c r="EF27" s="272" t="s">
        <v>111</v>
      </c>
      <c r="EG27" s="196"/>
      <c r="EH27" s="197" t="str">
        <f>Fixtures!G18</f>
        <v>France</v>
      </c>
      <c r="EI27" s="198" t="s">
        <v>589</v>
      </c>
      <c r="EJ27" s="197" t="str">
        <f>"'Countries and Timezone'!"&amp;VLOOKUP(Fixtures!P32,$EH$7:$EI$38,2,FALSE)</f>
        <v>'Countries and Timezone'!B27</v>
      </c>
      <c r="EL27" s="199">
        <v>44365.875</v>
      </c>
      <c r="EM27" s="200">
        <f t="shared" si="51"/>
        <v>44365.875</v>
      </c>
      <c r="EO27" s="202">
        <v>-2.5</v>
      </c>
      <c r="EP27" s="191">
        <v>-5</v>
      </c>
      <c r="EQ27" s="191" t="s">
        <v>590</v>
      </c>
      <c r="ER27" s="191" t="s">
        <v>591</v>
      </c>
    </row>
    <row r="28" spans="1:148" x14ac:dyDescent="0.35">
      <c r="A28" s="191">
        <f>VLOOKUP(B28,$CW$25:$CX$29,2,FALSE)</f>
        <v>2</v>
      </c>
      <c r="B28" s="191" t="str">
        <f>'Dummy Table'!EH22</f>
        <v>Croatia</v>
      </c>
      <c r="C28" s="191">
        <f>SUMPRODUCT(($CZ$3:$CZ$42=$B28)*($DD$3:$DD$42="W"))+SUMPRODUCT(($DC$3:$DC$42=$B28)*($DE$3:$DE$42="W"))</f>
        <v>1</v>
      </c>
      <c r="D28" s="191">
        <f>SUMPRODUCT(($CZ$3:$CZ$42=$B28)*($DD$3:$DD$42="D"))+SUMPRODUCT(($DC$3:$DC$42=$B28)*($DE$3:$DE$42="D"))</f>
        <v>1</v>
      </c>
      <c r="E28" s="191">
        <f>SUMPRODUCT(($CZ$3:$CZ$42=$B28)*($DD$3:$DD$42="L"))+SUMPRODUCT(($DC$3:$DC$42=$B28)*($DE$3:$DE$42="L"))</f>
        <v>1</v>
      </c>
      <c r="F28" s="191">
        <f>SUMIF($CZ$3:$CZ$60,B28,$DA$3:$DA$60)+SUMIF($DC$3:$DC$60,B28,$DB$3:$DB$60)</f>
        <v>4</v>
      </c>
      <c r="G28" s="191">
        <f>SUMIF($DC$3:$DC$60,B28,$DA$3:$DA$60)+SUMIF($CZ$3:$CZ$60,B28,$DB$3:$DB$60)</f>
        <v>3</v>
      </c>
      <c r="H28" s="191">
        <f t="shared" si="144"/>
        <v>1001</v>
      </c>
      <c r="I28" s="191">
        <f t="shared" si="145"/>
        <v>4</v>
      </c>
      <c r="J28" s="191">
        <v>46</v>
      </c>
      <c r="K28" s="191">
        <f>IF(COUNTIF(I25:I29,4)&lt;&gt;4,RANK(I28,I25:I29),I68)</f>
        <v>2</v>
      </c>
      <c r="M28" s="191">
        <f>SUMPRODUCT((K25:K28=K28)*(J25:J28&lt;J28))+K28</f>
        <v>3</v>
      </c>
      <c r="N28" s="191" t="str">
        <f>INDEX($B$25:$B$29,MATCH(4,$M$25:$M$29,0),0)</f>
        <v>Scotland</v>
      </c>
      <c r="O28" s="191">
        <f>INDEX($K$25:$K$29,MATCH(N28,$B$25:$B$29,0),0)</f>
        <v>4</v>
      </c>
      <c r="P28" s="191" t="str">
        <f>IF(AND(P27&lt;&gt;"",O28=1),N28,"")</f>
        <v/>
      </c>
      <c r="Q28" s="191" t="str">
        <f>IF(AND(Q27&lt;&gt;"",O29=2),N29,"")</f>
        <v/>
      </c>
      <c r="U28" s="191" t="str">
        <f t="shared" si="151"/>
        <v/>
      </c>
      <c r="V28" s="191">
        <f>SUMPRODUCT(($CZ$3:$CZ$42=$U28)*($DC$3:$DC$42=$U29)*($DD$3:$DD$42="W"))+SUMPRODUCT(($CZ$3:$CZ$42=$U28)*($DC$3:$DC$42=$U25)*($DD$3:$DD$42="W"))+SUMPRODUCT(($CZ$3:$CZ$42=$U28)*($DC$3:$DC$42=$U26)*($DD$3:$DD$42="W"))+SUMPRODUCT(($CZ$3:$CZ$42=$U28)*($DC$3:$DC$42=$U27)*($DD$3:$DD$42="W"))+SUMPRODUCT(($CZ$3:$CZ$42=$U29)*($DC$3:$DC$42=$U28)*($DE$3:$DE$42="W"))+SUMPRODUCT(($CZ$3:$CZ$42=$U25)*($DC$3:$DC$42=$U28)*($DE$3:$DE$42="W"))+SUMPRODUCT(($CZ$3:$CZ$42=$U26)*($DC$3:$DC$42=$U28)*($DE$3:$DE$42="W"))+SUMPRODUCT(($CZ$3:$CZ$42=$U27)*($DC$3:$DC$42=$U28)*($DE$3:$DE$42="W"))</f>
        <v>0</v>
      </c>
      <c r="W28" s="191">
        <f>SUMPRODUCT(($CZ$3:$CZ$42=$U28)*($DC$3:$DC$42=$U29)*($DD$3:$DD$42="D"))+SUMPRODUCT(($CZ$3:$CZ$42=$U28)*($DC$3:$DC$42=$U25)*($DD$3:$DD$42="D"))+SUMPRODUCT(($CZ$3:$CZ$42=$U28)*($DC$3:$DC$42=$U26)*($DD$3:$DD$42="D"))+SUMPRODUCT(($CZ$3:$CZ$42=$U28)*($DC$3:$DC$42=$U27)*($DD$3:$DD$42="D"))+SUMPRODUCT(($CZ$3:$CZ$42=$U29)*($DC$3:$DC$42=$U28)*($DD$3:$DD$42="D"))+SUMPRODUCT(($CZ$3:$CZ$42=$U25)*($DC$3:$DC$42=$U28)*($DD$3:$DD$42="D"))+SUMPRODUCT(($CZ$3:$CZ$42=$U26)*($DC$3:$DC$42=$U28)*($DD$3:$DD$42="D"))+SUMPRODUCT(($CZ$3:$CZ$42=$U27)*($DC$3:$DC$42=$U28)*($DD$3:$DD$42="D"))</f>
        <v>0</v>
      </c>
      <c r="X28" s="191">
        <f>SUMPRODUCT(($CZ$3:$CZ$42=$U28)*($DC$3:$DC$42=$U29)*($DD$3:$DD$42="L"))+SUMPRODUCT(($CZ$3:$CZ$42=$U28)*($DC$3:$DC$42=$U25)*($DD$3:$DD$42="L"))+SUMPRODUCT(($CZ$3:$CZ$42=$U28)*($DC$3:$DC$42=$U26)*($DD$3:$DD$42="L"))+SUMPRODUCT(($CZ$3:$CZ$42=$U28)*($DC$3:$DC$42=$U27)*($DD$3:$DD$42="L"))+SUMPRODUCT(($CZ$3:$CZ$42=$U29)*($DC$3:$DC$42=$U28)*($DE$3:$DE$42="L"))+SUMPRODUCT(($CZ$3:$CZ$42=$U25)*($DC$3:$DC$42=$U28)*($DE$3:$DE$42="L"))+SUMPRODUCT(($CZ$3:$CZ$42=$U26)*($DC$3:$DC$42=$U28)*($DE$3:$DE$42="L"))+SUMPRODUCT(($CZ$3:$CZ$42=$U27)*($DC$3:$DC$42=$U28)*($DE$3:$DE$42="L"))</f>
        <v>0</v>
      </c>
      <c r="Y28" s="191">
        <f>SUMPRODUCT(($CZ$3:$CZ$42=$U28)*($DC$3:$DC$42=$U29)*$DA$3:$DA$42)+SUMPRODUCT(($CZ$3:$CZ$42=$U28)*($DC$3:$DC$42=$U25)*$DA$3:$DA$42)+SUMPRODUCT(($CZ$3:$CZ$42=$U28)*($DC$3:$DC$42=$U26)*$DA$3:$DA$42)+SUMPRODUCT(($CZ$3:$CZ$42=$U28)*($DC$3:$DC$42=$U27)*$DA$3:$DA$42)+SUMPRODUCT(($CZ$3:$CZ$42=$U29)*($DC$3:$DC$42=$U28)*$DB$3:$DB$42)+SUMPRODUCT(($CZ$3:$CZ$42=$U25)*($DC$3:$DC$42=$U28)*$DB$3:$DB$42)+SUMPRODUCT(($CZ$3:$CZ$42=$U26)*($DC$3:$DC$42=$U28)*$DB$3:$DB$42)+SUMPRODUCT(($CZ$3:$CZ$42=$U27)*($DC$3:$DC$42=$U28)*$DB$3:$DB$42)</f>
        <v>0</v>
      </c>
      <c r="Z28" s="191">
        <f>SUMPRODUCT(($CZ$3:$CZ$42=$U28)*($DC$3:$DC$42=$U29)*$DB$3:$DB$42)+SUMPRODUCT(($CZ$3:$CZ$42=$U28)*($DC$3:$DC$42=$U25)*$DB$3:$DB$42)+SUMPRODUCT(($CZ$3:$CZ$42=$U28)*($DC$3:$DC$42=$U26)*$DB$3:$DB$42)+SUMPRODUCT(($CZ$3:$CZ$42=$U28)*($DC$3:$DC$42=$U27)*$DB$3:$DB$42)+SUMPRODUCT(($CZ$3:$CZ$42=$U29)*($DC$3:$DC$42=$U28)*$DA$3:$DA$42)+SUMPRODUCT(($CZ$3:$CZ$42=$U25)*($DC$3:$DC$42=$U28)*$DA$3:$DA$42)+SUMPRODUCT(($CZ$3:$CZ$42=$U26)*($DC$3:$DC$42=$U28)*$DA$3:$DA$42)+SUMPRODUCT(($CZ$3:$CZ$42=$U27)*($DC$3:$DC$42=$U28)*$DA$3:$DA$42)</f>
        <v>0</v>
      </c>
      <c r="AA28" s="191">
        <f>Y28-Z28+1000</f>
        <v>1000</v>
      </c>
      <c r="AB28" s="191" t="str">
        <f t="shared" si="146"/>
        <v/>
      </c>
      <c r="AC28" s="191" t="str">
        <f t="shared" si="147"/>
        <v/>
      </c>
      <c r="AD28" s="191" t="str">
        <f t="shared" si="148"/>
        <v/>
      </c>
      <c r="AE28" s="191" t="str">
        <f t="shared" si="149"/>
        <v/>
      </c>
      <c r="AF28" s="191" t="str">
        <f t="shared" si="150"/>
        <v/>
      </c>
      <c r="AG28" s="191" t="str">
        <f>IF(U28&lt;&gt;"",RANK(AF28,$AF$25:$AF$29),"")</f>
        <v/>
      </c>
      <c r="AH28" s="191" t="str">
        <f t="shared" si="152"/>
        <v/>
      </c>
      <c r="AI28" s="191" t="str">
        <f t="shared" si="153"/>
        <v/>
      </c>
      <c r="AJ28" s="191" t="str">
        <f t="shared" si="154"/>
        <v/>
      </c>
      <c r="AK28" s="191" t="str">
        <f t="shared" si="155"/>
        <v/>
      </c>
      <c r="AL28" s="191" t="str">
        <f t="shared" si="156"/>
        <v/>
      </c>
      <c r="AM28" s="191" t="str">
        <f t="shared" si="157"/>
        <v/>
      </c>
      <c r="AN28" s="191" t="str">
        <f>IF(U28&lt;&gt;"",INDEX($U$25:$U$29,MATCH(4,$AM$25:$AM$29,0),0),"")</f>
        <v/>
      </c>
      <c r="AO28" s="191" t="str">
        <f>IF(Q27&lt;&gt;"",Q27,"")</f>
        <v/>
      </c>
      <c r="AP28" s="191" t="str">
        <f>IF($AO28&lt;&gt;"",SUMPRODUCT(($CZ$3:$CZ$42=$AO28)*($DC$3:$DC$42=$AO29)*($DD$3:$DD$42="W"))+SUMPRODUCT(($CZ$3:$CZ$42=$AO28)*($DC$3:$DC$42=$AO26)*($DD$3:$DD$42="W"))+SUMPRODUCT(($CZ$3:$CZ$42=$AO28)*($DC$3:$DC$42=$AO27)*($DD$3:$DD$42="W"))+SUMPRODUCT(($CZ$3:$CZ$42=$AO29)*($DC$3:$DC$42=$AO28)*($DE$3:$DE$42="W"))+SUMPRODUCT(($CZ$3:$CZ$42=$AO26)*($DC$3:$DC$42=$AO28)*($DE$3:$DE$42="W"))+SUMPRODUCT(($CZ$3:$CZ$42=$AO27)*($DC$3:$DC$42=$AO28)*($DE$3:$DE$42="W")),"")</f>
        <v/>
      </c>
      <c r="AQ28" s="191" t="str">
        <f>IF($AO28&lt;&gt;"",SUMPRODUCT(($CZ$3:$CZ$42=$AO28)*($DC$3:$DC$42=$AO29)*($DD$3:$DD$42="D"))+SUMPRODUCT(($CZ$3:$CZ$42=$AO28)*($DC$3:$DC$42=$AO26)*($DD$3:$DD$42="D"))+SUMPRODUCT(($CZ$3:$CZ$42=$AO28)*($DC$3:$DC$42=$AO27)*($DD$3:$DD$42="D"))+SUMPRODUCT(($CZ$3:$CZ$42=$AO29)*($DC$3:$DC$42=$AO28)*($DD$3:$DD$42="D"))+SUMPRODUCT(($CZ$3:$CZ$42=$AO26)*($DC$3:$DC$42=$AO28)*($DD$3:$DD$42="D"))+SUMPRODUCT(($CZ$3:$CZ$42=$AO27)*($DC$3:$DC$42=$AO28)*($DD$3:$DD$42="D")),"")</f>
        <v/>
      </c>
      <c r="AR28" s="191" t="str">
        <f>IF($AO28&lt;&gt;"",SUMPRODUCT(($CZ$3:$CZ$42=$AO28)*($DC$3:$DC$42=$AO29)*($DD$3:$DD$42="L"))+SUMPRODUCT(($CZ$3:$CZ$42=$AO28)*($DC$3:$DC$42=$AO26)*($DD$3:$DD$42="L"))+SUMPRODUCT(($CZ$3:$CZ$42=$AO28)*($DC$3:$DC$42=$AO27)*($DD$3:$DD$42="L"))+SUMPRODUCT(($CZ$3:$CZ$42=$AO29)*($DC$3:$DC$42=$AO28)*($DE$3:$DE$42="L"))+SUMPRODUCT(($CZ$3:$CZ$42=$AO26)*($DC$3:$DC$42=$AO28)*($DE$3:$DE$42="L"))+SUMPRODUCT(($CZ$3:$CZ$42=$AO27)*($DC$3:$DC$42=$AO28)*($DE$3:$DE$42="L")),"")</f>
        <v/>
      </c>
      <c r="AS28" s="191">
        <f>SUMPRODUCT(($CZ$3:$CZ$42=$AO28)*($DC$3:$DC$42=$AO29)*$DA$3:$DA$42)+SUMPRODUCT(($CZ$3:$CZ$42=$AO28)*($DC$3:$DC$42=$AO25)*$DA$3:$DA$42)+SUMPRODUCT(($CZ$3:$CZ$42=$AO28)*($DC$3:$DC$42=$AO26)*$DA$3:$DA$42)+SUMPRODUCT(($CZ$3:$CZ$42=$AO28)*($DC$3:$DC$42=$AO27)*$DA$3:$DA$42)+SUMPRODUCT(($CZ$3:$CZ$42=$AO29)*($DC$3:$DC$42=$AO28)*$DB$3:$DB$42)+SUMPRODUCT(($CZ$3:$CZ$42=$AO25)*($DC$3:$DC$42=$AO28)*$DB$3:$DB$42)+SUMPRODUCT(($CZ$3:$CZ$42=$AO26)*($DC$3:$DC$42=$AO28)*$DB$3:$DB$42)+SUMPRODUCT(($CZ$3:$CZ$42=$AO27)*($DC$3:$DC$42=$AO28)*$DB$3:$DB$42)</f>
        <v>0</v>
      </c>
      <c r="AT28" s="191">
        <f>SUMPRODUCT(($CZ$3:$CZ$42=$AO28)*($DC$3:$DC$42=$AO29)*$DB$3:$DB$42)+SUMPRODUCT(($CZ$3:$CZ$42=$AO28)*($DC$3:$DC$42=$AO25)*$DB$3:$DB$42)+SUMPRODUCT(($CZ$3:$CZ$42=$AO28)*($DC$3:$DC$42=$AO26)*$DB$3:$DB$42)+SUMPRODUCT(($CZ$3:$CZ$42=$AO28)*($DC$3:$DC$42=$AO27)*$DB$3:$DB$42)+SUMPRODUCT(($CZ$3:$CZ$42=$AO29)*($DC$3:$DC$42=$AO28)*$DA$3:$DA$42)+SUMPRODUCT(($CZ$3:$CZ$42=$AO25)*($DC$3:$DC$42=$AO28)*$DA$3:$DA$42)+SUMPRODUCT(($CZ$3:$CZ$42=$AO26)*($DC$3:$DC$42=$AO28)*$DA$3:$DA$42)+SUMPRODUCT(($CZ$3:$CZ$42=$AO27)*($DC$3:$DC$42=$AO28)*$DA$3:$DA$42)</f>
        <v>0</v>
      </c>
      <c r="AU28" s="191">
        <f>AS28-AT28+1000</f>
        <v>1000</v>
      </c>
      <c r="AV28" s="191" t="str">
        <f t="shared" si="158"/>
        <v/>
      </c>
      <c r="AW28" s="191" t="str">
        <f t="shared" si="159"/>
        <v/>
      </c>
      <c r="AX28" s="191" t="str">
        <f t="shared" si="160"/>
        <v/>
      </c>
      <c r="AY28" s="191" t="str">
        <f t="shared" si="161"/>
        <v/>
      </c>
      <c r="AZ28" s="191" t="str">
        <f t="shared" si="162"/>
        <v/>
      </c>
      <c r="BA28" s="191" t="str">
        <f t="shared" si="168"/>
        <v/>
      </c>
      <c r="BB28" s="191" t="str">
        <f t="shared" si="163"/>
        <v/>
      </c>
      <c r="BC28" s="191" t="str">
        <f t="shared" si="164"/>
        <v/>
      </c>
      <c r="BD28" s="191" t="str">
        <f t="shared" si="165"/>
        <v/>
      </c>
      <c r="BE28" s="191" t="str">
        <f t="shared" si="166"/>
        <v/>
      </c>
      <c r="BF28" s="191" t="str">
        <f t="shared" si="167"/>
        <v/>
      </c>
      <c r="BG28" s="191" t="str">
        <f t="shared" si="169"/>
        <v/>
      </c>
      <c r="BH28" s="191" t="str">
        <f>IF(AO28&lt;&gt;"",INDEX(AO26:AO29,MATCH(4,BG26:BG29,0),0),"")</f>
        <v/>
      </c>
      <c r="BI28" s="191" t="str">
        <f>IF(R26&lt;&gt;"",R26,"")</f>
        <v/>
      </c>
      <c r="BJ28" s="191">
        <f>SUMPRODUCT(($CZ$3:$CZ$42=$BI28)*($DC$3:$DC$42=$BI29)*($DD$3:$DD$42="W"))+SUMPRODUCT(($CZ$3:$CZ$42=$BI28)*($DC$3:$DC$42=$BI30)*($DD$3:$DD$42="W"))+SUMPRODUCT(($CZ$3:$CZ$42=$BI28)*($DC$3:$DC$42=$BI27)*($DD$3:$DD$42="W"))+SUMPRODUCT(($CZ$3:$CZ$42=$BI29)*($DC$3:$DC$42=$BI28)*($DE$3:$DE$42="W"))+SUMPRODUCT(($CZ$3:$CZ$42=$BI30)*($DC$3:$DC$42=$BI28)*($DE$3:$DE$42="W"))+SUMPRODUCT(($CZ$3:$CZ$42=$BI27)*($DC$3:$DC$42=$BI28)*($DE$3:$DE$42="W"))</f>
        <v>0</v>
      </c>
      <c r="BK28" s="191">
        <f>SUMPRODUCT(($CZ$3:$CZ$42=$BI28)*($DC$3:$DC$42=$BI29)*($DD$3:$DD$42="D"))+SUMPRODUCT(($CZ$3:$CZ$42=$BI28)*($DC$3:$DC$42=$BI30)*($DD$3:$DD$42="D"))+SUMPRODUCT(($CZ$3:$CZ$42=$BI28)*($DC$3:$DC$42=$BI27)*($DD$3:$DD$42="D"))+SUMPRODUCT(($CZ$3:$CZ$42=$BI29)*($DC$3:$DC$42=$BI28)*($DD$3:$DD$42="D"))+SUMPRODUCT(($CZ$3:$CZ$42=$BI30)*($DC$3:$DC$42=$BI28)*($DD$3:$DD$42="D"))+SUMPRODUCT(($CZ$3:$CZ$42=$BI27)*($DC$3:$DC$42=$BI28)*($DD$3:$DD$42="D"))</f>
        <v>0</v>
      </c>
      <c r="BL28" s="191">
        <f>SUMPRODUCT(($CZ$3:$CZ$42=$BI28)*($DC$3:$DC$42=$BI29)*($DD$3:$DD$42="L"))+SUMPRODUCT(($CZ$3:$CZ$42=$BI28)*($DC$3:$DC$42=$BI30)*($DD$3:$DD$42="L"))+SUMPRODUCT(($CZ$3:$CZ$42=$BI28)*($DC$3:$DC$42=$BI27)*($DD$3:$DD$42="L"))+SUMPRODUCT(($CZ$3:$CZ$42=$BI29)*($DC$3:$DC$42=$BI28)*($DE$3:$DE$42="L"))+SUMPRODUCT(($CZ$3:$CZ$42=$BI30)*($DC$3:$DC$42=$BI28)*($DE$3:$DE$42="L"))+SUMPRODUCT(($CZ$3:$CZ$42=$BI27)*($DC$3:$DC$42=$BI28)*($DE$3:$DE$42="L"))</f>
        <v>0</v>
      </c>
      <c r="BM28" s="191">
        <f>SUMPRODUCT(($CZ$3:$CZ$42=$BI28)*($DC$3:$DC$42=$BI29)*$DA$3:$DA$42)+SUMPRODUCT(($CZ$3:$CZ$42=$BI28)*($DC$3:$DC$42=$BI25)*$DA$3:$DA$42)+SUMPRODUCT(($CZ$3:$CZ$42=$BI28)*($DC$3:$DC$42=$BI26)*$DA$3:$DA$42)+SUMPRODUCT(($CZ$3:$CZ$42=$BI28)*($DC$3:$DC$42=$BI27)*$DA$3:$DA$42)+SUMPRODUCT(($CZ$3:$CZ$42=$BI29)*($DC$3:$DC$42=$BI28)*$DB$3:$DB$42)+SUMPRODUCT(($CZ$3:$CZ$42=$BI25)*($DC$3:$DC$42=$BI28)*$DB$3:$DB$42)+SUMPRODUCT(($CZ$3:$CZ$42=$BI26)*($DC$3:$DC$42=$BI28)*$DB$3:$DB$42)+SUMPRODUCT(($CZ$3:$CZ$42=$BI27)*($DC$3:$DC$42=$BI28)*$DB$3:$DB$42)</f>
        <v>0</v>
      </c>
      <c r="BN28" s="191">
        <f>SUMPRODUCT(($CZ$3:$CZ$42=$BI28)*($DC$3:$DC$42=$BI29)*$DB$3:$DB$42)+SUMPRODUCT(($CZ$3:$CZ$42=$BI28)*($DC$3:$DC$42=$BI25)*$DB$3:$DB$42)+SUMPRODUCT(($CZ$3:$CZ$42=$BI28)*($DC$3:$DC$42=$BI26)*$DB$3:$DB$42)+SUMPRODUCT(($CZ$3:$CZ$42=$BI28)*($DC$3:$DC$42=$BI27)*$DB$3:$DB$42)+SUMPRODUCT(($CZ$3:$CZ$42=$BI29)*($DC$3:$DC$42=$BI28)*$DA$3:$DA$42)+SUMPRODUCT(($CZ$3:$CZ$42=$BI25)*($DC$3:$DC$42=$BI28)*$DA$3:$DA$42)+SUMPRODUCT(($CZ$3:$CZ$42=$BI26)*($DC$3:$DC$42=$BI28)*$DA$3:$DA$42)+SUMPRODUCT(($CZ$3:$CZ$42=$BI27)*($DC$3:$DC$42=$BI28)*$DA$3:$DA$42)</f>
        <v>0</v>
      </c>
      <c r="BO28" s="191">
        <f>BM28-BN28+1000</f>
        <v>1000</v>
      </c>
      <c r="BP28" s="191" t="str">
        <f t="shared" ref="BP28" si="179">IF(BI28&lt;&gt;"",BJ28*3+BK28*1,"")</f>
        <v/>
      </c>
      <c r="BQ28" s="191" t="str">
        <f t="shared" si="170"/>
        <v/>
      </c>
      <c r="BR28" s="191" t="str">
        <f t="shared" si="171"/>
        <v/>
      </c>
      <c r="BS28" s="191" t="str">
        <f t="shared" si="172"/>
        <v/>
      </c>
      <c r="BT28" s="191" t="str">
        <f t="shared" si="173"/>
        <v/>
      </c>
      <c r="BU28" s="191" t="str">
        <f>IF(BI28&lt;&gt;"",RANK(BT28,$BT$25:$BT$29),"")</f>
        <v/>
      </c>
      <c r="BV28" s="191" t="str">
        <f t="shared" si="174"/>
        <v/>
      </c>
      <c r="BW28" s="191" t="str">
        <f t="shared" si="175"/>
        <v/>
      </c>
      <c r="BX28" s="191" t="str">
        <f t="shared" si="176"/>
        <v/>
      </c>
      <c r="BY28" s="191" t="str">
        <f t="shared" si="177"/>
        <v/>
      </c>
      <c r="BZ28" s="191" t="str">
        <f t="shared" si="178"/>
        <v/>
      </c>
      <c r="CA28" s="191" t="str">
        <f>IF(BI28&lt;&gt;"",SUM(BU28:BZ28)+2,"")</f>
        <v/>
      </c>
      <c r="CB28" s="191" t="str">
        <f>IF(BI28&lt;&gt;"",INDEX(BI27:BI29,MATCH(4,CA27:CA29,0),0),"")</f>
        <v/>
      </c>
      <c r="CC28" s="191" t="str">
        <f>IF(S25&lt;&gt;"",S25,"")</f>
        <v/>
      </c>
      <c r="CD28" s="191">
        <f>SUMPRODUCT(($CZ$3:$CZ$42=$CC28)*($DC$3:$DC$42=$CC29)*($DD$3:$DD$42="W"))+SUMPRODUCT(($CZ$3:$CZ$42=$CC28)*($DC$3:$DC$42=$CC30)*($DD$3:$DD$42="W"))+SUMPRODUCT(($CZ$3:$CZ$42=$CC28)*($DC$3:$DC$42=$CC31)*($DD$3:$DD$42="W"))+SUMPRODUCT(($CZ$3:$CZ$42=$CC29)*($DC$3:$DC$42=$CC28)*($DE$3:$DE$42="W"))+SUMPRODUCT(($CZ$3:$CZ$42=$CC30)*($DC$3:$DC$42=$CC28)*($DE$3:$DE$42="W"))+SUMPRODUCT(($CZ$3:$CZ$42=$CC31)*($DC$3:$DC$42=$CC28)*($DE$3:$DE$42="W"))</f>
        <v>0</v>
      </c>
      <c r="CE28" s="191">
        <f>SUMPRODUCT(($CZ$3:$CZ$42=$CC28)*($DC$3:$DC$42=$CC29)*($DD$3:$DD$42="D"))+SUMPRODUCT(($CZ$3:$CZ$42=$CC28)*($DC$3:$DC$42=$CC30)*($DD$3:$DD$42="D"))+SUMPRODUCT(($CZ$3:$CZ$42=$CC28)*($DC$3:$DC$42=$CC31)*($DD$3:$DD$42="D"))+SUMPRODUCT(($CZ$3:$CZ$42=$CC29)*($DC$3:$DC$42=$CC28)*($DD$3:$DD$42="D"))+SUMPRODUCT(($CZ$3:$CZ$42=$CC30)*($DC$3:$DC$42=$CC28)*($DD$3:$DD$42="D"))+SUMPRODUCT(($CZ$3:$CZ$42=$CC31)*($DC$3:$DC$42=$CC28)*($DD$3:$DD$42="D"))</f>
        <v>0</v>
      </c>
      <c r="CF28" s="191">
        <f>SUMPRODUCT(($CZ$3:$CZ$42=$CC28)*($DC$3:$DC$42=$CC29)*($DD$3:$DD$42="L"))+SUMPRODUCT(($CZ$3:$CZ$42=$CC28)*($DC$3:$DC$42=$CC30)*($DD$3:$DD$42="L"))+SUMPRODUCT(($CZ$3:$CZ$42=$CC28)*($DC$3:$DC$42=$CC31)*($DD$3:$DD$42="L"))+SUMPRODUCT(($CZ$3:$CZ$42=$CC29)*($DC$3:$DC$42=$CC28)*($DE$3:$DE$42="L"))+SUMPRODUCT(($CZ$3:$CZ$42=$CC30)*($DC$3:$DC$42=$CC28)*($DE$3:$DE$42="L"))+SUMPRODUCT(($CZ$3:$CZ$42=$CC31)*($DC$3:$DC$42=$CC28)*($DE$3:$DE$42="L"))</f>
        <v>0</v>
      </c>
      <c r="CG28" s="191">
        <f>SUMPRODUCT(($CZ$3:$CZ$42=$CC28)*($DC$3:$DC$42=$CC29)*$DA$3:$DA$42)+SUMPRODUCT(($CZ$3:$CZ$42=$CC28)*($DC$3:$DC$42=$CC25)*$DA$3:$DA$42)+SUMPRODUCT(($CZ$3:$CZ$42=$CC28)*($DC$3:$DC$42=$CC26)*$DA$3:$DA$42)+SUMPRODUCT(($CZ$3:$CZ$42=$CC28)*($DC$3:$DC$42=$CC27)*$DA$3:$DA$42)+SUMPRODUCT(($CZ$3:$CZ$42=$CC29)*($DC$3:$DC$42=$CC28)*$DB$3:$DB$42)+SUMPRODUCT(($CZ$3:$CZ$42=$CC25)*($DC$3:$DC$42=$CC28)*$DB$3:$DB$42)+SUMPRODUCT(($CZ$3:$CZ$42=$CC26)*($DC$3:$DC$42=$CC28)*$DB$3:$DB$42)+SUMPRODUCT(($CZ$3:$CZ$42=$CC27)*($DC$3:$DC$42=$CC28)*$DB$3:$DB$42)</f>
        <v>0</v>
      </c>
      <c r="CH28" s="191">
        <f>SUMPRODUCT(($CZ$3:$CZ$42=$CC28)*($DC$3:$DC$42=$CC29)*$DB$3:$DB$42)+SUMPRODUCT(($CZ$3:$CZ$42=$CC28)*($DC$3:$DC$42=$CC25)*$DB$3:$DB$42)+SUMPRODUCT(($CZ$3:$CZ$42=$CC28)*($DC$3:$DC$42=$CC26)*$DB$3:$DB$42)+SUMPRODUCT(($CZ$3:$CZ$42=$CC28)*($DC$3:$DC$42=$CC27)*$DB$3:$DB$42)+SUMPRODUCT(($CZ$3:$CZ$42=$CC29)*($DC$3:$DC$42=$CC28)*$DA$3:$DA$42)+SUMPRODUCT(($CZ$3:$CZ$42=$CC25)*($DC$3:$DC$42=$CC28)*$DA$3:$DA$42)+SUMPRODUCT(($CZ$3:$CZ$42=$CC26)*($DC$3:$DC$42=$CC28)*$DA$3:$DA$42)+SUMPRODUCT(($CZ$3:$CZ$42=$CC27)*($DC$3:$DC$42=$CC28)*$DA$3:$DA$42)</f>
        <v>0</v>
      </c>
      <c r="CI28" s="191">
        <f>CG28-CH28+1000</f>
        <v>1000</v>
      </c>
      <c r="CJ28" s="191" t="str">
        <f t="shared" ref="CJ28" si="180">IF(CC28&lt;&gt;"",CD28*3+CE28*1,"")</f>
        <v/>
      </c>
      <c r="CK28" s="191" t="str">
        <f t="shared" ref="CK28" si="181">IF(CC28&lt;&gt;"",VLOOKUP(CC28,$B$4:$H$40,7,FALSE),"")</f>
        <v/>
      </c>
      <c r="CL28" s="191" t="str">
        <f t="shared" ref="CL28" si="182">IF(CC28&lt;&gt;"",VLOOKUP(CC28,$B$4:$H$40,5,FALSE),"")</f>
        <v/>
      </c>
      <c r="CM28" s="191" t="str">
        <f t="shared" ref="CM28" si="183">IF(CC28&lt;&gt;"",VLOOKUP(CC28,$B$4:$J$40,9,FALSE),"")</f>
        <v/>
      </c>
      <c r="CN28" s="191" t="str">
        <f t="shared" ref="CN28" si="184">CJ28</f>
        <v/>
      </c>
      <c r="CO28" s="191" t="str">
        <f>IF(CC28&lt;&gt;"",RANK(CN28,$AF$25:$AF$29),"")</f>
        <v/>
      </c>
      <c r="CP28" s="191" t="str">
        <f t="shared" ref="CP28" si="185">IF(CC28&lt;&gt;"",SUMPRODUCT((CN$25:CN$29=CN28)*(CI$25:CI$29&gt;CI28)),"")</f>
        <v/>
      </c>
      <c r="CQ28" s="191" t="str">
        <f t="shared" ref="CQ28" si="186">IF(CC28&lt;&gt;"",SUMPRODUCT((CN$25:CN$29=CN28)*(CI$25:CI$29=CI28)*(CG$25:CG$29&gt;CG28)),"")</f>
        <v/>
      </c>
      <c r="CR28" s="191" t="str">
        <f t="shared" ref="CR28" si="187">IF(CC28&lt;&gt;"",SUMPRODUCT((CN$25:CN$29=CN28)*(CI$25:CI$29=CI28)*(CG$25:CG$29=CG28)*(CK$25:CK$29&gt;CK28)),"")</f>
        <v/>
      </c>
      <c r="CS28" s="191" t="str">
        <f t="shared" ref="CS28" si="188">IF(CC28&lt;&gt;"",SUMPRODUCT((CN$25:CN$29=CN28)*(CI$25:CI$29=CI28)*(CG$25:CG$29=CG28)*(CK$25:CK$29=CK28)*(CL$25:CL$29&gt;CL28)),"")</f>
        <v/>
      </c>
      <c r="CT28" s="191" t="str">
        <f t="shared" ref="CT28" si="189">IF(CC28&lt;&gt;"",SUMPRODUCT((CN$25:CN$29=CN28)*(CI$25:CI$29=CI28)*(CG$25:CG$29=CG28)*(CK$25:CK$29=CK28)*(CL$25:CL$29=CL28)*(CM$25:CM$29&gt;CM28)),"")</f>
        <v/>
      </c>
      <c r="CU28" s="191" t="str">
        <f>IF(CC28&lt;&gt;"",SUM(CO28:CT28)+3,"")</f>
        <v/>
      </c>
      <c r="CV28" s="191" t="str">
        <f>IF(CC28&lt;&gt;"",IF(CU28=4,CC28,CC29),"")</f>
        <v/>
      </c>
      <c r="CW28" s="191" t="str">
        <f>IF(CV28&lt;&gt;"",CV28,IF(CB28&lt;&gt;"",CB28,IF(BH28&lt;&gt;"",BH28,IF(AN28&lt;&gt;"",AN28,N28))))</f>
        <v>Scotland</v>
      </c>
      <c r="CX28" s="191">
        <v>4</v>
      </c>
      <c r="CY28" s="191">
        <v>26</v>
      </c>
      <c r="CZ28" s="191" t="str">
        <f>Fixtures!G32</f>
        <v>Italy</v>
      </c>
      <c r="DA28" s="191">
        <f>IF(AND(Fixtures!H32&lt;&gt;"",Fixtures!I32&lt;&gt;""),Fixtures!H32,0)</f>
        <v>1</v>
      </c>
      <c r="DB28" s="191">
        <f>IF(AND(Fixtures!I32&lt;&gt;"",Fixtures!H32&lt;&gt;""),Fixtures!I32,0)</f>
        <v>0</v>
      </c>
      <c r="DC28" s="191" t="str">
        <f>Fixtures!J32</f>
        <v>Wales</v>
      </c>
      <c r="DD28" s="191" t="str">
        <f>IF(AND(Fixtures!H32&lt;&gt;"",Fixtures!I32&lt;&gt;""),IF(DA28&gt;DB28,"W",IF(DA28=DB28,"D","L")),"")</f>
        <v>W</v>
      </c>
      <c r="DE28" s="191" t="str">
        <f t="shared" si="1"/>
        <v>L</v>
      </c>
      <c r="DH28" s="191" t="s">
        <v>109</v>
      </c>
      <c r="EF28" s="272"/>
      <c r="EG28" s="196"/>
      <c r="EH28" s="197" t="str">
        <f>Fixtures!J18</f>
        <v>Germany</v>
      </c>
      <c r="EI28" s="198" t="s">
        <v>592</v>
      </c>
      <c r="EJ28" s="197" t="str">
        <f>"'Countries and Timezone'!"&amp;VLOOKUP(Fixtures!P33,$EH$7:$EI$38,2,FALSE)</f>
        <v>'Countries and Timezone'!B28</v>
      </c>
      <c r="EL28" s="199">
        <v>44366.625</v>
      </c>
      <c r="EM28" s="200">
        <f t="shared" si="51"/>
        <v>44366.625</v>
      </c>
      <c r="EO28" s="202">
        <v>-2</v>
      </c>
      <c r="EP28" s="191">
        <v>-5</v>
      </c>
      <c r="EQ28" s="191" t="s">
        <v>593</v>
      </c>
      <c r="ER28" s="191" t="s">
        <v>594</v>
      </c>
    </row>
    <row r="29" spans="1:148" x14ac:dyDescent="0.35">
      <c r="CV29" s="191" t="str">
        <f>IF(CC28&lt;&gt;"",IF(CC28=CV28,CC29,CC28),"")</f>
        <v/>
      </c>
      <c r="CY29" s="191">
        <v>27</v>
      </c>
      <c r="CZ29" s="191" t="str">
        <f>Fixtures!G33</f>
        <v>North Macedonia</v>
      </c>
      <c r="DA29" s="191">
        <f>IF(AND(Fixtures!H33&lt;&gt;"",Fixtures!I33&lt;&gt;""),Fixtures!H33,0)</f>
        <v>0</v>
      </c>
      <c r="DB29" s="191">
        <f>IF(AND(Fixtures!I33&lt;&gt;"",Fixtures!H33&lt;&gt;""),Fixtures!I33,0)</f>
        <v>3</v>
      </c>
      <c r="DC29" s="191" t="str">
        <f>Fixtures!J33</f>
        <v>Netherlands</v>
      </c>
      <c r="DD29" s="191" t="str">
        <f>IF(AND(Fixtures!H33&lt;&gt;"",Fixtures!I33&lt;&gt;""),IF(DA29&gt;DB29,"W",IF(DA29=DB29,"D","L")),"")</f>
        <v>L</v>
      </c>
      <c r="DE29" s="191" t="str">
        <f t="shared" si="1"/>
        <v>W</v>
      </c>
      <c r="EF29" s="272"/>
      <c r="EG29" s="196"/>
      <c r="EH29" s="197" t="str">
        <f>Fixtures!G17</f>
        <v>Hungary</v>
      </c>
      <c r="EI29" s="198" t="s">
        <v>595</v>
      </c>
      <c r="EJ29" s="197" t="str">
        <f>"'Countries and Timezone'!"&amp;VLOOKUP(Fixtures!P34,$EH$7:$EI$38,2,FALSE)</f>
        <v>'Countries and Timezone'!B30</v>
      </c>
      <c r="EL29" s="199">
        <v>44366.75</v>
      </c>
      <c r="EM29" s="200">
        <f t="shared" si="51"/>
        <v>44366.75</v>
      </c>
      <c r="EO29" s="202">
        <v>-1.5</v>
      </c>
      <c r="EP29" s="191">
        <v>-5</v>
      </c>
      <c r="EQ29" s="191" t="s">
        <v>596</v>
      </c>
      <c r="ER29" s="191" t="s">
        <v>597</v>
      </c>
    </row>
    <row r="30" spans="1:148" x14ac:dyDescent="0.35">
      <c r="CC30" s="191" t="str">
        <f>IF(BN29&lt;&gt;"",BN29,"")</f>
        <v/>
      </c>
      <c r="CY30" s="191">
        <v>28</v>
      </c>
      <c r="CZ30" s="191" t="str">
        <f>Fixtures!G34</f>
        <v>Ukraine</v>
      </c>
      <c r="DA30" s="191">
        <f>IF(AND(Fixtures!H34&lt;&gt;"",Fixtures!I34&lt;&gt;""),Fixtures!H34,0)</f>
        <v>0</v>
      </c>
      <c r="DB30" s="191">
        <f>IF(AND(Fixtures!I34&lt;&gt;"",Fixtures!H34&lt;&gt;""),Fixtures!I34,0)</f>
        <v>1</v>
      </c>
      <c r="DC30" s="191" t="str">
        <f>Fixtures!J34</f>
        <v>Austria</v>
      </c>
      <c r="DD30" s="191" t="str">
        <f>IF(AND(Fixtures!H34&lt;&gt;"",Fixtures!I34&lt;&gt;""),IF(DA30&gt;DB30,"W",IF(DA30=DB30,"D","L")),"")</f>
        <v>L</v>
      </c>
      <c r="DE30" s="191" t="str">
        <f t="shared" si="1"/>
        <v>W</v>
      </c>
      <c r="EF30" s="272"/>
      <c r="EG30" s="196"/>
      <c r="EH30" s="197" t="str">
        <f>Fixtures!J17</f>
        <v>Portugal</v>
      </c>
      <c r="EI30" s="198" t="s">
        <v>598</v>
      </c>
      <c r="EJ30" s="197" t="str">
        <f>"'Countries and Timezone'!"&amp;VLOOKUP(Fixtures!P35,$EH$7:$EI$38,2,FALSE)</f>
        <v>'Countries and Timezone'!B29</v>
      </c>
      <c r="EL30" s="199">
        <v>44366.875</v>
      </c>
      <c r="EM30" s="200">
        <f t="shared" si="51"/>
        <v>44366.875</v>
      </c>
      <c r="EO30" s="202">
        <v>-1</v>
      </c>
      <c r="EP30" s="191">
        <v>-5</v>
      </c>
      <c r="EQ30" s="191" t="s">
        <v>599</v>
      </c>
      <c r="ER30" s="191" t="s">
        <v>600</v>
      </c>
    </row>
    <row r="31" spans="1:148" x14ac:dyDescent="0.35">
      <c r="A31" s="191">
        <f>VLOOKUP(B31,$CW$31:$CX$35,2,FALSE)</f>
        <v>2</v>
      </c>
      <c r="B31" s="191" t="str">
        <f>'Dummy Table'!EH23</f>
        <v>Spain</v>
      </c>
      <c r="C31" s="191">
        <f>SUMPRODUCT(($CZ$3:$CZ$42=$B31)*($DD$3:$DD$42="W"))+SUMPRODUCT(($DC$3:$DC$42=$B31)*($DE$3:$DE$42="W"))</f>
        <v>1</v>
      </c>
      <c r="D31" s="191">
        <f>SUMPRODUCT(($CZ$3:$CZ$42=$B31)*($DD$3:$DD$42="D"))+SUMPRODUCT(($DC$3:$DC$42=$B31)*($DE$3:$DE$42="D"))</f>
        <v>2</v>
      </c>
      <c r="E31" s="191">
        <f>SUMPRODUCT(($CZ$3:$CZ$42=$B31)*($DD$3:$DD$42="L"))+SUMPRODUCT(($DC$3:$DC$42=$B31)*($DE$3:$DE$42="L"))</f>
        <v>0</v>
      </c>
      <c r="F31" s="191">
        <f>SUMIF($CZ$3:$CZ$60,B31,$DA$3:$DA$60)+SUMIF($DC$3:$DC$60,B31,$DB$3:$DB$60)</f>
        <v>6</v>
      </c>
      <c r="G31" s="191">
        <f>SUMIF($DC$3:$DC$60,B31,$DA$3:$DA$60)+SUMIF($CZ$3:$CZ$60,B31,$DB$3:$DB$60)</f>
        <v>1</v>
      </c>
      <c r="H31" s="191">
        <f t="shared" ref="H31:H34" si="190">F31-G31+1000</f>
        <v>1005</v>
      </c>
      <c r="I31" s="191">
        <f t="shared" ref="I31:I34" si="191">C31*3+D31*1</f>
        <v>5</v>
      </c>
      <c r="J31" s="191">
        <v>51</v>
      </c>
      <c r="K31" s="191">
        <f>IF(COUNTIF(I31:I35,4)&lt;&gt;4,RANK(I31,I31:I35),I71)</f>
        <v>2</v>
      </c>
      <c r="M31" s="191">
        <f>SUMPRODUCT((K31:K34=K31)*(J31:J34&lt;J31))+K31</f>
        <v>2</v>
      </c>
      <c r="N31" s="191" t="str">
        <f>INDEX($B$31:$B$35,MATCH(1,$M$31:$M$35,0),0)</f>
        <v>Sweden</v>
      </c>
      <c r="O31" s="191">
        <f>INDEX($K$31:$K$35,MATCH(N31,$B$31:$B$35,0),0)</f>
        <v>1</v>
      </c>
      <c r="P31" s="191" t="str">
        <f>IF(O32=1,N31,"")</f>
        <v/>
      </c>
      <c r="Q31" s="191" t="str">
        <f>IF(O33=2,N32,"")</f>
        <v/>
      </c>
      <c r="R31" s="191" t="str">
        <f>IF(O34=3,N33,"")</f>
        <v/>
      </c>
      <c r="S31" s="191" t="str">
        <f>IF(O35=4,N34,"")</f>
        <v/>
      </c>
      <c r="U31" s="191" t="str">
        <f>IF(P31&lt;&gt;"",P31,"")</f>
        <v/>
      </c>
      <c r="V31" s="191">
        <f>SUMPRODUCT(($CZ$3:$CZ$42=$U31)*($DC$3:$DC$42=$U32)*($DD$3:$DD$42="W"))+SUMPRODUCT(($CZ$3:$CZ$42=$U31)*($DC$3:$DC$42=$U33)*($DD$3:$DD$42="W"))+SUMPRODUCT(($CZ$3:$CZ$42=$U31)*($DC$3:$DC$42=$U34)*($DD$3:$DD$42="W"))+SUMPRODUCT(($CZ$3:$CZ$42=$U31)*($DC$3:$DC$42=$U35)*($DD$3:$DD$42="W"))+SUMPRODUCT(($CZ$3:$CZ$42=$U32)*($DC$3:$DC$42=$U31)*($DE$3:$DE$42="W"))+SUMPRODUCT(($CZ$3:$CZ$42=$U33)*($DC$3:$DC$42=$U31)*($DE$3:$DE$42="W"))+SUMPRODUCT(($CZ$3:$CZ$42=$U34)*($DC$3:$DC$42=$U31)*($DE$3:$DE$42="W"))+SUMPRODUCT(($CZ$3:$CZ$42=$U35)*($DC$3:$DC$42=$U31)*($DE$3:$DE$42="W"))</f>
        <v>0</v>
      </c>
      <c r="W31" s="191">
        <f>SUMPRODUCT(($CZ$3:$CZ$42=$U31)*($DC$3:$DC$42=$U32)*($DD$3:$DD$42="D"))+SUMPRODUCT(($CZ$3:$CZ$42=$U31)*($DC$3:$DC$42=$U33)*($DD$3:$DD$42="D"))+SUMPRODUCT(($CZ$3:$CZ$42=$U31)*($DC$3:$DC$42=$U34)*($DD$3:$DD$42="D"))+SUMPRODUCT(($CZ$3:$CZ$42=$U31)*($DC$3:$DC$42=$U35)*($DD$3:$DD$42="D"))+SUMPRODUCT(($CZ$3:$CZ$42=$U32)*($DC$3:$DC$42=$U31)*($DD$3:$DD$42="D"))+SUMPRODUCT(($CZ$3:$CZ$42=$U33)*($DC$3:$DC$42=$U31)*($DD$3:$DD$42="D"))+SUMPRODUCT(($CZ$3:$CZ$42=$U34)*($DC$3:$DC$42=$U31)*($DD$3:$DD$42="D"))+SUMPRODUCT(($CZ$3:$CZ$42=$U35)*($DC$3:$DC$42=$U31)*($DD$3:$DD$42="D"))</f>
        <v>0</v>
      </c>
      <c r="X31" s="191">
        <f>SUMPRODUCT(($CZ$3:$CZ$42=$U31)*($DC$3:$DC$42=$U32)*($DD$3:$DD$42="L"))+SUMPRODUCT(($CZ$3:$CZ$42=$U31)*($DC$3:$DC$42=$U33)*($DD$3:$DD$42="L"))+SUMPRODUCT(($CZ$3:$CZ$42=$U31)*($DC$3:$DC$42=$U34)*($DD$3:$DD$42="L"))+SUMPRODUCT(($CZ$3:$CZ$42=$U31)*($DC$3:$DC$42=$U35)*($DD$3:$DD$42="L"))+SUMPRODUCT(($CZ$3:$CZ$42=$U32)*($DC$3:$DC$42=$U31)*($DE$3:$DE$42="L"))+SUMPRODUCT(($CZ$3:$CZ$42=$U33)*($DC$3:$DC$42=$U31)*($DE$3:$DE$42="L"))+SUMPRODUCT(($CZ$3:$CZ$42=$U34)*($DC$3:$DC$42=$U31)*($DE$3:$DE$42="L"))+SUMPRODUCT(($CZ$3:$CZ$42=$U35)*($DC$3:$DC$42=$U31)*($DE$3:$DE$42="L"))</f>
        <v>0</v>
      </c>
      <c r="Y31" s="191">
        <f>SUMPRODUCT(($CZ$3:$CZ$42=$U31)*($DC$3:$DC$42=$U32)*$DA$3:$DA$42)+SUMPRODUCT(($CZ$3:$CZ$42=$U31)*($DC$3:$DC$42=$U33)*$DA$3:$DA$42)+SUMPRODUCT(($CZ$3:$CZ$42=$U31)*($DC$3:$DC$42=$U34)*$DA$3:$DA$42)+SUMPRODUCT(($CZ$3:$CZ$42=$U31)*($DC$3:$DC$42=$U35)*$DA$3:$DA$42)+SUMPRODUCT(($CZ$3:$CZ$42=$U32)*($DC$3:$DC$42=$U31)*$DB$3:$DB$42)+SUMPRODUCT(($CZ$3:$CZ$42=$U33)*($DC$3:$DC$42=$U31)*$DB$3:$DB$42)+SUMPRODUCT(($CZ$3:$CZ$42=$U34)*($DC$3:$DC$42=$U31)*$DB$3:$DB$42)+SUMPRODUCT(($CZ$3:$CZ$42=$U35)*($DC$3:$DC$42=$U31)*$DB$3:$DB$42)</f>
        <v>0</v>
      </c>
      <c r="Z31" s="191">
        <f>SUMPRODUCT(($CZ$3:$CZ$42=$U31)*($DC$3:$DC$42=$U32)*$DB$3:$DB$42)+SUMPRODUCT(($CZ$3:$CZ$42=$U31)*($DC$3:$DC$42=$U33)*$DB$3:$DB$42)+SUMPRODUCT(($CZ$3:$CZ$42=$U31)*($DC$3:$DC$42=$U34)*$DB$3:$DB$42)+SUMPRODUCT(($CZ$3:$CZ$42=$U31)*($DC$3:$DC$42=$U35)*$DB$3:$DB$42)+SUMPRODUCT(($CZ$3:$CZ$42=$U32)*($DC$3:$DC$42=$U31)*$DA$3:$DA$42)+SUMPRODUCT(($CZ$3:$CZ$42=$U33)*($DC$3:$DC$42=$U31)*$DA$3:$DA$42)+SUMPRODUCT(($CZ$3:$CZ$42=$U34)*($DC$3:$DC$42=$U31)*$DA$3:$DA$42)+SUMPRODUCT(($CZ$3:$CZ$42=$U35)*($DC$3:$DC$42=$U31)*$DA$3:$DA$42)</f>
        <v>0</v>
      </c>
      <c r="AA31" s="191">
        <f>Y31-Z31+1000</f>
        <v>1000</v>
      </c>
      <c r="AB31" s="191" t="str">
        <f t="shared" ref="AB31:AB34" si="192">IF(U31&lt;&gt;"",V31*3+W31*1,"")</f>
        <v/>
      </c>
      <c r="AC31" s="191" t="str">
        <f t="shared" ref="AC31:AC34" si="193">IF(U31&lt;&gt;"",VLOOKUP(U31,$B$4:$H$40,7,FALSE),"")</f>
        <v/>
      </c>
      <c r="AD31" s="191" t="str">
        <f t="shared" ref="AD31:AD34" si="194">IF(U31&lt;&gt;"",VLOOKUP(U31,$B$4:$H$40,5,FALSE),"")</f>
        <v/>
      </c>
      <c r="AE31" s="191" t="str">
        <f t="shared" ref="AE31:AE34" si="195">IF(U31&lt;&gt;"",VLOOKUP(U31,$B$4:$J$40,9,FALSE),"")</f>
        <v/>
      </c>
      <c r="AF31" s="191" t="str">
        <f t="shared" ref="AF31:AF34" si="196">AB31</f>
        <v/>
      </c>
      <c r="AG31" s="191" t="str">
        <f>IF(U31&lt;&gt;"",RANK(AF31,$AF$31:$AF$35),"")</f>
        <v/>
      </c>
      <c r="AH31" s="191" t="str">
        <f>IF(U31&lt;&gt;"",SUMPRODUCT((AF$31:AF$35=AF31)*(AA$31:AA$35&gt;AA31)),"")</f>
        <v/>
      </c>
      <c r="AI31" s="191" t="str">
        <f>IF(U31&lt;&gt;"",SUMPRODUCT((AF$31:AF$35=AF31)*(AA$31:AA$35=AA31)*(Y$31:Y$35&gt;Y31)),"")</f>
        <v/>
      </c>
      <c r="AJ31" s="191" t="str">
        <f>IF(U31&lt;&gt;"",SUMPRODUCT((AF$31:AF$35=AF31)*(AA$31:AA$35=AA31)*(Y$31:Y$35=Y31)*(AC$31:AC$35&gt;AC31)),"")</f>
        <v/>
      </c>
      <c r="AK31" s="191" t="str">
        <f>IF(U31&lt;&gt;"",SUMPRODUCT((AF$31:AF$35=AF31)*(AA$31:AA$35=AA31)*(Y$31:Y$35=Y31)*(AC$31:AC$35=AC31)*(AD$31:AD$35&gt;AD31)),"")</f>
        <v/>
      </c>
      <c r="AL31" s="191" t="str">
        <f>IF(U31&lt;&gt;"",SUMPRODUCT((AF$31:AF$35=AF31)*(AA$31:AA$35=AA31)*(Y$31:Y$35=Y31)*(AC$31:AC$35=AC31)*(AD$31:AD$35=AD31)*(AE$31:AE$35&gt;AE31)),"")</f>
        <v/>
      </c>
      <c r="AM31" s="191" t="str">
        <f>IF(U31&lt;&gt;"",IF(AM71&lt;&gt;"",IF(T$70=3,AM71,AM71+T$70),SUM(AG31:AL31)),"")</f>
        <v/>
      </c>
      <c r="AN31" s="191" t="str">
        <f>IF(U31&lt;&gt;"",INDEX($U$31:$U$35,MATCH(1,$AM$31:$AM$35,0),0),"")</f>
        <v/>
      </c>
      <c r="CW31" s="191" t="str">
        <f>IF(AN31&lt;&gt;"",AN31,N31)</f>
        <v>Sweden</v>
      </c>
      <c r="CX31" s="191">
        <v>1</v>
      </c>
      <c r="CY31" s="191">
        <v>29</v>
      </c>
      <c r="CZ31" s="191" t="str">
        <f>Fixtures!G35</f>
        <v>Russia</v>
      </c>
      <c r="DA31" s="191">
        <f>IF(AND(Fixtures!H35&lt;&gt;"",Fixtures!I35&lt;&gt;""),Fixtures!H35,0)</f>
        <v>1</v>
      </c>
      <c r="DB31" s="191">
        <f>IF(AND(Fixtures!I35&lt;&gt;"",Fixtures!H35&lt;&gt;""),Fixtures!I35,0)</f>
        <v>4</v>
      </c>
      <c r="DC31" s="191" t="str">
        <f>Fixtures!J35</f>
        <v>Denmark</v>
      </c>
      <c r="DD31" s="191" t="str">
        <f>IF(AND(Fixtures!H35&lt;&gt;"",Fixtures!I35&lt;&gt;""),IF(DA31&gt;DB31,"W",IF(DA31=DB31,"D","L")),"")</f>
        <v>L</v>
      </c>
      <c r="DE31" s="191" t="str">
        <f t="shared" si="1"/>
        <v>W</v>
      </c>
      <c r="EF31" s="272" t="s">
        <v>132</v>
      </c>
      <c r="EG31" s="196"/>
      <c r="EH31" s="197"/>
      <c r="EI31" s="198"/>
      <c r="EJ31" s="197"/>
      <c r="EL31" s="199">
        <v>44367.75</v>
      </c>
      <c r="EM31" s="200">
        <f t="shared" si="51"/>
        <v>44367.75</v>
      </c>
      <c r="EO31" s="202">
        <v>-0.5</v>
      </c>
      <c r="EP31" s="191">
        <v>-5</v>
      </c>
      <c r="EQ31" s="191" t="s">
        <v>601</v>
      </c>
      <c r="ER31" s="191" t="s">
        <v>602</v>
      </c>
    </row>
    <row r="32" spans="1:148" x14ac:dyDescent="0.35">
      <c r="A32" s="191">
        <f t="shared" ref="A32:A34" si="197">VLOOKUP(B32,$CW$31:$CX$35,2,FALSE)</f>
        <v>1</v>
      </c>
      <c r="B32" s="191" t="str">
        <f>'Dummy Table'!EH24</f>
        <v>Sweden</v>
      </c>
      <c r="C32" s="191">
        <f>SUMPRODUCT(($CZ$3:$CZ$42=$B32)*($DD$3:$DD$42="W"))+SUMPRODUCT(($DC$3:$DC$42=$B32)*($DE$3:$DE$42="W"))</f>
        <v>2</v>
      </c>
      <c r="D32" s="191">
        <f>SUMPRODUCT(($CZ$3:$CZ$42=$B32)*($DD$3:$DD$42="D"))+SUMPRODUCT(($DC$3:$DC$42=$B32)*($DE$3:$DE$42="D"))</f>
        <v>1</v>
      </c>
      <c r="E32" s="191">
        <f>SUMPRODUCT(($CZ$3:$CZ$42=$B32)*($DD$3:$DD$42="L"))+SUMPRODUCT(($DC$3:$DC$42=$B32)*($DE$3:$DE$42="L"))</f>
        <v>0</v>
      </c>
      <c r="F32" s="191">
        <f>SUMIF($CZ$3:$CZ$60,B32,$DA$3:$DA$60)+SUMIF($DC$3:$DC$60,B32,$DB$3:$DB$60)</f>
        <v>4</v>
      </c>
      <c r="G32" s="191">
        <f>SUMIF($DC$3:$DC$60,B32,$DA$3:$DA$60)+SUMIF($CZ$3:$CZ$60,B32,$DB$3:$DB$60)</f>
        <v>2</v>
      </c>
      <c r="H32" s="191">
        <f t="shared" si="190"/>
        <v>1002</v>
      </c>
      <c r="I32" s="191">
        <f t="shared" si="191"/>
        <v>7</v>
      </c>
      <c r="J32" s="191">
        <v>39</v>
      </c>
      <c r="K32" s="191">
        <f>IF(COUNTIF(I31:I35,4)&lt;&gt;4,RANK(I32,I31:I35),I72)</f>
        <v>1</v>
      </c>
      <c r="M32" s="191">
        <f>SUMPRODUCT((K31:K34=K32)*(J31:J34&lt;J32))+K32</f>
        <v>1</v>
      </c>
      <c r="N32" s="191" t="str">
        <f>INDEX($B$31:$B$35,MATCH(2,$M$31:$M$35,0),0)</f>
        <v>Spain</v>
      </c>
      <c r="O32" s="191">
        <f t="shared" ref="O32:O34" si="198">INDEX($K$31:$K$35,MATCH(N32,$B$31:$B$35,0),0)</f>
        <v>2</v>
      </c>
      <c r="P32" s="191" t="str">
        <f>IF(P31&lt;&gt;"",N32,"")</f>
        <v/>
      </c>
      <c r="Q32" s="191" t="str">
        <f>IF(Q31&lt;&gt;"",N33,"")</f>
        <v/>
      </c>
      <c r="R32" s="191" t="str">
        <f>IF(R31&lt;&gt;"",N34,"")</f>
        <v/>
      </c>
      <c r="S32" s="191" t="str">
        <f>IF(S31&lt;&gt;"",N35,"")</f>
        <v/>
      </c>
      <c r="U32" s="191" t="str">
        <f t="shared" ref="U32:U34" si="199">IF(P32&lt;&gt;"",P32,"")</f>
        <v/>
      </c>
      <c r="V32" s="191">
        <f>SUMPRODUCT(($CZ$3:$CZ$42=$U32)*($DC$3:$DC$42=$U33)*($DD$3:$DD$42="W"))+SUMPRODUCT(($CZ$3:$CZ$42=$U32)*($DC$3:$DC$42=$U34)*($DD$3:$DD$42="W"))+SUMPRODUCT(($CZ$3:$CZ$42=$U32)*($DC$3:$DC$42=$U35)*($DD$3:$DD$42="W"))+SUMPRODUCT(($CZ$3:$CZ$42=$U32)*($DC$3:$DC$42=$U31)*($DD$3:$DD$42="W"))+SUMPRODUCT(($CZ$3:$CZ$42=$U33)*($DC$3:$DC$42=$U32)*($DE$3:$DE$42="W"))+SUMPRODUCT(($CZ$3:$CZ$42=$U34)*($DC$3:$DC$42=$U32)*($DE$3:$DE$42="W"))+SUMPRODUCT(($CZ$3:$CZ$42=$U35)*($DC$3:$DC$42=$U32)*($DE$3:$DE$42="W"))+SUMPRODUCT(($CZ$3:$CZ$42=$U31)*($DC$3:$DC$42=$U32)*($DE$3:$DE$42="W"))</f>
        <v>0</v>
      </c>
      <c r="W32" s="191">
        <f>SUMPRODUCT(($CZ$3:$CZ$42=$U32)*($DC$3:$DC$42=$U33)*($DD$3:$DD$42="D"))+SUMPRODUCT(($CZ$3:$CZ$42=$U32)*($DC$3:$DC$42=$U34)*($DD$3:$DD$42="D"))+SUMPRODUCT(($CZ$3:$CZ$42=$U32)*($DC$3:$DC$42=$U35)*($DD$3:$DD$42="D"))+SUMPRODUCT(($CZ$3:$CZ$42=$U32)*($DC$3:$DC$42=$U31)*($DD$3:$DD$42="D"))+SUMPRODUCT(($CZ$3:$CZ$42=$U33)*($DC$3:$DC$42=$U32)*($DD$3:$DD$42="D"))+SUMPRODUCT(($CZ$3:$CZ$42=$U34)*($DC$3:$DC$42=$U32)*($DD$3:$DD$42="D"))+SUMPRODUCT(($CZ$3:$CZ$42=$U35)*($DC$3:$DC$42=$U32)*($DD$3:$DD$42="D"))+SUMPRODUCT(($CZ$3:$CZ$42=$U31)*($DC$3:$DC$42=$U32)*($DD$3:$DD$42="D"))</f>
        <v>0</v>
      </c>
      <c r="X32" s="191">
        <f>SUMPRODUCT(($CZ$3:$CZ$42=$U32)*($DC$3:$DC$42=$U33)*($DD$3:$DD$42="L"))+SUMPRODUCT(($CZ$3:$CZ$42=$U32)*($DC$3:$DC$42=$U34)*($DD$3:$DD$42="L"))+SUMPRODUCT(($CZ$3:$CZ$42=$U32)*($DC$3:$DC$42=$U35)*($DD$3:$DD$42="L"))+SUMPRODUCT(($CZ$3:$CZ$42=$U32)*($DC$3:$DC$42=$U31)*($DD$3:$DD$42="L"))+SUMPRODUCT(($CZ$3:$CZ$42=$U33)*($DC$3:$DC$42=$U32)*($DE$3:$DE$42="L"))+SUMPRODUCT(($CZ$3:$CZ$42=$U34)*($DC$3:$DC$42=$U32)*($DE$3:$DE$42="L"))+SUMPRODUCT(($CZ$3:$CZ$42=$U35)*($DC$3:$DC$42=$U32)*($DE$3:$DE$42="L"))+SUMPRODUCT(($CZ$3:$CZ$42=$U31)*($DC$3:$DC$42=$U32)*($DE$3:$DE$42="L"))</f>
        <v>0</v>
      </c>
      <c r="Y32" s="191">
        <f>SUMPRODUCT(($CZ$3:$CZ$42=$U32)*($DC$3:$DC$42=$U33)*$DA$3:$DA$42)+SUMPRODUCT(($CZ$3:$CZ$42=$U32)*($DC$3:$DC$42=$U34)*$DA$3:$DA$42)+SUMPRODUCT(($CZ$3:$CZ$42=$U32)*($DC$3:$DC$42=$U35)*$DA$3:$DA$42)+SUMPRODUCT(($CZ$3:$CZ$42=$U32)*($DC$3:$DC$42=$U31)*$DA$3:$DA$42)+SUMPRODUCT(($CZ$3:$CZ$42=$U33)*($DC$3:$DC$42=$U32)*$DB$3:$DB$42)+SUMPRODUCT(($CZ$3:$CZ$42=$U34)*($DC$3:$DC$42=$U32)*$DB$3:$DB$42)+SUMPRODUCT(($CZ$3:$CZ$42=$U35)*($DC$3:$DC$42=$U32)*$DB$3:$DB$42)+SUMPRODUCT(($CZ$3:$CZ$42=$U31)*($DC$3:$DC$42=$U32)*$DB$3:$DB$42)</f>
        <v>0</v>
      </c>
      <c r="Z32" s="191">
        <f>SUMPRODUCT(($CZ$3:$CZ$42=$U32)*($DC$3:$DC$42=$U33)*$DB$3:$DB$42)+SUMPRODUCT(($CZ$3:$CZ$42=$U32)*($DC$3:$DC$42=$U34)*$DB$3:$DB$42)+SUMPRODUCT(($CZ$3:$CZ$42=$U32)*($DC$3:$DC$42=$U35)*$DB$3:$DB$42)+SUMPRODUCT(($CZ$3:$CZ$42=$U32)*($DC$3:$DC$42=$U31)*$DB$3:$DB$42)+SUMPRODUCT(($CZ$3:$CZ$42=$U33)*($DC$3:$DC$42=$U32)*$DA$3:$DA$42)+SUMPRODUCT(($CZ$3:$CZ$42=$U34)*($DC$3:$DC$42=$U32)*$DA$3:$DA$42)+SUMPRODUCT(($CZ$3:$CZ$42=$U35)*($DC$3:$DC$42=$U32)*$DA$3:$DA$42)+SUMPRODUCT(($CZ$3:$CZ$42=$U31)*($DC$3:$DC$42=$U32)*$DA$3:$DA$42)</f>
        <v>0</v>
      </c>
      <c r="AA32" s="191">
        <f>Y32-Z32+1000</f>
        <v>1000</v>
      </c>
      <c r="AB32" s="191" t="str">
        <f t="shared" si="192"/>
        <v/>
      </c>
      <c r="AC32" s="191" t="str">
        <f t="shared" si="193"/>
        <v/>
      </c>
      <c r="AD32" s="191" t="str">
        <f t="shared" si="194"/>
        <v/>
      </c>
      <c r="AE32" s="191" t="str">
        <f t="shared" si="195"/>
        <v/>
      </c>
      <c r="AF32" s="191" t="str">
        <f t="shared" si="196"/>
        <v/>
      </c>
      <c r="AG32" s="191" t="str">
        <f t="shared" ref="AG32:AG34" si="200">IF(U32&lt;&gt;"",RANK(AF32,$AF$31:$AF$35),"")</f>
        <v/>
      </c>
      <c r="AH32" s="191" t="str">
        <f t="shared" ref="AH32:AH34" si="201">IF(U32&lt;&gt;"",SUMPRODUCT((AF$31:AF$35=AF32)*(AA$31:AA$35&gt;AA32)),"")</f>
        <v/>
      </c>
      <c r="AI32" s="191" t="str">
        <f t="shared" ref="AI32:AI34" si="202">IF(U32&lt;&gt;"",SUMPRODUCT((AF$31:AF$35=AF32)*(AA$31:AA$35=AA32)*(Y$31:Y$35&gt;Y32)),"")</f>
        <v/>
      </c>
      <c r="AJ32" s="191" t="str">
        <f t="shared" ref="AJ32:AJ34" si="203">IF(U32&lt;&gt;"",SUMPRODUCT((AF$31:AF$35=AF32)*(AA$31:AA$35=AA32)*(Y$31:Y$35=Y32)*(AC$31:AC$35&gt;AC32)),"")</f>
        <v/>
      </c>
      <c r="AK32" s="191" t="str">
        <f t="shared" ref="AK32:AK34" si="204">IF(U32&lt;&gt;"",SUMPRODUCT((AF$31:AF$35=AF32)*(AA$31:AA$35=AA32)*(Y$31:Y$35=Y32)*(AC$31:AC$35=AC32)*(AD$31:AD$35&gt;AD32)),"")</f>
        <v/>
      </c>
      <c r="AL32" s="191" t="str">
        <f t="shared" ref="AL32:AL34" si="205">IF(U32&lt;&gt;"",SUMPRODUCT((AF$31:AF$35=AF32)*(AA$31:AA$35=AA32)*(Y$31:Y$35=Y32)*(AC$31:AC$35=AC32)*(AD$31:AD$35=AD32)*(AE$31:AE$35&gt;AE32)),"")</f>
        <v/>
      </c>
      <c r="AM32" s="191" t="str">
        <f t="shared" ref="AM32:AM34" si="206">IF(U32&lt;&gt;"",IF(AM72&lt;&gt;"",IF(T$70=3,AM72,AM72+T$70),SUM(AG32:AL32)),"")</f>
        <v/>
      </c>
      <c r="AN32" s="191" t="str">
        <f>IF(U32&lt;&gt;"",INDEX($U$31:$U$35,MATCH(2,$AM$31:$AM$35,0),0),"")</f>
        <v/>
      </c>
      <c r="AO32" s="191" t="str">
        <f>IF(Q31&lt;&gt;"",Q31,"")</f>
        <v/>
      </c>
      <c r="AP32" s="191">
        <f>SUMPRODUCT(($CZ$3:$CZ$42=$AO32)*($DC$3:$DC$42=$AO33)*($DD$3:$DD$42="W"))+SUMPRODUCT(($CZ$3:$CZ$42=$AO32)*($DC$3:$DC$42=$AO34)*($DD$3:$DD$42="W"))+SUMPRODUCT(($CZ$3:$CZ$42=$AO32)*($DC$3:$DC$42=$AO35)*($DD$3:$DD$42="W"))+SUMPRODUCT(($CZ$3:$CZ$42=$AO33)*($DC$3:$DC$42=$AO32)*($DE$3:$DE$42="W"))+SUMPRODUCT(($CZ$3:$CZ$42=$AO34)*($DC$3:$DC$42=$AO32)*($DE$3:$DE$42="W"))+SUMPRODUCT(($CZ$3:$CZ$42=$AO35)*($DC$3:$DC$42=$AO32)*($DE$3:$DE$42="W"))</f>
        <v>0</v>
      </c>
      <c r="AQ32" s="191">
        <f>SUMPRODUCT(($CZ$3:$CZ$42=$AO32)*($DC$3:$DC$42=$AO33)*($DD$3:$DD$42="D"))+SUMPRODUCT(($CZ$3:$CZ$42=$AO32)*($DC$3:$DC$42=$AO34)*($DD$3:$DD$42="D"))+SUMPRODUCT(($CZ$3:$CZ$42=$AO32)*($DC$3:$DC$42=$AO35)*($DD$3:$DD$42="D"))+SUMPRODUCT(($CZ$3:$CZ$42=$AO33)*($DC$3:$DC$42=$AO32)*($DD$3:$DD$42="D"))+SUMPRODUCT(($CZ$3:$CZ$42=$AO34)*($DC$3:$DC$42=$AO32)*($DD$3:$DD$42="D"))+SUMPRODUCT(($CZ$3:$CZ$42=$AO35)*($DC$3:$DC$42=$AO32)*($DD$3:$DD$42="D"))</f>
        <v>0</v>
      </c>
      <c r="AR32" s="191">
        <f>SUMPRODUCT(($CZ$3:$CZ$42=$AO32)*($DC$3:$DC$42=$AO33)*($DD$3:$DD$42="L"))+SUMPRODUCT(($CZ$3:$CZ$42=$AO32)*($DC$3:$DC$42=$AO34)*($DD$3:$DD$42="L"))+SUMPRODUCT(($CZ$3:$CZ$42=$AO32)*($DC$3:$DC$42=$AO35)*($DD$3:$DD$42="L"))+SUMPRODUCT(($CZ$3:$CZ$42=$AO33)*($DC$3:$DC$42=$AO32)*($DE$3:$DE$42="L"))+SUMPRODUCT(($CZ$3:$CZ$42=$AO34)*($DC$3:$DC$42=$AO32)*($DE$3:$DE$42="L"))+SUMPRODUCT(($CZ$3:$CZ$42=$AO35)*($DC$3:$DC$42=$AO32)*($DE$3:$DE$42="L"))</f>
        <v>0</v>
      </c>
      <c r="AS32" s="191">
        <f>SUMPRODUCT(($CZ$3:$CZ$42=$AO32)*($DC$3:$DC$42=$AO33)*$DA$3:$DA$42)+SUMPRODUCT(($CZ$3:$CZ$42=$AO32)*($DC$3:$DC$42=$AO34)*$DA$3:$DA$42)+SUMPRODUCT(($CZ$3:$CZ$42=$AO32)*($DC$3:$DC$42=$AO35)*$DA$3:$DA$42)+SUMPRODUCT(($CZ$3:$CZ$42=$AO32)*($DC$3:$DC$42=$AO31)*$DA$3:$DA$42)+SUMPRODUCT(($CZ$3:$CZ$42=$AO33)*($DC$3:$DC$42=$AO32)*$DB$3:$DB$42)+SUMPRODUCT(($CZ$3:$CZ$42=$AO34)*($DC$3:$DC$42=$AO32)*$DB$3:$DB$42)+SUMPRODUCT(($CZ$3:$CZ$42=$AO35)*($DC$3:$DC$42=$AO32)*$DB$3:$DB$42)+SUMPRODUCT(($CZ$3:$CZ$42=$AO31)*($DC$3:$DC$42=$AO32)*$DB$3:$DB$42)</f>
        <v>0</v>
      </c>
      <c r="AT32" s="191">
        <f>SUMPRODUCT(($CZ$3:$CZ$42=$AO32)*($DC$3:$DC$42=$AO33)*$DB$3:$DB$42)+SUMPRODUCT(($CZ$3:$CZ$42=$AO32)*($DC$3:$DC$42=$AO34)*$DB$3:$DB$42)+SUMPRODUCT(($CZ$3:$CZ$42=$AO32)*($DC$3:$DC$42=$AO35)*$DB$3:$DB$42)+SUMPRODUCT(($CZ$3:$CZ$42=$AO32)*($DC$3:$DC$42=$AO31)*$DB$3:$DB$42)+SUMPRODUCT(($CZ$3:$CZ$42=$AO33)*($DC$3:$DC$42=$AO32)*$DA$3:$DA$42)+SUMPRODUCT(($CZ$3:$CZ$42=$AO34)*($DC$3:$DC$42=$AO32)*$DA$3:$DA$42)+SUMPRODUCT(($CZ$3:$CZ$42=$AO35)*($DC$3:$DC$42=$AO32)*$DA$3:$DA$42)+SUMPRODUCT(($CZ$3:$CZ$42=$AO31)*($DC$3:$DC$42=$AO32)*$DA$3:$DA$42)</f>
        <v>0</v>
      </c>
      <c r="AU32" s="191">
        <f>AS32-AT32+1000</f>
        <v>1000</v>
      </c>
      <c r="AV32" s="191" t="str">
        <f t="shared" ref="AV32:AV34" si="207">IF(AO32&lt;&gt;"",AP32*3+AQ32*1,"")</f>
        <v/>
      </c>
      <c r="AW32" s="191" t="str">
        <f t="shared" ref="AW32:AW34" si="208">IF(AO32&lt;&gt;"",VLOOKUP(AO32,$B$4:$H$40,7,FALSE),"")</f>
        <v/>
      </c>
      <c r="AX32" s="191" t="str">
        <f t="shared" ref="AX32:AX34" si="209">IF(AO32&lt;&gt;"",VLOOKUP(AO32,$B$4:$H$40,5,FALSE),"")</f>
        <v/>
      </c>
      <c r="AY32" s="191" t="str">
        <f t="shared" ref="AY32:AY34" si="210">IF(AO32&lt;&gt;"",VLOOKUP(AO32,$B$4:$J$40,9,FALSE),"")</f>
        <v/>
      </c>
      <c r="AZ32" s="191" t="str">
        <f t="shared" ref="AZ32:AZ34" si="211">AV32</f>
        <v/>
      </c>
      <c r="BA32" s="191" t="str">
        <f>IF(AO32&lt;&gt;"",RANK(AZ32,AZ$31:AZ$35),"")</f>
        <v/>
      </c>
      <c r="BB32" s="191" t="str">
        <f t="shared" ref="BB32:BB34" si="212">IF(AO32&lt;&gt;"",SUMPRODUCT((AZ$31:AZ$35=AZ32)*(AU$31:AU$35&gt;AU32)),"")</f>
        <v/>
      </c>
      <c r="BC32" s="191" t="str">
        <f t="shared" ref="BC32:BC34" si="213">IF(AO32&lt;&gt;"",SUMPRODUCT((AZ$31:AZ$35=AZ32)*(AU$31:AU$35=AU32)*(AS$31:AS$35&gt;AS32)),"")</f>
        <v/>
      </c>
      <c r="BD32" s="191" t="str">
        <f t="shared" ref="BD32:BD34" si="214">IF(AO32&lt;&gt;"",SUMPRODUCT((AZ$31:AZ$35=AZ32)*(AU$31:AU$35=AU32)*(AS$31:AS$35=AS32)*(AW$31:AW$35&gt;AW32)),"")</f>
        <v/>
      </c>
      <c r="BE32" s="191" t="str">
        <f t="shared" ref="BE32:BE34" si="215">IF(AO32&lt;&gt;"",SUMPRODUCT((AZ$31:AZ$35=AZ32)*(AU$31:AU$35=AU32)*(AS$31:AS$35=AS32)*(AW$31:AW$35=AW32)*(AX$31:AX$35&gt;AX32)),"")</f>
        <v/>
      </c>
      <c r="BF32" s="191" t="str">
        <f t="shared" ref="BF32:BF34" si="216">IF(AO32&lt;&gt;"",SUMPRODUCT((AZ$31:AZ$35=AZ32)*(AU$31:AU$35=AU32)*(AS$31:AS$35=AS32)*(AW$31:AW$35=AW32)*(AX$31:AX$35=AX32)*(AY$31:AY$35&gt;AY32)),"")</f>
        <v/>
      </c>
      <c r="BG32" s="191" t="str">
        <f>IF(AO32&lt;&gt;"",IF(BG72&lt;&gt;"",IF(AN$70=3,BG72,BG72+AN$70),SUM(BA32:BF32)+1),"")</f>
        <v/>
      </c>
      <c r="BH32" s="191" t="str">
        <f>IF(AO32&lt;&gt;"",INDEX(AO32:AO35,MATCH(2,BG32:BG35,0),0),"")</f>
        <v/>
      </c>
      <c r="CW32" s="191" t="str">
        <f>IF(BH32&lt;&gt;"",BH32,IF(AN32&lt;&gt;"",AN32,N32))</f>
        <v>Spain</v>
      </c>
      <c r="CX32" s="191">
        <v>2</v>
      </c>
      <c r="CY32" s="191">
        <v>30</v>
      </c>
      <c r="CZ32" s="191" t="str">
        <f>Fixtures!G36</f>
        <v>Finland</v>
      </c>
      <c r="DA32" s="191">
        <f>IF(AND(Fixtures!H36&lt;&gt;"",Fixtures!I36&lt;&gt;""),Fixtures!H36,0)</f>
        <v>0</v>
      </c>
      <c r="DB32" s="191">
        <f>IF(AND(Fixtures!I36&lt;&gt;"",Fixtures!H36&lt;&gt;""),Fixtures!I36,0)</f>
        <v>2</v>
      </c>
      <c r="DC32" s="191" t="str">
        <f>Fixtures!J36</f>
        <v>Belgium</v>
      </c>
      <c r="DD32" s="191" t="str">
        <f>IF(AND(Fixtures!H36&lt;&gt;"",Fixtures!I36&lt;&gt;""),IF(DA32&gt;DB32,"W",IF(DA32=DB32,"D","L")),"")</f>
        <v>L</v>
      </c>
      <c r="DE32" s="191" t="str">
        <f t="shared" si="1"/>
        <v>W</v>
      </c>
      <c r="EF32" s="272"/>
      <c r="EG32" s="196"/>
      <c r="EH32" s="197"/>
      <c r="EI32" s="198"/>
      <c r="EJ32" s="197"/>
      <c r="EL32" s="199">
        <v>44367.75</v>
      </c>
      <c r="EM32" s="200">
        <f t="shared" si="51"/>
        <v>44367.75</v>
      </c>
      <c r="EO32" s="202">
        <v>0</v>
      </c>
      <c r="EP32" s="191">
        <v>-5</v>
      </c>
      <c r="EQ32" s="191" t="s">
        <v>603</v>
      </c>
      <c r="ER32" s="191" t="s">
        <v>604</v>
      </c>
    </row>
    <row r="33" spans="1:148" x14ac:dyDescent="0.35">
      <c r="A33" s="191">
        <f t="shared" si="197"/>
        <v>4</v>
      </c>
      <c r="B33" s="191" t="str">
        <f>'Dummy Table'!EH25</f>
        <v>Poland</v>
      </c>
      <c r="C33" s="191">
        <f>SUMPRODUCT(($CZ$3:$CZ$42=$B33)*($DD$3:$DD$42="W"))+SUMPRODUCT(($DC$3:$DC$42=$B33)*($DE$3:$DE$42="W"))</f>
        <v>0</v>
      </c>
      <c r="D33" s="191">
        <f>SUMPRODUCT(($CZ$3:$CZ$42=$B33)*($DD$3:$DD$42="D"))+SUMPRODUCT(($DC$3:$DC$42=$B33)*($DE$3:$DE$42="D"))</f>
        <v>1</v>
      </c>
      <c r="E33" s="191">
        <f>SUMPRODUCT(($CZ$3:$CZ$42=$B33)*($DD$3:$DD$42="L"))+SUMPRODUCT(($DC$3:$DC$42=$B33)*($DE$3:$DE$42="L"))</f>
        <v>2</v>
      </c>
      <c r="F33" s="191">
        <f>SUMIF($CZ$3:$CZ$60,B33,$DA$3:$DA$60)+SUMIF($DC$3:$DC$60,B33,$DB$3:$DB$60)</f>
        <v>4</v>
      </c>
      <c r="G33" s="191">
        <f>SUMIF($DC$3:$DC$60,B33,$DA$3:$DA$60)+SUMIF($CZ$3:$CZ$60,B33,$DB$3:$DB$60)</f>
        <v>6</v>
      </c>
      <c r="H33" s="191">
        <f t="shared" si="190"/>
        <v>998</v>
      </c>
      <c r="I33" s="191">
        <f t="shared" si="191"/>
        <v>1</v>
      </c>
      <c r="J33" s="191">
        <v>48</v>
      </c>
      <c r="K33" s="191">
        <f>IF(COUNTIF(I31:I35,4)&lt;&gt;4,RANK(I33,I31:I35),I73)</f>
        <v>4</v>
      </c>
      <c r="M33" s="191">
        <f>SUMPRODUCT((K31:K34=K33)*(J31:J34&lt;J33))+K33</f>
        <v>4</v>
      </c>
      <c r="N33" s="191" t="str">
        <f>INDEX($B$31:$B$35,MATCH(3,$M$31:$M$35,0),0)</f>
        <v>Slovakia</v>
      </c>
      <c r="O33" s="191">
        <f t="shared" si="198"/>
        <v>3</v>
      </c>
      <c r="P33" s="191" t="str">
        <f>IF(AND(P32&lt;&gt;"",O33=1),N33,"")</f>
        <v/>
      </c>
      <c r="Q33" s="191" t="str">
        <f>IF(AND(Q32&lt;&gt;"",O34=2),N34,"")</f>
        <v/>
      </c>
      <c r="R33" s="191" t="str">
        <f>IF(AND(R32&lt;&gt;"",O35=3),N35,"")</f>
        <v/>
      </c>
      <c r="U33" s="191" t="str">
        <f t="shared" si="199"/>
        <v/>
      </c>
      <c r="V33" s="191">
        <f>SUMPRODUCT(($CZ$3:$CZ$42=$U33)*($DC$3:$DC$42=$U34)*($DD$3:$DD$42="W"))+SUMPRODUCT(($CZ$3:$CZ$42=$U33)*($DC$3:$DC$42=$U35)*($DD$3:$DD$42="W"))+SUMPRODUCT(($CZ$3:$CZ$42=$U33)*($DC$3:$DC$42=$U31)*($DD$3:$DD$42="W"))+SUMPRODUCT(($CZ$3:$CZ$42=$U33)*($DC$3:$DC$42=$U32)*($DD$3:$DD$42="W"))+SUMPRODUCT(($CZ$3:$CZ$42=$U34)*($DC$3:$DC$42=$U33)*($DE$3:$DE$42="W"))+SUMPRODUCT(($CZ$3:$CZ$42=$U35)*($DC$3:$DC$42=$U33)*($DE$3:$DE$42="W"))+SUMPRODUCT(($CZ$3:$CZ$42=$U31)*($DC$3:$DC$42=$U33)*($DE$3:$DE$42="W"))+SUMPRODUCT(($CZ$3:$CZ$42=$U32)*($DC$3:$DC$42=$U33)*($DE$3:$DE$42="W"))</f>
        <v>0</v>
      </c>
      <c r="W33" s="191">
        <f>SUMPRODUCT(($CZ$3:$CZ$42=$U33)*($DC$3:$DC$42=$U34)*($DD$3:$DD$42="D"))+SUMPRODUCT(($CZ$3:$CZ$42=$U33)*($DC$3:$DC$42=$U35)*($DD$3:$DD$42="D"))+SUMPRODUCT(($CZ$3:$CZ$42=$U33)*($DC$3:$DC$42=$U31)*($DD$3:$DD$42="D"))+SUMPRODUCT(($CZ$3:$CZ$42=$U33)*($DC$3:$DC$42=$U32)*($DD$3:$DD$42="D"))+SUMPRODUCT(($CZ$3:$CZ$42=$U34)*($DC$3:$DC$42=$U33)*($DD$3:$DD$42="D"))+SUMPRODUCT(($CZ$3:$CZ$42=$U35)*($DC$3:$DC$42=$U33)*($DD$3:$DD$42="D"))+SUMPRODUCT(($CZ$3:$CZ$42=$U31)*($DC$3:$DC$42=$U33)*($DD$3:$DD$42="D"))+SUMPRODUCT(($CZ$3:$CZ$42=$U32)*($DC$3:$DC$42=$U33)*($DD$3:$DD$42="D"))</f>
        <v>0</v>
      </c>
      <c r="X33" s="191">
        <f>SUMPRODUCT(($CZ$3:$CZ$42=$U33)*($DC$3:$DC$42=$U34)*($DD$3:$DD$42="L"))+SUMPRODUCT(($CZ$3:$CZ$42=$U33)*($DC$3:$DC$42=$U35)*($DD$3:$DD$42="L"))+SUMPRODUCT(($CZ$3:$CZ$42=$U33)*($DC$3:$DC$42=$U31)*($DD$3:$DD$42="L"))+SUMPRODUCT(($CZ$3:$CZ$42=$U33)*($DC$3:$DC$42=$U32)*($DD$3:$DD$42="L"))+SUMPRODUCT(($CZ$3:$CZ$42=$U34)*($DC$3:$DC$42=$U33)*($DE$3:$DE$42="L"))+SUMPRODUCT(($CZ$3:$CZ$42=$U35)*($DC$3:$DC$42=$U33)*($DE$3:$DE$42="L"))+SUMPRODUCT(($CZ$3:$CZ$42=$U31)*($DC$3:$DC$42=$U33)*($DE$3:$DE$42="L"))+SUMPRODUCT(($CZ$3:$CZ$42=$U32)*($DC$3:$DC$42=$U33)*($DE$3:$DE$42="L"))</f>
        <v>0</v>
      </c>
      <c r="Y33" s="191">
        <f>SUMPRODUCT(($CZ$3:$CZ$42=$U33)*($DC$3:$DC$42=$U34)*$DA$3:$DA$42)+SUMPRODUCT(($CZ$3:$CZ$42=$U33)*($DC$3:$DC$42=$U35)*$DA$3:$DA$42)+SUMPRODUCT(($CZ$3:$CZ$42=$U33)*($DC$3:$DC$42=$U31)*$DA$3:$DA$42)+SUMPRODUCT(($CZ$3:$CZ$42=$U33)*($DC$3:$DC$42=$U32)*$DA$3:$DA$42)+SUMPRODUCT(($CZ$3:$CZ$42=$U34)*($DC$3:$DC$42=$U33)*$DB$3:$DB$42)+SUMPRODUCT(($CZ$3:$CZ$42=$U35)*($DC$3:$DC$42=$U33)*$DB$3:$DB$42)+SUMPRODUCT(($CZ$3:$CZ$42=$U31)*($DC$3:$DC$42=$U33)*$DB$3:$DB$42)+SUMPRODUCT(($CZ$3:$CZ$42=$U32)*($DC$3:$DC$42=$U33)*$DB$3:$DB$42)</f>
        <v>0</v>
      </c>
      <c r="Z33" s="191">
        <f>SUMPRODUCT(($CZ$3:$CZ$42=$U33)*($DC$3:$DC$42=$U34)*$DB$3:$DB$42)+SUMPRODUCT(($CZ$3:$CZ$42=$U33)*($DC$3:$DC$42=$U35)*$DB$3:$DB$42)+SUMPRODUCT(($CZ$3:$CZ$42=$U33)*($DC$3:$DC$42=$U31)*$DB$3:$DB$42)+SUMPRODUCT(($CZ$3:$CZ$42=$U33)*($DC$3:$DC$42=$U32)*$DB$3:$DB$42)+SUMPRODUCT(($CZ$3:$CZ$42=$U34)*($DC$3:$DC$42=$U33)*$DA$3:$DA$42)+SUMPRODUCT(($CZ$3:$CZ$42=$U35)*($DC$3:$DC$42=$U33)*$DA$3:$DA$42)+SUMPRODUCT(($CZ$3:$CZ$42=$U31)*($DC$3:$DC$42=$U33)*$DA$3:$DA$42)+SUMPRODUCT(($CZ$3:$CZ$42=$U32)*($DC$3:$DC$42=$U33)*$DA$3:$DA$42)</f>
        <v>0</v>
      </c>
      <c r="AA33" s="191">
        <f>Y33-Z33+1000</f>
        <v>1000</v>
      </c>
      <c r="AB33" s="191" t="str">
        <f t="shared" si="192"/>
        <v/>
      </c>
      <c r="AC33" s="191" t="str">
        <f t="shared" si="193"/>
        <v/>
      </c>
      <c r="AD33" s="191" t="str">
        <f t="shared" si="194"/>
        <v/>
      </c>
      <c r="AE33" s="191" t="str">
        <f t="shared" si="195"/>
        <v/>
      </c>
      <c r="AF33" s="191" t="str">
        <f t="shared" si="196"/>
        <v/>
      </c>
      <c r="AG33" s="191" t="str">
        <f t="shared" si="200"/>
        <v/>
      </c>
      <c r="AH33" s="191" t="str">
        <f t="shared" si="201"/>
        <v/>
      </c>
      <c r="AI33" s="191" t="str">
        <f t="shared" si="202"/>
        <v/>
      </c>
      <c r="AJ33" s="191" t="str">
        <f t="shared" si="203"/>
        <v/>
      </c>
      <c r="AK33" s="191" t="str">
        <f t="shared" si="204"/>
        <v/>
      </c>
      <c r="AL33" s="191" t="str">
        <f t="shared" si="205"/>
        <v/>
      </c>
      <c r="AM33" s="191" t="str">
        <f t="shared" si="206"/>
        <v/>
      </c>
      <c r="AN33" s="191" t="str">
        <f>IF(U33&lt;&gt;"",INDEX($U$31:$U$35,MATCH(3,$AM$31:$AM$35,0),0),"")</f>
        <v/>
      </c>
      <c r="AO33" s="191" t="str">
        <f>IF(Q32&lt;&gt;"",Q32,"")</f>
        <v/>
      </c>
      <c r="AP33" s="191">
        <f>SUMPRODUCT(($CZ$3:$CZ$42=$AO33)*($DC$3:$DC$42=$AO34)*($DD$3:$DD$42="W"))+SUMPRODUCT(($CZ$3:$CZ$42=$AO33)*($DC$3:$DC$42=$AO35)*($DD$3:$DD$42="W"))+SUMPRODUCT(($CZ$3:$CZ$42=$AO33)*($DC$3:$DC$42=$AO32)*($DD$3:$DD$42="W"))+SUMPRODUCT(($CZ$3:$CZ$42=$AO34)*($DC$3:$DC$42=$AO33)*($DE$3:$DE$42="W"))+SUMPRODUCT(($CZ$3:$CZ$42=$AO35)*($DC$3:$DC$42=$AO33)*($DE$3:$DE$42="W"))+SUMPRODUCT(($CZ$3:$CZ$42=$AO32)*($DC$3:$DC$42=$AO33)*($DE$3:$DE$42="W"))</f>
        <v>0</v>
      </c>
      <c r="AQ33" s="191">
        <f>SUMPRODUCT(($CZ$3:$CZ$42=$AO33)*($DC$3:$DC$42=$AO34)*($DD$3:$DD$42="D"))+SUMPRODUCT(($CZ$3:$CZ$42=$AO33)*($DC$3:$DC$42=$AO35)*($DD$3:$DD$42="D"))+SUMPRODUCT(($CZ$3:$CZ$42=$AO33)*($DC$3:$DC$42=$AO32)*($DD$3:$DD$42="D"))+SUMPRODUCT(($CZ$3:$CZ$42=$AO34)*($DC$3:$DC$42=$AO33)*($DD$3:$DD$42="D"))+SUMPRODUCT(($CZ$3:$CZ$42=$AO35)*($DC$3:$DC$42=$AO33)*($DD$3:$DD$42="D"))+SUMPRODUCT(($CZ$3:$CZ$42=$AO32)*($DC$3:$DC$42=$AO33)*($DD$3:$DD$42="D"))</f>
        <v>0</v>
      </c>
      <c r="AR33" s="191">
        <f>SUMPRODUCT(($CZ$3:$CZ$42=$AO33)*($DC$3:$DC$42=$AO34)*($DD$3:$DD$42="L"))+SUMPRODUCT(($CZ$3:$CZ$42=$AO33)*($DC$3:$DC$42=$AO35)*($DD$3:$DD$42="L"))+SUMPRODUCT(($CZ$3:$CZ$42=$AO33)*($DC$3:$DC$42=$AO32)*($DD$3:$DD$42="L"))+SUMPRODUCT(($CZ$3:$CZ$42=$AO34)*($DC$3:$DC$42=$AO33)*($DE$3:$DE$42="L"))+SUMPRODUCT(($CZ$3:$CZ$42=$AO35)*($DC$3:$DC$42=$AO33)*($DE$3:$DE$42="L"))+SUMPRODUCT(($CZ$3:$CZ$42=$AO32)*($DC$3:$DC$42=$AO33)*($DE$3:$DE$42="L"))</f>
        <v>0</v>
      </c>
      <c r="AS33" s="191">
        <f>SUMPRODUCT(($CZ$3:$CZ$42=$AO33)*($DC$3:$DC$42=$AO34)*$DA$3:$DA$42)+SUMPRODUCT(($CZ$3:$CZ$42=$AO33)*($DC$3:$DC$42=$AO35)*$DA$3:$DA$42)+SUMPRODUCT(($CZ$3:$CZ$42=$AO33)*($DC$3:$DC$42=$AO31)*$DA$3:$DA$42)+SUMPRODUCT(($CZ$3:$CZ$42=$AO33)*($DC$3:$DC$42=$AO32)*$DA$3:$DA$42)+SUMPRODUCT(($CZ$3:$CZ$42=$AO34)*($DC$3:$DC$42=$AO33)*$DB$3:$DB$42)+SUMPRODUCT(($CZ$3:$CZ$42=$AO35)*($DC$3:$DC$42=$AO33)*$DB$3:$DB$42)+SUMPRODUCT(($CZ$3:$CZ$42=$AO31)*($DC$3:$DC$42=$AO33)*$DB$3:$DB$42)+SUMPRODUCT(($CZ$3:$CZ$42=$AO32)*($DC$3:$DC$42=$AO33)*$DB$3:$DB$42)</f>
        <v>0</v>
      </c>
      <c r="AT33" s="191">
        <f>SUMPRODUCT(($CZ$3:$CZ$42=$AO33)*($DC$3:$DC$42=$AO34)*$DB$3:$DB$42)+SUMPRODUCT(($CZ$3:$CZ$42=$AO33)*($DC$3:$DC$42=$AO35)*$DB$3:$DB$42)+SUMPRODUCT(($CZ$3:$CZ$42=$AO33)*($DC$3:$DC$42=$AO31)*$DB$3:$DB$42)+SUMPRODUCT(($CZ$3:$CZ$42=$AO33)*($DC$3:$DC$42=$AO32)*$DB$3:$DB$42)+SUMPRODUCT(($CZ$3:$CZ$42=$AO34)*($DC$3:$DC$42=$AO33)*$DA$3:$DA$42)+SUMPRODUCT(($CZ$3:$CZ$42=$AO35)*($DC$3:$DC$42=$AO33)*$DA$3:$DA$42)+SUMPRODUCT(($CZ$3:$CZ$42=$AO31)*($DC$3:$DC$42=$AO33)*$DA$3:$DA$42)+SUMPRODUCT(($CZ$3:$CZ$42=$AO32)*($DC$3:$DC$42=$AO33)*$DA$3:$DA$42)</f>
        <v>0</v>
      </c>
      <c r="AU33" s="191">
        <f>AS33-AT33+1000</f>
        <v>1000</v>
      </c>
      <c r="AV33" s="191" t="str">
        <f t="shared" si="207"/>
        <v/>
      </c>
      <c r="AW33" s="191" t="str">
        <f t="shared" si="208"/>
        <v/>
      </c>
      <c r="AX33" s="191" t="str">
        <f t="shared" si="209"/>
        <v/>
      </c>
      <c r="AY33" s="191" t="str">
        <f t="shared" si="210"/>
        <v/>
      </c>
      <c r="AZ33" s="191" t="str">
        <f t="shared" si="211"/>
        <v/>
      </c>
      <c r="BA33" s="191" t="str">
        <f t="shared" ref="BA33:BA34" si="217">IF(AO33&lt;&gt;"",RANK(AZ33,AZ$31:AZ$35),"")</f>
        <v/>
      </c>
      <c r="BB33" s="191" t="str">
        <f t="shared" si="212"/>
        <v/>
      </c>
      <c r="BC33" s="191" t="str">
        <f t="shared" si="213"/>
        <v/>
      </c>
      <c r="BD33" s="191" t="str">
        <f t="shared" si="214"/>
        <v/>
      </c>
      <c r="BE33" s="191" t="str">
        <f t="shared" si="215"/>
        <v/>
      </c>
      <c r="BF33" s="191" t="str">
        <f t="shared" si="216"/>
        <v/>
      </c>
      <c r="BG33" s="191" t="str">
        <f>IF(AO33&lt;&gt;"",IF(BG73&lt;&gt;"",IF(AN$70=3,BG73,BG73+AN$70),SUM(BA33:BF33)+1),"")</f>
        <v/>
      </c>
      <c r="BH33" s="191" t="str">
        <f>IF(AO33&lt;&gt;"",INDEX(AO32:AO35,MATCH(3,BG32:BG35,0),0),"")</f>
        <v/>
      </c>
      <c r="BI33" s="191" t="str">
        <f>IF(R31&lt;&gt;"",R31,"")</f>
        <v/>
      </c>
      <c r="BJ33" s="191">
        <f>SUMPRODUCT(($CZ$3:$CZ$42=$BI33)*($DC$3:$DC$42=$BI34)*($DD$3:$DD$42="W"))+SUMPRODUCT(($CZ$3:$CZ$42=$BI33)*($DC$3:$DC$42=$BI35)*($DD$3:$DD$42="W"))+SUMPRODUCT(($CZ$3:$CZ$42=$BI33)*($DC$3:$DC$42=$BI36)*($DD$3:$DD$42="W"))+SUMPRODUCT(($CZ$3:$CZ$42=$BI34)*($DC$3:$DC$42=$BI33)*($DE$3:$DE$42="W"))+SUMPRODUCT(($CZ$3:$CZ$42=$BI35)*($DC$3:$DC$42=$BI33)*($DE$3:$DE$42="W"))+SUMPRODUCT(($CZ$3:$CZ$42=$BI36)*($DC$3:$DC$42=$BI33)*($DE$3:$DE$42="W"))</f>
        <v>0</v>
      </c>
      <c r="BK33" s="191">
        <f>SUMPRODUCT(($CZ$3:$CZ$42=$BI33)*($DC$3:$DC$42=$BI34)*($DD$3:$DD$42="D"))+SUMPRODUCT(($CZ$3:$CZ$42=$BI33)*($DC$3:$DC$42=$BI35)*($DD$3:$DD$42="D"))+SUMPRODUCT(($CZ$3:$CZ$42=$BI33)*($DC$3:$DC$42=$BI36)*($DD$3:$DD$42="D"))+SUMPRODUCT(($CZ$3:$CZ$42=$BI34)*($DC$3:$DC$42=$BI33)*($DD$3:$DD$42="D"))+SUMPRODUCT(($CZ$3:$CZ$42=$BI35)*($DC$3:$DC$42=$BI33)*($DD$3:$DD$42="D"))+SUMPRODUCT(($CZ$3:$CZ$42=$BI36)*($DC$3:$DC$42=$BI33)*($DD$3:$DD$42="D"))</f>
        <v>0</v>
      </c>
      <c r="BL33" s="191">
        <f>SUMPRODUCT(($CZ$3:$CZ$42=$BI33)*($DC$3:$DC$42=$BI34)*($DD$3:$DD$42="L"))+SUMPRODUCT(($CZ$3:$CZ$42=$BI33)*($DC$3:$DC$42=$BI35)*($DD$3:$DD$42="L"))+SUMPRODUCT(($CZ$3:$CZ$42=$BI33)*($DC$3:$DC$42=$BI36)*($DD$3:$DD$42="L"))+SUMPRODUCT(($CZ$3:$CZ$42=$BI34)*($DC$3:$DC$42=$BI33)*($DE$3:$DE$42="L"))+SUMPRODUCT(($CZ$3:$CZ$42=$BI35)*($DC$3:$DC$42=$BI33)*($DE$3:$DE$42="L"))+SUMPRODUCT(($CZ$3:$CZ$42=$BI36)*($DC$3:$DC$42=$BI33)*($DE$3:$DE$42="L"))</f>
        <v>0</v>
      </c>
      <c r="BM33" s="191">
        <f>SUMPRODUCT(($CZ$3:$CZ$42=$BI33)*($DC$3:$DC$42=$BI34)*$DA$3:$DA$42)+SUMPRODUCT(($CZ$3:$CZ$42=$BI33)*($DC$3:$DC$42=$BI35)*$DA$3:$DA$42)+SUMPRODUCT(($CZ$3:$CZ$42=$BI33)*($DC$3:$DC$42=$BI31)*$DA$3:$DA$42)+SUMPRODUCT(($CZ$3:$CZ$42=$BI33)*($DC$3:$DC$42=$BI32)*$DA$3:$DA$42)+SUMPRODUCT(($CZ$3:$CZ$42=$BI34)*($DC$3:$DC$42=$BI33)*$DB$3:$DB$42)+SUMPRODUCT(($CZ$3:$CZ$42=$BI35)*($DC$3:$DC$42=$BI33)*$DB$3:$DB$42)+SUMPRODUCT(($CZ$3:$CZ$42=$BI31)*($DC$3:$DC$42=$BI33)*$DB$3:$DB$42)+SUMPRODUCT(($CZ$3:$CZ$42=$BI32)*($DC$3:$DC$42=$BI33)*$DB$3:$DB$42)</f>
        <v>0</v>
      </c>
      <c r="BN33" s="191">
        <f>SUMPRODUCT(($CZ$3:$CZ$42=$BI33)*($DC$3:$DC$42=$BI34)*$DB$3:$DB$42)+SUMPRODUCT(($CZ$3:$CZ$42=$BI33)*($DC$3:$DC$42=$BI35)*$DB$3:$DB$42)+SUMPRODUCT(($CZ$3:$CZ$42=$BI33)*($DC$3:$DC$42=$BI31)*$DB$3:$DB$42)+SUMPRODUCT(($CZ$3:$CZ$42=$BI33)*($DC$3:$DC$42=$BI32)*$DB$3:$DB$42)+SUMPRODUCT(($CZ$3:$CZ$42=$BI34)*($DC$3:$DC$42=$BI33)*$DA$3:$DA$42)+SUMPRODUCT(($CZ$3:$CZ$42=$BI35)*($DC$3:$DC$42=$BI33)*$DA$3:$DA$42)+SUMPRODUCT(($CZ$3:$CZ$42=$BI31)*($DC$3:$DC$42=$BI33)*$DA$3:$DA$42)+SUMPRODUCT(($CZ$3:$CZ$42=$BI32)*($DC$3:$DC$42=$BI33)*$DA$3:$DA$42)</f>
        <v>0</v>
      </c>
      <c r="BO33" s="191">
        <f>BM33-BN33+1000</f>
        <v>1000</v>
      </c>
      <c r="BP33" s="191" t="str">
        <f t="shared" ref="BP33:BP34" si="218">IF(BI33&lt;&gt;"",BJ33*3+BK33*1,"")</f>
        <v/>
      </c>
      <c r="BQ33" s="191" t="str">
        <f t="shared" ref="BQ33:BQ34" si="219">IF(BI33&lt;&gt;"",VLOOKUP(BI33,$B$4:$H$40,7,FALSE),"")</f>
        <v/>
      </c>
      <c r="BR33" s="191" t="str">
        <f t="shared" ref="BR33:BR34" si="220">IF(BI33&lt;&gt;"",VLOOKUP(BI33,$B$4:$H$40,5,FALSE),"")</f>
        <v/>
      </c>
      <c r="BS33" s="191" t="str">
        <f t="shared" ref="BS33:BS34" si="221">IF(BI33&lt;&gt;"",VLOOKUP(BI33,$B$4:$J$40,9,FALSE),"")</f>
        <v/>
      </c>
      <c r="BT33" s="191" t="str">
        <f t="shared" ref="BT33:BT34" si="222">BP33</f>
        <v/>
      </c>
      <c r="BU33" s="191" t="str">
        <f>IF(BI33&lt;&gt;"",RANK(BT33,$BT$32:$BT$35),"")</f>
        <v/>
      </c>
      <c r="BV33" s="191" t="str">
        <f t="shared" ref="BV33:BV34" si="223">IF(BI33&lt;&gt;"",SUMPRODUCT((BT$31:BT$35=BT33)*(BO$31:BO$35&gt;BO33)),"")</f>
        <v/>
      </c>
      <c r="BW33" s="191" t="str">
        <f t="shared" ref="BW33:BW34" si="224">IF(BI33&lt;&gt;"",SUMPRODUCT((BT$31:BT$35=BT33)*(BO$31:BO$35=BO33)*(BM$31:BM$35&gt;BM33)),"")</f>
        <v/>
      </c>
      <c r="BX33" s="191" t="str">
        <f t="shared" ref="BX33:BX34" si="225">IF(BI33&lt;&gt;"",SUMPRODUCT((BT$31:BT$35=BT33)*(BO$31:BO$35=BO33)*(BM$31:BM$35=BM33)*(BQ$31:BQ$35&gt;BQ33)),"")</f>
        <v/>
      </c>
      <c r="BY33" s="191" t="str">
        <f t="shared" ref="BY33:BY34" si="226">IF(BI33&lt;&gt;"",SUMPRODUCT((BT$31:BT$35=BT33)*(BO$31:BO$35=BO33)*(BM$31:BM$35=BM33)*(BQ$31:BQ$35=BQ33)*(BR$31:BR$35&gt;BR33)),"")</f>
        <v/>
      </c>
      <c r="BZ33" s="191" t="str">
        <f t="shared" ref="BZ33:BZ34" si="227">IF(BI33&lt;&gt;"",SUMPRODUCT((BT$31:BT$35=BT33)*(BO$31:BO$35=BO33)*(BM$31:BM$35=BM33)*(BQ$31:BQ$35=BQ33)*(BR$31:BR$35=BR33)*(BS$31:BS$35&gt;BS33)),"")</f>
        <v/>
      </c>
      <c r="CA33" s="191" t="str">
        <f>IF(BI33&lt;&gt;"",SUM(BU33:BZ33)+2,"")</f>
        <v/>
      </c>
      <c r="CB33" s="191" t="str">
        <f>IF(BI33&lt;&gt;"",INDEX(BI33:BI35,MATCH(3,CA33:CA35,0),0),"")</f>
        <v/>
      </c>
      <c r="CW33" s="191" t="str">
        <f>IF(CB33&lt;&gt;"",CB33,IF(BH33&lt;&gt;"",BH33,IF(AN33&lt;&gt;"",AN33,N33)))</f>
        <v>Slovakia</v>
      </c>
      <c r="CX33" s="191">
        <v>3</v>
      </c>
      <c r="CY33" s="191">
        <v>31</v>
      </c>
      <c r="CZ33" s="191" t="str">
        <f>Fixtures!G37</f>
        <v>Croatia</v>
      </c>
      <c r="DA33" s="191">
        <f>IF(AND(Fixtures!H37&lt;&gt;"",Fixtures!I37&lt;&gt;""),Fixtures!H37,0)</f>
        <v>3</v>
      </c>
      <c r="DB33" s="191">
        <f>IF(AND(Fixtures!I37&lt;&gt;"",Fixtures!H37&lt;&gt;""),Fixtures!I37,0)</f>
        <v>1</v>
      </c>
      <c r="DC33" s="191" t="str">
        <f>Fixtures!J37</f>
        <v>Scotland</v>
      </c>
      <c r="DD33" s="191" t="str">
        <f>IF(AND(Fixtures!H37&lt;&gt;"",Fixtures!I37&lt;&gt;""),IF(DA33&gt;DB33,"W",IF(DA33=DB33,"D","L")),"")</f>
        <v>W</v>
      </c>
      <c r="DE33" s="191" t="str">
        <f t="shared" si="1"/>
        <v>L</v>
      </c>
      <c r="EF33" s="272"/>
      <c r="EG33" s="196"/>
      <c r="EH33" s="197"/>
      <c r="EI33" s="198"/>
      <c r="EJ33" s="197"/>
      <c r="EL33" s="199">
        <v>44368.75</v>
      </c>
      <c r="EM33" s="200">
        <f t="shared" si="51"/>
        <v>44368.75</v>
      </c>
      <c r="EO33" s="209" t="s">
        <v>605</v>
      </c>
      <c r="EP33" s="191">
        <v>-4</v>
      </c>
      <c r="EQ33" s="191" t="s">
        <v>606</v>
      </c>
      <c r="ER33" s="191" t="s">
        <v>607</v>
      </c>
    </row>
    <row r="34" spans="1:148" x14ac:dyDescent="0.35">
      <c r="A34" s="191">
        <f t="shared" si="197"/>
        <v>3</v>
      </c>
      <c r="B34" s="191" t="str">
        <f>'Dummy Table'!EH26</f>
        <v>Slovakia</v>
      </c>
      <c r="C34" s="191">
        <f>SUMPRODUCT(($CZ$3:$CZ$42=$B34)*($DD$3:$DD$42="W"))+SUMPRODUCT(($DC$3:$DC$42=$B34)*($DE$3:$DE$42="W"))</f>
        <v>1</v>
      </c>
      <c r="D34" s="191">
        <f>SUMPRODUCT(($CZ$3:$CZ$42=$B34)*($DD$3:$DD$42="D"))+SUMPRODUCT(($DC$3:$DC$42=$B34)*($DE$3:$DE$42="D"))</f>
        <v>0</v>
      </c>
      <c r="E34" s="191">
        <f>SUMPRODUCT(($CZ$3:$CZ$42=$B34)*($DD$3:$DD$42="L"))+SUMPRODUCT(($DC$3:$DC$42=$B34)*($DE$3:$DE$42="L"))</f>
        <v>2</v>
      </c>
      <c r="F34" s="191">
        <f>SUMIF($CZ$3:$CZ$60,B34,$DA$3:$DA$60)+SUMIF($DC$3:$DC$60,B34,$DB$3:$DB$60)</f>
        <v>2</v>
      </c>
      <c r="G34" s="191">
        <f>SUMIF($DC$3:$DC$60,B34,$DA$3:$DA$60)+SUMIF($CZ$3:$CZ$60,B34,$DB$3:$DB$60)</f>
        <v>7</v>
      </c>
      <c r="H34" s="191">
        <f t="shared" si="190"/>
        <v>995</v>
      </c>
      <c r="I34" s="191">
        <f t="shared" si="191"/>
        <v>3</v>
      </c>
      <c r="J34" s="191">
        <v>34</v>
      </c>
      <c r="K34" s="191">
        <f>IF(COUNTIF(I31:I35,4)&lt;&gt;4,RANK(I34,I31:I35),I74)</f>
        <v>3</v>
      </c>
      <c r="M34" s="191">
        <f>SUMPRODUCT((K31:K34=K34)*(J31:J34&lt;J34))+K34</f>
        <v>3</v>
      </c>
      <c r="N34" s="191" t="str">
        <f>INDEX($B$31:$B$35,MATCH(4,$M$31:$M$35,0),0)</f>
        <v>Poland</v>
      </c>
      <c r="O34" s="191">
        <f t="shared" si="198"/>
        <v>4</v>
      </c>
      <c r="P34" s="191" t="str">
        <f>IF(AND(P33&lt;&gt;"",O34=1),N34,"")</f>
        <v/>
      </c>
      <c r="Q34" s="191" t="str">
        <f>IF(AND(Q33&lt;&gt;"",O35=2),N35,"")</f>
        <v/>
      </c>
      <c r="U34" s="191" t="str">
        <f t="shared" si="199"/>
        <v/>
      </c>
      <c r="V34" s="191">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0</v>
      </c>
      <c r="W34" s="191">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0</v>
      </c>
      <c r="X34" s="191">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0</v>
      </c>
      <c r="Y34" s="191">
        <f>SUMPRODUCT(($CZ$3:$CZ$42=$U34)*($DC$3:$DC$42=$U35)*$DA$3:$DA$42)+SUMPRODUCT(($CZ$3:$CZ$42=$U34)*($DC$3:$DC$42=$U31)*$DA$3:$DA$42)+SUMPRODUCT(($CZ$3:$CZ$42=$U34)*($DC$3:$DC$42=$U32)*$DA$3:$DA$42)+SUMPRODUCT(($CZ$3:$CZ$42=$U34)*($DC$3:$DC$42=$U33)*$DA$3:$DA$42)+SUMPRODUCT(($CZ$3:$CZ$42=$U35)*($DC$3:$DC$42=$U34)*$DB$3:$DB$42)+SUMPRODUCT(($CZ$3:$CZ$42=$U31)*($DC$3:$DC$42=$U34)*$DB$3:$DB$42)+SUMPRODUCT(($CZ$3:$CZ$42=$U32)*($DC$3:$DC$42=$U34)*$DB$3:$DB$42)+SUMPRODUCT(($CZ$3:$CZ$42=$U33)*($DC$3:$DC$42=$U34)*$DB$3:$DB$42)</f>
        <v>0</v>
      </c>
      <c r="Z34" s="191">
        <f>SUMPRODUCT(($CZ$3:$CZ$42=$U34)*($DC$3:$DC$42=$U35)*$DB$3:$DB$42)+SUMPRODUCT(($CZ$3:$CZ$42=$U34)*($DC$3:$DC$42=$U31)*$DB$3:$DB$42)+SUMPRODUCT(($CZ$3:$CZ$42=$U34)*($DC$3:$DC$42=$U32)*$DB$3:$DB$42)+SUMPRODUCT(($CZ$3:$CZ$42=$U34)*($DC$3:$DC$42=$U33)*$DB$3:$DB$42)+SUMPRODUCT(($CZ$3:$CZ$42=$U35)*($DC$3:$DC$42=$U34)*$DA$3:$DA$42)+SUMPRODUCT(($CZ$3:$CZ$42=$U31)*($DC$3:$DC$42=$U34)*$DA$3:$DA$42)+SUMPRODUCT(($CZ$3:$CZ$42=$U32)*($DC$3:$DC$42=$U34)*$DA$3:$DA$42)+SUMPRODUCT(($CZ$3:$CZ$42=$U33)*($DC$3:$DC$42=$U34)*$DA$3:$DA$42)</f>
        <v>0</v>
      </c>
      <c r="AA34" s="191">
        <f>Y34-Z34+1000</f>
        <v>1000</v>
      </c>
      <c r="AB34" s="191" t="str">
        <f t="shared" si="192"/>
        <v/>
      </c>
      <c r="AC34" s="191" t="str">
        <f t="shared" si="193"/>
        <v/>
      </c>
      <c r="AD34" s="191" t="str">
        <f t="shared" si="194"/>
        <v/>
      </c>
      <c r="AE34" s="191" t="str">
        <f t="shared" si="195"/>
        <v/>
      </c>
      <c r="AF34" s="191" t="str">
        <f t="shared" si="196"/>
        <v/>
      </c>
      <c r="AG34" s="191" t="str">
        <f t="shared" si="200"/>
        <v/>
      </c>
      <c r="AH34" s="191" t="str">
        <f t="shared" si="201"/>
        <v/>
      </c>
      <c r="AI34" s="191" t="str">
        <f t="shared" si="202"/>
        <v/>
      </c>
      <c r="AJ34" s="191" t="str">
        <f t="shared" si="203"/>
        <v/>
      </c>
      <c r="AK34" s="191" t="str">
        <f t="shared" si="204"/>
        <v/>
      </c>
      <c r="AL34" s="191" t="str">
        <f t="shared" si="205"/>
        <v/>
      </c>
      <c r="AM34" s="191" t="str">
        <f t="shared" si="206"/>
        <v/>
      </c>
      <c r="AN34" s="191" t="str">
        <f>IF(U34&lt;&gt;"",INDEX($U$31:$U$35,MATCH(4,$AM$31:$AM$35,0),0),"")</f>
        <v/>
      </c>
      <c r="AO34" s="191" t="str">
        <f>IF(Q33&lt;&gt;"",Q33,"")</f>
        <v/>
      </c>
      <c r="AP34" s="191" t="str">
        <f>IF($AO34&lt;&gt;"",SUMPRODUCT(($CZ$3:$CZ$42=$AO34)*($DC$3:$DC$42=$AO35)*($DD$3:$DD$42="W"))+SUMPRODUCT(($CZ$3:$CZ$42=$AO34)*($DC$3:$DC$42=$AO32)*($DD$3:$DD$42="W"))+SUMPRODUCT(($CZ$3:$CZ$42=$AO34)*($DC$3:$DC$42=$AO33)*($DD$3:$DD$42="W"))+SUMPRODUCT(($CZ$3:$CZ$42=$AO35)*($DC$3:$DC$42=$AO34)*($DE$3:$DE$42="W"))+SUMPRODUCT(($CZ$3:$CZ$42=$AO32)*($DC$3:$DC$42=$AO34)*($DE$3:$DE$42="W"))+SUMPRODUCT(($CZ$3:$CZ$42=$AO33)*($DC$3:$DC$42=$AO34)*($DE$3:$DE$42="W")),"")</f>
        <v/>
      </c>
      <c r="AQ34" s="191" t="str">
        <f>IF($AO34&lt;&gt;"",SUMPRODUCT(($CZ$3:$CZ$42=$AO34)*($DC$3:$DC$42=$AO35)*($DD$3:$DD$42="D"))+SUMPRODUCT(($CZ$3:$CZ$42=$AO34)*($DC$3:$DC$42=$AO32)*($DD$3:$DD$42="D"))+SUMPRODUCT(($CZ$3:$CZ$42=$AO34)*($DC$3:$DC$42=$AO33)*($DD$3:$DD$42="D"))+SUMPRODUCT(($CZ$3:$CZ$42=$AO35)*($DC$3:$DC$42=$AO34)*($DD$3:$DD$42="D"))+SUMPRODUCT(($CZ$3:$CZ$42=$AO32)*($DC$3:$DC$42=$AO34)*($DD$3:$DD$42="D"))+SUMPRODUCT(($CZ$3:$CZ$42=$AO33)*($DC$3:$DC$42=$AO34)*($DD$3:$DD$42="D")),"")</f>
        <v/>
      </c>
      <c r="AR34" s="191" t="str">
        <f>IF($AO34&lt;&gt;"",SUMPRODUCT(($CZ$3:$CZ$42=$AO34)*($DC$3:$DC$42=$AO35)*($DD$3:$DD$42="L"))+SUMPRODUCT(($CZ$3:$CZ$42=$AO34)*($DC$3:$DC$42=$AO32)*($DD$3:$DD$42="L"))+SUMPRODUCT(($CZ$3:$CZ$42=$AO34)*($DC$3:$DC$42=$AO33)*($DD$3:$DD$42="L"))+SUMPRODUCT(($CZ$3:$CZ$42=$AO35)*($DC$3:$DC$42=$AO34)*($DE$3:$DE$42="L"))+SUMPRODUCT(($CZ$3:$CZ$42=$AO32)*($DC$3:$DC$42=$AO34)*($DE$3:$DE$42="L"))+SUMPRODUCT(($CZ$3:$CZ$42=$AO33)*($DC$3:$DC$42=$AO34)*($DE$3:$DE$42="L")),"")</f>
        <v/>
      </c>
      <c r="AS34" s="191">
        <f>SUMPRODUCT(($CZ$3:$CZ$42=$AO34)*($DC$3:$DC$42=$AO35)*$DA$3:$DA$42)+SUMPRODUCT(($CZ$3:$CZ$42=$AO34)*($DC$3:$DC$42=$AO31)*$DA$3:$DA$42)+SUMPRODUCT(($CZ$3:$CZ$42=$AO34)*($DC$3:$DC$42=$AO32)*$DA$3:$DA$42)+SUMPRODUCT(($CZ$3:$CZ$42=$AO34)*($DC$3:$DC$42=$AO33)*$DA$3:$DA$42)+SUMPRODUCT(($CZ$3:$CZ$42=$AO35)*($DC$3:$DC$42=$AO34)*$DB$3:$DB$42)+SUMPRODUCT(($CZ$3:$CZ$42=$AO31)*($DC$3:$DC$42=$AO34)*$DB$3:$DB$42)+SUMPRODUCT(($CZ$3:$CZ$42=$AO32)*($DC$3:$DC$42=$AO34)*$DB$3:$DB$42)+SUMPRODUCT(($CZ$3:$CZ$42=$AO33)*($DC$3:$DC$42=$AO34)*$DB$3:$DB$42)</f>
        <v>0</v>
      </c>
      <c r="AT34" s="191">
        <f>SUMPRODUCT(($CZ$3:$CZ$42=$AO34)*($DC$3:$DC$42=$AO35)*$DB$3:$DB$42)+SUMPRODUCT(($CZ$3:$CZ$42=$AO34)*($DC$3:$DC$42=$AO31)*$DB$3:$DB$42)+SUMPRODUCT(($CZ$3:$CZ$42=$AO34)*($DC$3:$DC$42=$AO32)*$DB$3:$DB$42)+SUMPRODUCT(($CZ$3:$CZ$42=$AO34)*($DC$3:$DC$42=$AO33)*$DB$3:$DB$42)+SUMPRODUCT(($CZ$3:$CZ$42=$AO35)*($DC$3:$DC$42=$AO34)*$DA$3:$DA$42)+SUMPRODUCT(($CZ$3:$CZ$42=$AO31)*($DC$3:$DC$42=$AO34)*$DA$3:$DA$42)+SUMPRODUCT(($CZ$3:$CZ$42=$AO32)*($DC$3:$DC$42=$AO34)*$DA$3:$DA$42)+SUMPRODUCT(($CZ$3:$CZ$42=$AO33)*($DC$3:$DC$42=$AO34)*$DA$3:$DA$42)</f>
        <v>0</v>
      </c>
      <c r="AU34" s="191">
        <f>AS34-AT34+1000</f>
        <v>1000</v>
      </c>
      <c r="AV34" s="191" t="str">
        <f t="shared" si="207"/>
        <v/>
      </c>
      <c r="AW34" s="191" t="str">
        <f t="shared" si="208"/>
        <v/>
      </c>
      <c r="AX34" s="191" t="str">
        <f t="shared" si="209"/>
        <v/>
      </c>
      <c r="AY34" s="191" t="str">
        <f t="shared" si="210"/>
        <v/>
      </c>
      <c r="AZ34" s="191" t="str">
        <f t="shared" si="211"/>
        <v/>
      </c>
      <c r="BA34" s="191" t="str">
        <f t="shared" si="217"/>
        <v/>
      </c>
      <c r="BB34" s="191" t="str">
        <f t="shared" si="212"/>
        <v/>
      </c>
      <c r="BC34" s="191" t="str">
        <f t="shared" si="213"/>
        <v/>
      </c>
      <c r="BD34" s="191" t="str">
        <f t="shared" si="214"/>
        <v/>
      </c>
      <c r="BE34" s="191" t="str">
        <f t="shared" si="215"/>
        <v/>
      </c>
      <c r="BF34" s="191" t="str">
        <f t="shared" si="216"/>
        <v/>
      </c>
      <c r="BG34" s="191" t="str">
        <f>IF(AO34&lt;&gt;"",IF(BG74&lt;&gt;"",IF(AN$70=3,BG74,BG74+AN$70),SUM(BA34:BF34)+1),"")</f>
        <v/>
      </c>
      <c r="BH34" s="191" t="str">
        <f>IF(AO34&lt;&gt;"",INDEX(AO32:AO35,MATCH(4,BG32:BG35,0),0),"")</f>
        <v/>
      </c>
      <c r="BI34" s="191" t="str">
        <f>IF(R32&lt;&gt;"",R32,"")</f>
        <v/>
      </c>
      <c r="BJ34" s="191">
        <f>SUMPRODUCT(($CZ$3:$CZ$42=$BI34)*($DC$3:$DC$42=$BI35)*($DD$3:$DD$42="W"))+SUMPRODUCT(($CZ$3:$CZ$42=$BI34)*($DC$3:$DC$42=$BI36)*($DD$3:$DD$42="W"))+SUMPRODUCT(($CZ$3:$CZ$42=$BI34)*($DC$3:$DC$42=$BI33)*($DD$3:$DD$42="W"))+SUMPRODUCT(($CZ$3:$CZ$42=$BI35)*($DC$3:$DC$42=$BI34)*($DE$3:$DE$42="W"))+SUMPRODUCT(($CZ$3:$CZ$42=$BI36)*($DC$3:$DC$42=$BI34)*($DE$3:$DE$42="W"))+SUMPRODUCT(($CZ$3:$CZ$42=$BI33)*($DC$3:$DC$42=$BI34)*($DE$3:$DE$42="W"))</f>
        <v>0</v>
      </c>
      <c r="BK34" s="191">
        <f>SUMPRODUCT(($CZ$3:$CZ$42=$BI34)*($DC$3:$DC$42=$BI35)*($DD$3:$DD$42="D"))+SUMPRODUCT(($CZ$3:$CZ$42=$BI34)*($DC$3:$DC$42=$BI36)*($DD$3:$DD$42="D"))+SUMPRODUCT(($CZ$3:$CZ$42=$BI34)*($DC$3:$DC$42=$BI33)*($DD$3:$DD$42="D"))+SUMPRODUCT(($CZ$3:$CZ$42=$BI35)*($DC$3:$DC$42=$BI34)*($DD$3:$DD$42="D"))+SUMPRODUCT(($CZ$3:$CZ$42=$BI36)*($DC$3:$DC$42=$BI34)*($DD$3:$DD$42="D"))+SUMPRODUCT(($CZ$3:$CZ$42=$BI33)*($DC$3:$DC$42=$BI34)*($DD$3:$DD$42="D"))</f>
        <v>0</v>
      </c>
      <c r="BL34" s="191">
        <f>SUMPRODUCT(($CZ$3:$CZ$42=$BI34)*($DC$3:$DC$42=$BI35)*($DD$3:$DD$42="L"))+SUMPRODUCT(($CZ$3:$CZ$42=$BI34)*($DC$3:$DC$42=$BI36)*($DD$3:$DD$42="L"))+SUMPRODUCT(($CZ$3:$CZ$42=$BI34)*($DC$3:$DC$42=$BI33)*($DD$3:$DD$42="L"))+SUMPRODUCT(($CZ$3:$CZ$42=$BI35)*($DC$3:$DC$42=$BI34)*($DE$3:$DE$42="L"))+SUMPRODUCT(($CZ$3:$CZ$42=$BI36)*($DC$3:$DC$42=$BI34)*($DE$3:$DE$42="L"))+SUMPRODUCT(($CZ$3:$CZ$42=$BI33)*($DC$3:$DC$42=$BI34)*($DE$3:$DE$42="L"))</f>
        <v>0</v>
      </c>
      <c r="BM34" s="191">
        <f>SUMPRODUCT(($CZ$3:$CZ$42=$BI34)*($DC$3:$DC$42=$BI35)*$DA$3:$DA$42)+SUMPRODUCT(($CZ$3:$CZ$42=$BI34)*($DC$3:$DC$42=$BI31)*$DA$3:$DA$42)+SUMPRODUCT(($CZ$3:$CZ$42=$BI34)*($DC$3:$DC$42=$BI32)*$DA$3:$DA$42)+SUMPRODUCT(($CZ$3:$CZ$42=$BI34)*($DC$3:$DC$42=$BI33)*$DA$3:$DA$42)+SUMPRODUCT(($CZ$3:$CZ$42=$BI35)*($DC$3:$DC$42=$BI34)*$DB$3:$DB$42)+SUMPRODUCT(($CZ$3:$CZ$42=$BI31)*($DC$3:$DC$42=$BI34)*$DB$3:$DB$42)+SUMPRODUCT(($CZ$3:$CZ$42=$BI32)*($DC$3:$DC$42=$BI34)*$DB$3:$DB$42)+SUMPRODUCT(($CZ$3:$CZ$42=$BI33)*($DC$3:$DC$42=$BI34)*$DB$3:$DB$42)</f>
        <v>0</v>
      </c>
      <c r="BN34" s="191">
        <f>SUMPRODUCT(($CZ$3:$CZ$42=$BI34)*($DC$3:$DC$42=$BI35)*$DB$3:$DB$42)+SUMPRODUCT(($CZ$3:$CZ$42=$BI34)*($DC$3:$DC$42=$BI31)*$DB$3:$DB$42)+SUMPRODUCT(($CZ$3:$CZ$42=$BI34)*($DC$3:$DC$42=$BI32)*$DB$3:$DB$42)+SUMPRODUCT(($CZ$3:$CZ$42=$BI34)*($DC$3:$DC$42=$BI33)*$DB$3:$DB$42)+SUMPRODUCT(($CZ$3:$CZ$42=$BI35)*($DC$3:$DC$42=$BI34)*$DA$3:$DA$42)+SUMPRODUCT(($CZ$3:$CZ$42=$BI31)*($DC$3:$DC$42=$BI34)*$DA$3:$DA$42)+SUMPRODUCT(($CZ$3:$CZ$42=$BI32)*($DC$3:$DC$42=$BI34)*$DA$3:$DA$42)+SUMPRODUCT(($CZ$3:$CZ$42=$BI33)*($DC$3:$DC$42=$BI34)*$DA$3:$DA$42)</f>
        <v>0</v>
      </c>
      <c r="BO34" s="191">
        <f>BM34-BN34+1000</f>
        <v>1000</v>
      </c>
      <c r="BP34" s="191" t="str">
        <f t="shared" si="218"/>
        <v/>
      </c>
      <c r="BQ34" s="191" t="str">
        <f t="shared" si="219"/>
        <v/>
      </c>
      <c r="BR34" s="191" t="str">
        <f t="shared" si="220"/>
        <v/>
      </c>
      <c r="BS34" s="191" t="str">
        <f t="shared" si="221"/>
        <v/>
      </c>
      <c r="BT34" s="191" t="str">
        <f t="shared" si="222"/>
        <v/>
      </c>
      <c r="BU34" s="191" t="str">
        <f>IF(BI34&lt;&gt;"",RANK(BT34,$BT$32:$BT$35),"")</f>
        <v/>
      </c>
      <c r="BV34" s="191" t="str">
        <f t="shared" si="223"/>
        <v/>
      </c>
      <c r="BW34" s="191" t="str">
        <f t="shared" si="224"/>
        <v/>
      </c>
      <c r="BX34" s="191" t="str">
        <f t="shared" si="225"/>
        <v/>
      </c>
      <c r="BY34" s="191" t="str">
        <f t="shared" si="226"/>
        <v/>
      </c>
      <c r="BZ34" s="191" t="str">
        <f t="shared" si="227"/>
        <v/>
      </c>
      <c r="CA34" s="191" t="str">
        <f>IF(BI34&lt;&gt;"",SUM(BU34:BZ34)+2,"")</f>
        <v/>
      </c>
      <c r="CB34" s="191" t="str">
        <f>IF(BI34&lt;&gt;"",INDEX(BI33:BI35,MATCH(4,CA33:CA35,0),0),"")</f>
        <v/>
      </c>
      <c r="CC34" s="191" t="str">
        <f>IF(S31&lt;&gt;"",S31,"")</f>
        <v/>
      </c>
      <c r="CD34" s="191">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0</v>
      </c>
      <c r="CE34" s="191">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0</v>
      </c>
      <c r="CF34" s="191">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0</v>
      </c>
      <c r="CG34" s="191">
        <f>SUMPRODUCT(($CZ$3:$CZ$42=$CC34)*($DC$3:$DC$42=$CC35)*$DA$3:$DA$42)+SUMPRODUCT(($CZ$3:$CZ$42=$CC34)*($DC$3:$DC$42=$CC31)*$DA$3:$DA$42)+SUMPRODUCT(($CZ$3:$CZ$42=$CC34)*($DC$3:$DC$42=$CC32)*$DA$3:$DA$42)+SUMPRODUCT(($CZ$3:$CZ$42=$CC34)*($DC$3:$DC$42=$CC33)*$DA$3:$DA$42)+SUMPRODUCT(($CZ$3:$CZ$42=$CC35)*($DC$3:$DC$42=$CC34)*$DB$3:$DB$42)+SUMPRODUCT(($CZ$3:$CZ$42=$CC31)*($DC$3:$DC$42=$CC34)*$DB$3:$DB$42)+SUMPRODUCT(($CZ$3:$CZ$42=$CC32)*($DC$3:$DC$42=$CC34)*$DB$3:$DB$42)+SUMPRODUCT(($CZ$3:$CZ$42=$CC33)*($DC$3:$DC$42=$CC34)*$DB$3:$DB$42)</f>
        <v>0</v>
      </c>
      <c r="CH34" s="191">
        <f>SUMPRODUCT(($CZ$3:$CZ$42=$CC34)*($DC$3:$DC$42=$CC35)*$DB$3:$DB$42)+SUMPRODUCT(($CZ$3:$CZ$42=$CC34)*($DC$3:$DC$42=$CC31)*$DB$3:$DB$42)+SUMPRODUCT(($CZ$3:$CZ$42=$CC34)*($DC$3:$DC$42=$CC32)*$DB$3:$DB$42)+SUMPRODUCT(($CZ$3:$CZ$42=$CC34)*($DC$3:$DC$42=$CC33)*$DB$3:$DB$42)+SUMPRODUCT(($CZ$3:$CZ$42=$CC35)*($DC$3:$DC$42=$CC34)*$DA$3:$DA$42)+SUMPRODUCT(($CZ$3:$CZ$42=$CC31)*($DC$3:$DC$42=$CC34)*$DA$3:$DA$42)+SUMPRODUCT(($CZ$3:$CZ$42=$CC32)*($DC$3:$DC$42=$CC34)*$DA$3:$DA$42)+SUMPRODUCT(($CZ$3:$CZ$42=$CC33)*($DC$3:$DC$42=$CC34)*$DA$3:$DA$42)</f>
        <v>0</v>
      </c>
      <c r="CI34" s="191">
        <f>CG34-CH34+1000</f>
        <v>1000</v>
      </c>
      <c r="CJ34" s="191" t="str">
        <f t="shared" ref="CJ34" si="228">IF(CC34&lt;&gt;"",CD34*3+CE34*1,"")</f>
        <v/>
      </c>
      <c r="CK34" s="191" t="str">
        <f t="shared" ref="CK34" si="229">IF(CC34&lt;&gt;"",VLOOKUP(CC34,$B$4:$H$40,7,FALSE),"")</f>
        <v/>
      </c>
      <c r="CL34" s="191" t="str">
        <f t="shared" ref="CL34" si="230">IF(CC34&lt;&gt;"",VLOOKUP(CC34,$B$4:$H$40,5,FALSE),"")</f>
        <v/>
      </c>
      <c r="CM34" s="191" t="str">
        <f t="shared" ref="CM34" si="231">IF(CC34&lt;&gt;"",VLOOKUP(CC34,$B$4:$J$40,9,FALSE),"")</f>
        <v/>
      </c>
      <c r="CN34" s="191" t="str">
        <f t="shared" ref="CN34" si="232">CJ34</f>
        <v/>
      </c>
      <c r="CO34" s="191" t="str">
        <f t="shared" ref="CO34" si="233">IF(CC34&lt;&gt;"",RANK(CN34,$AF$31:$AF$35),"")</f>
        <v/>
      </c>
      <c r="CP34" s="191" t="str">
        <f t="shared" ref="CP34" si="234">IF(CC34&lt;&gt;"",SUMPRODUCT((CN$31:CN$35=CN34)*(CI$31:CI$35&gt;CI34)),"")</f>
        <v/>
      </c>
      <c r="CQ34" s="191" t="str">
        <f t="shared" ref="CQ34" si="235">IF(CC34&lt;&gt;"",SUMPRODUCT((CN$31:CN$35=CN34)*(CI$31:CI$35=CI34)*(CG$31:CG$35&gt;CG34)),"")</f>
        <v/>
      </c>
      <c r="CR34" s="191" t="str">
        <f t="shared" ref="CR34" si="236">IF(CC34&lt;&gt;"",SUMPRODUCT((CN$31:CN$35=CN34)*(CI$31:CI$35=CI34)*(CG$31:CG$35=CG34)*(CK$31:CK$35&gt;CK34)),"")</f>
        <v/>
      </c>
      <c r="CS34" s="191" t="str">
        <f t="shared" ref="CS34" si="237">IF(CC34&lt;&gt;"",SUMPRODUCT((CN$31:CN$35=CN34)*(CI$31:CI$35=CI34)*(CG$31:CG$35=CG34)*(CK$31:CK$35=CK34)*(CL$31:CL$35&gt;CL34)),"")</f>
        <v/>
      </c>
      <c r="CT34" s="191" t="str">
        <f t="shared" ref="CT34" si="238">IF(CC34&lt;&gt;"",SUMPRODUCT((CN$31:CN$35=CN34)*(CI$31:CI$35=CI34)*(CG$31:CG$35=CG34)*(CK$31:CK$35=CK34)*(CL$31:CL$35=CL34)*(CM$31:CM$35&gt;CM34)),"")</f>
        <v/>
      </c>
      <c r="CU34" s="191" t="str">
        <f>IF(CC34&lt;&gt;"",SUM(CO34:CT34)+3,"")</f>
        <v/>
      </c>
      <c r="CV34" s="191" t="str">
        <f t="shared" ref="CV34" si="239">IF(CC34&lt;&gt;"",INDEX($U$31:$U$35,MATCH(1,$AM$31:$AM$35,0),0),"")</f>
        <v/>
      </c>
      <c r="CW34" s="191" t="str">
        <f>IF(CV34&lt;&gt;"",CV34,IF(CB34&lt;&gt;"",CB34,IF(BH34&lt;&gt;"",BH34,IF(AN34&lt;&gt;"",AN34,N34))))</f>
        <v>Poland</v>
      </c>
      <c r="CX34" s="191">
        <v>4</v>
      </c>
      <c r="CY34" s="191">
        <v>32</v>
      </c>
      <c r="CZ34" s="191" t="str">
        <f>Fixtures!G38</f>
        <v>Czech Republic</v>
      </c>
      <c r="DA34" s="191">
        <f>IF(AND(Fixtures!H38&lt;&gt;"",Fixtures!I38&lt;&gt;""),Fixtures!H38,0)</f>
        <v>0</v>
      </c>
      <c r="DB34" s="191">
        <f>IF(AND(Fixtures!I38&lt;&gt;"",Fixtures!H38&lt;&gt;""),Fixtures!I38,0)</f>
        <v>1</v>
      </c>
      <c r="DC34" s="191" t="str">
        <f>Fixtures!J38</f>
        <v>England</v>
      </c>
      <c r="DD34" s="191" t="str">
        <f>IF(AND(Fixtures!H38&lt;&gt;"",Fixtures!I38&lt;&gt;""),IF(DA34&gt;DB34,"W",IF(DA34=DB34,"D","L")),"")</f>
        <v>L</v>
      </c>
      <c r="DE34" s="191" t="str">
        <f t="shared" si="1"/>
        <v>W</v>
      </c>
      <c r="EF34" s="272"/>
      <c r="EG34" s="196"/>
      <c r="EH34" s="197"/>
      <c r="EI34" s="198"/>
      <c r="EJ34" s="197"/>
      <c r="EL34" s="199">
        <v>44368.75</v>
      </c>
      <c r="EM34" s="200">
        <f t="shared" si="51"/>
        <v>44368.75</v>
      </c>
      <c r="EO34" s="209" t="s">
        <v>608</v>
      </c>
      <c r="EP34" s="191">
        <v>-4</v>
      </c>
      <c r="EQ34" s="191" t="s">
        <v>609</v>
      </c>
      <c r="ER34" s="191" t="s">
        <v>610</v>
      </c>
    </row>
    <row r="35" spans="1:148" x14ac:dyDescent="0.35">
      <c r="CY35" s="191">
        <v>33</v>
      </c>
      <c r="CZ35" s="191" t="str">
        <f>Fixtures!G39</f>
        <v>Sweden</v>
      </c>
      <c r="DA35" s="191">
        <f>IF(AND(Fixtures!H39&lt;&gt;"",Fixtures!I39&lt;&gt;""),Fixtures!H39,0)</f>
        <v>3</v>
      </c>
      <c r="DB35" s="191">
        <f>IF(AND(Fixtures!I39&lt;&gt;"",Fixtures!H39&lt;&gt;""),Fixtures!I39,0)</f>
        <v>2</v>
      </c>
      <c r="DC35" s="191" t="str">
        <f>Fixtures!J39</f>
        <v>Poland</v>
      </c>
      <c r="DD35" s="191" t="str">
        <f>IF(AND(Fixtures!H39&lt;&gt;"",Fixtures!I39&lt;&gt;""),IF(DA35&gt;DB35,"W",IF(DA35=DB35,"D","L")),"")</f>
        <v>W</v>
      </c>
      <c r="DE35" s="191" t="str">
        <f t="shared" si="1"/>
        <v>L</v>
      </c>
      <c r="EF35" s="272" t="s">
        <v>611</v>
      </c>
      <c r="EG35" s="196"/>
      <c r="EH35" s="197"/>
      <c r="EI35" s="198"/>
      <c r="EJ35" s="197"/>
      <c r="EL35" s="199">
        <v>44368.875</v>
      </c>
      <c r="EM35" s="200">
        <f t="shared" si="51"/>
        <v>44368.875</v>
      </c>
      <c r="EO35" s="209" t="s">
        <v>612</v>
      </c>
      <c r="EP35" s="191">
        <v>-4</v>
      </c>
      <c r="EQ35" s="191" t="s">
        <v>613</v>
      </c>
      <c r="ER35" s="191" t="s">
        <v>614</v>
      </c>
    </row>
    <row r="36" spans="1:148" x14ac:dyDescent="0.35">
      <c r="CY36" s="191">
        <v>34</v>
      </c>
      <c r="CZ36" s="191" t="str">
        <f>Fixtures!G40</f>
        <v>Slovakia</v>
      </c>
      <c r="DA36" s="191">
        <f>IF(AND(Fixtures!H40&lt;&gt;"",Fixtures!I40&lt;&gt;""),Fixtures!H40,0)</f>
        <v>0</v>
      </c>
      <c r="DB36" s="191">
        <f>IF(AND(Fixtures!I40&lt;&gt;"",Fixtures!H40&lt;&gt;""),Fixtures!I40,0)</f>
        <v>5</v>
      </c>
      <c r="DC36" s="191" t="str">
        <f>Fixtures!J40</f>
        <v>Spain</v>
      </c>
      <c r="DD36" s="191" t="str">
        <f>IF(AND(Fixtures!H40&lt;&gt;"",Fixtures!I40&lt;&gt;""),IF(DA36&gt;DB36,"W",IF(DA36=DB36,"D","L")),"")</f>
        <v>L</v>
      </c>
      <c r="DE36" s="191" t="str">
        <f t="shared" si="1"/>
        <v>W</v>
      </c>
      <c r="EF36" s="272"/>
      <c r="EG36" s="196"/>
      <c r="EH36" s="197"/>
      <c r="EI36" s="198"/>
      <c r="EJ36" s="197"/>
      <c r="EL36" s="199">
        <v>44368.875</v>
      </c>
      <c r="EM36" s="200">
        <f t="shared" si="51"/>
        <v>44368.875</v>
      </c>
      <c r="EO36" s="209" t="s">
        <v>615</v>
      </c>
      <c r="EP36" s="191">
        <v>-4</v>
      </c>
      <c r="EQ36" s="191" t="s">
        <v>616</v>
      </c>
      <c r="ER36" s="191" t="s">
        <v>617</v>
      </c>
    </row>
    <row r="37" spans="1:148" x14ac:dyDescent="0.35">
      <c r="A37" s="191">
        <f>VLOOKUP(B37,$CW$37:$CX$41,2,FALSE)</f>
        <v>1</v>
      </c>
      <c r="B37" s="191" t="str">
        <f>'Dummy Table'!EH27</f>
        <v>France</v>
      </c>
      <c r="C37" s="191">
        <f>SUMPRODUCT(($CZ$3:$CZ$42=$B37)*($DD$3:$DD$42="W"))+SUMPRODUCT(($DC$3:$DC$42=$B37)*($DE$3:$DE$42="W"))</f>
        <v>1</v>
      </c>
      <c r="D37" s="191">
        <f>SUMPRODUCT(($CZ$3:$CZ$42=$B37)*($DD$3:$DD$42="D"))+SUMPRODUCT(($DC$3:$DC$42=$B37)*($DE$3:$DE$42="D"))</f>
        <v>2</v>
      </c>
      <c r="E37" s="191">
        <f>SUMPRODUCT(($CZ$3:$CZ$42=$B37)*($DD$3:$DD$42="L"))+SUMPRODUCT(($DC$3:$DC$42=$B37)*($DE$3:$DE$42="L"))</f>
        <v>0</v>
      </c>
      <c r="F37" s="191">
        <f>SUMIF($CZ$3:$CZ$60,B37,$DA$3:$DA$60)+SUMIF($DC$3:$DC$60,B37,$DB$3:$DB$60)</f>
        <v>4</v>
      </c>
      <c r="G37" s="191">
        <f>SUMIF($DC$3:$DC$60,B37,$DA$3:$DA$60)+SUMIF($CZ$3:$CZ$60,B37,$DB$3:$DB$60)</f>
        <v>3</v>
      </c>
      <c r="H37" s="191">
        <f t="shared" ref="H37:H40" si="240">F37-G37+1000</f>
        <v>1001</v>
      </c>
      <c r="I37" s="191">
        <f t="shared" ref="I37:I40" si="241">C37*3+D37*1</f>
        <v>5</v>
      </c>
      <c r="J37" s="191">
        <v>49</v>
      </c>
      <c r="K37" s="191">
        <f>IF(COUNTIF(I37:I41,4)&lt;&gt;4,RANK(I37,I37:I41),I77)</f>
        <v>1</v>
      </c>
      <c r="M37" s="191">
        <f>SUMPRODUCT((K37:K40=K37)*(J37:J40&lt;J37))+K37</f>
        <v>1</v>
      </c>
      <c r="N37" s="191" t="str">
        <f>INDEX($B$37:$B$41,MATCH(1,$M$37:$M$41,0),0)</f>
        <v>France</v>
      </c>
      <c r="O37" s="191">
        <f>INDEX($K$37:$K$41,MATCH(N37,$B$37:$B$41,0),0)</f>
        <v>1</v>
      </c>
      <c r="P37" s="191" t="str">
        <f>IF(O38=1,N37,"")</f>
        <v/>
      </c>
      <c r="Q37" s="191" t="str">
        <f>IF(O39=2,N38,"")</f>
        <v>Portugal</v>
      </c>
      <c r="R37" s="191" t="str">
        <f>IF(O40=3,N39,"")</f>
        <v/>
      </c>
      <c r="S37" s="191" t="str">
        <f>IF(O41=4,N40,"")</f>
        <v/>
      </c>
      <c r="U37" s="191" t="str">
        <f>IF(P37&lt;&gt;"",P37,"")</f>
        <v/>
      </c>
      <c r="V37" s="191">
        <f>SUMPRODUCT(($CZ$3:$CZ$42=$U37)*($DC$3:$DC$42=$U38)*($DD$3:$DD$42="W"))+SUMPRODUCT(($CZ$3:$CZ$42=$U37)*($DC$3:$DC$42=$U39)*($DD$3:$DD$42="W"))+SUMPRODUCT(($CZ$3:$CZ$42=$U37)*($DC$3:$DC$42=$U40)*($DD$3:$DD$42="W"))+SUMPRODUCT(($CZ$3:$CZ$42=$U37)*($DC$3:$DC$42=$U41)*($DD$3:$DD$42="W"))+SUMPRODUCT(($CZ$3:$CZ$42=$U38)*($DC$3:$DC$42=$U37)*($DE$3:$DE$42="W"))+SUMPRODUCT(($CZ$3:$CZ$42=$U39)*($DC$3:$DC$42=$U37)*($DE$3:$DE$42="W"))+SUMPRODUCT(($CZ$3:$CZ$42=$U40)*($DC$3:$DC$42=$U37)*($DE$3:$DE$42="W"))+SUMPRODUCT(($CZ$3:$CZ$42=$U41)*($DC$3:$DC$42=$U37)*($DE$3:$DE$42="W"))</f>
        <v>0</v>
      </c>
      <c r="W37" s="191">
        <f>SUMPRODUCT(($CZ$3:$CZ$42=$U37)*($DC$3:$DC$42=$U38)*($DD$3:$DD$42="D"))+SUMPRODUCT(($CZ$3:$CZ$42=$U37)*($DC$3:$DC$42=$U39)*($DD$3:$DD$42="D"))+SUMPRODUCT(($CZ$3:$CZ$42=$U37)*($DC$3:$DC$42=$U40)*($DD$3:$DD$42="D"))+SUMPRODUCT(($CZ$3:$CZ$42=$U37)*($DC$3:$DC$42=$U41)*($DD$3:$DD$42="D"))+SUMPRODUCT(($CZ$3:$CZ$42=$U38)*($DC$3:$DC$42=$U37)*($DD$3:$DD$42="D"))+SUMPRODUCT(($CZ$3:$CZ$42=$U39)*($DC$3:$DC$42=$U37)*($DD$3:$DD$42="D"))+SUMPRODUCT(($CZ$3:$CZ$42=$U40)*($DC$3:$DC$42=$U37)*($DD$3:$DD$42="D"))+SUMPRODUCT(($CZ$3:$CZ$42=$U41)*($DC$3:$DC$42=$U37)*($DD$3:$DD$42="D"))</f>
        <v>0</v>
      </c>
      <c r="X37" s="191">
        <f>SUMPRODUCT(($CZ$3:$CZ$42=$U37)*($DC$3:$DC$42=$U38)*($DD$3:$DD$42="L"))+SUMPRODUCT(($CZ$3:$CZ$42=$U37)*($DC$3:$DC$42=$U39)*($DD$3:$DD$42="L"))+SUMPRODUCT(($CZ$3:$CZ$42=$U37)*($DC$3:$DC$42=$U40)*($DD$3:$DD$42="L"))+SUMPRODUCT(($CZ$3:$CZ$42=$U37)*($DC$3:$DC$42=$U41)*($DD$3:$DD$42="L"))+SUMPRODUCT(($CZ$3:$CZ$42=$U38)*($DC$3:$DC$42=$U37)*($DE$3:$DE$42="L"))+SUMPRODUCT(($CZ$3:$CZ$42=$U39)*($DC$3:$DC$42=$U37)*($DE$3:$DE$42="L"))+SUMPRODUCT(($CZ$3:$CZ$42=$U40)*($DC$3:$DC$42=$U37)*($DE$3:$DE$42="L"))+SUMPRODUCT(($CZ$3:$CZ$42=$U41)*($DC$3:$DC$42=$U37)*($DE$3:$DE$42="L"))</f>
        <v>0</v>
      </c>
      <c r="Y37" s="191">
        <f>SUMPRODUCT(($CZ$3:$CZ$42=$U37)*($DC$3:$DC$42=$U38)*$DA$3:$DA$42)+SUMPRODUCT(($CZ$3:$CZ$42=$U37)*($DC$3:$DC$42=$U39)*$DA$3:$DA$42)+SUMPRODUCT(($CZ$3:$CZ$42=$U37)*($DC$3:$DC$42=$U40)*$DA$3:$DA$42)+SUMPRODUCT(($CZ$3:$CZ$42=$U37)*($DC$3:$DC$42=$U41)*$DA$3:$DA$42)+SUMPRODUCT(($CZ$3:$CZ$42=$U38)*($DC$3:$DC$42=$U37)*$DB$3:$DB$42)+SUMPRODUCT(($CZ$3:$CZ$42=$U39)*($DC$3:$DC$42=$U37)*$DB$3:$DB$42)+SUMPRODUCT(($CZ$3:$CZ$42=$U40)*($DC$3:$DC$42=$U37)*$DB$3:$DB$42)+SUMPRODUCT(($CZ$3:$CZ$42=$U41)*($DC$3:$DC$42=$U37)*$DB$3:$DB$42)</f>
        <v>0</v>
      </c>
      <c r="Z37" s="191">
        <f>SUMPRODUCT(($CZ$3:$CZ$42=$U37)*($DC$3:$DC$42=$U38)*$DB$3:$DB$42)+SUMPRODUCT(($CZ$3:$CZ$42=$U37)*($DC$3:$DC$42=$U39)*$DB$3:$DB$42)+SUMPRODUCT(($CZ$3:$CZ$42=$U37)*($DC$3:$DC$42=$U40)*$DB$3:$DB$42)+SUMPRODUCT(($CZ$3:$CZ$42=$U37)*($DC$3:$DC$42=$U41)*$DB$3:$DB$42)+SUMPRODUCT(($CZ$3:$CZ$42=$U38)*($DC$3:$DC$42=$U37)*$DA$3:$DA$42)+SUMPRODUCT(($CZ$3:$CZ$42=$U39)*($DC$3:$DC$42=$U37)*$DA$3:$DA$42)+SUMPRODUCT(($CZ$3:$CZ$42=$U40)*($DC$3:$DC$42=$U37)*$DA$3:$DA$42)+SUMPRODUCT(($CZ$3:$CZ$42=$U41)*($DC$3:$DC$42=$U37)*$DA$3:$DA$42)</f>
        <v>0</v>
      </c>
      <c r="AA37" s="191">
        <f>Y37-Z37+1000</f>
        <v>1000</v>
      </c>
      <c r="AB37" s="191" t="str">
        <f t="shared" ref="AB37:AB40" si="242">IF(U37&lt;&gt;"",V37*3+W37*1,"")</f>
        <v/>
      </c>
      <c r="AC37" s="191" t="str">
        <f t="shared" ref="AC37:AC40" si="243">IF(U37&lt;&gt;"",VLOOKUP(U37,$B$4:$H$40,7,FALSE),"")</f>
        <v/>
      </c>
      <c r="AD37" s="191" t="str">
        <f t="shared" ref="AD37:AD40" si="244">IF(U37&lt;&gt;"",VLOOKUP(U37,$B$4:$H$40,5,FALSE),"")</f>
        <v/>
      </c>
      <c r="AE37" s="191" t="str">
        <f t="shared" ref="AE37:AE40" si="245">IF(U37&lt;&gt;"",VLOOKUP(U37,$B$4:$J$40,9,FALSE),"")</f>
        <v/>
      </c>
      <c r="AF37" s="191" t="str">
        <f t="shared" ref="AF37:AF40" si="246">AB37</f>
        <v/>
      </c>
      <c r="AG37" s="191" t="str">
        <f>IF(U37&lt;&gt;"",RANK(AF37,$AF$37:$AF$41),"")</f>
        <v/>
      </c>
      <c r="AH37" s="191" t="str">
        <f>IF(U37&lt;&gt;"",SUMPRODUCT((AF$37:AF$41=AF37)*(AA$37:AA$41&gt;AA37)),"")</f>
        <v/>
      </c>
      <c r="AI37" s="191" t="str">
        <f>IF(U37&lt;&gt;"",SUMPRODUCT((AF$37:AF$41=AF37)*(AA$37:AA$41=AA37)*(Y$37:Y$41&gt;Y37)),"")</f>
        <v/>
      </c>
      <c r="AJ37" s="191" t="str">
        <f>IF(U37&lt;&gt;"",SUMPRODUCT((AF$37:AF$41=AF37)*(AA$37:AA$41=AA37)*(Y$37:Y$41=Y37)*(AC$37:AC$41&gt;AC37)),"")</f>
        <v/>
      </c>
      <c r="AK37" s="191" t="str">
        <f>IF(U37&lt;&gt;"",SUMPRODUCT((AF$37:AF$41=AF37)*(AA$37:AA$41=AA37)*(Y$37:Y$41=Y37)*(AC$37:AC$41=AC37)*(AD$37:AD$41&gt;AD37)),"")</f>
        <v/>
      </c>
      <c r="AL37" s="191" t="str">
        <f>IF(U37&lt;&gt;"",SUMPRODUCT((AF$37:AF$41=AF37)*(AA$37:AA$41=AA37)*(Y$37:Y$41=Y37)*(AC$37:AC$41=AC37)*(AD$37:AD$41=AD37)*(AE$37:AE$41&gt;AE37)),"")</f>
        <v/>
      </c>
      <c r="AM37" s="191" t="str">
        <f>IF(U37&lt;&gt;"",IF(AM77&lt;&gt;"",IF(T$76=3,AM77,AM77+T$76),SUM(AG37:AL37)),"")</f>
        <v/>
      </c>
      <c r="AN37" s="191" t="str">
        <f>IF(U37&lt;&gt;"",INDEX($U$37:$U$41,MATCH(1,$AM$37:$AM$41,0),0),"")</f>
        <v/>
      </c>
      <c r="CW37" s="191" t="str">
        <f>IF(AN37&lt;&gt;"",AN37,N37)</f>
        <v>France</v>
      </c>
      <c r="CX37" s="191">
        <v>1</v>
      </c>
      <c r="CY37" s="191">
        <v>35</v>
      </c>
      <c r="CZ37" s="191" t="str">
        <f>Fixtures!G41</f>
        <v>Portugal</v>
      </c>
      <c r="DA37" s="191">
        <f>IF(AND(Fixtures!H41&lt;&gt;"",Fixtures!I41&lt;&gt;""),Fixtures!H41,0)</f>
        <v>2</v>
      </c>
      <c r="DB37" s="191">
        <f>IF(AND(Fixtures!I41&lt;&gt;"",Fixtures!H41&lt;&gt;""),Fixtures!I41,0)</f>
        <v>2</v>
      </c>
      <c r="DC37" s="191" t="str">
        <f>Fixtures!J41</f>
        <v>France</v>
      </c>
      <c r="DD37" s="191" t="str">
        <f>IF(AND(Fixtures!H41&lt;&gt;"",Fixtures!I41&lt;&gt;""),IF(DA37&gt;DB37,"W",IF(DA37=DB37,"D","L")),"")</f>
        <v>D</v>
      </c>
      <c r="DE37" s="191" t="str">
        <f t="shared" si="1"/>
        <v>D</v>
      </c>
      <c r="EF37" s="272"/>
      <c r="EG37" s="196"/>
      <c r="EH37" s="197"/>
      <c r="EI37" s="198"/>
      <c r="EJ37" s="197"/>
      <c r="EL37" s="199">
        <v>44369.875</v>
      </c>
      <c r="EM37" s="200">
        <f t="shared" si="51"/>
        <v>44369.875</v>
      </c>
      <c r="EO37" s="209" t="s">
        <v>618</v>
      </c>
      <c r="EP37" s="191">
        <v>-4</v>
      </c>
      <c r="EQ37" s="191" t="s">
        <v>619</v>
      </c>
      <c r="ER37" s="191" t="s">
        <v>620</v>
      </c>
    </row>
    <row r="38" spans="1:148" x14ac:dyDescent="0.35">
      <c r="A38" s="191">
        <f t="shared" ref="A38:A40" si="247">VLOOKUP(B38,$CW$37:$CX$41,2,FALSE)</f>
        <v>2</v>
      </c>
      <c r="B38" s="191" t="str">
        <f>'Dummy Table'!EH28</f>
        <v>Germany</v>
      </c>
      <c r="C38" s="191">
        <f>SUMPRODUCT(($CZ$3:$CZ$42=$B38)*($DD$3:$DD$42="W"))+SUMPRODUCT(($DC$3:$DC$42=$B38)*($DE$3:$DE$42="W"))</f>
        <v>1</v>
      </c>
      <c r="D38" s="191">
        <f>SUMPRODUCT(($CZ$3:$CZ$42=$B38)*($DD$3:$DD$42="D"))+SUMPRODUCT(($DC$3:$DC$42=$B38)*($DE$3:$DE$42="D"))</f>
        <v>1</v>
      </c>
      <c r="E38" s="191">
        <f>SUMPRODUCT(($CZ$3:$CZ$42=$B38)*($DD$3:$DD$42="L"))+SUMPRODUCT(($DC$3:$DC$42=$B38)*($DE$3:$DE$42="L"))</f>
        <v>1</v>
      </c>
      <c r="F38" s="191">
        <f>SUMIF($CZ$3:$CZ$60,B38,$DA$3:$DA$60)+SUMIF($DC$3:$DC$60,B38,$DB$3:$DB$60)</f>
        <v>6</v>
      </c>
      <c r="G38" s="191">
        <f>SUMIF($DC$3:$DC$60,B38,$DA$3:$DA$60)+SUMIF($CZ$3:$CZ$60,B38,$DB$3:$DB$60)</f>
        <v>5</v>
      </c>
      <c r="H38" s="191">
        <f t="shared" si="240"/>
        <v>1001</v>
      </c>
      <c r="I38" s="191">
        <f t="shared" si="241"/>
        <v>4</v>
      </c>
      <c r="J38" s="191">
        <v>52</v>
      </c>
      <c r="K38" s="191">
        <f>IF(COUNTIF(I37:I41,4)&lt;&gt;4,RANK(I38,I37:I41),I78)</f>
        <v>2</v>
      </c>
      <c r="M38" s="191">
        <f>SUMPRODUCT((K37:K40=K38)*(J37:J40&lt;J38))+K38</f>
        <v>3</v>
      </c>
      <c r="N38" s="191" t="str">
        <f>INDEX($B$37:$B$41,MATCH(2,$M$37:$M$41,0),0)</f>
        <v>Portugal</v>
      </c>
      <c r="O38" s="191">
        <f t="shared" ref="O38:O40" si="248">INDEX($K$37:$K$41,MATCH(N38,$B$37:$B$41,0),0)</f>
        <v>2</v>
      </c>
      <c r="P38" s="191" t="str">
        <f>IF(P37&lt;&gt;"",N38,"")</f>
        <v/>
      </c>
      <c r="Q38" s="191" t="str">
        <f>IF(Q37&lt;&gt;"",N39,"")</f>
        <v>Germany</v>
      </c>
      <c r="R38" s="191" t="str">
        <f>IF(R37&lt;&gt;"",N40,"")</f>
        <v/>
      </c>
      <c r="S38" s="191" t="str">
        <f>IF(S37&lt;&gt;"",N41,"")</f>
        <v/>
      </c>
      <c r="U38" s="191" t="str">
        <f t="shared" ref="U38:U40" si="249">IF(P38&lt;&gt;"",P38,"")</f>
        <v/>
      </c>
      <c r="V38" s="191">
        <f>SUMPRODUCT(($CZ$3:$CZ$42=$U38)*($DC$3:$DC$42=$U39)*($DD$3:$DD$42="W"))+SUMPRODUCT(($CZ$3:$CZ$42=$U38)*($DC$3:$DC$42=$U40)*($DD$3:$DD$42="W"))+SUMPRODUCT(($CZ$3:$CZ$42=$U38)*($DC$3:$DC$42=$U41)*($DD$3:$DD$42="W"))+SUMPRODUCT(($CZ$3:$CZ$42=$U38)*($DC$3:$DC$42=$U37)*($DD$3:$DD$42="W"))+SUMPRODUCT(($CZ$3:$CZ$42=$U39)*($DC$3:$DC$42=$U38)*($DE$3:$DE$42="W"))+SUMPRODUCT(($CZ$3:$CZ$42=$U40)*($DC$3:$DC$42=$U38)*($DE$3:$DE$42="W"))+SUMPRODUCT(($CZ$3:$CZ$42=$U41)*($DC$3:$DC$42=$U38)*($DE$3:$DE$42="W"))+SUMPRODUCT(($CZ$3:$CZ$42=$U37)*($DC$3:$DC$42=$U38)*($DE$3:$DE$42="W"))</f>
        <v>0</v>
      </c>
      <c r="W38" s="191">
        <f>SUMPRODUCT(($CZ$3:$CZ$42=$U38)*($DC$3:$DC$42=$U39)*($DD$3:$DD$42="D"))+SUMPRODUCT(($CZ$3:$CZ$42=$U38)*($DC$3:$DC$42=$U40)*($DD$3:$DD$42="D"))+SUMPRODUCT(($CZ$3:$CZ$42=$U38)*($DC$3:$DC$42=$U41)*($DD$3:$DD$42="D"))+SUMPRODUCT(($CZ$3:$CZ$42=$U38)*($DC$3:$DC$42=$U37)*($DD$3:$DD$42="D"))+SUMPRODUCT(($CZ$3:$CZ$42=$U39)*($DC$3:$DC$42=$U38)*($DD$3:$DD$42="D"))+SUMPRODUCT(($CZ$3:$CZ$42=$U40)*($DC$3:$DC$42=$U38)*($DD$3:$DD$42="D"))+SUMPRODUCT(($CZ$3:$CZ$42=$U41)*($DC$3:$DC$42=$U38)*($DD$3:$DD$42="D"))+SUMPRODUCT(($CZ$3:$CZ$42=$U37)*($DC$3:$DC$42=$U38)*($DD$3:$DD$42="D"))</f>
        <v>0</v>
      </c>
      <c r="X38" s="191">
        <f>SUMPRODUCT(($CZ$3:$CZ$42=$U38)*($DC$3:$DC$42=$U39)*($DD$3:$DD$42="L"))+SUMPRODUCT(($CZ$3:$CZ$42=$U38)*($DC$3:$DC$42=$U40)*($DD$3:$DD$42="L"))+SUMPRODUCT(($CZ$3:$CZ$42=$U38)*($DC$3:$DC$42=$U41)*($DD$3:$DD$42="L"))+SUMPRODUCT(($CZ$3:$CZ$42=$U38)*($DC$3:$DC$42=$U37)*($DD$3:$DD$42="L"))+SUMPRODUCT(($CZ$3:$CZ$42=$U39)*($DC$3:$DC$42=$U38)*($DE$3:$DE$42="L"))+SUMPRODUCT(($CZ$3:$CZ$42=$U40)*($DC$3:$DC$42=$U38)*($DE$3:$DE$42="L"))+SUMPRODUCT(($CZ$3:$CZ$42=$U41)*($DC$3:$DC$42=$U38)*($DE$3:$DE$42="L"))+SUMPRODUCT(($CZ$3:$CZ$42=$U37)*($DC$3:$DC$42=$U38)*($DE$3:$DE$42="L"))</f>
        <v>0</v>
      </c>
      <c r="Y38" s="191">
        <f>SUMPRODUCT(($CZ$3:$CZ$42=$U38)*($DC$3:$DC$42=$U39)*$DA$3:$DA$42)+SUMPRODUCT(($CZ$3:$CZ$42=$U38)*($DC$3:$DC$42=$U40)*$DA$3:$DA$42)+SUMPRODUCT(($CZ$3:$CZ$42=$U38)*($DC$3:$DC$42=$U41)*$DA$3:$DA$42)+SUMPRODUCT(($CZ$3:$CZ$42=$U38)*($DC$3:$DC$42=$U37)*$DA$3:$DA$42)+SUMPRODUCT(($CZ$3:$CZ$42=$U39)*($DC$3:$DC$42=$U38)*$DB$3:$DB$42)+SUMPRODUCT(($CZ$3:$CZ$42=$U40)*($DC$3:$DC$42=$U38)*$DB$3:$DB$42)+SUMPRODUCT(($CZ$3:$CZ$42=$U41)*($DC$3:$DC$42=$U38)*$DB$3:$DB$42)+SUMPRODUCT(($CZ$3:$CZ$42=$U37)*($DC$3:$DC$42=$U38)*$DB$3:$DB$42)</f>
        <v>0</v>
      </c>
      <c r="Z38" s="191">
        <f>SUMPRODUCT(($CZ$3:$CZ$42=$U38)*($DC$3:$DC$42=$U39)*$DB$3:$DB$42)+SUMPRODUCT(($CZ$3:$CZ$42=$U38)*($DC$3:$DC$42=$U40)*$DB$3:$DB$42)+SUMPRODUCT(($CZ$3:$CZ$42=$U38)*($DC$3:$DC$42=$U41)*$DB$3:$DB$42)+SUMPRODUCT(($CZ$3:$CZ$42=$U38)*($DC$3:$DC$42=$U37)*$DB$3:$DB$42)+SUMPRODUCT(($CZ$3:$CZ$42=$U39)*($DC$3:$DC$42=$U38)*$DA$3:$DA$42)+SUMPRODUCT(($CZ$3:$CZ$42=$U40)*($DC$3:$DC$42=$U38)*$DA$3:$DA$42)+SUMPRODUCT(($CZ$3:$CZ$42=$U41)*($DC$3:$DC$42=$U38)*$DA$3:$DA$42)+SUMPRODUCT(($CZ$3:$CZ$42=$U37)*($DC$3:$DC$42=$U38)*$DA$3:$DA$42)</f>
        <v>0</v>
      </c>
      <c r="AA38" s="191">
        <f>Y38-Z38+1000</f>
        <v>1000</v>
      </c>
      <c r="AB38" s="191" t="str">
        <f t="shared" si="242"/>
        <v/>
      </c>
      <c r="AC38" s="191" t="str">
        <f t="shared" si="243"/>
        <v/>
      </c>
      <c r="AD38" s="191" t="str">
        <f t="shared" si="244"/>
        <v/>
      </c>
      <c r="AE38" s="191" t="str">
        <f t="shared" si="245"/>
        <v/>
      </c>
      <c r="AF38" s="191" t="str">
        <f t="shared" si="246"/>
        <v/>
      </c>
      <c r="AG38" s="191" t="str">
        <f t="shared" ref="AG38:AG40" si="250">IF(U38&lt;&gt;"",RANK(AF38,$AF$37:$AF$41),"")</f>
        <v/>
      </c>
      <c r="AH38" s="191" t="str">
        <f t="shared" ref="AH38:AH40" si="251">IF(U38&lt;&gt;"",SUMPRODUCT((AF$37:AF$41=AF38)*(AA$37:AA$41&gt;AA38)),"")</f>
        <v/>
      </c>
      <c r="AI38" s="191" t="str">
        <f t="shared" ref="AI38:AI40" si="252">IF(U38&lt;&gt;"",SUMPRODUCT((AF$37:AF$41=AF38)*(AA$37:AA$41=AA38)*(Y$37:Y$41&gt;Y38)),"")</f>
        <v/>
      </c>
      <c r="AJ38" s="191" t="str">
        <f t="shared" ref="AJ38:AJ40" si="253">IF(U38&lt;&gt;"",SUMPRODUCT((AF$37:AF$41=AF38)*(AA$37:AA$41=AA38)*(Y$37:Y$41=Y38)*(AC$37:AC$41&gt;AC38)),"")</f>
        <v/>
      </c>
      <c r="AK38" s="191" t="str">
        <f t="shared" ref="AK38:AK40" si="254">IF(U38&lt;&gt;"",SUMPRODUCT((AF$37:AF$41=AF38)*(AA$37:AA$41=AA38)*(Y$37:Y$41=Y38)*(AC$37:AC$41=AC38)*(AD$37:AD$41&gt;AD38)),"")</f>
        <v/>
      </c>
      <c r="AL38" s="191" t="str">
        <f t="shared" ref="AL38:AL40" si="255">IF(U38&lt;&gt;"",SUMPRODUCT((AF$37:AF$41=AF38)*(AA$37:AA$41=AA38)*(Y$37:Y$41=Y38)*(AC$37:AC$41=AC38)*(AD$37:AD$41=AD38)*(AE$37:AE$41&gt;AE38)),"")</f>
        <v/>
      </c>
      <c r="AM38" s="191" t="str">
        <f t="shared" ref="AM38:AM40" si="256">IF(U38&lt;&gt;"",IF(AM78&lt;&gt;"",IF(T$76=3,AM78,AM78+T$76),SUM(AG38:AL38)),"")</f>
        <v/>
      </c>
      <c r="AN38" s="191" t="str">
        <f>IF(U38&lt;&gt;"",INDEX($U$37:$U$41,MATCH(2,$AM$37:$AM$41,0),0),"")</f>
        <v/>
      </c>
      <c r="AO38" s="191" t="str">
        <f>IF(Q37&lt;&gt;"",Q37,"")</f>
        <v>Portugal</v>
      </c>
      <c r="AP38" s="191">
        <f>SUMPRODUCT(($CZ$3:$CZ$42=$AO38)*($DC$3:$DC$42=$AO39)*($DD$3:$DD$42="W"))+SUMPRODUCT(($CZ$3:$CZ$42=$AO38)*($DC$3:$DC$42=$AO40)*($DD$3:$DD$42="W"))+SUMPRODUCT(($CZ$3:$CZ$42=$AO38)*($DC$3:$DC$42=$AO41)*($DD$3:$DD$42="W"))+SUMPRODUCT(($CZ$3:$CZ$42=$AO39)*($DC$3:$DC$42=$AO38)*($DE$3:$DE$42="W"))+SUMPRODUCT(($CZ$3:$CZ$42=$AO40)*($DC$3:$DC$42=$AO38)*($DE$3:$DE$42="W"))+SUMPRODUCT(($CZ$3:$CZ$42=$AO41)*($DC$3:$DC$42=$AO38)*($DE$3:$DE$42="W"))</f>
        <v>0</v>
      </c>
      <c r="AQ38" s="191">
        <f>SUMPRODUCT(($CZ$3:$CZ$42=$AO38)*($DC$3:$DC$42=$AO39)*($DD$3:$DD$42="D"))+SUMPRODUCT(($CZ$3:$CZ$42=$AO38)*($DC$3:$DC$42=$AO40)*($DD$3:$DD$42="D"))+SUMPRODUCT(($CZ$3:$CZ$42=$AO38)*($DC$3:$DC$42=$AO41)*($DD$3:$DD$42="D"))+SUMPRODUCT(($CZ$3:$CZ$42=$AO39)*($DC$3:$DC$42=$AO38)*($DD$3:$DD$42="D"))+SUMPRODUCT(($CZ$3:$CZ$42=$AO40)*($DC$3:$DC$42=$AO38)*($DD$3:$DD$42="D"))+SUMPRODUCT(($CZ$3:$CZ$42=$AO41)*($DC$3:$DC$42=$AO38)*($DD$3:$DD$42="D"))</f>
        <v>0</v>
      </c>
      <c r="AR38" s="191">
        <f>SUMPRODUCT(($CZ$3:$CZ$42=$AO38)*($DC$3:$DC$42=$AO39)*($DD$3:$DD$42="L"))+SUMPRODUCT(($CZ$3:$CZ$42=$AO38)*($DC$3:$DC$42=$AO40)*($DD$3:$DD$42="L"))+SUMPRODUCT(($CZ$3:$CZ$42=$AO38)*($DC$3:$DC$42=$AO41)*($DD$3:$DD$42="L"))+SUMPRODUCT(($CZ$3:$CZ$42=$AO39)*($DC$3:$DC$42=$AO38)*($DE$3:$DE$42="L"))+SUMPRODUCT(($CZ$3:$CZ$42=$AO40)*($DC$3:$DC$42=$AO38)*($DE$3:$DE$42="L"))+SUMPRODUCT(($CZ$3:$CZ$42=$AO41)*($DC$3:$DC$42=$AO38)*($DE$3:$DE$42="L"))</f>
        <v>1</v>
      </c>
      <c r="AS38" s="191">
        <f>SUMPRODUCT(($CZ$3:$CZ$42=$AO38)*($DC$3:$DC$42=$AO39)*$DA$3:$DA$42)+SUMPRODUCT(($CZ$3:$CZ$42=$AO38)*($DC$3:$DC$42=$AO40)*$DA$3:$DA$42)+SUMPRODUCT(($CZ$3:$CZ$42=$AO38)*($DC$3:$DC$42=$AO41)*$DA$3:$DA$42)+SUMPRODUCT(($CZ$3:$CZ$42=$AO38)*($DC$3:$DC$42=$AO37)*$DA$3:$DA$42)+SUMPRODUCT(($CZ$3:$CZ$42=$AO39)*($DC$3:$DC$42=$AO38)*$DB$3:$DB$42)+SUMPRODUCT(($CZ$3:$CZ$42=$AO40)*($DC$3:$DC$42=$AO38)*$DB$3:$DB$42)+SUMPRODUCT(($CZ$3:$CZ$42=$AO41)*($DC$3:$DC$42=$AO38)*$DB$3:$DB$42)+SUMPRODUCT(($CZ$3:$CZ$42=$AO37)*($DC$3:$DC$42=$AO38)*$DB$3:$DB$42)</f>
        <v>2</v>
      </c>
      <c r="AT38" s="191">
        <f>SUMPRODUCT(($CZ$3:$CZ$42=$AO38)*($DC$3:$DC$42=$AO39)*$DB$3:$DB$42)+SUMPRODUCT(($CZ$3:$CZ$42=$AO38)*($DC$3:$DC$42=$AO40)*$DB$3:$DB$42)+SUMPRODUCT(($CZ$3:$CZ$42=$AO38)*($DC$3:$DC$42=$AO41)*$DB$3:$DB$42)+SUMPRODUCT(($CZ$3:$CZ$42=$AO38)*($DC$3:$DC$42=$AO37)*$DB$3:$DB$42)+SUMPRODUCT(($CZ$3:$CZ$42=$AO39)*($DC$3:$DC$42=$AO38)*$DA$3:$DA$42)+SUMPRODUCT(($CZ$3:$CZ$42=$AO40)*($DC$3:$DC$42=$AO38)*$DA$3:$DA$42)+SUMPRODUCT(($CZ$3:$CZ$42=$AO41)*($DC$3:$DC$42=$AO38)*$DA$3:$DA$42)+SUMPRODUCT(($CZ$3:$CZ$42=$AO37)*($DC$3:$DC$42=$AO38)*$DA$3:$DA$42)</f>
        <v>4</v>
      </c>
      <c r="AU38" s="191">
        <f>AS38-AT38+1000</f>
        <v>998</v>
      </c>
      <c r="AV38" s="191">
        <f t="shared" ref="AV38:AV40" si="257">IF(AO38&lt;&gt;"",AP38*3+AQ38*1,"")</f>
        <v>0</v>
      </c>
      <c r="AW38" s="191">
        <f t="shared" ref="AW38:AW40" si="258">IF(AO38&lt;&gt;"",VLOOKUP(AO38,$B$4:$H$40,7,FALSE),"")</f>
        <v>1001</v>
      </c>
      <c r="AX38" s="191">
        <f t="shared" ref="AX38:AX40" si="259">IF(AO38&lt;&gt;"",VLOOKUP(AO38,$B$4:$H$40,5,FALSE),"")</f>
        <v>7</v>
      </c>
      <c r="AY38" s="191">
        <f t="shared" ref="AY38:AY40" si="260">IF(AO38&lt;&gt;"",VLOOKUP(AO38,$B$4:$J$40,9,FALSE),"")</f>
        <v>43</v>
      </c>
      <c r="AZ38" s="191">
        <f t="shared" ref="AZ38:AZ40" si="261">AV38</f>
        <v>0</v>
      </c>
      <c r="BA38" s="191">
        <f>IF(AO38&lt;&gt;"",RANK(AZ38,AZ$37:AZ$40),"")</f>
        <v>2</v>
      </c>
      <c r="BB38" s="191">
        <f t="shared" ref="BB38:BB40" si="262">IF(AO38&lt;&gt;"",SUMPRODUCT((AZ$37:AZ$41=AZ38)*(AU$37:AU$41&gt;AU38)),"")</f>
        <v>0</v>
      </c>
      <c r="BC38" s="191">
        <f t="shared" ref="BC38:BC40" si="263">IF(AO38&lt;&gt;"",SUMPRODUCT((AZ$37:AZ$41=AZ38)*(AU$37:AU$41=AU38)*(AS$37:AS$41&gt;AS38)),"")</f>
        <v>0</v>
      </c>
      <c r="BD38" s="191">
        <f t="shared" ref="BD38:BD40" si="264">IF(AO38&lt;&gt;"",SUMPRODUCT((AZ$37:AZ$41=AZ38)*(AU$37:AU$41=AU38)*(AS$37:AS$41=AS38)*(AW$37:AW$41&gt;AW38)),"")</f>
        <v>0</v>
      </c>
      <c r="BE38" s="191">
        <f t="shared" ref="BE38:BE40" si="265">IF(AO38&lt;&gt;"",SUMPRODUCT((AZ$37:AZ$41=AZ38)*(AU$37:AU$41=AU38)*(AS$37:AS$41=AS38)*(AW$37:AW$41=AW38)*(AX$37:AX$41&gt;AX38)),"")</f>
        <v>0</v>
      </c>
      <c r="BF38" s="191">
        <f t="shared" ref="BF38:BF40" si="266">IF(AO38&lt;&gt;"",SUMPRODUCT((AZ$37:AZ$41=AZ38)*(AU$37:AU$41=AU38)*(AS$37:AS$41=AS38)*(AW$37:AW$41=AW38)*(AX$37:AX$41=AX38)*(AY$37:AY$41&gt;AY38)),"")</f>
        <v>0</v>
      </c>
      <c r="BG38" s="191">
        <f>IF(AO38&lt;&gt;"",IF(BG78&lt;&gt;"",IF(AN$76=3,BG78,BG78+AN$76),SUM(BA38:BF38)+1),"")</f>
        <v>3</v>
      </c>
      <c r="BH38" s="191" t="str">
        <f>IF(AO38&lt;&gt;"",INDEX(AO38:AO41,MATCH(2,BG38:BG41,0),0),"")</f>
        <v>Germany</v>
      </c>
      <c r="CW38" s="191" t="str">
        <f>IF(BH38&lt;&gt;"",BH38,IF(AN38&lt;&gt;"",AN38,N38))</f>
        <v>Germany</v>
      </c>
      <c r="CX38" s="191">
        <v>2</v>
      </c>
      <c r="CY38" s="191">
        <v>36</v>
      </c>
      <c r="CZ38" s="191" t="str">
        <f>Fixtures!G42</f>
        <v>Germany</v>
      </c>
      <c r="DA38" s="191">
        <f>IF(AND(Fixtures!H42&lt;&gt;"",Fixtures!I42&lt;&gt;""),Fixtures!H42,0)</f>
        <v>2</v>
      </c>
      <c r="DB38" s="191">
        <f>IF(AND(Fixtures!I42&lt;&gt;"",Fixtures!H42&lt;&gt;""),Fixtures!I42,0)</f>
        <v>2</v>
      </c>
      <c r="DC38" s="191" t="str">
        <f>Fixtures!J42</f>
        <v>Hungary</v>
      </c>
      <c r="DD38" s="191" t="str">
        <f>IF(AND(Fixtures!H42&lt;&gt;"",Fixtures!I42&lt;&gt;""),IF(DA38&gt;DB38,"W",IF(DA38=DB38,"D","L")),"")</f>
        <v>D</v>
      </c>
      <c r="DE38" s="191" t="str">
        <f t="shared" si="1"/>
        <v>D</v>
      </c>
      <c r="EF38" s="272"/>
      <c r="EG38" s="196"/>
      <c r="EH38" s="197"/>
      <c r="EI38" s="198"/>
      <c r="EJ38" s="197"/>
      <c r="EL38" s="199">
        <v>44369.875</v>
      </c>
      <c r="EM38" s="200">
        <f t="shared" si="51"/>
        <v>44369.875</v>
      </c>
      <c r="EO38" s="209" t="s">
        <v>621</v>
      </c>
      <c r="EP38" s="191">
        <v>-4</v>
      </c>
      <c r="EQ38" s="191" t="s">
        <v>622</v>
      </c>
      <c r="ER38" s="191" t="s">
        <v>623</v>
      </c>
    </row>
    <row r="39" spans="1:148" x14ac:dyDescent="0.35">
      <c r="A39" s="191">
        <f t="shared" si="247"/>
        <v>4</v>
      </c>
      <c r="B39" s="191" t="str">
        <f>'Dummy Table'!EH29</f>
        <v>Hungary</v>
      </c>
      <c r="C39" s="191">
        <f>SUMPRODUCT(($CZ$3:$CZ$42=$B39)*($DD$3:$DD$42="W"))+SUMPRODUCT(($DC$3:$DC$42=$B39)*($DE$3:$DE$42="W"))</f>
        <v>0</v>
      </c>
      <c r="D39" s="191">
        <f>SUMPRODUCT(($CZ$3:$CZ$42=$B39)*($DD$3:$DD$42="D"))+SUMPRODUCT(($DC$3:$DC$42=$B39)*($DE$3:$DE$42="D"))</f>
        <v>2</v>
      </c>
      <c r="E39" s="191">
        <f>SUMPRODUCT(($CZ$3:$CZ$42=$B39)*($DD$3:$DD$42="L"))+SUMPRODUCT(($DC$3:$DC$42=$B39)*($DE$3:$DE$42="L"))</f>
        <v>1</v>
      </c>
      <c r="F39" s="191">
        <f>SUMIF($CZ$3:$CZ$60,B39,$DA$3:$DA$60)+SUMIF($DC$3:$DC$60,B39,$DB$3:$DB$60)</f>
        <v>3</v>
      </c>
      <c r="G39" s="191">
        <f>SUMIF($DC$3:$DC$60,B39,$DA$3:$DA$60)+SUMIF($CZ$3:$CZ$60,B39,$DB$3:$DB$60)</f>
        <v>6</v>
      </c>
      <c r="H39" s="191">
        <f t="shared" si="240"/>
        <v>997</v>
      </c>
      <c r="I39" s="191">
        <f t="shared" si="241"/>
        <v>2</v>
      </c>
      <c r="J39" s="191">
        <v>25</v>
      </c>
      <c r="K39" s="191">
        <f>IF(COUNTIF(I37:I41,4)&lt;&gt;4,RANK(I39,I37:I41),I79)</f>
        <v>4</v>
      </c>
      <c r="M39" s="191">
        <f>SUMPRODUCT((K37:K40=K39)*(J37:J40&lt;J39))+K39</f>
        <v>4</v>
      </c>
      <c r="N39" s="191" t="str">
        <f>INDEX($B$37:$B$41,MATCH(3,$M$37:$M$41,0),0)</f>
        <v>Germany</v>
      </c>
      <c r="O39" s="191">
        <f t="shared" si="248"/>
        <v>2</v>
      </c>
      <c r="P39" s="191" t="str">
        <f>IF(AND(P38&lt;&gt;"",O39=1),N39,"")</f>
        <v/>
      </c>
      <c r="Q39" s="191" t="str">
        <f>IF(AND(Q38&lt;&gt;"",O40=2),N40,"")</f>
        <v/>
      </c>
      <c r="R39" s="191" t="str">
        <f>IF(AND(R38&lt;&gt;"",O41=3),N41,"")</f>
        <v/>
      </c>
      <c r="U39" s="191" t="str">
        <f t="shared" si="249"/>
        <v/>
      </c>
      <c r="V39" s="191">
        <f>SUMPRODUCT(($CZ$3:$CZ$42=$U39)*($DC$3:$DC$42=$U40)*($DD$3:$DD$42="W"))+SUMPRODUCT(($CZ$3:$CZ$42=$U39)*($DC$3:$DC$42=$U41)*($DD$3:$DD$42="W"))+SUMPRODUCT(($CZ$3:$CZ$42=$U39)*($DC$3:$DC$42=$U37)*($DD$3:$DD$42="W"))+SUMPRODUCT(($CZ$3:$CZ$42=$U39)*($DC$3:$DC$42=$U38)*($DD$3:$DD$42="W"))+SUMPRODUCT(($CZ$3:$CZ$42=$U40)*($DC$3:$DC$42=$U39)*($DE$3:$DE$42="W"))+SUMPRODUCT(($CZ$3:$CZ$42=$U41)*($DC$3:$DC$42=$U39)*($DE$3:$DE$42="W"))+SUMPRODUCT(($CZ$3:$CZ$42=$U37)*($DC$3:$DC$42=$U39)*($DE$3:$DE$42="W"))+SUMPRODUCT(($CZ$3:$CZ$42=$U38)*($DC$3:$DC$42=$U39)*($DE$3:$DE$42="W"))</f>
        <v>0</v>
      </c>
      <c r="W39" s="191">
        <f>SUMPRODUCT(($CZ$3:$CZ$42=$U39)*($DC$3:$DC$42=$U40)*($DD$3:$DD$42="D"))+SUMPRODUCT(($CZ$3:$CZ$42=$U39)*($DC$3:$DC$42=$U41)*($DD$3:$DD$42="D"))+SUMPRODUCT(($CZ$3:$CZ$42=$U39)*($DC$3:$DC$42=$U37)*($DD$3:$DD$42="D"))+SUMPRODUCT(($CZ$3:$CZ$42=$U39)*($DC$3:$DC$42=$U38)*($DD$3:$DD$42="D"))+SUMPRODUCT(($CZ$3:$CZ$42=$U40)*($DC$3:$DC$42=$U39)*($DD$3:$DD$42="D"))+SUMPRODUCT(($CZ$3:$CZ$42=$U41)*($DC$3:$DC$42=$U39)*($DD$3:$DD$42="D"))+SUMPRODUCT(($CZ$3:$CZ$42=$U37)*($DC$3:$DC$42=$U39)*($DD$3:$DD$42="D"))+SUMPRODUCT(($CZ$3:$CZ$42=$U38)*($DC$3:$DC$42=$U39)*($DD$3:$DD$42="D"))</f>
        <v>0</v>
      </c>
      <c r="X39" s="191">
        <f>SUMPRODUCT(($CZ$3:$CZ$42=$U39)*($DC$3:$DC$42=$U40)*($DD$3:$DD$42="L"))+SUMPRODUCT(($CZ$3:$CZ$42=$U39)*($DC$3:$DC$42=$U41)*($DD$3:$DD$42="L"))+SUMPRODUCT(($CZ$3:$CZ$42=$U39)*($DC$3:$DC$42=$U37)*($DD$3:$DD$42="L"))+SUMPRODUCT(($CZ$3:$CZ$42=$U39)*($DC$3:$DC$42=$U38)*($DD$3:$DD$42="L"))+SUMPRODUCT(($CZ$3:$CZ$42=$U40)*($DC$3:$DC$42=$U39)*($DE$3:$DE$42="L"))+SUMPRODUCT(($CZ$3:$CZ$42=$U41)*($DC$3:$DC$42=$U39)*($DE$3:$DE$42="L"))+SUMPRODUCT(($CZ$3:$CZ$42=$U37)*($DC$3:$DC$42=$U39)*($DE$3:$DE$42="L"))+SUMPRODUCT(($CZ$3:$CZ$42=$U38)*($DC$3:$DC$42=$U39)*($DE$3:$DE$42="L"))</f>
        <v>0</v>
      </c>
      <c r="Y39" s="191">
        <f>SUMPRODUCT(($CZ$3:$CZ$42=$U39)*($DC$3:$DC$42=$U40)*$DA$3:$DA$42)+SUMPRODUCT(($CZ$3:$CZ$42=$U39)*($DC$3:$DC$42=$U41)*$DA$3:$DA$42)+SUMPRODUCT(($CZ$3:$CZ$42=$U39)*($DC$3:$DC$42=$U37)*$DA$3:$DA$42)+SUMPRODUCT(($CZ$3:$CZ$42=$U39)*($DC$3:$DC$42=$U38)*$DA$3:$DA$42)+SUMPRODUCT(($CZ$3:$CZ$42=$U40)*($DC$3:$DC$42=$U39)*$DB$3:$DB$42)+SUMPRODUCT(($CZ$3:$CZ$42=$U41)*($DC$3:$DC$42=$U39)*$DB$3:$DB$42)+SUMPRODUCT(($CZ$3:$CZ$42=$U37)*($DC$3:$DC$42=$U39)*$DB$3:$DB$42)+SUMPRODUCT(($CZ$3:$CZ$42=$U38)*($DC$3:$DC$42=$U39)*$DB$3:$DB$42)</f>
        <v>0</v>
      </c>
      <c r="Z39" s="191">
        <f>SUMPRODUCT(($CZ$3:$CZ$42=$U39)*($DC$3:$DC$42=$U40)*$DB$3:$DB$42)+SUMPRODUCT(($CZ$3:$CZ$42=$U39)*($DC$3:$DC$42=$U41)*$DB$3:$DB$42)+SUMPRODUCT(($CZ$3:$CZ$42=$U39)*($DC$3:$DC$42=$U37)*$DB$3:$DB$42)+SUMPRODUCT(($CZ$3:$CZ$42=$U39)*($DC$3:$DC$42=$U38)*$DB$3:$DB$42)+SUMPRODUCT(($CZ$3:$CZ$42=$U40)*($DC$3:$DC$42=$U39)*$DA$3:$DA$42)+SUMPRODUCT(($CZ$3:$CZ$42=$U41)*($DC$3:$DC$42=$U39)*$DA$3:$DA$42)+SUMPRODUCT(($CZ$3:$CZ$42=$U37)*($DC$3:$DC$42=$U39)*$DA$3:$DA$42)+SUMPRODUCT(($CZ$3:$CZ$42=$U38)*($DC$3:$DC$42=$U39)*$DA$3:$DA$42)</f>
        <v>0</v>
      </c>
      <c r="AA39" s="191">
        <f>Y39-Z39+1000</f>
        <v>1000</v>
      </c>
      <c r="AB39" s="191" t="str">
        <f t="shared" si="242"/>
        <v/>
      </c>
      <c r="AC39" s="191" t="str">
        <f t="shared" si="243"/>
        <v/>
      </c>
      <c r="AD39" s="191" t="str">
        <f t="shared" si="244"/>
        <v/>
      </c>
      <c r="AE39" s="191" t="str">
        <f t="shared" si="245"/>
        <v/>
      </c>
      <c r="AF39" s="191" t="str">
        <f t="shared" si="246"/>
        <v/>
      </c>
      <c r="AG39" s="191" t="str">
        <f t="shared" si="250"/>
        <v/>
      </c>
      <c r="AH39" s="191" t="str">
        <f t="shared" si="251"/>
        <v/>
      </c>
      <c r="AI39" s="191" t="str">
        <f t="shared" si="252"/>
        <v/>
      </c>
      <c r="AJ39" s="191" t="str">
        <f t="shared" si="253"/>
        <v/>
      </c>
      <c r="AK39" s="191" t="str">
        <f t="shared" si="254"/>
        <v/>
      </c>
      <c r="AL39" s="191" t="str">
        <f t="shared" si="255"/>
        <v/>
      </c>
      <c r="AM39" s="191" t="str">
        <f t="shared" si="256"/>
        <v/>
      </c>
      <c r="AN39" s="191" t="str">
        <f>IF(U39&lt;&gt;"",INDEX($U$37:$U$41,MATCH(3,$AM$37:$AM$41,0),0),"")</f>
        <v/>
      </c>
      <c r="AO39" s="191" t="str">
        <f>IF(Q38&lt;&gt;"",Q38,"")</f>
        <v>Germany</v>
      </c>
      <c r="AP39" s="191">
        <f>SUMPRODUCT(($CZ$3:$CZ$42=$AO39)*($DC$3:$DC$42=$AO40)*($DD$3:$DD$42="W"))+SUMPRODUCT(($CZ$3:$CZ$42=$AO39)*($DC$3:$DC$42=$AO41)*($DD$3:$DD$42="W"))+SUMPRODUCT(($CZ$3:$CZ$42=$AO39)*($DC$3:$DC$42=$AO38)*($DD$3:$DD$42="W"))+SUMPRODUCT(($CZ$3:$CZ$42=$AO40)*($DC$3:$DC$42=$AO39)*($DE$3:$DE$42="W"))+SUMPRODUCT(($CZ$3:$CZ$42=$AO41)*($DC$3:$DC$42=$AO39)*($DE$3:$DE$42="W"))+SUMPRODUCT(($CZ$3:$CZ$42=$AO38)*($DC$3:$DC$42=$AO39)*($DE$3:$DE$42="W"))</f>
        <v>1</v>
      </c>
      <c r="AQ39" s="191">
        <f>SUMPRODUCT(($CZ$3:$CZ$42=$AO39)*($DC$3:$DC$42=$AO40)*($DD$3:$DD$42="D"))+SUMPRODUCT(($CZ$3:$CZ$42=$AO39)*($DC$3:$DC$42=$AO41)*($DD$3:$DD$42="D"))+SUMPRODUCT(($CZ$3:$CZ$42=$AO39)*($DC$3:$DC$42=$AO38)*($DD$3:$DD$42="D"))+SUMPRODUCT(($CZ$3:$CZ$42=$AO40)*($DC$3:$DC$42=$AO39)*($DD$3:$DD$42="D"))+SUMPRODUCT(($CZ$3:$CZ$42=$AO41)*($DC$3:$DC$42=$AO39)*($DD$3:$DD$42="D"))+SUMPRODUCT(($CZ$3:$CZ$42=$AO38)*($DC$3:$DC$42=$AO39)*($DD$3:$DD$42="D"))</f>
        <v>0</v>
      </c>
      <c r="AR39" s="191">
        <f>SUMPRODUCT(($CZ$3:$CZ$42=$AO39)*($DC$3:$DC$42=$AO40)*($DD$3:$DD$42="L"))+SUMPRODUCT(($CZ$3:$CZ$42=$AO39)*($DC$3:$DC$42=$AO41)*($DD$3:$DD$42="L"))+SUMPRODUCT(($CZ$3:$CZ$42=$AO39)*($DC$3:$DC$42=$AO38)*($DD$3:$DD$42="L"))+SUMPRODUCT(($CZ$3:$CZ$42=$AO40)*($DC$3:$DC$42=$AO39)*($DE$3:$DE$42="L"))+SUMPRODUCT(($CZ$3:$CZ$42=$AO41)*($DC$3:$DC$42=$AO39)*($DE$3:$DE$42="L"))+SUMPRODUCT(($CZ$3:$CZ$42=$AO38)*($DC$3:$DC$42=$AO39)*($DE$3:$DE$42="L"))</f>
        <v>0</v>
      </c>
      <c r="AS39" s="191">
        <f>SUMPRODUCT(($CZ$3:$CZ$42=$AO39)*($DC$3:$DC$42=$AO40)*$DA$3:$DA$42)+SUMPRODUCT(($CZ$3:$CZ$42=$AO39)*($DC$3:$DC$42=$AO41)*$DA$3:$DA$42)+SUMPRODUCT(($CZ$3:$CZ$42=$AO39)*($DC$3:$DC$42=$AO37)*$DA$3:$DA$42)+SUMPRODUCT(($CZ$3:$CZ$42=$AO39)*($DC$3:$DC$42=$AO38)*$DA$3:$DA$42)+SUMPRODUCT(($CZ$3:$CZ$42=$AO40)*($DC$3:$DC$42=$AO39)*$DB$3:$DB$42)+SUMPRODUCT(($CZ$3:$CZ$42=$AO41)*($DC$3:$DC$42=$AO39)*$DB$3:$DB$42)+SUMPRODUCT(($CZ$3:$CZ$42=$AO37)*($DC$3:$DC$42=$AO39)*$DB$3:$DB$42)+SUMPRODUCT(($CZ$3:$CZ$42=$AO38)*($DC$3:$DC$42=$AO39)*$DB$3:$DB$42)</f>
        <v>4</v>
      </c>
      <c r="AT39" s="191">
        <f>SUMPRODUCT(($CZ$3:$CZ$42=$AO39)*($DC$3:$DC$42=$AO40)*$DB$3:$DB$42)+SUMPRODUCT(($CZ$3:$CZ$42=$AO39)*($DC$3:$DC$42=$AO41)*$DB$3:$DB$42)+SUMPRODUCT(($CZ$3:$CZ$42=$AO39)*($DC$3:$DC$42=$AO37)*$DB$3:$DB$42)+SUMPRODUCT(($CZ$3:$CZ$42=$AO39)*($DC$3:$DC$42=$AO38)*$DB$3:$DB$42)+SUMPRODUCT(($CZ$3:$CZ$42=$AO40)*($DC$3:$DC$42=$AO39)*$DA$3:$DA$42)+SUMPRODUCT(($CZ$3:$CZ$42=$AO41)*($DC$3:$DC$42=$AO39)*$DA$3:$DA$42)+SUMPRODUCT(($CZ$3:$CZ$42=$AO37)*($DC$3:$DC$42=$AO39)*$DA$3:$DA$42)+SUMPRODUCT(($CZ$3:$CZ$42=$AO38)*($DC$3:$DC$42=$AO39)*$DA$3:$DA$42)</f>
        <v>2</v>
      </c>
      <c r="AU39" s="191">
        <f>AS39-AT39+1000</f>
        <v>1002</v>
      </c>
      <c r="AV39" s="191">
        <f t="shared" si="257"/>
        <v>3</v>
      </c>
      <c r="AW39" s="191">
        <f t="shared" si="258"/>
        <v>1001</v>
      </c>
      <c r="AX39" s="191">
        <f t="shared" si="259"/>
        <v>6</v>
      </c>
      <c r="AY39" s="191">
        <f t="shared" si="260"/>
        <v>52</v>
      </c>
      <c r="AZ39" s="191">
        <f t="shared" si="261"/>
        <v>3</v>
      </c>
      <c r="BA39" s="191">
        <f t="shared" ref="BA39:BA40" si="267">IF(AO39&lt;&gt;"",RANK(AZ39,AZ$37:AZ$40),"")</f>
        <v>1</v>
      </c>
      <c r="BB39" s="191">
        <f t="shared" si="262"/>
        <v>0</v>
      </c>
      <c r="BC39" s="191">
        <f t="shared" si="263"/>
        <v>0</v>
      </c>
      <c r="BD39" s="191">
        <f t="shared" si="264"/>
        <v>0</v>
      </c>
      <c r="BE39" s="191">
        <f t="shared" si="265"/>
        <v>0</v>
      </c>
      <c r="BF39" s="191">
        <f t="shared" si="266"/>
        <v>0</v>
      </c>
      <c r="BG39" s="191">
        <f t="shared" ref="BG39:BG40" si="268">IF(AO39&lt;&gt;"",IF(BG79&lt;&gt;"",IF(AN$76=3,BG79,BG79+AN$76),SUM(BA39:BF39)+1),"")</f>
        <v>2</v>
      </c>
      <c r="BH39" s="191" t="str">
        <f>IF(AO39&lt;&gt;"",INDEX(AO38:AO41,MATCH(3,BG38:BG41,0),0),"")</f>
        <v>Portugal</v>
      </c>
      <c r="BI39" s="191" t="str">
        <f>IF(R37&lt;&gt;"",R37,"")</f>
        <v/>
      </c>
      <c r="BJ39" s="191">
        <f>SUMPRODUCT(($CZ$3:$CZ$42=$BI39)*($DC$3:$DC$42=$BI40)*($DD$3:$DD$42="W"))+SUMPRODUCT(($CZ$3:$CZ$42=$BI39)*($DC$3:$DC$42=$BI41)*($DD$3:$DD$42="W"))+SUMPRODUCT(($CZ$3:$CZ$42=$BI39)*($DC$3:$DC$42=$BI42)*($DD$3:$DD$42="W"))+SUMPRODUCT(($CZ$3:$CZ$42=$BI40)*($DC$3:$DC$42=$BI39)*($DE$3:$DE$42="W"))+SUMPRODUCT(($CZ$3:$CZ$42=$BI41)*($DC$3:$DC$42=$BI39)*($DE$3:$DE$42="W"))+SUMPRODUCT(($CZ$3:$CZ$42=$BI42)*($DC$3:$DC$42=$BI39)*($DE$3:$DE$42="W"))</f>
        <v>0</v>
      </c>
      <c r="BK39" s="191">
        <f>SUMPRODUCT(($CZ$3:$CZ$42=$BI39)*($DC$3:$DC$42=$BI40)*($DD$3:$DD$42="D"))+SUMPRODUCT(($CZ$3:$CZ$42=$BI39)*($DC$3:$DC$42=$BI41)*($DD$3:$DD$42="D"))+SUMPRODUCT(($CZ$3:$CZ$42=$BI39)*($DC$3:$DC$42=$BI42)*($DD$3:$DD$42="D"))+SUMPRODUCT(($CZ$3:$CZ$42=$BI40)*($DC$3:$DC$42=$BI39)*($DD$3:$DD$42="D"))+SUMPRODUCT(($CZ$3:$CZ$42=$BI41)*($DC$3:$DC$42=$BI39)*($DD$3:$DD$42="D"))+SUMPRODUCT(($CZ$3:$CZ$42=$BI42)*($DC$3:$DC$42=$BI39)*($DD$3:$DD$42="D"))</f>
        <v>0</v>
      </c>
      <c r="BL39" s="191">
        <f>SUMPRODUCT(($CZ$3:$CZ$42=$BI39)*($DC$3:$DC$42=$BI40)*($DD$3:$DD$42="L"))+SUMPRODUCT(($CZ$3:$CZ$42=$BI39)*($DC$3:$DC$42=$BI41)*($DD$3:$DD$42="L"))+SUMPRODUCT(($CZ$3:$CZ$42=$BI39)*($DC$3:$DC$42=$BI42)*($DD$3:$DD$42="L"))+SUMPRODUCT(($CZ$3:$CZ$42=$BI40)*($DC$3:$DC$42=$BI39)*($DE$3:$DE$42="L"))+SUMPRODUCT(($CZ$3:$CZ$42=$BI41)*($DC$3:$DC$42=$BI39)*($DE$3:$DE$42="L"))+SUMPRODUCT(($CZ$3:$CZ$42=$BI42)*($DC$3:$DC$42=$BI39)*($DE$3:$DE$42="L"))</f>
        <v>0</v>
      </c>
      <c r="BM39" s="191">
        <f>SUMPRODUCT(($CZ$3:$CZ$42=$BI39)*($DC$3:$DC$42=$BI40)*$DA$3:$DA$42)+SUMPRODUCT(($CZ$3:$CZ$42=$BI39)*($DC$3:$DC$42=$BI41)*$DA$3:$DA$42)+SUMPRODUCT(($CZ$3:$CZ$42=$BI39)*($DC$3:$DC$42=$BI37)*$DA$3:$DA$42)+SUMPRODUCT(($CZ$3:$CZ$42=$BI39)*($DC$3:$DC$42=$BI38)*$DA$3:$DA$42)+SUMPRODUCT(($CZ$3:$CZ$42=$BI40)*($DC$3:$DC$42=$BI39)*$DB$3:$DB$42)+SUMPRODUCT(($CZ$3:$CZ$42=$BI41)*($DC$3:$DC$42=$BI39)*$DB$3:$DB$42)+SUMPRODUCT(($CZ$3:$CZ$42=$BI37)*($DC$3:$DC$42=$BI39)*$DB$3:$DB$42)+SUMPRODUCT(($CZ$3:$CZ$42=$BI38)*($DC$3:$DC$42=$BI39)*$DB$3:$DB$42)</f>
        <v>0</v>
      </c>
      <c r="BN39" s="191">
        <f>SUMPRODUCT(($CZ$3:$CZ$42=$BI39)*($DC$3:$DC$42=$BI40)*$DB$3:$DB$42)+SUMPRODUCT(($CZ$3:$CZ$42=$BI39)*($DC$3:$DC$42=$BI41)*$DB$3:$DB$42)+SUMPRODUCT(($CZ$3:$CZ$42=$BI39)*($DC$3:$DC$42=$BI37)*$DB$3:$DB$42)+SUMPRODUCT(($CZ$3:$CZ$42=$BI39)*($DC$3:$DC$42=$BI38)*$DB$3:$DB$42)+SUMPRODUCT(($CZ$3:$CZ$42=$BI40)*($DC$3:$DC$42=$BI39)*$DA$3:$DA$42)+SUMPRODUCT(($CZ$3:$CZ$42=$BI41)*($DC$3:$DC$42=$BI39)*$DA$3:$DA$42)+SUMPRODUCT(($CZ$3:$CZ$42=$BI37)*($DC$3:$DC$42=$BI39)*$DA$3:$DA$42)+SUMPRODUCT(($CZ$3:$CZ$42=$BI38)*($DC$3:$DC$42=$BI39)*$DA$3:$DA$42)</f>
        <v>0</v>
      </c>
      <c r="BO39" s="191">
        <f>BM39-BN39+1000</f>
        <v>1000</v>
      </c>
      <c r="BP39" s="191" t="str">
        <f t="shared" ref="BP39:BP40" si="269">IF(BI39&lt;&gt;"",BJ39*3+BK39*1,"")</f>
        <v/>
      </c>
      <c r="BQ39" s="191" t="str">
        <f t="shared" ref="BQ39:BQ40" si="270">IF(BI39&lt;&gt;"",VLOOKUP(BI39,$B$4:$H$40,7,FALSE),"")</f>
        <v/>
      </c>
      <c r="BR39" s="191" t="str">
        <f t="shared" ref="BR39:BR40" si="271">IF(BI39&lt;&gt;"",VLOOKUP(BI39,$B$4:$H$40,5,FALSE),"")</f>
        <v/>
      </c>
      <c r="BS39" s="191" t="str">
        <f t="shared" ref="BS39:BS40" si="272">IF(BI39&lt;&gt;"",VLOOKUP(BI39,$B$4:$J$40,9,FALSE),"")</f>
        <v/>
      </c>
      <c r="BT39" s="191" t="str">
        <f t="shared" ref="BT39:BT40" si="273">BP39</f>
        <v/>
      </c>
      <c r="BU39" s="191" t="str">
        <f>IF(BI39&lt;&gt;"",RANK(BT39,$BT$38:$BT$40),"")</f>
        <v/>
      </c>
      <c r="BV39" s="191" t="str">
        <f t="shared" ref="BV39:BV40" si="274">IF(BI39&lt;&gt;"",SUMPRODUCT((BT$37:BT$41=BT39)*(BO$37:BO$41&gt;BO39)),"")</f>
        <v/>
      </c>
      <c r="BW39" s="191" t="str">
        <f t="shared" ref="BW39:BW40" si="275">IF(BI39&lt;&gt;"",SUMPRODUCT((BT$37:BT$41=BT39)*(BO$37:BO$41=BO39)*(BM$37:BM$41&gt;BM39)),"")</f>
        <v/>
      </c>
      <c r="BX39" s="191" t="str">
        <f t="shared" ref="BX39:BX40" si="276">IF(BI39&lt;&gt;"",SUMPRODUCT((BT$37:BT$41=BT39)*(BO$37:BO$41=BO39)*(BM$37:BM$41=BM39)*(BQ$37:BQ$41&gt;BQ39)),"")</f>
        <v/>
      </c>
      <c r="BY39" s="191" t="str">
        <f t="shared" ref="BY39:BY40" si="277">IF(BI39&lt;&gt;"",SUMPRODUCT((BT$37:BT$41=BT39)*(BO$37:BO$41=BO39)*(BM$37:BM$41=BM39)*(BQ$37:BQ$41=BQ39)*(BR$37:BR$41&gt;BR39)),"")</f>
        <v/>
      </c>
      <c r="BZ39" s="191" t="str">
        <f t="shared" ref="BZ39:BZ40" si="278">IF(BI39&lt;&gt;"",SUMPRODUCT((BT$37:BT$41=BT39)*(BO$37:BO$41=BO39)*(BM$37:BM$41=BM39)*(BQ$37:BQ$41=BQ39)*(BR$37:BR$41=BR39)*(BS$37:BS$41&gt;BS39)),"")</f>
        <v/>
      </c>
      <c r="CA39" s="191" t="str">
        <f>IF(BI39&lt;&gt;"",SUM(BU39:BZ39)+2,"")</f>
        <v/>
      </c>
      <c r="CB39" s="191" t="str">
        <f>IF(BI39&lt;&gt;"",INDEX(BI39:BI41,MATCH(3,CA39:CA41,0),0),"")</f>
        <v/>
      </c>
      <c r="CW39" s="191" t="str">
        <f>IF(CB39&lt;&gt;"",CB39,IF(BH39&lt;&gt;"",BH39,IF(AN39&lt;&gt;"",AN39,N39)))</f>
        <v>Portugal</v>
      </c>
      <c r="CX39" s="191">
        <v>3</v>
      </c>
      <c r="EL39" s="199">
        <v>44370.75</v>
      </c>
      <c r="EM39" s="200">
        <f t="shared" si="51"/>
        <v>44370.75</v>
      </c>
      <c r="EO39" s="209" t="s">
        <v>624</v>
      </c>
      <c r="EP39" s="191">
        <v>-3.5</v>
      </c>
      <c r="EQ39" s="191" t="s">
        <v>625</v>
      </c>
      <c r="ER39" s="191" t="s">
        <v>626</v>
      </c>
    </row>
    <row r="40" spans="1:148" x14ac:dyDescent="0.35">
      <c r="A40" s="191">
        <f t="shared" si="247"/>
        <v>3</v>
      </c>
      <c r="B40" s="191" t="str">
        <f>'Dummy Table'!EH30</f>
        <v>Portugal</v>
      </c>
      <c r="C40" s="191">
        <f>SUMPRODUCT(($CZ$3:$CZ$42=$B40)*($DD$3:$DD$42="W"))+SUMPRODUCT(($DC$3:$DC$42=$B40)*($DE$3:$DE$42="W"))</f>
        <v>1</v>
      </c>
      <c r="D40" s="191">
        <f>SUMPRODUCT(($CZ$3:$CZ$42=$B40)*($DD$3:$DD$42="D"))+SUMPRODUCT(($DC$3:$DC$42=$B40)*($DE$3:$DE$42="D"))</f>
        <v>1</v>
      </c>
      <c r="E40" s="191">
        <f>SUMPRODUCT(($CZ$3:$CZ$42=$B40)*($DD$3:$DD$42="L"))+SUMPRODUCT(($DC$3:$DC$42=$B40)*($DE$3:$DE$42="L"))</f>
        <v>1</v>
      </c>
      <c r="F40" s="191">
        <f>SUMIF($CZ$3:$CZ$60,B40,$DA$3:$DA$60)+SUMIF($DC$3:$DC$60,B40,$DB$3:$DB$60)</f>
        <v>7</v>
      </c>
      <c r="G40" s="191">
        <f>SUMIF($DC$3:$DC$60,B40,$DA$3:$DA$60)+SUMIF($CZ$3:$CZ$60,B40,$DB$3:$DB$60)</f>
        <v>6</v>
      </c>
      <c r="H40" s="191">
        <f t="shared" si="240"/>
        <v>1001</v>
      </c>
      <c r="I40" s="191">
        <f t="shared" si="241"/>
        <v>4</v>
      </c>
      <c r="J40" s="191">
        <v>43</v>
      </c>
      <c r="K40" s="191">
        <f>IF(COUNTIF(I37:I41,4)&lt;&gt;4,RANK(I40,I37:I41),I80)</f>
        <v>2</v>
      </c>
      <c r="M40" s="191">
        <f>SUMPRODUCT((K37:K40=K40)*(J37:J40&lt;J40))+K40</f>
        <v>2</v>
      </c>
      <c r="N40" s="191" t="str">
        <f>INDEX($B$37:$B$41,MATCH(4,$M$37:$M$41,0),0)</f>
        <v>Hungary</v>
      </c>
      <c r="O40" s="191">
        <f t="shared" si="248"/>
        <v>4</v>
      </c>
      <c r="P40" s="191" t="str">
        <f>IF(AND(P39&lt;&gt;"",O40=1),N40,"")</f>
        <v/>
      </c>
      <c r="Q40" s="191" t="str">
        <f>IF(AND(Q39&lt;&gt;"",O41=2),N41,"")</f>
        <v/>
      </c>
      <c r="U40" s="191" t="str">
        <f t="shared" si="249"/>
        <v/>
      </c>
      <c r="V40" s="191">
        <f>SUMPRODUCT(($CZ$3:$CZ$42=$U40)*($DC$3:$DC$42=$U41)*($DD$3:$DD$42="W"))+SUMPRODUCT(($CZ$3:$CZ$42=$U40)*($DC$3:$DC$42=$U37)*($DD$3:$DD$42="W"))+SUMPRODUCT(($CZ$3:$CZ$42=$U40)*($DC$3:$DC$42=$U38)*($DD$3:$DD$42="W"))+SUMPRODUCT(($CZ$3:$CZ$42=$U40)*($DC$3:$DC$42=$U39)*($DD$3:$DD$42="W"))+SUMPRODUCT(($CZ$3:$CZ$42=$U41)*($DC$3:$DC$42=$U40)*($DE$3:$DE$42="W"))+SUMPRODUCT(($CZ$3:$CZ$42=$U37)*($DC$3:$DC$42=$U40)*($DE$3:$DE$42="W"))+SUMPRODUCT(($CZ$3:$CZ$42=$U38)*($DC$3:$DC$42=$U40)*($DE$3:$DE$42="W"))+SUMPRODUCT(($CZ$3:$CZ$42=$U39)*($DC$3:$DC$42=$U40)*($DE$3:$DE$42="W"))</f>
        <v>0</v>
      </c>
      <c r="W40" s="191">
        <f>SUMPRODUCT(($CZ$3:$CZ$42=$U40)*($DC$3:$DC$42=$U41)*($DD$3:$DD$42="D"))+SUMPRODUCT(($CZ$3:$CZ$42=$U40)*($DC$3:$DC$42=$U37)*($DD$3:$DD$42="D"))+SUMPRODUCT(($CZ$3:$CZ$42=$U40)*($DC$3:$DC$42=$U38)*($DD$3:$DD$42="D"))+SUMPRODUCT(($CZ$3:$CZ$42=$U40)*($DC$3:$DC$42=$U39)*($DD$3:$DD$42="D"))+SUMPRODUCT(($CZ$3:$CZ$42=$U41)*($DC$3:$DC$42=$U40)*($DD$3:$DD$42="D"))+SUMPRODUCT(($CZ$3:$CZ$42=$U37)*($DC$3:$DC$42=$U40)*($DD$3:$DD$42="D"))+SUMPRODUCT(($CZ$3:$CZ$42=$U38)*($DC$3:$DC$42=$U40)*($DD$3:$DD$42="D"))+SUMPRODUCT(($CZ$3:$CZ$42=$U39)*($DC$3:$DC$42=$U40)*($DD$3:$DD$42="D"))</f>
        <v>0</v>
      </c>
      <c r="X40" s="191">
        <f>SUMPRODUCT(($CZ$3:$CZ$42=$U40)*($DC$3:$DC$42=$U41)*($DD$3:$DD$42="L"))+SUMPRODUCT(($CZ$3:$CZ$42=$U40)*($DC$3:$DC$42=$U37)*($DD$3:$DD$42="L"))+SUMPRODUCT(($CZ$3:$CZ$42=$U40)*($DC$3:$DC$42=$U38)*($DD$3:$DD$42="L"))+SUMPRODUCT(($CZ$3:$CZ$42=$U40)*($DC$3:$DC$42=$U39)*($DD$3:$DD$42="L"))+SUMPRODUCT(($CZ$3:$CZ$42=$U41)*($DC$3:$DC$42=$U40)*($DE$3:$DE$42="L"))+SUMPRODUCT(($CZ$3:$CZ$42=$U37)*($DC$3:$DC$42=$U40)*($DE$3:$DE$42="L"))+SUMPRODUCT(($CZ$3:$CZ$42=$U38)*($DC$3:$DC$42=$U40)*($DE$3:$DE$42="L"))+SUMPRODUCT(($CZ$3:$CZ$42=$U39)*($DC$3:$DC$42=$U40)*($DE$3:$DE$42="L"))</f>
        <v>0</v>
      </c>
      <c r="Y40" s="191">
        <f>SUMPRODUCT(($CZ$3:$CZ$42=$U40)*($DC$3:$DC$42=$U41)*$DA$3:$DA$42)+SUMPRODUCT(($CZ$3:$CZ$42=$U40)*($DC$3:$DC$42=$U37)*$DA$3:$DA$42)+SUMPRODUCT(($CZ$3:$CZ$42=$U40)*($DC$3:$DC$42=$U38)*$DA$3:$DA$42)+SUMPRODUCT(($CZ$3:$CZ$42=$U40)*($DC$3:$DC$42=$U39)*$DA$3:$DA$42)+SUMPRODUCT(($CZ$3:$CZ$42=$U41)*($DC$3:$DC$42=$U40)*$DB$3:$DB$42)+SUMPRODUCT(($CZ$3:$CZ$42=$U37)*($DC$3:$DC$42=$U40)*$DB$3:$DB$42)+SUMPRODUCT(($CZ$3:$CZ$42=$U38)*($DC$3:$DC$42=$U40)*$DB$3:$DB$42)+SUMPRODUCT(($CZ$3:$CZ$42=$U39)*($DC$3:$DC$42=$U40)*$DB$3:$DB$42)</f>
        <v>0</v>
      </c>
      <c r="Z40" s="191">
        <f>SUMPRODUCT(($CZ$3:$CZ$42=$U40)*($DC$3:$DC$42=$U41)*$DB$3:$DB$42)+SUMPRODUCT(($CZ$3:$CZ$42=$U40)*($DC$3:$DC$42=$U37)*$DB$3:$DB$42)+SUMPRODUCT(($CZ$3:$CZ$42=$U40)*($DC$3:$DC$42=$U38)*$DB$3:$DB$42)+SUMPRODUCT(($CZ$3:$CZ$42=$U40)*($DC$3:$DC$42=$U39)*$DB$3:$DB$42)+SUMPRODUCT(($CZ$3:$CZ$42=$U41)*($DC$3:$DC$42=$U40)*$DA$3:$DA$42)+SUMPRODUCT(($CZ$3:$CZ$42=$U37)*($DC$3:$DC$42=$U40)*$DA$3:$DA$42)+SUMPRODUCT(($CZ$3:$CZ$42=$U38)*($DC$3:$DC$42=$U40)*$DA$3:$DA$42)+SUMPRODUCT(($CZ$3:$CZ$42=$U39)*($DC$3:$DC$42=$U40)*$DA$3:$DA$42)</f>
        <v>0</v>
      </c>
      <c r="AA40" s="191">
        <f>Y40-Z40+1000</f>
        <v>1000</v>
      </c>
      <c r="AB40" s="191" t="str">
        <f t="shared" si="242"/>
        <v/>
      </c>
      <c r="AC40" s="191" t="str">
        <f t="shared" si="243"/>
        <v/>
      </c>
      <c r="AD40" s="191" t="str">
        <f t="shared" si="244"/>
        <v/>
      </c>
      <c r="AE40" s="191" t="str">
        <f t="shared" si="245"/>
        <v/>
      </c>
      <c r="AF40" s="191" t="str">
        <f t="shared" si="246"/>
        <v/>
      </c>
      <c r="AG40" s="191" t="str">
        <f t="shared" si="250"/>
        <v/>
      </c>
      <c r="AH40" s="191" t="str">
        <f t="shared" si="251"/>
        <v/>
      </c>
      <c r="AI40" s="191" t="str">
        <f t="shared" si="252"/>
        <v/>
      </c>
      <c r="AJ40" s="191" t="str">
        <f t="shared" si="253"/>
        <v/>
      </c>
      <c r="AK40" s="191" t="str">
        <f t="shared" si="254"/>
        <v/>
      </c>
      <c r="AL40" s="191" t="str">
        <f t="shared" si="255"/>
        <v/>
      </c>
      <c r="AM40" s="191" t="str">
        <f t="shared" si="256"/>
        <v/>
      </c>
      <c r="AN40" s="191" t="str">
        <f>IF(U40&lt;&gt;"",INDEX($U$37:$U$41,MATCH(4,$AM$37:$AM$41,0),0),"")</f>
        <v/>
      </c>
      <c r="AO40" s="191" t="str">
        <f>IF(Q39&lt;&gt;"",Q39,"")</f>
        <v/>
      </c>
      <c r="AP40" s="191" t="str">
        <f>IF($AO40&lt;&gt;"",SUMPRODUCT(($CZ$3:$CZ$42=$AO40)*($DC$3:$DC$42=$AO41)*($DD$3:$DD$42="W"))+SUMPRODUCT(($CZ$3:$CZ$42=$AO40)*($DC$3:$DC$42=$AO38)*($DD$3:$DD$42="W"))+SUMPRODUCT(($CZ$3:$CZ$42=$AO40)*($DC$3:$DC$42=$AO39)*($DD$3:$DD$42="W"))+SUMPRODUCT(($CZ$3:$CZ$42=$AO41)*($DC$3:$DC$42=$AO40)*($DE$3:$DE$42="W"))+SUMPRODUCT(($CZ$3:$CZ$42=$AO38)*($DC$3:$DC$42=$AO40)*($DE$3:$DE$42="W"))+SUMPRODUCT(($CZ$3:$CZ$42=$AO39)*($DC$3:$DC$42=$AO40)*($DE$3:$DE$42="W")),"")</f>
        <v/>
      </c>
      <c r="AQ40" s="191" t="str">
        <f>IF($AO40&lt;&gt;"",SUMPRODUCT(($CZ$3:$CZ$42=$AO40)*($DC$3:$DC$42=$AO41)*($DD$3:$DD$42="D"))+SUMPRODUCT(($CZ$3:$CZ$42=$AO40)*($DC$3:$DC$42=$AO38)*($DD$3:$DD$42="D"))+SUMPRODUCT(($CZ$3:$CZ$42=$AO40)*($DC$3:$DC$42=$AO39)*($DD$3:$DD$42="D"))+SUMPRODUCT(($CZ$3:$CZ$42=$AO41)*($DC$3:$DC$42=$AO40)*($DD$3:$DD$42="D"))+SUMPRODUCT(($CZ$3:$CZ$42=$AO38)*($DC$3:$DC$42=$AO40)*($DD$3:$DD$42="D"))+SUMPRODUCT(($CZ$3:$CZ$42=$AO39)*($DC$3:$DC$42=$AO40)*($DD$3:$DD$42="D")),"")</f>
        <v/>
      </c>
      <c r="AR40" s="191" t="str">
        <f>IF($AO40&lt;&gt;"",SUMPRODUCT(($CZ$3:$CZ$42=$AO40)*($DC$3:$DC$42=$AO41)*($DD$3:$DD$42="L"))+SUMPRODUCT(($CZ$3:$CZ$42=$AO40)*($DC$3:$DC$42=$AO38)*($DD$3:$DD$42="L"))+SUMPRODUCT(($CZ$3:$CZ$42=$AO40)*($DC$3:$DC$42=$AO39)*($DD$3:$DD$42="L"))+SUMPRODUCT(($CZ$3:$CZ$42=$AO41)*($DC$3:$DC$42=$AO40)*($DE$3:$DE$42="L"))+SUMPRODUCT(($CZ$3:$CZ$42=$AO38)*($DC$3:$DC$42=$AO40)*($DE$3:$DE$42="L"))+SUMPRODUCT(($CZ$3:$CZ$42=$AO39)*($DC$3:$DC$42=$AO40)*($DE$3:$DE$42="L")),"")</f>
        <v/>
      </c>
      <c r="AS40" s="191">
        <f>SUMPRODUCT(($CZ$3:$CZ$42=$AO40)*($DC$3:$DC$42=$AO41)*$DA$3:$DA$42)+SUMPRODUCT(($CZ$3:$CZ$42=$AO40)*($DC$3:$DC$42=$AO37)*$DA$3:$DA$42)+SUMPRODUCT(($CZ$3:$CZ$42=$AO40)*($DC$3:$DC$42=$AO38)*$DA$3:$DA$42)+SUMPRODUCT(($CZ$3:$CZ$42=$AO40)*($DC$3:$DC$42=$AO39)*$DA$3:$DA$42)+SUMPRODUCT(($CZ$3:$CZ$42=$AO41)*($DC$3:$DC$42=$AO40)*$DB$3:$DB$42)+SUMPRODUCT(($CZ$3:$CZ$42=$AO37)*($DC$3:$DC$42=$AO40)*$DB$3:$DB$42)+SUMPRODUCT(($CZ$3:$CZ$42=$AO38)*($DC$3:$DC$42=$AO40)*$DB$3:$DB$42)+SUMPRODUCT(($CZ$3:$CZ$42=$AO39)*($DC$3:$DC$42=$AO40)*$DB$3:$DB$42)</f>
        <v>0</v>
      </c>
      <c r="AT40" s="191">
        <f>SUMPRODUCT(($CZ$3:$CZ$42=$AO40)*($DC$3:$DC$42=$AO41)*$DB$3:$DB$42)+SUMPRODUCT(($CZ$3:$CZ$42=$AO40)*($DC$3:$DC$42=$AO37)*$DB$3:$DB$42)+SUMPRODUCT(($CZ$3:$CZ$42=$AO40)*($DC$3:$DC$42=$AO38)*$DB$3:$DB$42)+SUMPRODUCT(($CZ$3:$CZ$42=$AO40)*($DC$3:$DC$42=$AO39)*$DB$3:$DB$42)+SUMPRODUCT(($CZ$3:$CZ$42=$AO41)*($DC$3:$DC$42=$AO40)*$DA$3:$DA$42)+SUMPRODUCT(($CZ$3:$CZ$42=$AO37)*($DC$3:$DC$42=$AO40)*$DA$3:$DA$42)+SUMPRODUCT(($CZ$3:$CZ$42=$AO38)*($DC$3:$DC$42=$AO40)*$DA$3:$DA$42)+SUMPRODUCT(($CZ$3:$CZ$42=$AO39)*($DC$3:$DC$42=$AO40)*$DA$3:$DA$42)</f>
        <v>0</v>
      </c>
      <c r="AU40" s="191">
        <f>AS40-AT40+1000</f>
        <v>1000</v>
      </c>
      <c r="AV40" s="191" t="str">
        <f t="shared" si="257"/>
        <v/>
      </c>
      <c r="AW40" s="191" t="str">
        <f t="shared" si="258"/>
        <v/>
      </c>
      <c r="AX40" s="191" t="str">
        <f t="shared" si="259"/>
        <v/>
      </c>
      <c r="AY40" s="191" t="str">
        <f t="shared" si="260"/>
        <v/>
      </c>
      <c r="AZ40" s="191" t="str">
        <f t="shared" si="261"/>
        <v/>
      </c>
      <c r="BA40" s="191" t="str">
        <f t="shared" si="267"/>
        <v/>
      </c>
      <c r="BB40" s="191" t="str">
        <f t="shared" si="262"/>
        <v/>
      </c>
      <c r="BC40" s="191" t="str">
        <f t="shared" si="263"/>
        <v/>
      </c>
      <c r="BD40" s="191" t="str">
        <f t="shared" si="264"/>
        <v/>
      </c>
      <c r="BE40" s="191" t="str">
        <f t="shared" si="265"/>
        <v/>
      </c>
      <c r="BF40" s="191" t="str">
        <f t="shared" si="266"/>
        <v/>
      </c>
      <c r="BG40" s="191" t="str">
        <f t="shared" si="268"/>
        <v/>
      </c>
      <c r="BH40" s="191" t="str">
        <f>IF(AO40&lt;&gt;"",INDEX(AO38:AO41,MATCH(4,BG38:BG41,0),0),"")</f>
        <v/>
      </c>
      <c r="BI40" s="191" t="str">
        <f>IF(R38&lt;&gt;"",R38,"")</f>
        <v/>
      </c>
      <c r="BJ40" s="191">
        <f>SUMPRODUCT(($CZ$3:$CZ$42=$BI40)*($DC$3:$DC$42=$BI41)*($DD$3:$DD$42="W"))+SUMPRODUCT(($CZ$3:$CZ$42=$BI40)*($DC$3:$DC$42=$BI42)*($DD$3:$DD$42="W"))+SUMPRODUCT(($CZ$3:$CZ$42=$BI40)*($DC$3:$DC$42=$BI39)*($DD$3:$DD$42="W"))+SUMPRODUCT(($CZ$3:$CZ$42=$BI41)*($DC$3:$DC$42=$BI40)*($DE$3:$DE$42="W"))+SUMPRODUCT(($CZ$3:$CZ$42=$BI42)*($DC$3:$DC$42=$BI40)*($DE$3:$DE$42="W"))+SUMPRODUCT(($CZ$3:$CZ$42=$BI39)*($DC$3:$DC$42=$BI40)*($DE$3:$DE$42="W"))</f>
        <v>0</v>
      </c>
      <c r="BK40" s="191">
        <f>SUMPRODUCT(($CZ$3:$CZ$42=$BI40)*($DC$3:$DC$42=$BI41)*($DD$3:$DD$42="D"))+SUMPRODUCT(($CZ$3:$CZ$42=$BI40)*($DC$3:$DC$42=$BI42)*($DD$3:$DD$42="D"))+SUMPRODUCT(($CZ$3:$CZ$42=$BI40)*($DC$3:$DC$42=$BI39)*($DD$3:$DD$42="D"))+SUMPRODUCT(($CZ$3:$CZ$42=$BI41)*($DC$3:$DC$42=$BI40)*($DD$3:$DD$42="D"))+SUMPRODUCT(($CZ$3:$CZ$42=$BI42)*($DC$3:$DC$42=$BI40)*($DD$3:$DD$42="D"))+SUMPRODUCT(($CZ$3:$CZ$42=$BI39)*($DC$3:$DC$42=$BI40)*($DD$3:$DD$42="D"))</f>
        <v>0</v>
      </c>
      <c r="BL40" s="191">
        <f>SUMPRODUCT(($CZ$3:$CZ$42=$BI40)*($DC$3:$DC$42=$BI41)*($DD$3:$DD$42="L"))+SUMPRODUCT(($CZ$3:$CZ$42=$BI40)*($DC$3:$DC$42=$BI42)*($DD$3:$DD$42="L"))+SUMPRODUCT(($CZ$3:$CZ$42=$BI40)*($DC$3:$DC$42=$BI39)*($DD$3:$DD$42="L"))+SUMPRODUCT(($CZ$3:$CZ$42=$BI41)*($DC$3:$DC$42=$BI40)*($DE$3:$DE$42="L"))+SUMPRODUCT(($CZ$3:$CZ$42=$BI42)*($DC$3:$DC$42=$BI40)*($DE$3:$DE$42="L"))+SUMPRODUCT(($CZ$3:$CZ$42=$BI39)*($DC$3:$DC$42=$BI40)*($DE$3:$DE$42="L"))</f>
        <v>0</v>
      </c>
      <c r="BM40" s="191">
        <f>SUMPRODUCT(($CZ$3:$CZ$42=$BI40)*($DC$3:$DC$42=$BI41)*$DA$3:$DA$42)+SUMPRODUCT(($CZ$3:$CZ$42=$BI40)*($DC$3:$DC$42=$BI37)*$DA$3:$DA$42)+SUMPRODUCT(($CZ$3:$CZ$42=$BI40)*($DC$3:$DC$42=$BI38)*$DA$3:$DA$42)+SUMPRODUCT(($CZ$3:$CZ$42=$BI40)*($DC$3:$DC$42=$BI39)*$DA$3:$DA$42)+SUMPRODUCT(($CZ$3:$CZ$42=$BI41)*($DC$3:$DC$42=$BI40)*$DB$3:$DB$42)+SUMPRODUCT(($CZ$3:$CZ$42=$BI37)*($DC$3:$DC$42=$BI40)*$DB$3:$DB$42)+SUMPRODUCT(($CZ$3:$CZ$42=$BI38)*($DC$3:$DC$42=$BI40)*$DB$3:$DB$42)+SUMPRODUCT(($CZ$3:$CZ$42=$BI39)*($DC$3:$DC$42=$BI40)*$DB$3:$DB$42)</f>
        <v>0</v>
      </c>
      <c r="BN40" s="191">
        <f>SUMPRODUCT(($CZ$3:$CZ$42=$BI40)*($DC$3:$DC$42=$BI41)*$DB$3:$DB$42)+SUMPRODUCT(($CZ$3:$CZ$42=$BI40)*($DC$3:$DC$42=$BI37)*$DB$3:$DB$42)+SUMPRODUCT(($CZ$3:$CZ$42=$BI40)*($DC$3:$DC$42=$BI38)*$DB$3:$DB$42)+SUMPRODUCT(($CZ$3:$CZ$42=$BI40)*($DC$3:$DC$42=$BI39)*$DB$3:$DB$42)+SUMPRODUCT(($CZ$3:$CZ$42=$BI41)*($DC$3:$DC$42=$BI40)*$DA$3:$DA$42)+SUMPRODUCT(($CZ$3:$CZ$42=$BI37)*($DC$3:$DC$42=$BI40)*$DA$3:$DA$42)+SUMPRODUCT(($CZ$3:$CZ$42=$BI38)*($DC$3:$DC$42=$BI40)*$DA$3:$DA$42)+SUMPRODUCT(($CZ$3:$CZ$42=$BI39)*($DC$3:$DC$42=$BI40)*$DA$3:$DA$42)</f>
        <v>0</v>
      </c>
      <c r="BO40" s="191">
        <f>BM40-BN40+1000</f>
        <v>1000</v>
      </c>
      <c r="BP40" s="191" t="str">
        <f t="shared" si="269"/>
        <v/>
      </c>
      <c r="BQ40" s="191" t="str">
        <f t="shared" si="270"/>
        <v/>
      </c>
      <c r="BR40" s="191" t="str">
        <f t="shared" si="271"/>
        <v/>
      </c>
      <c r="BS40" s="191" t="str">
        <f t="shared" si="272"/>
        <v/>
      </c>
      <c r="BT40" s="191" t="str">
        <f t="shared" si="273"/>
        <v/>
      </c>
      <c r="BU40" s="191" t="str">
        <f>IF(BI40&lt;&gt;"",RANK(BT40,$BT$38:$BT$40),"")</f>
        <v/>
      </c>
      <c r="BV40" s="191" t="str">
        <f t="shared" si="274"/>
        <v/>
      </c>
      <c r="BW40" s="191" t="str">
        <f t="shared" si="275"/>
        <v/>
      </c>
      <c r="BX40" s="191" t="str">
        <f t="shared" si="276"/>
        <v/>
      </c>
      <c r="BY40" s="191" t="str">
        <f t="shared" si="277"/>
        <v/>
      </c>
      <c r="BZ40" s="191" t="str">
        <f t="shared" si="278"/>
        <v/>
      </c>
      <c r="CA40" s="191" t="str">
        <f>IF(BI40&lt;&gt;"",SUM(BU40:BZ40)+2,"")</f>
        <v/>
      </c>
      <c r="CB40" s="191" t="str">
        <f>IF(BI40&lt;&gt;"",INDEX(BI39:BI41,MATCH(4,CA39:CA41,0),0),"")</f>
        <v/>
      </c>
      <c r="CC40" s="191" t="str">
        <f>IF(S37&lt;&gt;"",S37,"")</f>
        <v/>
      </c>
      <c r="CD40" s="191">
        <f>SUMPRODUCT(($CZ$3:$CZ$42=$CC40)*($DC$3:$DC$42=$CC41)*($DD$3:$DD$42="W"))+SUMPRODUCT(($CZ$3:$CZ$42=$CC40)*($DC$3:$DC$42=$CC42)*($DD$3:$DD$42="W"))+SUMPRODUCT(($CZ$3:$CZ$42=$CC40)*($DC$3:$DC$42=$CC43)*($DD$3:$DD$42="W"))+SUMPRODUCT(($CZ$3:$CZ$42=$CC41)*($DC$3:$DC$42=$CC40)*($DE$3:$DE$42="W"))+SUMPRODUCT(($CZ$3:$CZ$42=$CC42)*($DC$3:$DC$42=$CC40)*($DE$3:$DE$42="W"))+SUMPRODUCT(($CZ$3:$CZ$42=$CC43)*($DC$3:$DC$42=$CC40)*($DE$3:$DE$42="W"))</f>
        <v>0</v>
      </c>
      <c r="CE40" s="191">
        <f>SUMPRODUCT(($CZ$3:$CZ$42=$CC40)*($DC$3:$DC$42=$CC41)*($DD$3:$DD$42="D"))+SUMPRODUCT(($CZ$3:$CZ$42=$CC40)*($DC$3:$DC$42=$CC42)*($DD$3:$DD$42="D"))+SUMPRODUCT(($CZ$3:$CZ$42=$CC40)*($DC$3:$DC$42=$CC43)*($DD$3:$DD$42="D"))+SUMPRODUCT(($CZ$3:$CZ$42=$CC41)*($DC$3:$DC$42=$CC40)*($DD$3:$DD$42="D"))+SUMPRODUCT(($CZ$3:$CZ$42=$CC42)*($DC$3:$DC$42=$CC40)*($DD$3:$DD$42="D"))+SUMPRODUCT(($CZ$3:$CZ$42=$CC43)*($DC$3:$DC$42=$CC40)*($DD$3:$DD$42="D"))</f>
        <v>0</v>
      </c>
      <c r="CF40" s="191">
        <f>SUMPRODUCT(($CZ$3:$CZ$42=$CC40)*($DC$3:$DC$42=$CC41)*($DD$3:$DD$42="L"))+SUMPRODUCT(($CZ$3:$CZ$42=$CC40)*($DC$3:$DC$42=$CC42)*($DD$3:$DD$42="L"))+SUMPRODUCT(($CZ$3:$CZ$42=$CC40)*($DC$3:$DC$42=$CC43)*($DD$3:$DD$42="L"))+SUMPRODUCT(($CZ$3:$CZ$42=$CC41)*($DC$3:$DC$42=$CC40)*($DE$3:$DE$42="L"))+SUMPRODUCT(($CZ$3:$CZ$42=$CC42)*($DC$3:$DC$42=$CC40)*($DE$3:$DE$42="L"))+SUMPRODUCT(($CZ$3:$CZ$42=$CC43)*($DC$3:$DC$42=$CC40)*($DE$3:$DE$42="L"))</f>
        <v>0</v>
      </c>
      <c r="CG40" s="191">
        <f>SUMPRODUCT(($CZ$3:$CZ$42=$CC40)*($DC$3:$DC$42=$CC41)*$DA$3:$DA$42)+SUMPRODUCT(($CZ$3:$CZ$42=$CC40)*($DC$3:$DC$42=$CC37)*$DA$3:$DA$42)+SUMPRODUCT(($CZ$3:$CZ$42=$CC40)*($DC$3:$DC$42=$CC38)*$DA$3:$DA$42)+SUMPRODUCT(($CZ$3:$CZ$42=$CC40)*($DC$3:$DC$42=$CC39)*$DA$3:$DA$42)+SUMPRODUCT(($CZ$3:$CZ$42=$CC41)*($DC$3:$DC$42=$CC40)*$DB$3:$DB$42)+SUMPRODUCT(($CZ$3:$CZ$42=$CC37)*($DC$3:$DC$42=$CC40)*$DB$3:$DB$42)+SUMPRODUCT(($CZ$3:$CZ$42=$CC38)*($DC$3:$DC$42=$CC40)*$DB$3:$DB$42)+SUMPRODUCT(($CZ$3:$CZ$42=$CC39)*($DC$3:$DC$42=$CC40)*$DB$3:$DB$42)</f>
        <v>0</v>
      </c>
      <c r="CH40" s="191">
        <f>SUMPRODUCT(($CZ$3:$CZ$42=$CC40)*($DC$3:$DC$42=$CC41)*$DB$3:$DB$42)+SUMPRODUCT(($CZ$3:$CZ$42=$CC40)*($DC$3:$DC$42=$CC37)*$DB$3:$DB$42)+SUMPRODUCT(($CZ$3:$CZ$42=$CC40)*($DC$3:$DC$42=$CC38)*$DB$3:$DB$42)+SUMPRODUCT(($CZ$3:$CZ$42=$CC40)*($DC$3:$DC$42=$CC39)*$DB$3:$DB$42)+SUMPRODUCT(($CZ$3:$CZ$42=$CC41)*($DC$3:$DC$42=$CC40)*$DA$3:$DA$42)+SUMPRODUCT(($CZ$3:$CZ$42=$CC37)*($DC$3:$DC$42=$CC40)*$DA$3:$DA$42)+SUMPRODUCT(($CZ$3:$CZ$42=$CC38)*($DC$3:$DC$42=$CC40)*$DA$3:$DA$42)+SUMPRODUCT(($CZ$3:$CZ$42=$CC39)*($DC$3:$DC$42=$CC40)*$DA$3:$DA$42)</f>
        <v>0</v>
      </c>
      <c r="CI40" s="191">
        <f>CG40-CH40+1000</f>
        <v>1000</v>
      </c>
      <c r="CJ40" s="191" t="str">
        <f t="shared" ref="CJ40" si="279">IF(CC40&lt;&gt;"",CD40*3+CE40*1,"")</f>
        <v/>
      </c>
      <c r="CK40" s="191" t="str">
        <f t="shared" ref="CK40" si="280">IF(CC40&lt;&gt;"",VLOOKUP(CC40,$B$4:$H$40,7,FALSE),"")</f>
        <v/>
      </c>
      <c r="CL40" s="191" t="str">
        <f t="shared" ref="CL40" si="281">IF(CC40&lt;&gt;"",VLOOKUP(CC40,$B$4:$H$40,5,FALSE),"")</f>
        <v/>
      </c>
      <c r="CM40" s="191" t="str">
        <f t="shared" ref="CM40" si="282">IF(CC40&lt;&gt;"",VLOOKUP(CC40,$B$4:$J$40,9,FALSE),"")</f>
        <v/>
      </c>
      <c r="CN40" s="191" t="str">
        <f t="shared" ref="CN40" si="283">CJ40</f>
        <v/>
      </c>
      <c r="CO40" s="191" t="str">
        <f t="shared" ref="CO40" si="284">IF(CC40&lt;&gt;"",RANK(CN40,$AF$37:$AF$41),"")</f>
        <v/>
      </c>
      <c r="CP40" s="191" t="str">
        <f t="shared" ref="CP40" si="285">IF(CC40&lt;&gt;"",SUMPRODUCT((CN$37:CN$41=CN40)*(CI$37:CI$41&gt;CI40)),"")</f>
        <v/>
      </c>
      <c r="CQ40" s="191" t="str">
        <f t="shared" ref="CQ40" si="286">IF(CC40&lt;&gt;"",SUMPRODUCT((CN$37:CN$41=CN40)*(CI$37:CI$41=CI40)*(CG$37:CG$41&gt;CG40)),"")</f>
        <v/>
      </c>
      <c r="CR40" s="191" t="str">
        <f t="shared" ref="CR40" si="287">IF(CC40&lt;&gt;"",SUMPRODUCT((CN$37:CN$41=CN40)*(CI$37:CI$41=CI40)*(CG$37:CG$41=CG40)*(CK$37:CK$41&gt;CK40)),"")</f>
        <v/>
      </c>
      <c r="CS40" s="191" t="str">
        <f t="shared" ref="CS40" si="288">IF(CC40&lt;&gt;"",SUMPRODUCT((CN$37:CN$41=CN40)*(CI$37:CI$41=CI40)*(CG$37:CG$41=CG40)*(CK$37:CK$41=CK40)*(CL$37:CL$41&gt;CL40)),"")</f>
        <v/>
      </c>
      <c r="CT40" s="191" t="str">
        <f t="shared" ref="CT40" si="289">IF(CC40&lt;&gt;"",SUMPRODUCT((CN$37:CN$41=CN40)*(CI$37:CI$41=CI40)*(CG$37:CG$41=CG40)*(CK$37:CK$41=CK40)*(CL$37:CL$41=CL40)*(CM$37:CM$41&gt;CM40)),"")</f>
        <v/>
      </c>
      <c r="CU40" s="191" t="str">
        <f>IF(CC40&lt;&gt;"",SUM(CO40:CT40)+3,"")</f>
        <v/>
      </c>
      <c r="CV40" s="191" t="str">
        <f>IF(CC40&lt;&gt;"",IF(CU40=4,CC40,CC41),"")</f>
        <v/>
      </c>
      <c r="CW40" s="191" t="str">
        <f>IF(CV40&lt;&gt;"",CV40,IF(CB40&lt;&gt;"",CB40,IF(BH40&lt;&gt;"",BH40,IF(AN40&lt;&gt;"",AN40,N40))))</f>
        <v>Hungary</v>
      </c>
      <c r="CX40" s="191">
        <v>4</v>
      </c>
      <c r="EH40" s="193" t="e">
        <f>Fixtures!#REF!</f>
        <v>#REF!</v>
      </c>
      <c r="EJ40" s="193" t="str">
        <f>IF(ISERROR("'Countries and Timezone'!"&amp;VLOOKUP(EH40,'Dummy Table'!$EH$7:$EI$38,2,FALSE)),"'Countries and Timezone'!b39","'Countries and Timezone'!"&amp;VLOOKUP(EH40,'Dummy Table'!$EH$7:$EI$38,2,FALSE))</f>
        <v>'Countries and Timezone'!b39</v>
      </c>
      <c r="EL40" s="199">
        <v>44370.75</v>
      </c>
      <c r="EM40" s="200">
        <f t="shared" si="51"/>
        <v>44370.75</v>
      </c>
      <c r="EO40" s="209" t="s">
        <v>627</v>
      </c>
      <c r="EP40" s="191">
        <v>-3</v>
      </c>
      <c r="EQ40" s="191" t="s">
        <v>628</v>
      </c>
      <c r="ER40" s="191" t="s">
        <v>629</v>
      </c>
    </row>
    <row r="41" spans="1:148" x14ac:dyDescent="0.35">
      <c r="EH41" s="193" t="e">
        <f>Fixtures!#REF!</f>
        <v>#REF!</v>
      </c>
      <c r="EJ41" s="193" t="str">
        <f>IF(ISERROR("'Countries and Timezone'!"&amp;VLOOKUP(EH41,'Dummy Table'!$EH$7:$EI$38,2,FALSE)),"'Countries and Timezone'!b39","'Countries and Timezone'!"&amp;VLOOKUP(EH41,'Dummy Table'!$EH$7:$EI$38,2,FALSE))</f>
        <v>'Countries and Timezone'!b39</v>
      </c>
      <c r="EL41" s="199">
        <v>44370.875</v>
      </c>
      <c r="EM41" s="200">
        <f t="shared" si="51"/>
        <v>44370.875</v>
      </c>
      <c r="EO41" s="209" t="s">
        <v>630</v>
      </c>
      <c r="EP41" s="191">
        <v>-3</v>
      </c>
      <c r="EQ41" s="191" t="s">
        <v>631</v>
      </c>
      <c r="ER41" s="191" t="s">
        <v>632</v>
      </c>
    </row>
    <row r="42" spans="1:148" x14ac:dyDescent="0.35">
      <c r="CC42" s="191" t="s">
        <v>112</v>
      </c>
      <c r="EH42" s="193" t="e">
        <f>Fixtures!#REF!</f>
        <v>#REF!</v>
      </c>
      <c r="EJ42" s="193" t="str">
        <f>IF(ISERROR("'Countries and Timezone'!"&amp;VLOOKUP(EH42,'Dummy Table'!$EH$7:$EI$38,2,FALSE)),"'Countries and Timezone'!b39","'Countries and Timezone'!"&amp;VLOOKUP(EH42,'Dummy Table'!$EH$7:$EI$38,2,FALSE))</f>
        <v>'Countries and Timezone'!b39</v>
      </c>
      <c r="EL42" s="199">
        <v>44370.875</v>
      </c>
      <c r="EM42" s="200">
        <f t="shared" si="51"/>
        <v>44370.875</v>
      </c>
      <c r="EO42" s="209" t="s">
        <v>633</v>
      </c>
      <c r="EP42" s="191">
        <v>-3</v>
      </c>
      <c r="EQ42" s="191" t="s">
        <v>634</v>
      </c>
      <c r="ER42" s="191" t="s">
        <v>635</v>
      </c>
    </row>
    <row r="43" spans="1:148" x14ac:dyDescent="0.35">
      <c r="H43" s="191" t="s">
        <v>636</v>
      </c>
      <c r="I43" s="191" t="s">
        <v>637</v>
      </c>
      <c r="T43" s="191">
        <f>IF(U44="",SUM(AG4:AL4),IF(U45="",SUM(AG5:AL5),IF(U46="",SUM(AG6:AL6),IF(U47="",SUM(AG7:AL7),0))))</f>
        <v>0</v>
      </c>
      <c r="U43" s="191" t="s">
        <v>638</v>
      </c>
      <c r="V43" s="191" t="s">
        <v>108</v>
      </c>
      <c r="W43" s="191" t="s">
        <v>109</v>
      </c>
      <c r="X43" s="191" t="s">
        <v>110</v>
      </c>
      <c r="Y43" s="191" t="s">
        <v>503</v>
      </c>
      <c r="Z43" s="191" t="s">
        <v>504</v>
      </c>
      <c r="AA43" s="191" t="s">
        <v>510</v>
      </c>
      <c r="AB43" s="191" t="s">
        <v>107</v>
      </c>
      <c r="AC43" s="191" t="s">
        <v>519</v>
      </c>
      <c r="AD43" s="191" t="s">
        <v>520</v>
      </c>
      <c r="AE43" s="191" t="s">
        <v>505</v>
      </c>
      <c r="AF43" s="191" t="s">
        <v>114</v>
      </c>
      <c r="AG43" s="191" t="s">
        <v>521</v>
      </c>
      <c r="AH43" s="191" t="s">
        <v>113</v>
      </c>
      <c r="AI43" s="191" t="s">
        <v>503</v>
      </c>
      <c r="AJ43" s="191" t="s">
        <v>522</v>
      </c>
      <c r="AK43" s="191" t="s">
        <v>520</v>
      </c>
      <c r="AL43" s="191" t="s">
        <v>505</v>
      </c>
      <c r="AM43" s="191" t="s">
        <v>523</v>
      </c>
      <c r="AN43" s="191">
        <f>IF(AO45="",SUM(BA5:BF5),IF(AO46="",SUM(BA6:BF6),IF(AO47="",SUM(BA7:BF7),0)))</f>
        <v>0</v>
      </c>
      <c r="AO43" s="191" t="s">
        <v>639</v>
      </c>
      <c r="AP43" s="191" t="s">
        <v>108</v>
      </c>
      <c r="AQ43" s="191" t="s">
        <v>109</v>
      </c>
      <c r="AR43" s="191" t="s">
        <v>110</v>
      </c>
      <c r="AS43" s="191" t="s">
        <v>503</v>
      </c>
      <c r="AT43" s="191" t="s">
        <v>504</v>
      </c>
      <c r="AU43" s="191" t="s">
        <v>510</v>
      </c>
      <c r="AV43" s="191" t="s">
        <v>107</v>
      </c>
      <c r="AW43" s="191" t="s">
        <v>519</v>
      </c>
      <c r="AX43" s="191" t="s">
        <v>520</v>
      </c>
      <c r="AY43" s="191" t="s">
        <v>505</v>
      </c>
      <c r="AZ43" s="191" t="s">
        <v>114</v>
      </c>
      <c r="BA43" s="191" t="s">
        <v>521</v>
      </c>
      <c r="BB43" s="191" t="s">
        <v>113</v>
      </c>
      <c r="BC43" s="191" t="s">
        <v>503</v>
      </c>
      <c r="BD43" s="191" t="s">
        <v>522</v>
      </c>
      <c r="BE43" s="191" t="s">
        <v>520</v>
      </c>
      <c r="BF43" s="191" t="s">
        <v>505</v>
      </c>
      <c r="BG43" s="191" t="s">
        <v>523</v>
      </c>
      <c r="EH43" s="193" t="e">
        <f>Fixtures!#REF!</f>
        <v>#REF!</v>
      </c>
      <c r="EJ43" s="193" t="str">
        <f>IF(ISERROR("'Countries and Timezone'!"&amp;VLOOKUP(EH43,'Dummy Table'!$EH$7:$EI$38,2,FALSE)),"'Countries and Timezone'!b39","'Countries and Timezone'!"&amp;VLOOKUP(EH43,'Dummy Table'!$EH$7:$EI$38,2,FALSE))</f>
        <v>'Countries and Timezone'!b39</v>
      </c>
      <c r="EL43" s="199"/>
      <c r="EM43" s="200">
        <f t="shared" si="51"/>
        <v>0</v>
      </c>
      <c r="EO43" s="209" t="s">
        <v>640</v>
      </c>
      <c r="EP43" s="191">
        <v>-3</v>
      </c>
      <c r="EQ43" s="191" t="s">
        <v>641</v>
      </c>
      <c r="ER43" s="191" t="s">
        <v>642</v>
      </c>
    </row>
    <row r="44" spans="1:148" x14ac:dyDescent="0.35">
      <c r="I44" s="191">
        <f>SUMPRODUCT((I4:I7=I4)*(H4:H7=H4)*(F4:F7&gt;F4))+1</f>
        <v>1</v>
      </c>
      <c r="T44" s="191" t="str">
        <f t="shared" ref="T44:T47" si="290">IF(U4&lt;&gt;"",SUMPRODUCT(($AB$4:$AB$7=AB4)*($AA$4:$AA$7=AA4)*($Y$4:$Y$7=Y4)*($Z$4:$Z$7=Z4)),"")</f>
        <v/>
      </c>
      <c r="U44" s="191" t="str">
        <f>IF(AND(T44&lt;&gt;"",T44&gt;1),U4,"")</f>
        <v/>
      </c>
      <c r="V44" s="191">
        <f>SUMPRODUCT(($CZ$3:$CZ$42=$U44)*($DC$3:$DC$42=$U45)*($DD$3:$DD$42="W"))+SUMPRODUCT(($CZ$3:$CZ$42=$U44)*($DC$3:$DC$42=$U46)*($DD$3:$DD$42="W"))+SUMPRODUCT(($CZ$3:$CZ$42=$U44)*($DC$3:$DC$42=$U47)*($DD$3:$DD$42="W"))+SUMPRODUCT(($CZ$3:$CZ$42=$U44)*($DC$3:$DC$42=$U48)*($DD$3:$DD$42="W"))+SUMPRODUCT(($CZ$3:$CZ$42=$U45)*($DC$3:$DC$42=$U44)*($DE$3:$DE$42="W"))+SUMPRODUCT(($CZ$3:$CZ$42=$U46)*($DC$3:$DC$42=$U44)*($DE$3:$DE$42="W"))+SUMPRODUCT(($CZ$3:$CZ$42=$U47)*($DC$3:$DC$42=$U44)*($DE$3:$DE$42="W"))+SUMPRODUCT(($CZ$3:$CZ$42=$U48)*($DC$3:$DC$42=$U44)*($DE$3:$DE$42="W"))</f>
        <v>0</v>
      </c>
      <c r="W44" s="191">
        <f>SUMPRODUCT(($CZ$3:$CZ$42=$U44)*($DC$3:$DC$42=$U45)*($DD$3:$DD$42="D"))+SUMPRODUCT(($CZ$3:$CZ$42=$U44)*($DC$3:$DC$42=$U46)*($DD$3:$DD$42="D"))+SUMPRODUCT(($CZ$3:$CZ$42=$U44)*($DC$3:$DC$42=$U47)*($DD$3:$DD$42="D"))+SUMPRODUCT(($CZ$3:$CZ$42=$U44)*($DC$3:$DC$42=$U48)*($DD$3:$DD$42="D"))+SUMPRODUCT(($CZ$3:$CZ$42=$U45)*($DC$3:$DC$42=$U44)*($DD$3:$DD$42="D"))+SUMPRODUCT(($CZ$3:$CZ$42=$U46)*($DC$3:$DC$42=$U44)*($DD$3:$DD$42="D"))+SUMPRODUCT(($CZ$3:$CZ$42=$U47)*($DC$3:$DC$42=$U44)*($DD$3:$DD$42="D"))+SUMPRODUCT(($CZ$3:$CZ$42=$U48)*($DC$3:$DC$42=$U44)*($DD$3:$DD$42="D"))</f>
        <v>0</v>
      </c>
      <c r="X44" s="191">
        <f>SUMPRODUCT(($CZ$3:$CZ$42=$U44)*($DC$3:$DC$42=$U45)*($DD$3:$DD$42="L"))+SUMPRODUCT(($CZ$3:$CZ$42=$U44)*($DC$3:$DC$42=$U46)*($DD$3:$DD$42="L"))+SUMPRODUCT(($CZ$3:$CZ$42=$U44)*($DC$3:$DC$42=$U47)*($DD$3:$DD$42="L"))+SUMPRODUCT(($CZ$3:$CZ$42=$U44)*($DC$3:$DC$42=$U48)*($DD$3:$DD$42="L"))+SUMPRODUCT(($CZ$3:$CZ$42=$U45)*($DC$3:$DC$42=$U44)*($DE$3:$DE$42="L"))+SUMPRODUCT(($CZ$3:$CZ$42=$U46)*($DC$3:$DC$42=$U44)*($DE$3:$DE$42="L"))+SUMPRODUCT(($CZ$3:$CZ$42=$U47)*($DC$3:$DC$42=$U44)*($DE$3:$DE$42="L"))+SUMPRODUCT(($CZ$3:$CZ$42=$U48)*($DC$3:$DC$42=$U44)*($DE$3:$DE$42="L"))</f>
        <v>0</v>
      </c>
      <c r="Y44" s="191">
        <f>SUMPRODUCT(($CZ$3:$CZ$42=$U44)*($DC$3:$DC$42=$U45)*$DA$3:$DA$42)+SUMPRODUCT(($CZ$3:$CZ$42=$U44)*($DC$3:$DC$42=$U46)*$DA$3:$DA$42)+SUMPRODUCT(($CZ$3:$CZ$42=$U44)*($DC$3:$DC$42=$U47)*$DA$3:$DA$42)+SUMPRODUCT(($CZ$3:$CZ$42=$U44)*($DC$3:$DC$42=$U48)*$DA$3:$DA$42)+SUMPRODUCT(($CZ$3:$CZ$42=$U45)*($DC$3:$DC$42=$U44)*$DB$3:$DB$42)+SUMPRODUCT(($CZ$3:$CZ$42=$U46)*($DC$3:$DC$42=$U44)*$DB$3:$DB$42)+SUMPRODUCT(($CZ$3:$CZ$42=$U47)*($DC$3:$DC$42=$U44)*$DB$3:$DB$42)+SUMPRODUCT(($CZ$3:$CZ$42=$U48)*($DC$3:$DC$42=$U44)*$DB$3:$DB$42)</f>
        <v>0</v>
      </c>
      <c r="Z44" s="191">
        <f>SUMPRODUCT(($CZ$3:$CZ$42=$U44)*($DC$3:$DC$42=$U45)*$DB$3:$DB$42)+SUMPRODUCT(($CZ$3:$CZ$42=$U44)*($DC$3:$DC$42=$U46)*$DB$3:$DB$42)+SUMPRODUCT(($CZ$3:$CZ$42=$U44)*($DC$3:$DC$42=$U47)*$DB$3:$DB$42)+SUMPRODUCT(($CZ$3:$CZ$42=$U44)*($DC$3:$DC$42=$U48)*$DB$3:$DB$42)+SUMPRODUCT(($CZ$3:$CZ$42=$U45)*($DC$3:$DC$42=$U44)*$DA$3:$DA$42)+SUMPRODUCT(($CZ$3:$CZ$42=$U46)*($DC$3:$DC$42=$U44)*$DA$3:$DA$42)+SUMPRODUCT(($CZ$3:$CZ$42=$U47)*($DC$3:$DC$42=$U44)*$DA$3:$DA$42)+SUMPRODUCT(($CZ$3:$CZ$42=$U48)*($DC$3:$DC$42=$U44)*$DA$3:$DA$42)</f>
        <v>0</v>
      </c>
      <c r="AA44" s="191">
        <f>Y44-Z44+1000</f>
        <v>1000</v>
      </c>
      <c r="AB44" s="191" t="str">
        <f>IF(U44&lt;&gt;"",V44*3+W44*1,"")</f>
        <v/>
      </c>
      <c r="AC44" s="191" t="str">
        <f>IF(U44&lt;&gt;"",VLOOKUP(U44,$B$4:$H$40,7,FALSE),"")</f>
        <v/>
      </c>
      <c r="AD44" s="191" t="str">
        <f>IF(U44&lt;&gt;"",VLOOKUP(U44,$B$4:$H$40,5,FALSE),"")</f>
        <v/>
      </c>
      <c r="AE44" s="191" t="str">
        <f>IF(U44&lt;&gt;"",VLOOKUP(U44,$B$4:$J$40,9,FALSE),"")</f>
        <v/>
      </c>
      <c r="AF44" s="191" t="str">
        <f>AB44</f>
        <v/>
      </c>
      <c r="AG44" s="191" t="str">
        <f>IF(U44&lt;&gt;"",RANK(AF44,AF$44:AF$48),"")</f>
        <v/>
      </c>
      <c r="AH44" s="191" t="str">
        <f>IF(U44&lt;&gt;"",SUMPRODUCT((AF$44:AF$48=AF44)*(AA$44:AA$48&gt;AA44)),"")</f>
        <v/>
      </c>
      <c r="AI44" s="191" t="str">
        <f>IF(U44&lt;&gt;"",SUMPRODUCT((AF$44:AF$48=AF44)*(AA$44:AA$48=AA44)*(Y$44:Y$48&gt;Y44)),"")</f>
        <v/>
      </c>
      <c r="AJ44" s="191" t="str">
        <f>IF(U44&lt;&gt;"",SUMPRODUCT((AF$44:AF$48=AF44)*(AA$44:AA$48=AA44)*(Y$44:Y$48=Y44)*(AC$44:AC$48&gt;AC44)),"")</f>
        <v/>
      </c>
      <c r="AK44" s="191" t="str">
        <f>IF(U44&lt;&gt;"",SUMPRODUCT((AF$44:AF$48=AF44)*(AA$44:AA$48=AA44)*(Y$44:Y$48=Y44)*(AC$44:AC$48=AC44)*(AD$44:AD$48&gt;AD44)),"")</f>
        <v/>
      </c>
      <c r="AL44" s="191" t="str">
        <f>IF(U44&lt;&gt;"",SUMPRODUCT((AF$44:AF$48=AF44)*(AA$44:AA$48=AA44)*(Y$44:Y$48=Y44)*(AC$44:AC$48=AC44)*(AD$44:AD$48=AD44)*(AE$44:AE$48&gt;AE44)),"")</f>
        <v/>
      </c>
      <c r="AM44" s="191" t="str">
        <f>IF(U44&lt;&gt;"",SUM(AG44:AL44),"")</f>
        <v/>
      </c>
      <c r="EH44" s="193" t="e">
        <f>Fixtures!#REF!</f>
        <v>#REF!</v>
      </c>
      <c r="EJ44" s="193" t="str">
        <f>IF(ISERROR("'Countries and Timezone'!"&amp;VLOOKUP(EH44,'Dummy Table'!$EH$7:$EI$38,2,FALSE)),"'Countries and Timezone'!b39","'Countries and Timezone'!"&amp;VLOOKUP(EH44,'Dummy Table'!$EH$7:$EI$38,2,FALSE))</f>
        <v>'Countries and Timezone'!b39</v>
      </c>
      <c r="EL44" s="199">
        <v>44373.75</v>
      </c>
      <c r="EM44" s="200">
        <f t="shared" si="51"/>
        <v>44373.75</v>
      </c>
      <c r="EO44" s="209" t="s">
        <v>2</v>
      </c>
      <c r="EP44" s="191">
        <v>-3</v>
      </c>
      <c r="EQ44" s="191" t="s">
        <v>643</v>
      </c>
      <c r="ER44" s="191" t="s">
        <v>644</v>
      </c>
    </row>
    <row r="45" spans="1:148" x14ac:dyDescent="0.35">
      <c r="I45" s="191">
        <f>SUMPRODUCT((I4:I7=I5)*(H4:H7=H5)*(F4:F7&gt;F5))+1</f>
        <v>1</v>
      </c>
      <c r="T45" s="191" t="str">
        <f t="shared" si="290"/>
        <v/>
      </c>
      <c r="U45" s="191" t="str">
        <f t="shared" ref="U45:U47" si="291">IF(AND(T45&lt;&gt;"",T45&gt;1),U5,"")</f>
        <v/>
      </c>
      <c r="V45" s="191">
        <f>SUMPRODUCT(($CZ$3:$CZ$42=$U45)*($DC$3:$DC$42=$U46)*($DD$3:$DD$42="W"))+SUMPRODUCT(($CZ$3:$CZ$42=$U45)*($DC$3:$DC$42=$U47)*($DD$3:$DD$42="W"))+SUMPRODUCT(($CZ$3:$CZ$42=$U45)*($DC$3:$DC$42=$U48)*($DD$3:$DD$42="W"))+SUMPRODUCT(($CZ$3:$CZ$42=$U45)*($DC$3:$DC$42=$U44)*($DD$3:$DD$42="W"))+SUMPRODUCT(($CZ$3:$CZ$42=$U46)*($DC$3:$DC$42=$U45)*($DE$3:$DE$42="W"))+SUMPRODUCT(($CZ$3:$CZ$42=$U47)*($DC$3:$DC$42=$U45)*($DE$3:$DE$42="W"))+SUMPRODUCT(($CZ$3:$CZ$42=$U48)*($DC$3:$DC$42=$U45)*($DE$3:$DE$42="W"))+SUMPRODUCT(($CZ$3:$CZ$42=$U44)*($DC$3:$DC$42=$U45)*($DE$3:$DE$42="W"))</f>
        <v>0</v>
      </c>
      <c r="W45" s="191">
        <f>SUMPRODUCT(($CZ$3:$CZ$42=$U45)*($DC$3:$DC$42=$U46)*($DD$3:$DD$42="D"))+SUMPRODUCT(($CZ$3:$CZ$42=$U45)*($DC$3:$DC$42=$U47)*($DD$3:$DD$42="D"))+SUMPRODUCT(($CZ$3:$CZ$42=$U45)*($DC$3:$DC$42=$U48)*($DD$3:$DD$42="D"))+SUMPRODUCT(($CZ$3:$CZ$42=$U45)*($DC$3:$DC$42=$U44)*($DD$3:$DD$42="D"))+SUMPRODUCT(($CZ$3:$CZ$42=$U46)*($DC$3:$DC$42=$U45)*($DD$3:$DD$42="D"))+SUMPRODUCT(($CZ$3:$CZ$42=$U47)*($DC$3:$DC$42=$U45)*($DD$3:$DD$42="D"))+SUMPRODUCT(($CZ$3:$CZ$42=$U48)*($DC$3:$DC$42=$U45)*($DD$3:$DD$42="D"))+SUMPRODUCT(($CZ$3:$CZ$42=$U44)*($DC$3:$DC$42=$U45)*($DD$3:$DD$42="D"))</f>
        <v>0</v>
      </c>
      <c r="X45" s="191">
        <f>SUMPRODUCT(($CZ$3:$CZ$42=$U45)*($DC$3:$DC$42=$U46)*($DD$3:$DD$42="L"))+SUMPRODUCT(($CZ$3:$CZ$42=$U45)*($DC$3:$DC$42=$U47)*($DD$3:$DD$42="L"))+SUMPRODUCT(($CZ$3:$CZ$42=$U45)*($DC$3:$DC$42=$U48)*($DD$3:$DD$42="L"))+SUMPRODUCT(($CZ$3:$CZ$42=$U45)*($DC$3:$DC$42=$U44)*($DD$3:$DD$42="L"))+SUMPRODUCT(($CZ$3:$CZ$42=$U46)*($DC$3:$DC$42=$U45)*($DE$3:$DE$42="L"))+SUMPRODUCT(($CZ$3:$CZ$42=$U47)*($DC$3:$DC$42=$U45)*($DE$3:$DE$42="L"))+SUMPRODUCT(($CZ$3:$CZ$42=$U48)*($DC$3:$DC$42=$U45)*($DE$3:$DE$42="L"))+SUMPRODUCT(($CZ$3:$CZ$42=$U44)*($DC$3:$DC$42=$U45)*($DE$3:$DE$42="L"))</f>
        <v>0</v>
      </c>
      <c r="Y45" s="191">
        <f>SUMPRODUCT(($CZ$3:$CZ$42=$U45)*($DC$3:$DC$42=$U46)*$DA$3:$DA$42)+SUMPRODUCT(($CZ$3:$CZ$42=$U45)*($DC$3:$DC$42=$U47)*$DA$3:$DA$42)+SUMPRODUCT(($CZ$3:$CZ$42=$U45)*($DC$3:$DC$42=$U48)*$DA$3:$DA$42)+SUMPRODUCT(($CZ$3:$CZ$42=$U45)*($DC$3:$DC$42=$U44)*$DA$3:$DA$42)+SUMPRODUCT(($CZ$3:$CZ$42=$U46)*($DC$3:$DC$42=$U45)*$DB$3:$DB$42)+SUMPRODUCT(($CZ$3:$CZ$42=$U47)*($DC$3:$DC$42=$U45)*$DB$3:$DB$42)+SUMPRODUCT(($CZ$3:$CZ$42=$U48)*($DC$3:$DC$42=$U45)*$DB$3:$DB$42)+SUMPRODUCT(($CZ$3:$CZ$42=$U44)*($DC$3:$DC$42=$U45)*$DB$3:$DB$42)</f>
        <v>0</v>
      </c>
      <c r="Z45" s="191">
        <f>SUMPRODUCT(($CZ$3:$CZ$42=$U45)*($DC$3:$DC$42=$U46)*$DB$3:$DB$42)+SUMPRODUCT(($CZ$3:$CZ$42=$U45)*($DC$3:$DC$42=$U47)*$DB$3:$DB$42)+SUMPRODUCT(($CZ$3:$CZ$42=$U45)*($DC$3:$DC$42=$U48)*$DB$3:$DB$42)+SUMPRODUCT(($CZ$3:$CZ$42=$U45)*($DC$3:$DC$42=$U44)*$DB$3:$DB$42)+SUMPRODUCT(($CZ$3:$CZ$42=$U46)*($DC$3:$DC$42=$U45)*$DA$3:$DA$42)+SUMPRODUCT(($CZ$3:$CZ$42=$U47)*($DC$3:$DC$42=$U45)*$DA$3:$DA$42)+SUMPRODUCT(($CZ$3:$CZ$42=$U48)*($DC$3:$DC$42=$U45)*$DA$3:$DA$42)+SUMPRODUCT(($CZ$3:$CZ$42=$U44)*($DC$3:$DC$42=$U45)*$DA$3:$DA$42)</f>
        <v>0</v>
      </c>
      <c r="AA45" s="191">
        <f>Y45-Z45+1000</f>
        <v>1000</v>
      </c>
      <c r="AB45" s="191" t="str">
        <f t="shared" ref="AB45:AB47" si="292">IF(U45&lt;&gt;"",V45*3+W45*1,"")</f>
        <v/>
      </c>
      <c r="AC45" s="191" t="str">
        <f t="shared" ref="AC45:AC47" si="293">IF(U45&lt;&gt;"",VLOOKUP(U45,$B$4:$H$40,7,FALSE),"")</f>
        <v/>
      </c>
      <c r="AD45" s="191" t="str">
        <f t="shared" ref="AD45:AD47" si="294">IF(U45&lt;&gt;"",VLOOKUP(U45,$B$4:$H$40,5,FALSE),"")</f>
        <v/>
      </c>
      <c r="AE45" s="191" t="str">
        <f t="shared" ref="AE45:AE47" si="295">IF(U45&lt;&gt;"",VLOOKUP(U45,$B$4:$J$40,9,FALSE),"")</f>
        <v/>
      </c>
      <c r="AF45" s="191" t="str">
        <f t="shared" ref="AF45:AF47" si="296">AB45</f>
        <v/>
      </c>
      <c r="AG45" s="191" t="str">
        <f t="shared" ref="AG45:AG47" si="297">IF(U45&lt;&gt;"",RANK(AF45,AF$44:AF$48),"")</f>
        <v/>
      </c>
      <c r="AH45" s="191" t="str">
        <f t="shared" ref="AH45:AH47" si="298">IF(U45&lt;&gt;"",SUMPRODUCT((AF$44:AF$48=AF45)*(AA$44:AA$48&gt;AA45)),"")</f>
        <v/>
      </c>
      <c r="AI45" s="191" t="str">
        <f t="shared" ref="AI45:AI47" si="299">IF(U45&lt;&gt;"",SUMPRODUCT((AF$44:AF$48=AF45)*(AA$44:AA$48=AA45)*(Y$44:Y$48&gt;Y45)),"")</f>
        <v/>
      </c>
      <c r="AJ45" s="191" t="str">
        <f t="shared" ref="AJ45:AJ47" si="300">IF(U45&lt;&gt;"",SUMPRODUCT((AF$44:AF$48=AF45)*(AA$44:AA$48=AA45)*(Y$44:Y$48=Y45)*(AC$44:AC$48&gt;AC45)),"")</f>
        <v/>
      </c>
      <c r="AK45" s="191" t="str">
        <f t="shared" ref="AK45:AK47" si="301">IF(U45&lt;&gt;"",SUMPRODUCT((AF$44:AF$48=AF45)*(AA$44:AA$48=AA45)*(Y$44:Y$48=Y45)*(AC$44:AC$48=AC45)*(AD$44:AD$48&gt;AD45)),"")</f>
        <v/>
      </c>
      <c r="AL45" s="191" t="str">
        <f t="shared" ref="AL45:AL47" si="302">IF(U45&lt;&gt;"",SUMPRODUCT((AF$44:AF$48=AF45)*(AA$44:AA$48=AA45)*(Y$44:Y$48=Y45)*(AC$44:AC$48=AC45)*(AD$44:AD$48=AD45)*(AE$44:AE$48&gt;AE45)),"")</f>
        <v/>
      </c>
      <c r="AM45" s="191" t="str">
        <f>IF(U45&lt;&gt;"",SUM(AG45:AL45),"")</f>
        <v/>
      </c>
      <c r="AN45" s="191">
        <f t="shared" ref="AN45:AN47" si="303">IF(AO5&lt;&gt;"",SUMPRODUCT(($AV$4:$AV$7=AV5)*($AU$4:$AU$7=AU5)*($AS$4:$AS$7=AS5)*($AT$4:$AT$7=AT5)),"")</f>
        <v>2</v>
      </c>
      <c r="AO45" s="191" t="str">
        <f t="shared" ref="AO45:AO47" si="304">IF(AND(AN45&lt;&gt;"",AN45&gt;1),AO5,"")</f>
        <v>Wales</v>
      </c>
      <c r="AP45" s="191">
        <f>SUMPRODUCT(($CZ$3:$CZ$42=$AO45)*($DC$3:$DC$42=$AO46)*($DD$3:$DD$42="W"))+SUMPRODUCT(($CZ$3:$CZ$42=$AO45)*($DC$3:$DC$42=$AO47)*($DD$3:$DD$42="W"))+SUMPRODUCT(($CZ$3:$CZ$42=$AO45)*($DC$3:$DC$42=$AO48)*($DD$3:$DD$42="W"))+SUMPRODUCT(($CZ$3:$CZ$42=$AO46)*($DC$3:$DC$42=$AO45)*($DE$3:$DE$42="W"))+SUMPRODUCT(($CZ$3:$CZ$42=$AO47)*($DC$3:$DC$42=$AO45)*($DE$3:$DE$42="W"))+SUMPRODUCT(($CZ$3:$CZ$42=$AO48)*($DC$3:$DC$42=$AO45)*($DE$3:$DE$42="W"))</f>
        <v>0</v>
      </c>
      <c r="AQ45" s="191">
        <f>SUMPRODUCT(($CZ$3:$CZ$42=$AO45)*($DC$3:$DC$42=$AO46)*($DD$3:$DD$42="D"))+SUMPRODUCT(($CZ$3:$CZ$42=$AO45)*($DC$3:$DC$42=$AO47)*($DD$3:$DD$42="D"))+SUMPRODUCT(($CZ$3:$CZ$42=$AO45)*($DC$3:$DC$42=$AO48)*($DD$3:$DD$42="D"))+SUMPRODUCT(($CZ$3:$CZ$42=$AO46)*($DC$3:$DC$42=$AO45)*($DD$3:$DD$42="D"))+SUMPRODUCT(($CZ$3:$CZ$42=$AO47)*($DC$3:$DC$42=$AO45)*($DD$3:$DD$42="D"))+SUMPRODUCT(($CZ$3:$CZ$42=$AO48)*($DC$3:$DC$42=$AO45)*($DD$3:$DD$42="D"))</f>
        <v>1</v>
      </c>
      <c r="AR45" s="191">
        <f>SUMPRODUCT(($CZ$3:$CZ$42=$AO45)*($DC$3:$DC$42=$AO46)*($DD$3:$DD$42="L"))+SUMPRODUCT(($CZ$3:$CZ$42=$AO45)*($DC$3:$DC$42=$AO47)*($DD$3:$DD$42="L"))+SUMPRODUCT(($CZ$3:$CZ$42=$AO45)*($DC$3:$DC$42=$AO48)*($DD$3:$DD$42="L"))+SUMPRODUCT(($CZ$3:$CZ$42=$AO46)*($DC$3:$DC$42=$AO45)*($DE$3:$DE$42="L"))+SUMPRODUCT(($CZ$3:$CZ$42=$AO47)*($DC$3:$DC$42=$AO45)*($DE$3:$DE$42="L"))+SUMPRODUCT(($CZ$3:$CZ$42=$AO48)*($DC$3:$DC$42=$AO45)*($DE$3:$DE$42="L"))</f>
        <v>0</v>
      </c>
      <c r="AS45" s="191">
        <f>SUMPRODUCT(($CZ$3:$CZ$42=$AO45)*($DC$3:$DC$42=$AO46)*$DA$3:$DA$42)+SUMPRODUCT(($CZ$3:$CZ$42=$AO45)*($DC$3:$DC$42=$AO47)*$DA$3:$DA$42)+SUMPRODUCT(($CZ$3:$CZ$42=$AO45)*($DC$3:$DC$42=$AO48)*$DA$3:$DA$42)+SUMPRODUCT(($CZ$3:$CZ$42=$AO45)*($DC$3:$DC$42=$AO44)*$DA$3:$DA$42)+SUMPRODUCT(($CZ$3:$CZ$42=$AO46)*($DC$3:$DC$42=$AO45)*$DB$3:$DB$42)+SUMPRODUCT(($CZ$3:$CZ$42=$AO47)*($DC$3:$DC$42=$AO45)*$DB$3:$DB$42)+SUMPRODUCT(($CZ$3:$CZ$42=$AO48)*($DC$3:$DC$42=$AO45)*$DB$3:$DB$42)+SUMPRODUCT(($CZ$3:$CZ$42=$AO44)*($DC$3:$DC$42=$AO45)*$DB$3:$DB$42)</f>
        <v>1</v>
      </c>
      <c r="AT45" s="191">
        <f>SUMPRODUCT(($CZ$3:$CZ$42=$AO45)*($DC$3:$DC$42=$AO46)*$DB$3:$DB$42)+SUMPRODUCT(($CZ$3:$CZ$42=$AO45)*($DC$3:$DC$42=$AO47)*$DB$3:$DB$42)+SUMPRODUCT(($CZ$3:$CZ$42=$AO45)*($DC$3:$DC$42=$AO48)*$DB$3:$DB$42)+SUMPRODUCT(($CZ$3:$CZ$42=$AO45)*($DC$3:$DC$42=$AO44)*$DB$3:$DB$42)+SUMPRODUCT(($CZ$3:$CZ$42=$AO46)*($DC$3:$DC$42=$AO45)*$DA$3:$DA$42)+SUMPRODUCT(($CZ$3:$CZ$42=$AO47)*($DC$3:$DC$42=$AO45)*$DA$3:$DA$42)+SUMPRODUCT(($CZ$3:$CZ$42=$AO48)*($DC$3:$DC$42=$AO45)*$DA$3:$DA$42)+SUMPRODUCT(($CZ$3:$CZ$42=$AO44)*($DC$3:$DC$42=$AO45)*$DA$3:$DA$42)</f>
        <v>1</v>
      </c>
      <c r="AU45" s="191">
        <f>AS45-AT45+1000</f>
        <v>1000</v>
      </c>
      <c r="AV45" s="191">
        <f t="shared" ref="AV45:AV47" si="305">IF(AO45&lt;&gt;"",AP45*3+AQ45*1,"")</f>
        <v>1</v>
      </c>
      <c r="AW45" s="191">
        <f t="shared" ref="AW45:AW47" si="306">IF(AO45&lt;&gt;"",VLOOKUP(AO45,$B$4:$H$40,7,FALSE),"")</f>
        <v>1001</v>
      </c>
      <c r="AX45" s="191">
        <f t="shared" ref="AX45:AX47" si="307">IF(AO45&lt;&gt;"",VLOOKUP(AO45,$B$4:$H$40,5,FALSE),"")</f>
        <v>3</v>
      </c>
      <c r="AY45" s="191">
        <f t="shared" ref="AY45:AY47" si="308">IF(AO45&lt;&gt;"",VLOOKUP(AO45,$B$4:$J$40,9,FALSE),"")</f>
        <v>37</v>
      </c>
      <c r="AZ45" s="191">
        <f t="shared" ref="AZ45:AZ47" si="309">AV45</f>
        <v>1</v>
      </c>
      <c r="BA45" s="191">
        <f>IF(AO45&lt;&gt;"",RANK(AZ45,AZ$44:AZ$47),"")</f>
        <v>1</v>
      </c>
      <c r="BB45" s="191">
        <f>IF(AO45&lt;&gt;"",SUMPRODUCT((AZ$44:AZ$47=AZ45)*(AU$44:AU$47&gt;AU45)),"")</f>
        <v>0</v>
      </c>
      <c r="BC45" s="191">
        <f>IF(AO45&lt;&gt;"",SUMPRODUCT((AZ$44:AZ$47=AZ45)*(AU$44:AU$47=AU45)*(AS$44:AS$47&gt;AS45)),"")</f>
        <v>0</v>
      </c>
      <c r="BD45" s="191">
        <f>IF(AO45&lt;&gt;"",SUMPRODUCT((AZ$44:AZ$47=AZ45)*(AU$44:AU$47=AU45)*(AS$44:AS$47=AS45)*(AW$44:AW$47&gt;AW45)),"")</f>
        <v>0</v>
      </c>
      <c r="BE45" s="191">
        <f>IF(AO45&lt;&gt;"",SUMPRODUCT((AZ$44:AZ$47=AZ45)*(AU$44:AU$47=AU45)*(AS$44:AS$47=AS45)*(AW$44:AW$47=AW45)*(AX$44:AX$47&gt;AX45)),"")</f>
        <v>0</v>
      </c>
      <c r="BF45" s="191">
        <f>IF(AO45&lt;&gt;"",SUMPRODUCT((AZ$44:AZ$47=AZ45)*(AU$44:AU$47=AU45)*(AS$44:AS$47=AS45)*(AW$44:AW$47=AW45)*(AX$44:AX$47=AX45)*(AY$44:AY$47&gt;AY45)),"")</f>
        <v>0</v>
      </c>
      <c r="BG45" s="191">
        <f>IF(AO45&lt;&gt;"",SUM(BA45:BF45)+1,"")</f>
        <v>2</v>
      </c>
      <c r="EH45" s="193" t="e">
        <f>Fixtures!#REF!</f>
        <v>#REF!</v>
      </c>
      <c r="EJ45" s="193" t="str">
        <f>IF(ISERROR("'Countries and Timezone'!"&amp;VLOOKUP(EH45,'Dummy Table'!$EH$7:$EI$38,2,FALSE)),"'Countries and Timezone'!b39","'Countries and Timezone'!"&amp;VLOOKUP(EH45,'Dummy Table'!$EH$7:$EI$38,2,FALSE))</f>
        <v>'Countries and Timezone'!b39</v>
      </c>
      <c r="EL45" s="199">
        <v>44373.875</v>
      </c>
      <c r="EM45" s="200">
        <f t="shared" si="51"/>
        <v>44373.875</v>
      </c>
      <c r="EO45" s="209" t="s">
        <v>645</v>
      </c>
      <c r="EP45" s="191">
        <v>-3</v>
      </c>
      <c r="EQ45" s="191" t="s">
        <v>646</v>
      </c>
      <c r="ER45" s="191" t="s">
        <v>647</v>
      </c>
    </row>
    <row r="46" spans="1:148" x14ac:dyDescent="0.35">
      <c r="I46" s="191">
        <f>SUMPRODUCT((I4:I7=I6)*(H4:H7=H6)*(F4:F7&gt;F6))+1</f>
        <v>1</v>
      </c>
      <c r="T46" s="191" t="str">
        <f t="shared" si="290"/>
        <v/>
      </c>
      <c r="U46" s="191" t="str">
        <f t="shared" si="291"/>
        <v/>
      </c>
      <c r="V46" s="191">
        <f>SUMPRODUCT(($CZ$3:$CZ$42=$U46)*($DC$3:$DC$42=$U47)*($DD$3:$DD$42="W"))+SUMPRODUCT(($CZ$3:$CZ$42=$U46)*($DC$3:$DC$42=$U48)*($DD$3:$DD$42="W"))+SUMPRODUCT(($CZ$3:$CZ$42=$U46)*($DC$3:$DC$42=$U44)*($DD$3:$DD$42="W"))+SUMPRODUCT(($CZ$3:$CZ$42=$U46)*($DC$3:$DC$42=$U45)*($DD$3:$DD$42="W"))+SUMPRODUCT(($CZ$3:$CZ$42=$U47)*($DC$3:$DC$42=$U46)*($DE$3:$DE$42="W"))+SUMPRODUCT(($CZ$3:$CZ$42=$U48)*($DC$3:$DC$42=$U46)*($DE$3:$DE$42="W"))+SUMPRODUCT(($CZ$3:$CZ$42=$U44)*($DC$3:$DC$42=$U46)*($DE$3:$DE$42="W"))+SUMPRODUCT(($CZ$3:$CZ$42=$U45)*($DC$3:$DC$42=$U46)*($DE$3:$DE$42="W"))</f>
        <v>0</v>
      </c>
      <c r="W46" s="191">
        <f>SUMPRODUCT(($CZ$3:$CZ$42=$U46)*($DC$3:$DC$42=$U47)*($DD$3:$DD$42="D"))+SUMPRODUCT(($CZ$3:$CZ$42=$U46)*($DC$3:$DC$42=$U48)*($DD$3:$DD$42="D"))+SUMPRODUCT(($CZ$3:$CZ$42=$U46)*($DC$3:$DC$42=$U44)*($DD$3:$DD$42="D"))+SUMPRODUCT(($CZ$3:$CZ$42=$U46)*($DC$3:$DC$42=$U45)*($DD$3:$DD$42="D"))+SUMPRODUCT(($CZ$3:$CZ$42=$U47)*($DC$3:$DC$42=$U46)*($DD$3:$DD$42="D"))+SUMPRODUCT(($CZ$3:$CZ$42=$U48)*($DC$3:$DC$42=$U46)*($DD$3:$DD$42="D"))+SUMPRODUCT(($CZ$3:$CZ$42=$U44)*($DC$3:$DC$42=$U46)*($DD$3:$DD$42="D"))+SUMPRODUCT(($CZ$3:$CZ$42=$U45)*($DC$3:$DC$42=$U46)*($DD$3:$DD$42="D"))</f>
        <v>0</v>
      </c>
      <c r="X46" s="191">
        <f>SUMPRODUCT(($CZ$3:$CZ$42=$U46)*($DC$3:$DC$42=$U47)*($DD$3:$DD$42="L"))+SUMPRODUCT(($CZ$3:$CZ$42=$U46)*($DC$3:$DC$42=$U48)*($DD$3:$DD$42="L"))+SUMPRODUCT(($CZ$3:$CZ$42=$U46)*($DC$3:$DC$42=$U44)*($DD$3:$DD$42="L"))+SUMPRODUCT(($CZ$3:$CZ$42=$U46)*($DC$3:$DC$42=$U45)*($DD$3:$DD$42="L"))+SUMPRODUCT(($CZ$3:$CZ$42=$U47)*($DC$3:$DC$42=$U46)*($DE$3:$DE$42="L"))+SUMPRODUCT(($CZ$3:$CZ$42=$U48)*($DC$3:$DC$42=$U46)*($DE$3:$DE$42="L"))+SUMPRODUCT(($CZ$3:$CZ$42=$U44)*($DC$3:$DC$42=$U46)*($DE$3:$DE$42="L"))+SUMPRODUCT(($CZ$3:$CZ$42=$U45)*($DC$3:$DC$42=$U46)*($DE$3:$DE$42="L"))</f>
        <v>0</v>
      </c>
      <c r="Y46" s="191">
        <f>SUMPRODUCT(($CZ$3:$CZ$42=$U46)*($DC$3:$DC$42=$U47)*$DA$3:$DA$42)+SUMPRODUCT(($CZ$3:$CZ$42=$U46)*($DC$3:$DC$42=$U48)*$DA$3:$DA$42)+SUMPRODUCT(($CZ$3:$CZ$42=$U46)*($DC$3:$DC$42=$U44)*$DA$3:$DA$42)+SUMPRODUCT(($CZ$3:$CZ$42=$U46)*($DC$3:$DC$42=$U45)*$DA$3:$DA$42)+SUMPRODUCT(($CZ$3:$CZ$42=$U47)*($DC$3:$DC$42=$U46)*$DB$3:$DB$42)+SUMPRODUCT(($CZ$3:$CZ$42=$U48)*($DC$3:$DC$42=$U46)*$DB$3:$DB$42)+SUMPRODUCT(($CZ$3:$CZ$42=$U44)*($DC$3:$DC$42=$U46)*$DB$3:$DB$42)+SUMPRODUCT(($CZ$3:$CZ$42=$U45)*($DC$3:$DC$42=$U46)*$DB$3:$DB$42)</f>
        <v>0</v>
      </c>
      <c r="Z46" s="191">
        <f>SUMPRODUCT(($CZ$3:$CZ$42=$U46)*($DC$3:$DC$42=$U47)*$DB$3:$DB$42)+SUMPRODUCT(($CZ$3:$CZ$42=$U46)*($DC$3:$DC$42=$U48)*$DB$3:$DB$42)+SUMPRODUCT(($CZ$3:$CZ$42=$U46)*($DC$3:$DC$42=$U44)*$DB$3:$DB$42)+SUMPRODUCT(($CZ$3:$CZ$42=$U46)*($DC$3:$DC$42=$U45)*$DB$3:$DB$42)+SUMPRODUCT(($CZ$3:$CZ$42=$U47)*($DC$3:$DC$42=$U46)*$DA$3:$DA$42)+SUMPRODUCT(($CZ$3:$CZ$42=$U48)*($DC$3:$DC$42=$U46)*$DA$3:$DA$42)+SUMPRODUCT(($CZ$3:$CZ$42=$U44)*($DC$3:$DC$42=$U46)*$DA$3:$DA$42)+SUMPRODUCT(($CZ$3:$CZ$42=$U45)*($DC$3:$DC$42=$U46)*$DA$3:$DA$42)</f>
        <v>0</v>
      </c>
      <c r="AA46" s="191">
        <f>Y46-Z46+1000</f>
        <v>1000</v>
      </c>
      <c r="AB46" s="191" t="str">
        <f t="shared" si="292"/>
        <v/>
      </c>
      <c r="AC46" s="191" t="str">
        <f t="shared" si="293"/>
        <v/>
      </c>
      <c r="AD46" s="191" t="str">
        <f t="shared" si="294"/>
        <v/>
      </c>
      <c r="AE46" s="191" t="str">
        <f t="shared" si="295"/>
        <v/>
      </c>
      <c r="AF46" s="191" t="str">
        <f t="shared" si="296"/>
        <v/>
      </c>
      <c r="AG46" s="191" t="str">
        <f t="shared" si="297"/>
        <v/>
      </c>
      <c r="AH46" s="191" t="str">
        <f t="shared" si="298"/>
        <v/>
      </c>
      <c r="AI46" s="191" t="str">
        <f t="shared" si="299"/>
        <v/>
      </c>
      <c r="AJ46" s="191" t="str">
        <f t="shared" si="300"/>
        <v/>
      </c>
      <c r="AK46" s="191" t="str">
        <f t="shared" si="301"/>
        <v/>
      </c>
      <c r="AL46" s="191" t="str">
        <f t="shared" si="302"/>
        <v/>
      </c>
      <c r="AM46" s="191" t="str">
        <f>IF(U46&lt;&gt;"",SUM(AG46:AL46),"")</f>
        <v/>
      </c>
      <c r="AN46" s="191">
        <f t="shared" si="303"/>
        <v>2</v>
      </c>
      <c r="AO46" s="191" t="str">
        <f t="shared" si="304"/>
        <v>Switzerland</v>
      </c>
      <c r="AP46" s="191">
        <f>SUMPRODUCT(($CZ$3:$CZ$42=$AO46)*($DC$3:$DC$42=$AO47)*($DD$3:$DD$42="W"))+SUMPRODUCT(($CZ$3:$CZ$42=$AO46)*($DC$3:$DC$42=$AO48)*($DD$3:$DD$42="W"))+SUMPRODUCT(($CZ$3:$CZ$42=$AO46)*($DC$3:$DC$42=$AO45)*($DD$3:$DD$42="W"))+SUMPRODUCT(($CZ$3:$CZ$42=$AO47)*($DC$3:$DC$42=$AO46)*($DE$3:$DE$42="W"))+SUMPRODUCT(($CZ$3:$CZ$42=$AO48)*($DC$3:$DC$42=$AO46)*($DE$3:$DE$42="W"))+SUMPRODUCT(($CZ$3:$CZ$42=$AO45)*($DC$3:$DC$42=$AO46)*($DE$3:$DE$42="W"))</f>
        <v>0</v>
      </c>
      <c r="AQ46" s="191">
        <f>SUMPRODUCT(($CZ$3:$CZ$42=$AO46)*($DC$3:$DC$42=$AO47)*($DD$3:$DD$42="D"))+SUMPRODUCT(($CZ$3:$CZ$42=$AO46)*($DC$3:$DC$42=$AO48)*($DD$3:$DD$42="D"))+SUMPRODUCT(($CZ$3:$CZ$42=$AO46)*($DC$3:$DC$42=$AO45)*($DD$3:$DD$42="D"))+SUMPRODUCT(($CZ$3:$CZ$42=$AO47)*($DC$3:$DC$42=$AO46)*($DD$3:$DD$42="D"))+SUMPRODUCT(($CZ$3:$CZ$42=$AO48)*($DC$3:$DC$42=$AO46)*($DD$3:$DD$42="D"))+SUMPRODUCT(($CZ$3:$CZ$42=$AO45)*($DC$3:$DC$42=$AO46)*($DD$3:$DD$42="D"))</f>
        <v>1</v>
      </c>
      <c r="AR46" s="191">
        <f>SUMPRODUCT(($CZ$3:$CZ$42=$AO46)*($DC$3:$DC$42=$AO47)*($DD$3:$DD$42="L"))+SUMPRODUCT(($CZ$3:$CZ$42=$AO46)*($DC$3:$DC$42=$AO48)*($DD$3:$DD$42="L"))+SUMPRODUCT(($CZ$3:$CZ$42=$AO46)*($DC$3:$DC$42=$AO45)*($DD$3:$DD$42="L"))+SUMPRODUCT(($CZ$3:$CZ$42=$AO47)*($DC$3:$DC$42=$AO46)*($DE$3:$DE$42="L"))+SUMPRODUCT(($CZ$3:$CZ$42=$AO48)*($DC$3:$DC$42=$AO46)*($DE$3:$DE$42="L"))+SUMPRODUCT(($CZ$3:$CZ$42=$AO45)*($DC$3:$DC$42=$AO46)*($DE$3:$DE$42="L"))</f>
        <v>0</v>
      </c>
      <c r="AS46" s="191">
        <f>SUMPRODUCT(($CZ$3:$CZ$42=$AO46)*($DC$3:$DC$42=$AO47)*$DA$3:$DA$42)+SUMPRODUCT(($CZ$3:$CZ$42=$AO46)*($DC$3:$DC$42=$AO48)*$DA$3:$DA$42)+SUMPRODUCT(($CZ$3:$CZ$42=$AO46)*($DC$3:$DC$42=$AO44)*$DA$3:$DA$42)+SUMPRODUCT(($CZ$3:$CZ$42=$AO46)*($DC$3:$DC$42=$AO45)*$DA$3:$DA$42)+SUMPRODUCT(($CZ$3:$CZ$42=$AO47)*($DC$3:$DC$42=$AO46)*$DB$3:$DB$42)+SUMPRODUCT(($CZ$3:$CZ$42=$AO48)*($DC$3:$DC$42=$AO46)*$DB$3:$DB$42)+SUMPRODUCT(($CZ$3:$CZ$42=$AO44)*($DC$3:$DC$42=$AO46)*$DB$3:$DB$42)+SUMPRODUCT(($CZ$3:$CZ$42=$AO45)*($DC$3:$DC$42=$AO46)*$DB$3:$DB$42)</f>
        <v>1</v>
      </c>
      <c r="AT46" s="191">
        <f>SUMPRODUCT(($CZ$3:$CZ$42=$AO46)*($DC$3:$DC$42=$AO47)*$DB$3:$DB$42)+SUMPRODUCT(($CZ$3:$CZ$42=$AO46)*($DC$3:$DC$42=$AO48)*$DB$3:$DB$42)+SUMPRODUCT(($CZ$3:$CZ$42=$AO46)*($DC$3:$DC$42=$AO44)*$DB$3:$DB$42)+SUMPRODUCT(($CZ$3:$CZ$42=$AO46)*($DC$3:$DC$42=$AO45)*$DB$3:$DB$42)+SUMPRODUCT(($CZ$3:$CZ$42=$AO47)*($DC$3:$DC$42=$AO46)*$DA$3:$DA$42)+SUMPRODUCT(($CZ$3:$CZ$42=$AO48)*($DC$3:$DC$42=$AO46)*$DA$3:$DA$42)+SUMPRODUCT(($CZ$3:$CZ$42=$AO44)*($DC$3:$DC$42=$AO46)*$DA$3:$DA$42)+SUMPRODUCT(($CZ$3:$CZ$42=$AO45)*($DC$3:$DC$42=$AO46)*$DA$3:$DA$42)</f>
        <v>1</v>
      </c>
      <c r="AU46" s="191">
        <f>AS46-AT46+1000</f>
        <v>1000</v>
      </c>
      <c r="AV46" s="191">
        <f t="shared" si="305"/>
        <v>1</v>
      </c>
      <c r="AW46" s="191">
        <f t="shared" si="306"/>
        <v>999</v>
      </c>
      <c r="AX46" s="191">
        <f t="shared" si="307"/>
        <v>4</v>
      </c>
      <c r="AY46" s="191">
        <f t="shared" si="308"/>
        <v>47</v>
      </c>
      <c r="AZ46" s="191">
        <f t="shared" si="309"/>
        <v>1</v>
      </c>
      <c r="BA46" s="191">
        <f t="shared" ref="BA46:BA47" si="310">IF(AO46&lt;&gt;"",RANK(AZ46,AZ$44:AZ$47),"")</f>
        <v>1</v>
      </c>
      <c r="BB46" s="191">
        <f t="shared" ref="BB46:BB47" si="311">IF(AO46&lt;&gt;"",SUMPRODUCT((AZ$44:AZ$47=AZ46)*(AU$44:AU$47&gt;AU46)),"")</f>
        <v>0</v>
      </c>
      <c r="BC46" s="191">
        <f t="shared" ref="BC46:BC47" si="312">IF(AO46&lt;&gt;"",SUMPRODUCT((AZ$44:AZ$47=AZ46)*(AU$44:AU$47=AU46)*(AS$44:AS$47&gt;AS46)),"")</f>
        <v>0</v>
      </c>
      <c r="BD46" s="191">
        <f t="shared" ref="BD46:BD47" si="313">IF(AO46&lt;&gt;"",SUMPRODUCT((AZ$44:AZ$47=AZ46)*(AU$44:AU$47=AU46)*(AS$44:AS$47=AS46)*(AW$44:AW$47&gt;AW46)),"")</f>
        <v>1</v>
      </c>
      <c r="BE46" s="191">
        <f t="shared" ref="BE46:BE47" si="314">IF(AO46&lt;&gt;"",SUMPRODUCT((AZ$44:AZ$47=AZ46)*(AU$44:AU$47=AU46)*(AS$44:AS$47=AS46)*(AW$44:AW$47=AW46)*(AX$44:AX$47&gt;AX46)),"")</f>
        <v>0</v>
      </c>
      <c r="BF46" s="191">
        <f t="shared" ref="BF46:BF47" si="315">IF(AO46&lt;&gt;"",SUMPRODUCT((AZ$44:AZ$47=AZ46)*(AU$44:AU$47=AU46)*(AS$44:AS$47=AS46)*(AW$44:AW$47=AW46)*(AX$44:AX$47=AX46)*(AY$44:AY$47&gt;AY46)),"")</f>
        <v>0</v>
      </c>
      <c r="BG46" s="191">
        <f t="shared" ref="BG46:BG47" si="316">IF(AO46&lt;&gt;"",SUM(BA46:BF46)+1,"")</f>
        <v>3</v>
      </c>
      <c r="EH46" s="193" t="e">
        <f>Fixtures!#REF!</f>
        <v>#REF!</v>
      </c>
      <c r="EJ46" s="193" t="str">
        <f>IF(ISERROR("'Countries and Timezone'!"&amp;VLOOKUP(EH46,'Dummy Table'!$EH$7:$EI$38,2,FALSE)),"'Countries and Timezone'!b39","'Countries and Timezone'!"&amp;VLOOKUP(EH46,'Dummy Table'!$EH$7:$EI$38,2,FALSE))</f>
        <v>'Countries and Timezone'!b39</v>
      </c>
      <c r="EL46" s="199">
        <v>44374.75</v>
      </c>
      <c r="EM46" s="200">
        <f t="shared" si="51"/>
        <v>44374.75</v>
      </c>
      <c r="EO46" s="209" t="s">
        <v>648</v>
      </c>
      <c r="EP46" s="191">
        <v>-3</v>
      </c>
      <c r="EQ46" s="191" t="s">
        <v>649</v>
      </c>
      <c r="ER46" s="191" t="s">
        <v>650</v>
      </c>
    </row>
    <row r="47" spans="1:148" x14ac:dyDescent="0.35">
      <c r="I47" s="191">
        <f>SUMPRODUCT((I4:I7=I7)*(H4:H7=H7)*(F4:F7&gt;F7))+1</f>
        <v>1</v>
      </c>
      <c r="T47" s="191" t="str">
        <f t="shared" si="290"/>
        <v/>
      </c>
      <c r="U47" s="191" t="str">
        <f t="shared" si="291"/>
        <v/>
      </c>
      <c r="V47" s="191">
        <f>SUMPRODUCT(($CZ$3:$CZ$42=$U47)*($DC$3:$DC$42=$U48)*($DD$3:$DD$42="W"))+SUMPRODUCT(($CZ$3:$CZ$42=$U47)*($DC$3:$DC$42=$U44)*($DD$3:$DD$42="W"))+SUMPRODUCT(($CZ$3:$CZ$42=$U47)*($DC$3:$DC$42=$U45)*($DD$3:$DD$42="W"))+SUMPRODUCT(($CZ$3:$CZ$42=$U47)*($DC$3:$DC$42=$U46)*($DD$3:$DD$42="W"))+SUMPRODUCT(($CZ$3:$CZ$42=$U48)*($DC$3:$DC$42=$U47)*($DE$3:$DE$42="W"))+SUMPRODUCT(($CZ$3:$CZ$42=$U44)*($DC$3:$DC$42=$U47)*($DE$3:$DE$42="W"))+SUMPRODUCT(($CZ$3:$CZ$42=$U45)*($DC$3:$DC$42=$U47)*($DE$3:$DE$42="W"))+SUMPRODUCT(($CZ$3:$CZ$42=$U46)*($DC$3:$DC$42=$U47)*($DE$3:$DE$42="W"))</f>
        <v>0</v>
      </c>
      <c r="W47" s="191">
        <f>SUMPRODUCT(($CZ$3:$CZ$42=$U47)*($DC$3:$DC$42=$U48)*($DD$3:$DD$42="D"))+SUMPRODUCT(($CZ$3:$CZ$42=$U47)*($DC$3:$DC$42=$U44)*($DD$3:$DD$42="D"))+SUMPRODUCT(($CZ$3:$CZ$42=$U47)*($DC$3:$DC$42=$U45)*($DD$3:$DD$42="D"))+SUMPRODUCT(($CZ$3:$CZ$42=$U47)*($DC$3:$DC$42=$U46)*($DD$3:$DD$42="D"))+SUMPRODUCT(($CZ$3:$CZ$42=$U48)*($DC$3:$DC$42=$U47)*($DD$3:$DD$42="D"))+SUMPRODUCT(($CZ$3:$CZ$42=$U44)*($DC$3:$DC$42=$U47)*($DD$3:$DD$42="D"))+SUMPRODUCT(($CZ$3:$CZ$42=$U45)*($DC$3:$DC$42=$U47)*($DD$3:$DD$42="D"))+SUMPRODUCT(($CZ$3:$CZ$42=$U46)*($DC$3:$DC$42=$U47)*($DD$3:$DD$42="D"))</f>
        <v>0</v>
      </c>
      <c r="X47" s="191">
        <f>SUMPRODUCT(($CZ$3:$CZ$42=$U47)*($DC$3:$DC$42=$U48)*($DD$3:$DD$42="L"))+SUMPRODUCT(($CZ$3:$CZ$42=$U47)*($DC$3:$DC$42=$U44)*($DD$3:$DD$42="L"))+SUMPRODUCT(($CZ$3:$CZ$42=$U47)*($DC$3:$DC$42=$U45)*($DD$3:$DD$42="L"))+SUMPRODUCT(($CZ$3:$CZ$42=$U47)*($DC$3:$DC$42=$U46)*($DD$3:$DD$42="L"))+SUMPRODUCT(($CZ$3:$CZ$42=$U48)*($DC$3:$DC$42=$U47)*($DE$3:$DE$42="L"))+SUMPRODUCT(($CZ$3:$CZ$42=$U44)*($DC$3:$DC$42=$U47)*($DE$3:$DE$42="L"))+SUMPRODUCT(($CZ$3:$CZ$42=$U45)*($DC$3:$DC$42=$U47)*($DE$3:$DE$42="L"))+SUMPRODUCT(($CZ$3:$CZ$42=$U46)*($DC$3:$DC$42=$U47)*($DE$3:$DE$42="L"))</f>
        <v>0</v>
      </c>
      <c r="Y47" s="191">
        <f>SUMPRODUCT(($CZ$3:$CZ$42=$U47)*($DC$3:$DC$42=$U48)*$DA$3:$DA$42)+SUMPRODUCT(($CZ$3:$CZ$42=$U47)*($DC$3:$DC$42=$U44)*$DA$3:$DA$42)+SUMPRODUCT(($CZ$3:$CZ$42=$U47)*($DC$3:$DC$42=$U45)*$DA$3:$DA$42)+SUMPRODUCT(($CZ$3:$CZ$42=$U47)*($DC$3:$DC$42=$U46)*$DA$3:$DA$42)+SUMPRODUCT(($CZ$3:$CZ$42=$U48)*($DC$3:$DC$42=$U47)*$DB$3:$DB$42)+SUMPRODUCT(($CZ$3:$CZ$42=$U44)*($DC$3:$DC$42=$U47)*$DB$3:$DB$42)+SUMPRODUCT(($CZ$3:$CZ$42=$U45)*($DC$3:$DC$42=$U47)*$DB$3:$DB$42)+SUMPRODUCT(($CZ$3:$CZ$42=$U46)*($DC$3:$DC$42=$U47)*$DB$3:$DB$42)</f>
        <v>0</v>
      </c>
      <c r="Z47" s="191">
        <f>SUMPRODUCT(($CZ$3:$CZ$42=$U47)*($DC$3:$DC$42=$U48)*$DB$3:$DB$42)+SUMPRODUCT(($CZ$3:$CZ$42=$U47)*($DC$3:$DC$42=$U44)*$DB$3:$DB$42)+SUMPRODUCT(($CZ$3:$CZ$42=$U47)*($DC$3:$DC$42=$U45)*$DB$3:$DB$42)+SUMPRODUCT(($CZ$3:$CZ$42=$U47)*($DC$3:$DC$42=$U46)*$DB$3:$DB$42)+SUMPRODUCT(($CZ$3:$CZ$42=$U48)*($DC$3:$DC$42=$U47)*$DA$3:$DA$42)+SUMPRODUCT(($CZ$3:$CZ$42=$U44)*($DC$3:$DC$42=$U47)*$DA$3:$DA$42)+SUMPRODUCT(($CZ$3:$CZ$42=$U45)*($DC$3:$DC$42=$U47)*$DA$3:$DA$42)+SUMPRODUCT(($CZ$3:$CZ$42=$U46)*($DC$3:$DC$42=$U47)*$DA$3:$DA$42)</f>
        <v>0</v>
      </c>
      <c r="AA47" s="191">
        <f>Y47-Z47+1000</f>
        <v>1000</v>
      </c>
      <c r="AB47" s="191" t="str">
        <f t="shared" si="292"/>
        <v/>
      </c>
      <c r="AC47" s="191" t="str">
        <f t="shared" si="293"/>
        <v/>
      </c>
      <c r="AD47" s="191" t="str">
        <f t="shared" si="294"/>
        <v/>
      </c>
      <c r="AE47" s="191" t="str">
        <f t="shared" si="295"/>
        <v/>
      </c>
      <c r="AF47" s="191" t="str">
        <f t="shared" si="296"/>
        <v/>
      </c>
      <c r="AG47" s="191" t="str">
        <f t="shared" si="297"/>
        <v/>
      </c>
      <c r="AH47" s="191" t="str">
        <f t="shared" si="298"/>
        <v/>
      </c>
      <c r="AI47" s="191" t="str">
        <f t="shared" si="299"/>
        <v/>
      </c>
      <c r="AJ47" s="191" t="str">
        <f t="shared" si="300"/>
        <v/>
      </c>
      <c r="AK47" s="191" t="str">
        <f t="shared" si="301"/>
        <v/>
      </c>
      <c r="AL47" s="191" t="str">
        <f t="shared" si="302"/>
        <v/>
      </c>
      <c r="AM47" s="191" t="str">
        <f>IF(U47&lt;&gt;"",SUM(AG47:AL47),"")</f>
        <v/>
      </c>
      <c r="AN47" s="191" t="str">
        <f t="shared" si="303"/>
        <v/>
      </c>
      <c r="AO47" s="191" t="str">
        <f t="shared" si="304"/>
        <v/>
      </c>
      <c r="AP47" s="191">
        <f>SUMPRODUCT(($CZ$3:$CZ$42=$AO47)*($DC$3:$DC$42=$AO48)*($DD$3:$DD$42="W"))+SUMPRODUCT(($CZ$3:$CZ$42=$AO47)*($DC$3:$DC$42=$AO45)*($DD$3:$DD$42="W"))+SUMPRODUCT(($CZ$3:$CZ$42=$AO47)*($DC$3:$DC$42=$AO46)*($DD$3:$DD$42="W"))+SUMPRODUCT(($CZ$3:$CZ$42=$AO48)*($DC$3:$DC$42=$AO47)*($DE$3:$DE$42="W"))+SUMPRODUCT(($CZ$3:$CZ$42=$AO45)*($DC$3:$DC$42=$AO47)*($DE$3:$DE$42="W"))+SUMPRODUCT(($CZ$3:$CZ$42=$AO46)*($DC$3:$DC$42=$AO47)*($DE$3:$DE$42="W"))</f>
        <v>0</v>
      </c>
      <c r="AQ47" s="191">
        <f>SUMPRODUCT(($CZ$3:$CZ$42=$AO47)*($DC$3:$DC$42=$AO48)*($DD$3:$DD$42="D"))+SUMPRODUCT(($CZ$3:$CZ$42=$AO47)*($DC$3:$DC$42=$AO45)*($DD$3:$DD$42="D"))+SUMPRODUCT(($CZ$3:$CZ$42=$AO47)*($DC$3:$DC$42=$AO46)*($DD$3:$DD$42="D"))+SUMPRODUCT(($CZ$3:$CZ$42=$AO48)*($DC$3:$DC$42=$AO47)*($DD$3:$DD$42="D"))+SUMPRODUCT(($CZ$3:$CZ$42=$AO45)*($DC$3:$DC$42=$AO47)*($DD$3:$DD$42="D"))+SUMPRODUCT(($CZ$3:$CZ$42=$AO46)*($DC$3:$DC$42=$AO47)*($DD$3:$DD$42="D"))</f>
        <v>0</v>
      </c>
      <c r="AR47" s="191">
        <f>SUMPRODUCT(($CZ$3:$CZ$42=$AO47)*($DC$3:$DC$42=$AO48)*($DD$3:$DD$42="L"))+SUMPRODUCT(($CZ$3:$CZ$42=$AO47)*($DC$3:$DC$42=$AO45)*($DD$3:$DD$42="L"))+SUMPRODUCT(($CZ$3:$CZ$42=$AO47)*($DC$3:$DC$42=$AO46)*($DD$3:$DD$42="L"))+SUMPRODUCT(($CZ$3:$CZ$42=$AO48)*($DC$3:$DC$42=$AO47)*($DE$3:$DE$42="L"))+SUMPRODUCT(($CZ$3:$CZ$42=$AO45)*($DC$3:$DC$42=$AO47)*($DE$3:$DE$42="L"))+SUMPRODUCT(($CZ$3:$CZ$42=$AO46)*($DC$3:$DC$42=$AO47)*($DE$3:$DE$42="L"))</f>
        <v>0</v>
      </c>
      <c r="AS47" s="191">
        <f>SUMPRODUCT(($CZ$3:$CZ$42=$AO47)*($DC$3:$DC$42=$AO48)*$DA$3:$DA$42)+SUMPRODUCT(($CZ$3:$CZ$42=$AO47)*($DC$3:$DC$42=$AO44)*$DA$3:$DA$42)+SUMPRODUCT(($CZ$3:$CZ$42=$AO47)*($DC$3:$DC$42=$AO45)*$DA$3:$DA$42)+SUMPRODUCT(($CZ$3:$CZ$42=$AO47)*($DC$3:$DC$42=$AO46)*$DA$3:$DA$42)+SUMPRODUCT(($CZ$3:$CZ$42=$AO48)*($DC$3:$DC$42=$AO47)*$DB$3:$DB$42)+SUMPRODUCT(($CZ$3:$CZ$42=$AO44)*($DC$3:$DC$42=$AO47)*$DB$3:$DB$42)+SUMPRODUCT(($CZ$3:$CZ$42=$AO45)*($DC$3:$DC$42=$AO47)*$DB$3:$DB$42)+SUMPRODUCT(($CZ$3:$CZ$42=$AO46)*($DC$3:$DC$42=$AO47)*$DB$3:$DB$42)</f>
        <v>0</v>
      </c>
      <c r="AT47" s="191">
        <f>SUMPRODUCT(($CZ$3:$CZ$42=$AO47)*($DC$3:$DC$42=$AO48)*$DB$3:$DB$42)+SUMPRODUCT(($CZ$3:$CZ$42=$AO47)*($DC$3:$DC$42=$AO44)*$DB$3:$DB$42)+SUMPRODUCT(($CZ$3:$CZ$42=$AO47)*($DC$3:$DC$42=$AO45)*$DB$3:$DB$42)+SUMPRODUCT(($CZ$3:$CZ$42=$AO47)*($DC$3:$DC$42=$AO46)*$DB$3:$DB$42)+SUMPRODUCT(($CZ$3:$CZ$42=$AO48)*($DC$3:$DC$42=$AO47)*$DA$3:$DA$42)+SUMPRODUCT(($CZ$3:$CZ$42=$AO44)*($DC$3:$DC$42=$AO47)*$DA$3:$DA$42)+SUMPRODUCT(($CZ$3:$CZ$42=$AO45)*($DC$3:$DC$42=$AO47)*$DA$3:$DA$42)+SUMPRODUCT(($CZ$3:$CZ$42=$AO46)*($DC$3:$DC$42=$AO47)*$DA$3:$DA$42)</f>
        <v>0</v>
      </c>
      <c r="AU47" s="191">
        <f>AS47-AT47+1000</f>
        <v>1000</v>
      </c>
      <c r="AV47" s="191" t="str">
        <f t="shared" si="305"/>
        <v/>
      </c>
      <c r="AW47" s="191" t="str">
        <f t="shared" si="306"/>
        <v/>
      </c>
      <c r="AX47" s="191" t="str">
        <f t="shared" si="307"/>
        <v/>
      </c>
      <c r="AY47" s="191" t="str">
        <f t="shared" si="308"/>
        <v/>
      </c>
      <c r="AZ47" s="191" t="str">
        <f t="shared" si="309"/>
        <v/>
      </c>
      <c r="BA47" s="191" t="str">
        <f t="shared" si="310"/>
        <v/>
      </c>
      <c r="BB47" s="191" t="str">
        <f t="shared" si="311"/>
        <v/>
      </c>
      <c r="BC47" s="191" t="str">
        <f t="shared" si="312"/>
        <v/>
      </c>
      <c r="BD47" s="191" t="str">
        <f t="shared" si="313"/>
        <v/>
      </c>
      <c r="BE47" s="191" t="str">
        <f t="shared" si="314"/>
        <v/>
      </c>
      <c r="BF47" s="191" t="str">
        <f t="shared" si="315"/>
        <v/>
      </c>
      <c r="BG47" s="191" t="str">
        <f t="shared" si="316"/>
        <v/>
      </c>
      <c r="EH47" s="193" t="e">
        <f>Fixtures!#REF!</f>
        <v>#REF!</v>
      </c>
      <c r="EJ47" s="193" t="str">
        <f>IF(ISERROR("'Countries and Timezone'!"&amp;VLOOKUP(EH47,'Dummy Table'!$EH$7:$EI$38,2,FALSE)),"'Countries and Timezone'!b39","'Countries and Timezone'!"&amp;VLOOKUP(EH47,'Dummy Table'!$EH$7:$EI$38,2,FALSE))</f>
        <v>'Countries and Timezone'!b39</v>
      </c>
      <c r="EL47" s="199">
        <v>44374.875</v>
      </c>
      <c r="EM47" s="200">
        <f t="shared" si="51"/>
        <v>44374.875</v>
      </c>
      <c r="EO47" s="209" t="s">
        <v>651</v>
      </c>
      <c r="EP47" s="191">
        <v>-3</v>
      </c>
      <c r="EQ47" s="191" t="s">
        <v>652</v>
      </c>
      <c r="ER47" s="191" t="s">
        <v>653</v>
      </c>
    </row>
    <row r="48" spans="1:148" x14ac:dyDescent="0.35">
      <c r="EH48" s="193" t="e">
        <f>Fixtures!#REF!</f>
        <v>#REF!</v>
      </c>
      <c r="EJ48" s="193" t="str">
        <f>IF(ISERROR("'Countries and Timezone'!"&amp;VLOOKUP(EH48,'Dummy Table'!$EH$7:$EI$38,2,FALSE)),"'Countries and Timezone'!b39","'Countries and Timezone'!"&amp;VLOOKUP(EH48,'Dummy Table'!$EH$7:$EI$38,2,FALSE))</f>
        <v>'Countries and Timezone'!b39</v>
      </c>
      <c r="EL48" s="199">
        <v>44375.75</v>
      </c>
      <c r="EM48" s="200">
        <f t="shared" si="51"/>
        <v>44375.75</v>
      </c>
      <c r="EO48" s="209" t="s">
        <v>654</v>
      </c>
      <c r="EP48" s="191">
        <v>-3</v>
      </c>
      <c r="EQ48" s="191" t="s">
        <v>655</v>
      </c>
      <c r="ER48" s="191" t="s">
        <v>656</v>
      </c>
    </row>
    <row r="49" spans="9:148" x14ac:dyDescent="0.35">
      <c r="EH49" s="193" t="e">
        <f>Fixtures!#REF!</f>
        <v>#REF!</v>
      </c>
      <c r="EJ49" s="193" t="str">
        <f>IF(ISERROR("'Countries and Timezone'!"&amp;VLOOKUP(EH49,'Dummy Table'!$EH$7:$EI$38,2,FALSE)),"'Countries and Timezone'!b39","'Countries and Timezone'!"&amp;VLOOKUP(EH49,'Dummy Table'!$EH$7:$EI$38,2,FALSE))</f>
        <v>'Countries and Timezone'!b39</v>
      </c>
      <c r="EL49" s="199">
        <v>44375.875</v>
      </c>
      <c r="EM49" s="200">
        <f t="shared" si="51"/>
        <v>44375.875</v>
      </c>
      <c r="EO49" s="209" t="s">
        <v>657</v>
      </c>
      <c r="EP49" s="191">
        <v>-2</v>
      </c>
      <c r="EQ49" s="191" t="s">
        <v>658</v>
      </c>
      <c r="ER49" s="191" t="s">
        <v>659</v>
      </c>
    </row>
    <row r="50" spans="9:148" x14ac:dyDescent="0.35">
      <c r="T50" s="191">
        <f>IF(U51="",SUM(AG11:AL11),IF(U52="",SUM(AG12:AL12),IF(U53="",SUM(AG13:AL13),IF(U54="",SUM(AG14:AL14),0))))</f>
        <v>0</v>
      </c>
      <c r="AN50" s="191">
        <f>IF(AO52="",SUM(BA12:BF12),IF(AO53="",SUM(BA13:BF13),IF(AO54="",SUM(BA14:BF14),0)))</f>
        <v>2</v>
      </c>
      <c r="EH50" s="193" t="e">
        <f>Fixtures!#REF!</f>
        <v>#REF!</v>
      </c>
      <c r="EJ50" s="193" t="str">
        <f>IF(ISERROR("'Countries and Timezone'!"&amp;VLOOKUP(EH50,'Dummy Table'!$EH$7:$EI$38,2,FALSE)),"'Countries and Timezone'!b39","'Countries and Timezone'!"&amp;VLOOKUP(EH50,'Dummy Table'!$EH$7:$EI$38,2,FALSE))</f>
        <v>'Countries and Timezone'!b39</v>
      </c>
      <c r="EL50" s="199">
        <v>44376.75</v>
      </c>
      <c r="EM50" s="200">
        <f t="shared" si="51"/>
        <v>44376.75</v>
      </c>
      <c r="EO50" s="209" t="s">
        <v>660</v>
      </c>
      <c r="EP50" s="191">
        <v>-1</v>
      </c>
      <c r="EQ50" s="191" t="s">
        <v>661</v>
      </c>
      <c r="ER50" s="191" t="s">
        <v>662</v>
      </c>
    </row>
    <row r="51" spans="9:148" x14ac:dyDescent="0.35">
      <c r="I51" s="191">
        <f>SUMPRODUCT((I11:I14=I11)*(H11:H14=H11)*(F11:F14&gt;F11))+1</f>
        <v>1</v>
      </c>
      <c r="T51" s="191" t="str">
        <f>IF(U11&lt;&gt;"",SUMPRODUCT(($AB$11:$AB$14=AB11)*($AA$11:$AA$14=AA11)*($Y$11:$Y$14=Y11)*($Z$11:$Z$14=Z11)),"")</f>
        <v/>
      </c>
      <c r="U51" s="191" t="str">
        <f>IF(AND(T51&lt;&gt;"",T51&gt;1),U11,"")</f>
        <v/>
      </c>
      <c r="V51" s="191">
        <f>SUMPRODUCT(($CZ$3:$CZ$42=$U51)*($DC$3:$DC$42=$U52)*($DD$3:$DD$42="W"))+SUMPRODUCT(($CZ$3:$CZ$42=$U51)*($DC$3:$DC$42=$U53)*($DD$3:$DD$42="W"))+SUMPRODUCT(($CZ$3:$CZ$42=$U51)*($DC$3:$DC$42=$U54)*($DD$3:$DD$42="W"))+SUMPRODUCT(($CZ$3:$CZ$42=$U51)*($DC$3:$DC$42=$U55)*($DD$3:$DD$42="W"))+SUMPRODUCT(($CZ$3:$CZ$42=$U52)*($DC$3:$DC$42=$U51)*($DE$3:$DE$42="W"))+SUMPRODUCT(($CZ$3:$CZ$42=$U53)*($DC$3:$DC$42=$U51)*($DE$3:$DE$42="W"))+SUMPRODUCT(($CZ$3:$CZ$42=$U54)*($DC$3:$DC$42=$U51)*($DE$3:$DE$42="W"))+SUMPRODUCT(($CZ$3:$CZ$42=$U55)*($DC$3:$DC$42=$U51)*($DE$3:$DE$42="W"))</f>
        <v>0</v>
      </c>
      <c r="W51" s="191">
        <f>SUMPRODUCT(($CZ$3:$CZ$42=$U51)*($DC$3:$DC$42=$U52)*($DD$3:$DD$42="D"))+SUMPRODUCT(($CZ$3:$CZ$42=$U51)*($DC$3:$DC$42=$U53)*($DD$3:$DD$42="D"))+SUMPRODUCT(($CZ$3:$CZ$42=$U51)*($DC$3:$DC$42=$U54)*($DD$3:$DD$42="D"))+SUMPRODUCT(($CZ$3:$CZ$42=$U51)*($DC$3:$DC$42=$U55)*($DD$3:$DD$42="D"))+SUMPRODUCT(($CZ$3:$CZ$42=$U52)*($DC$3:$DC$42=$U51)*($DD$3:$DD$42="D"))+SUMPRODUCT(($CZ$3:$CZ$42=$U53)*($DC$3:$DC$42=$U51)*($DD$3:$DD$42="D"))+SUMPRODUCT(($CZ$3:$CZ$42=$U54)*($DC$3:$DC$42=$U51)*($DD$3:$DD$42="D"))+SUMPRODUCT(($CZ$3:$CZ$42=$U55)*($DC$3:$DC$42=$U51)*($DD$3:$DD$42="D"))</f>
        <v>0</v>
      </c>
      <c r="X51" s="191">
        <f>SUMPRODUCT(($CZ$3:$CZ$42=$U51)*($DC$3:$DC$42=$U52)*($DD$3:$DD$42="L"))+SUMPRODUCT(($CZ$3:$CZ$42=$U51)*($DC$3:$DC$42=$U53)*($DD$3:$DD$42="L"))+SUMPRODUCT(($CZ$3:$CZ$42=$U51)*($DC$3:$DC$42=$U54)*($DD$3:$DD$42="L"))+SUMPRODUCT(($CZ$3:$CZ$42=$U51)*($DC$3:$DC$42=$U55)*($DD$3:$DD$42="L"))+SUMPRODUCT(($CZ$3:$CZ$42=$U52)*($DC$3:$DC$42=$U51)*($DE$3:$DE$42="L"))+SUMPRODUCT(($CZ$3:$CZ$42=$U53)*($DC$3:$DC$42=$U51)*($DE$3:$DE$42="L"))+SUMPRODUCT(($CZ$3:$CZ$42=$U54)*($DC$3:$DC$42=$U51)*($DE$3:$DE$42="L"))+SUMPRODUCT(($CZ$3:$CZ$42=$U55)*($DC$3:$DC$42=$U51)*($DE$3:$DE$42="L"))</f>
        <v>0</v>
      </c>
      <c r="Y51" s="191">
        <f>SUMPRODUCT(($CZ$3:$CZ$42=$U51)*($DC$3:$DC$42=$U52)*$DA$3:$DA$42)+SUMPRODUCT(($CZ$3:$CZ$42=$U51)*($DC$3:$DC$42=$U53)*$DA$3:$DA$42)+SUMPRODUCT(($CZ$3:$CZ$42=$U51)*($DC$3:$DC$42=$U54)*$DA$3:$DA$42)+SUMPRODUCT(($CZ$3:$CZ$42=$U51)*($DC$3:$DC$42=$U55)*$DA$3:$DA$42)+SUMPRODUCT(($CZ$3:$CZ$42=$U52)*($DC$3:$DC$42=$U51)*$DB$3:$DB$42)+SUMPRODUCT(($CZ$3:$CZ$42=$U53)*($DC$3:$DC$42=$U51)*$DB$3:$DB$42)+SUMPRODUCT(($CZ$3:$CZ$42=$U54)*($DC$3:$DC$42=$U51)*$DB$3:$DB$42)+SUMPRODUCT(($CZ$3:$CZ$42=$U55)*($DC$3:$DC$42=$U51)*$DB$3:$DB$42)</f>
        <v>0</v>
      </c>
      <c r="Z51" s="191">
        <f>SUMPRODUCT(($CZ$3:$CZ$42=$U51)*($DC$3:$DC$42=$U52)*$DB$3:$DB$42)+SUMPRODUCT(($CZ$3:$CZ$42=$U51)*($DC$3:$DC$42=$U53)*$DB$3:$DB$42)+SUMPRODUCT(($CZ$3:$CZ$42=$U51)*($DC$3:$DC$42=$U54)*$DB$3:$DB$42)+SUMPRODUCT(($CZ$3:$CZ$42=$U51)*($DC$3:$DC$42=$U55)*$DB$3:$DB$42)+SUMPRODUCT(($CZ$3:$CZ$42=$U52)*($DC$3:$DC$42=$U51)*$DA$3:$DA$42)+SUMPRODUCT(($CZ$3:$CZ$42=$U53)*($DC$3:$DC$42=$U51)*$DA$3:$DA$42)+SUMPRODUCT(($CZ$3:$CZ$42=$U54)*($DC$3:$DC$42=$U51)*$DA$3:$DA$42)+SUMPRODUCT(($CZ$3:$CZ$42=$U55)*($DC$3:$DC$42=$U51)*$DA$3:$DA$42)</f>
        <v>0</v>
      </c>
      <c r="AA51" s="191">
        <f>Y51-Z51+1000</f>
        <v>1000</v>
      </c>
      <c r="AB51" s="191" t="str">
        <f t="shared" ref="AB51:AB54" si="317">IF(U51&lt;&gt;"",V51*3+W51*1,"")</f>
        <v/>
      </c>
      <c r="AC51" s="191" t="str">
        <f t="shared" ref="AC51:AC54" si="318">IF(U51&lt;&gt;"",VLOOKUP(U51,$B$4:$H$40,7,FALSE),"")</f>
        <v/>
      </c>
      <c r="AD51" s="191" t="str">
        <f t="shared" ref="AD51:AD54" si="319">IF(U51&lt;&gt;"",VLOOKUP(U51,$B$4:$H$40,5,FALSE),"")</f>
        <v/>
      </c>
      <c r="AE51" s="191" t="str">
        <f t="shared" ref="AE51:AE54" si="320">IF(U51&lt;&gt;"",VLOOKUP(U51,$B$4:$J$40,9,FALSE),"")</f>
        <v/>
      </c>
      <c r="AF51" s="191" t="str">
        <f>AB51</f>
        <v/>
      </c>
      <c r="AG51" s="191" t="str">
        <f>IF(U51&lt;&gt;"",RANK(AF51,AF$51:AF$54),"")</f>
        <v/>
      </c>
      <c r="AH51" s="191" t="str">
        <f>IF(U51&lt;&gt;"",SUMPRODUCT((AF$51:AF$54=AF51)*(AA$51:AA$54&gt;AA51)),"")</f>
        <v/>
      </c>
      <c r="AI51" s="191" t="str">
        <f>IF(U51&lt;&gt;"",SUMPRODUCT((AF$51:AF$54=AF51)*(AA$51:AA$54=AA51)*(Y$51:Y$54&gt;Y51)),"")</f>
        <v/>
      </c>
      <c r="AJ51" s="191" t="str">
        <f>IF(U51&lt;&gt;"",SUMPRODUCT((AF$51:AF$54=AF51)*(AA$51:AA$54=AA51)*(Y$51:Y$54=Y51)*(AC$51:AC$54&gt;AC51)),"")</f>
        <v/>
      </c>
      <c r="AK51" s="191" t="str">
        <f>IF(U51&lt;&gt;"",SUMPRODUCT((AF$51:AF$54=AF51)*(AA$51:AA$54=AA51)*(Y$51:Y$54=Y51)*(AC$51:AC$54=AC51)*(AD$51:AD$54&gt;AD51)),"")</f>
        <v/>
      </c>
      <c r="AL51" s="191" t="str">
        <f>IF(U51&lt;&gt;"",SUMPRODUCT((AF$51:AF$54=AF51)*(AA$51:AA$54=AA51)*(Y$51:Y$54=Y51)*(AC$51:AC$54=AC51)*(AD$51:AD$54=AD51)*(AE$51:AE$54&gt;AE51)),"")</f>
        <v/>
      </c>
      <c r="AM51" s="191" t="str">
        <f>IF(U51&lt;&gt;"",SUM(AG51:AL51),"")</f>
        <v/>
      </c>
      <c r="EH51" s="193" t="e">
        <f>Fixtures!#REF!</f>
        <v>#REF!</v>
      </c>
      <c r="EJ51" s="193" t="str">
        <f>IF(ISERROR("'Countries and Timezone'!"&amp;VLOOKUP(EH51,'Dummy Table'!$EH$7:$EI$38,2,FALSE)),"'Countries and Timezone'!b39","'Countries and Timezone'!"&amp;VLOOKUP(EH51,'Dummy Table'!$EH$7:$EI$38,2,FALSE))</f>
        <v>'Countries and Timezone'!b39</v>
      </c>
      <c r="EL51" s="199">
        <v>44376.875</v>
      </c>
      <c r="EM51" s="200">
        <f t="shared" si="51"/>
        <v>44376.875</v>
      </c>
      <c r="EO51" s="209" t="s">
        <v>663</v>
      </c>
      <c r="EP51" s="191">
        <v>-1</v>
      </c>
      <c r="EQ51" s="191" t="s">
        <v>664</v>
      </c>
      <c r="ER51" s="191" t="s">
        <v>665</v>
      </c>
    </row>
    <row r="52" spans="9:148" x14ac:dyDescent="0.35">
      <c r="I52" s="191">
        <f>SUMPRODUCT((I11:I14=I12)*(H11:H14=H12)*(F11:F14&gt;F12))+1</f>
        <v>1</v>
      </c>
      <c r="T52" s="191" t="str">
        <f t="shared" ref="T52:T54" si="321">IF(U12&lt;&gt;"",SUMPRODUCT(($AB$11:$AB$14=AB12)*($AA$11:$AA$14=AA12)*($Y$11:$Y$14=Y12)*($Z$11:$Z$14=Z12)),"")</f>
        <v/>
      </c>
      <c r="U52" s="191" t="str">
        <f t="shared" ref="U52:U54" si="322">IF(AND(T52&lt;&gt;"",T52&gt;1),U12,"")</f>
        <v/>
      </c>
      <c r="V52" s="191">
        <f>SUMPRODUCT(($CZ$3:$CZ$42=$U52)*($DC$3:$DC$42=$U53)*($DD$3:$DD$42="W"))+SUMPRODUCT(($CZ$3:$CZ$42=$U52)*($DC$3:$DC$42=$U54)*($DD$3:$DD$42="W"))+SUMPRODUCT(($CZ$3:$CZ$42=$U52)*($DC$3:$DC$42=$U55)*($DD$3:$DD$42="W"))+SUMPRODUCT(($CZ$3:$CZ$42=$U52)*($DC$3:$DC$42=$U51)*($DD$3:$DD$42="W"))+SUMPRODUCT(($CZ$3:$CZ$42=$U53)*($DC$3:$DC$42=$U52)*($DE$3:$DE$42="W"))+SUMPRODUCT(($CZ$3:$CZ$42=$U54)*($DC$3:$DC$42=$U52)*($DE$3:$DE$42="W"))+SUMPRODUCT(($CZ$3:$CZ$42=$U55)*($DC$3:$DC$42=$U52)*($DE$3:$DE$42="W"))+SUMPRODUCT(($CZ$3:$CZ$42=$U51)*($DC$3:$DC$42=$U52)*($DE$3:$DE$42="W"))</f>
        <v>0</v>
      </c>
      <c r="W52" s="191">
        <f>SUMPRODUCT(($CZ$3:$CZ$42=$U52)*($DC$3:$DC$42=$U53)*($DD$3:$DD$42="D"))+SUMPRODUCT(($CZ$3:$CZ$42=$U52)*($DC$3:$DC$42=$U54)*($DD$3:$DD$42="D"))+SUMPRODUCT(($CZ$3:$CZ$42=$U52)*($DC$3:$DC$42=$U55)*($DD$3:$DD$42="D"))+SUMPRODUCT(($CZ$3:$CZ$42=$U52)*($DC$3:$DC$42=$U51)*($DD$3:$DD$42="D"))+SUMPRODUCT(($CZ$3:$CZ$42=$U53)*($DC$3:$DC$42=$U52)*($DD$3:$DD$42="D"))+SUMPRODUCT(($CZ$3:$CZ$42=$U54)*($DC$3:$DC$42=$U52)*($DD$3:$DD$42="D"))+SUMPRODUCT(($CZ$3:$CZ$42=$U55)*($DC$3:$DC$42=$U52)*($DD$3:$DD$42="D"))+SUMPRODUCT(($CZ$3:$CZ$42=$U51)*($DC$3:$DC$42=$U52)*($DD$3:$DD$42="D"))</f>
        <v>0</v>
      </c>
      <c r="X52" s="191">
        <f>SUMPRODUCT(($CZ$3:$CZ$42=$U52)*($DC$3:$DC$42=$U53)*($DD$3:$DD$42="L"))+SUMPRODUCT(($CZ$3:$CZ$42=$U52)*($DC$3:$DC$42=$U54)*($DD$3:$DD$42="L"))+SUMPRODUCT(($CZ$3:$CZ$42=$U52)*($DC$3:$DC$42=$U55)*($DD$3:$DD$42="L"))+SUMPRODUCT(($CZ$3:$CZ$42=$U52)*($DC$3:$DC$42=$U51)*($DD$3:$DD$42="L"))+SUMPRODUCT(($CZ$3:$CZ$42=$U53)*($DC$3:$DC$42=$U52)*($DE$3:$DE$42="L"))+SUMPRODUCT(($CZ$3:$CZ$42=$U54)*($DC$3:$DC$42=$U52)*($DE$3:$DE$42="L"))+SUMPRODUCT(($CZ$3:$CZ$42=$U55)*($DC$3:$DC$42=$U52)*($DE$3:$DE$42="L"))+SUMPRODUCT(($CZ$3:$CZ$42=$U51)*($DC$3:$DC$42=$U52)*($DE$3:$DE$42="L"))</f>
        <v>0</v>
      </c>
      <c r="Y52" s="191">
        <f>SUMPRODUCT(($CZ$3:$CZ$42=$U52)*($DC$3:$DC$42=$U53)*$DA$3:$DA$42)+SUMPRODUCT(($CZ$3:$CZ$42=$U52)*($DC$3:$DC$42=$U54)*$DA$3:$DA$42)+SUMPRODUCT(($CZ$3:$CZ$42=$U52)*($DC$3:$DC$42=$U55)*$DA$3:$DA$42)+SUMPRODUCT(($CZ$3:$CZ$42=$U52)*($DC$3:$DC$42=$U51)*$DA$3:$DA$42)+SUMPRODUCT(($CZ$3:$CZ$42=$U53)*($DC$3:$DC$42=$U52)*$DB$3:$DB$42)+SUMPRODUCT(($CZ$3:$CZ$42=$U54)*($DC$3:$DC$42=$U52)*$DB$3:$DB$42)+SUMPRODUCT(($CZ$3:$CZ$42=$U55)*($DC$3:$DC$42=$U52)*$DB$3:$DB$42)+SUMPRODUCT(($CZ$3:$CZ$42=$U51)*($DC$3:$DC$42=$U52)*$DB$3:$DB$42)</f>
        <v>0</v>
      </c>
      <c r="Z52" s="191">
        <f>SUMPRODUCT(($CZ$3:$CZ$42=$U52)*($DC$3:$DC$42=$U53)*$DB$3:$DB$42)+SUMPRODUCT(($CZ$3:$CZ$42=$U52)*($DC$3:$DC$42=$U54)*$DB$3:$DB$42)+SUMPRODUCT(($CZ$3:$CZ$42=$U52)*($DC$3:$DC$42=$U55)*$DB$3:$DB$42)+SUMPRODUCT(($CZ$3:$CZ$42=$U52)*($DC$3:$DC$42=$U51)*$DB$3:$DB$42)+SUMPRODUCT(($CZ$3:$CZ$42=$U53)*($DC$3:$DC$42=$U52)*$DA$3:$DA$42)+SUMPRODUCT(($CZ$3:$CZ$42=$U54)*($DC$3:$DC$42=$U52)*$DA$3:$DA$42)+SUMPRODUCT(($CZ$3:$CZ$42=$U55)*($DC$3:$DC$42=$U52)*$DA$3:$DA$42)+SUMPRODUCT(($CZ$3:$CZ$42=$U51)*($DC$3:$DC$42=$U52)*$DA$3:$DA$42)</f>
        <v>0</v>
      </c>
      <c r="AA52" s="191">
        <f>Y52-Z52+1000</f>
        <v>1000</v>
      </c>
      <c r="AB52" s="191" t="str">
        <f t="shared" si="317"/>
        <v/>
      </c>
      <c r="AC52" s="191" t="str">
        <f t="shared" si="318"/>
        <v/>
      </c>
      <c r="AD52" s="191" t="str">
        <f t="shared" si="319"/>
        <v/>
      </c>
      <c r="AE52" s="191" t="str">
        <f t="shared" si="320"/>
        <v/>
      </c>
      <c r="AF52" s="191" t="str">
        <f t="shared" ref="AF52:AF54" si="323">AB52</f>
        <v/>
      </c>
      <c r="AG52" s="191" t="str">
        <f t="shared" ref="AG52:AG54" si="324">IF(U52&lt;&gt;"",RANK(AF52,AF$51:AF$54),"")</f>
        <v/>
      </c>
      <c r="AH52" s="191" t="str">
        <f t="shared" ref="AH52:AH54" si="325">IF(U52&lt;&gt;"",SUMPRODUCT((AF$51:AF$54=AF52)*(AA$51:AA$54&gt;AA52)),"")</f>
        <v/>
      </c>
      <c r="AI52" s="191" t="str">
        <f t="shared" ref="AI52:AI54" si="326">IF(U52&lt;&gt;"",SUMPRODUCT((AF$51:AF$54=AF52)*(AA$51:AA$54=AA52)*(Y$51:Y$54&gt;Y52)),"")</f>
        <v/>
      </c>
      <c r="AJ52" s="191" t="str">
        <f t="shared" ref="AJ52:AJ54" si="327">IF(U52&lt;&gt;"",SUMPRODUCT((AF$51:AF$54=AF52)*(AA$51:AA$54=AA52)*(Y$51:Y$54=Y52)*(AC$51:AC$54&gt;AC52)),"")</f>
        <v/>
      </c>
      <c r="AK52" s="191" t="str">
        <f t="shared" ref="AK52:AK54" si="328">IF(U52&lt;&gt;"",SUMPRODUCT((AF$51:AF$54=AF52)*(AA$51:AA$54=AA52)*(Y$51:Y$54=Y52)*(AC$51:AC$54=AC52)*(AD$51:AD$54&gt;AD52)),"")</f>
        <v/>
      </c>
      <c r="AL52" s="191" t="str">
        <f t="shared" ref="AL52:AL54" si="329">IF(U52&lt;&gt;"",SUMPRODUCT((AF$51:AF$54=AF52)*(AA$51:AA$54=AA52)*(Y$51:Y$54=Y52)*(AC$51:AC$54=AC52)*(AD$51:AD$54=AD52)*(AE$51:AE$54&gt;AE52)),"")</f>
        <v/>
      </c>
      <c r="AM52" s="191" t="str">
        <f t="shared" ref="AM52:AM54" si="330">IF(U52&lt;&gt;"",SUM(AG52:AL52),"")</f>
        <v/>
      </c>
      <c r="AN52" s="191">
        <f t="shared" ref="AN52:AN54" si="331">IF(AO12&lt;&gt;"",SUMPRODUCT(($AV$11:$AV$14=AV12)*($AU$11:$AU$14=AU12)*($AS$11:$AS$14=AS12)*($AT$11:$AT$14=AT12)),"")</f>
        <v>1</v>
      </c>
      <c r="AO52" s="191" t="str">
        <f t="shared" ref="AO52:AO54" si="332">IF(AND(AN52&lt;&gt;"",AN52&gt;1),AO12,"")</f>
        <v/>
      </c>
      <c r="AP52" s="191">
        <f>SUMPRODUCT(($CZ$3:$CZ$42=$AO52)*($DC$3:$DC$42=$AO53)*($DD$3:$DD$42="W"))+SUMPRODUCT(($CZ$3:$CZ$42=$AO52)*($DC$3:$DC$42=$AO54)*($DD$3:$DD$42="W"))+SUMPRODUCT(($CZ$3:$CZ$42=$AO52)*($DC$3:$DC$42=$AO55)*($DD$3:$DD$42="W"))+SUMPRODUCT(($CZ$3:$CZ$42=$AO53)*($DC$3:$DC$42=$AO52)*($DE$3:$DE$42="W"))+SUMPRODUCT(($CZ$3:$CZ$42=$AO54)*($DC$3:$DC$42=$AO52)*($DE$3:$DE$42="W"))+SUMPRODUCT(($CZ$3:$CZ$42=$AO55)*($DC$3:$DC$42=$AO52)*($DE$3:$DE$42="W"))</f>
        <v>0</v>
      </c>
      <c r="AQ52" s="191">
        <f>SUMPRODUCT(($CZ$3:$CZ$42=$AO52)*($DC$3:$DC$42=$AO53)*($DD$3:$DD$42="D"))+SUMPRODUCT(($CZ$3:$CZ$42=$AO52)*($DC$3:$DC$42=$AO54)*($DD$3:$DD$42="D"))+SUMPRODUCT(($CZ$3:$CZ$42=$AO52)*($DC$3:$DC$42=$AO55)*($DD$3:$DD$42="D"))+SUMPRODUCT(($CZ$3:$CZ$42=$AO53)*($DC$3:$DC$42=$AO52)*($DD$3:$DD$42="D"))+SUMPRODUCT(($CZ$3:$CZ$42=$AO54)*($DC$3:$DC$42=$AO52)*($DD$3:$DD$42="D"))+SUMPRODUCT(($CZ$3:$CZ$42=$AO55)*($DC$3:$DC$42=$AO52)*($DD$3:$DD$42="D"))</f>
        <v>0</v>
      </c>
      <c r="AR52" s="191">
        <f>SUMPRODUCT(($CZ$3:$CZ$42=$AO52)*($DC$3:$DC$42=$AO53)*($DD$3:$DD$42="L"))+SUMPRODUCT(($CZ$3:$CZ$42=$AO52)*($DC$3:$DC$42=$AO54)*($DD$3:$DD$42="L"))+SUMPRODUCT(($CZ$3:$CZ$42=$AO52)*($DC$3:$DC$42=$AO55)*($DD$3:$DD$42="L"))+SUMPRODUCT(($CZ$3:$CZ$42=$AO53)*($DC$3:$DC$42=$AO52)*($DE$3:$DE$42="L"))+SUMPRODUCT(($CZ$3:$CZ$42=$AO54)*($DC$3:$DC$42=$AO52)*($DE$3:$DE$42="L"))+SUMPRODUCT(($CZ$3:$CZ$42=$AO55)*($DC$3:$DC$42=$AO52)*($DE$3:$DE$42="L"))</f>
        <v>0</v>
      </c>
      <c r="AS52" s="191">
        <f>SUMPRODUCT(($CZ$3:$CZ$42=$AO52)*($DC$3:$DC$42=$AO53)*$DA$3:$DA$42)+SUMPRODUCT(($CZ$3:$CZ$42=$AO52)*($DC$3:$DC$42=$AO54)*$DA$3:$DA$42)+SUMPRODUCT(($CZ$3:$CZ$42=$AO52)*($DC$3:$DC$42=$AO55)*$DA$3:$DA$42)+SUMPRODUCT(($CZ$3:$CZ$42=$AO52)*($DC$3:$DC$42=$AO51)*$DA$3:$DA$42)+SUMPRODUCT(($CZ$3:$CZ$42=$AO53)*($DC$3:$DC$42=$AO52)*$DB$3:$DB$42)+SUMPRODUCT(($CZ$3:$CZ$42=$AO54)*($DC$3:$DC$42=$AO52)*$DB$3:$DB$42)+SUMPRODUCT(($CZ$3:$CZ$42=$AO55)*($DC$3:$DC$42=$AO52)*$DB$3:$DB$42)+SUMPRODUCT(($CZ$3:$CZ$42=$AO51)*($DC$3:$DC$42=$AO52)*$DB$3:$DB$42)</f>
        <v>0</v>
      </c>
      <c r="AT52" s="191">
        <f>SUMPRODUCT(($CZ$3:$CZ$42=$AO52)*($DC$3:$DC$42=$AO53)*$DB$3:$DB$42)+SUMPRODUCT(($CZ$3:$CZ$42=$AO52)*($DC$3:$DC$42=$AO54)*$DB$3:$DB$42)+SUMPRODUCT(($CZ$3:$CZ$42=$AO52)*($DC$3:$DC$42=$AO55)*$DB$3:$DB$42)+SUMPRODUCT(($CZ$3:$CZ$42=$AO52)*($DC$3:$DC$42=$AO51)*$DB$3:$DB$42)+SUMPRODUCT(($CZ$3:$CZ$42=$AO53)*($DC$3:$DC$42=$AO52)*$DA$3:$DA$42)+SUMPRODUCT(($CZ$3:$CZ$42=$AO54)*($DC$3:$DC$42=$AO52)*$DA$3:$DA$42)+SUMPRODUCT(($CZ$3:$CZ$42=$AO55)*($DC$3:$DC$42=$AO52)*$DA$3:$DA$42)+SUMPRODUCT(($CZ$3:$CZ$42=$AO51)*($DC$3:$DC$42=$AO52)*$DA$3:$DA$42)</f>
        <v>0</v>
      </c>
      <c r="AU52" s="191">
        <f>AS52-AT52+1000</f>
        <v>1000</v>
      </c>
      <c r="AV52" s="191" t="str">
        <f t="shared" ref="AV52:AV54" si="333">IF(AO52&lt;&gt;"",AP52*3+AQ52*1,"")</f>
        <v/>
      </c>
      <c r="AW52" s="191" t="str">
        <f t="shared" ref="AW52:AW54" si="334">IF(AO52&lt;&gt;"",VLOOKUP(AO52,$B$4:$H$40,7,FALSE),"")</f>
        <v/>
      </c>
      <c r="AX52" s="191" t="str">
        <f t="shared" ref="AX52:AX54" si="335">IF(AO52&lt;&gt;"",VLOOKUP(AO52,$B$4:$H$40,5,FALSE),"")</f>
        <v/>
      </c>
      <c r="AY52" s="191" t="str">
        <f t="shared" ref="AY52:AY54" si="336">IF(AO52&lt;&gt;"",VLOOKUP(AO52,$B$4:$J$40,9,FALSE),"")</f>
        <v/>
      </c>
      <c r="AZ52" s="191" t="str">
        <f t="shared" ref="AZ52:AZ54" si="337">AV52</f>
        <v/>
      </c>
      <c r="BA52" s="191" t="str">
        <f>IF(AO52&lt;&gt;"",RANK(AZ52,AZ$51:AZ$54),"")</f>
        <v/>
      </c>
      <c r="BB52" s="191" t="str">
        <f>IF(AO52&lt;&gt;"",SUMPRODUCT((AZ$51:AZ$54=AZ52)*(AU$51:AU$54&gt;AU52)),"")</f>
        <v/>
      </c>
      <c r="BC52" s="191" t="str">
        <f>IF(AO52&lt;&gt;"",SUMPRODUCT((AZ$51:AZ$54=AZ52)*(AU$51:AU$54=AU52)*(AS$51:AS$54&gt;AS52)),"")</f>
        <v/>
      </c>
      <c r="BD52" s="191" t="str">
        <f>IF(AO52&lt;&gt;"",SUMPRODUCT((AZ$51:AZ$54=AZ52)*(AU$51:AU$54=AU52)*(AS$51:AS$54=AS52)*(AW$51:AW$54&gt;AW52)),"")</f>
        <v/>
      </c>
      <c r="BE52" s="191" t="str">
        <f>IF(AO52&lt;&gt;"",SUMPRODUCT((AZ$51:AZ$54=AZ52)*(AU$51:AU$54=AU52)*(AS$51:AS$54=AS52)*(AW$51:AW$54=AW52)*(AX$51:AX$54&gt;AX52)),"")</f>
        <v/>
      </c>
      <c r="BF52" s="191" t="str">
        <f>IF(AO52&lt;&gt;"",SUMPRODUCT((AZ$51:AZ$54=AZ52)*(AU$51:AU$54=AU52)*(AS$51:AS$54=AS52)*(AW$51:AW$54=AW52)*(AX$51:AX$54=AX52)*(AY$51:AY$54&gt;AY52)),"")</f>
        <v/>
      </c>
      <c r="BG52" s="191" t="str">
        <f>IF(AO52&lt;&gt;"",SUM(BA52:BF52)+1,"")</f>
        <v/>
      </c>
      <c r="EH52" s="193" t="e">
        <f>Fixtures!#REF!</f>
        <v>#REF!</v>
      </c>
      <c r="EJ52" s="193" t="str">
        <f>IF(ISERROR("'Countries and Timezone'!"&amp;VLOOKUP(EH52,'Dummy Table'!$EH$7:$EI$38,2,FALSE)),"'Countries and Timezone'!b39","'Countries and Timezone'!"&amp;VLOOKUP(EH52,'Dummy Table'!$EH$7:$EI$38,2,FALSE))</f>
        <v>'Countries and Timezone'!b39</v>
      </c>
      <c r="EL52" s="199">
        <v>44379.75</v>
      </c>
      <c r="EM52" s="200">
        <f t="shared" si="51"/>
        <v>44379.75</v>
      </c>
      <c r="EO52" s="209" t="s">
        <v>666</v>
      </c>
      <c r="EP52" s="191">
        <v>0</v>
      </c>
      <c r="EQ52" s="191" t="s">
        <v>667</v>
      </c>
      <c r="ER52" s="191" t="s">
        <v>668</v>
      </c>
    </row>
    <row r="53" spans="9:148" x14ac:dyDescent="0.35">
      <c r="I53" s="191">
        <f>SUMPRODUCT((I11:I14=I13)*(H11:H14=H13)*(F11:F14&gt;F13))+1</f>
        <v>1</v>
      </c>
      <c r="T53" s="191" t="str">
        <f t="shared" si="321"/>
        <v/>
      </c>
      <c r="U53" s="191" t="str">
        <f t="shared" si="322"/>
        <v/>
      </c>
      <c r="V53" s="191">
        <f>SUMPRODUCT(($CZ$3:$CZ$42=$U53)*($DC$3:$DC$42=$U54)*($DD$3:$DD$42="W"))+SUMPRODUCT(($CZ$3:$CZ$42=$U53)*($DC$3:$DC$42=$U55)*($DD$3:$DD$42="W"))+SUMPRODUCT(($CZ$3:$CZ$42=$U53)*($DC$3:$DC$42=$U51)*($DD$3:$DD$42="W"))+SUMPRODUCT(($CZ$3:$CZ$42=$U53)*($DC$3:$DC$42=$U52)*($DD$3:$DD$42="W"))+SUMPRODUCT(($CZ$3:$CZ$42=$U54)*($DC$3:$DC$42=$U53)*($DE$3:$DE$42="W"))+SUMPRODUCT(($CZ$3:$CZ$42=$U55)*($DC$3:$DC$42=$U53)*($DE$3:$DE$42="W"))+SUMPRODUCT(($CZ$3:$CZ$42=$U51)*($DC$3:$DC$42=$U53)*($DE$3:$DE$42="W"))+SUMPRODUCT(($CZ$3:$CZ$42=$U52)*($DC$3:$DC$42=$U53)*($DE$3:$DE$42="W"))</f>
        <v>0</v>
      </c>
      <c r="W53" s="191">
        <f>SUMPRODUCT(($CZ$3:$CZ$42=$U53)*($DC$3:$DC$42=$U54)*($DD$3:$DD$42="D"))+SUMPRODUCT(($CZ$3:$CZ$42=$U53)*($DC$3:$DC$42=$U55)*($DD$3:$DD$42="D"))+SUMPRODUCT(($CZ$3:$CZ$42=$U53)*($DC$3:$DC$42=$U51)*($DD$3:$DD$42="D"))+SUMPRODUCT(($CZ$3:$CZ$42=$U53)*($DC$3:$DC$42=$U52)*($DD$3:$DD$42="D"))+SUMPRODUCT(($CZ$3:$CZ$42=$U54)*($DC$3:$DC$42=$U53)*($DD$3:$DD$42="D"))+SUMPRODUCT(($CZ$3:$CZ$42=$U55)*($DC$3:$DC$42=$U53)*($DD$3:$DD$42="D"))+SUMPRODUCT(($CZ$3:$CZ$42=$U51)*($DC$3:$DC$42=$U53)*($DD$3:$DD$42="D"))+SUMPRODUCT(($CZ$3:$CZ$42=$U52)*($DC$3:$DC$42=$U53)*($DD$3:$DD$42="D"))</f>
        <v>0</v>
      </c>
      <c r="X53" s="191">
        <f>SUMPRODUCT(($CZ$3:$CZ$42=$U53)*($DC$3:$DC$42=$U54)*($DD$3:$DD$42="L"))+SUMPRODUCT(($CZ$3:$CZ$42=$U53)*($DC$3:$DC$42=$U55)*($DD$3:$DD$42="L"))+SUMPRODUCT(($CZ$3:$CZ$42=$U53)*($DC$3:$DC$42=$U51)*($DD$3:$DD$42="L"))+SUMPRODUCT(($CZ$3:$CZ$42=$U53)*($DC$3:$DC$42=$U52)*($DD$3:$DD$42="L"))+SUMPRODUCT(($CZ$3:$CZ$42=$U54)*($DC$3:$DC$42=$U53)*($DE$3:$DE$42="L"))+SUMPRODUCT(($CZ$3:$CZ$42=$U55)*($DC$3:$DC$42=$U53)*($DE$3:$DE$42="L"))+SUMPRODUCT(($CZ$3:$CZ$42=$U51)*($DC$3:$DC$42=$U53)*($DE$3:$DE$42="L"))+SUMPRODUCT(($CZ$3:$CZ$42=$U52)*($DC$3:$DC$42=$U53)*($DE$3:$DE$42="L"))</f>
        <v>0</v>
      </c>
      <c r="Y53" s="191">
        <f>SUMPRODUCT(($CZ$3:$CZ$42=$U53)*($DC$3:$DC$42=$U54)*$DA$3:$DA$42)+SUMPRODUCT(($CZ$3:$CZ$42=$U53)*($DC$3:$DC$42=$U55)*$DA$3:$DA$42)+SUMPRODUCT(($CZ$3:$CZ$42=$U53)*($DC$3:$DC$42=$U51)*$DA$3:$DA$42)+SUMPRODUCT(($CZ$3:$CZ$42=$U53)*($DC$3:$DC$42=$U52)*$DA$3:$DA$42)+SUMPRODUCT(($CZ$3:$CZ$42=$U54)*($DC$3:$DC$42=$U53)*$DB$3:$DB$42)+SUMPRODUCT(($CZ$3:$CZ$42=$U55)*($DC$3:$DC$42=$U53)*$DB$3:$DB$42)+SUMPRODUCT(($CZ$3:$CZ$42=$U51)*($DC$3:$DC$42=$U53)*$DB$3:$DB$42)+SUMPRODUCT(($CZ$3:$CZ$42=$U52)*($DC$3:$DC$42=$U53)*$DB$3:$DB$42)</f>
        <v>0</v>
      </c>
      <c r="Z53" s="191">
        <f>SUMPRODUCT(($CZ$3:$CZ$42=$U53)*($DC$3:$DC$42=$U54)*$DB$3:$DB$42)+SUMPRODUCT(($CZ$3:$CZ$42=$U53)*($DC$3:$DC$42=$U55)*$DB$3:$DB$42)+SUMPRODUCT(($CZ$3:$CZ$42=$U53)*($DC$3:$DC$42=$U51)*$DB$3:$DB$42)+SUMPRODUCT(($CZ$3:$CZ$42=$U53)*($DC$3:$DC$42=$U52)*$DB$3:$DB$42)+SUMPRODUCT(($CZ$3:$CZ$42=$U54)*($DC$3:$DC$42=$U53)*$DA$3:$DA$42)+SUMPRODUCT(($CZ$3:$CZ$42=$U55)*($DC$3:$DC$42=$U53)*$DA$3:$DA$42)+SUMPRODUCT(($CZ$3:$CZ$42=$U51)*($DC$3:$DC$42=$U53)*$DA$3:$DA$42)+SUMPRODUCT(($CZ$3:$CZ$42=$U52)*($DC$3:$DC$42=$U53)*$DA$3:$DA$42)</f>
        <v>0</v>
      </c>
      <c r="AA53" s="191">
        <f>Y53-Z53+1000</f>
        <v>1000</v>
      </c>
      <c r="AB53" s="191" t="str">
        <f t="shared" si="317"/>
        <v/>
      </c>
      <c r="AC53" s="191" t="str">
        <f t="shared" si="318"/>
        <v/>
      </c>
      <c r="AD53" s="191" t="str">
        <f t="shared" si="319"/>
        <v/>
      </c>
      <c r="AE53" s="191" t="str">
        <f t="shared" si="320"/>
        <v/>
      </c>
      <c r="AF53" s="191" t="str">
        <f t="shared" si="323"/>
        <v/>
      </c>
      <c r="AG53" s="191" t="str">
        <f t="shared" si="324"/>
        <v/>
      </c>
      <c r="AH53" s="191" t="str">
        <f t="shared" si="325"/>
        <v/>
      </c>
      <c r="AI53" s="191" t="str">
        <f t="shared" si="326"/>
        <v/>
      </c>
      <c r="AJ53" s="191" t="str">
        <f t="shared" si="327"/>
        <v/>
      </c>
      <c r="AK53" s="191" t="str">
        <f t="shared" si="328"/>
        <v/>
      </c>
      <c r="AL53" s="191" t="str">
        <f t="shared" si="329"/>
        <v/>
      </c>
      <c r="AM53" s="191" t="str">
        <f t="shared" si="330"/>
        <v/>
      </c>
      <c r="AN53" s="191">
        <f t="shared" si="331"/>
        <v>1</v>
      </c>
      <c r="AO53" s="191" t="str">
        <f t="shared" si="332"/>
        <v/>
      </c>
      <c r="AP53" s="191">
        <f>SUMPRODUCT(($CZ$3:$CZ$42=$AO53)*($DC$3:$DC$42=$AO54)*($DD$3:$DD$42="W"))+SUMPRODUCT(($CZ$3:$CZ$42=$AO53)*($DC$3:$DC$42=$AO55)*($DD$3:$DD$42="W"))+SUMPRODUCT(($CZ$3:$CZ$42=$AO53)*($DC$3:$DC$42=$AO52)*($DD$3:$DD$42="W"))+SUMPRODUCT(($CZ$3:$CZ$42=$AO54)*($DC$3:$DC$42=$AO53)*($DE$3:$DE$42="W"))+SUMPRODUCT(($CZ$3:$CZ$42=$AO55)*($DC$3:$DC$42=$AO53)*($DE$3:$DE$42="W"))+SUMPRODUCT(($CZ$3:$CZ$42=$AO52)*($DC$3:$DC$42=$AO53)*($DE$3:$DE$42="W"))</f>
        <v>0</v>
      </c>
      <c r="AQ53" s="191">
        <f>SUMPRODUCT(($CZ$3:$CZ$42=$AO53)*($DC$3:$DC$42=$AO54)*($DD$3:$DD$42="D"))+SUMPRODUCT(($CZ$3:$CZ$42=$AO53)*($DC$3:$DC$42=$AO55)*($DD$3:$DD$42="D"))+SUMPRODUCT(($CZ$3:$CZ$42=$AO53)*($DC$3:$DC$42=$AO52)*($DD$3:$DD$42="D"))+SUMPRODUCT(($CZ$3:$CZ$42=$AO54)*($DC$3:$DC$42=$AO53)*($DD$3:$DD$42="D"))+SUMPRODUCT(($CZ$3:$CZ$42=$AO55)*($DC$3:$DC$42=$AO53)*($DD$3:$DD$42="D"))+SUMPRODUCT(($CZ$3:$CZ$42=$AO52)*($DC$3:$DC$42=$AO53)*($DD$3:$DD$42="D"))</f>
        <v>0</v>
      </c>
      <c r="AR53" s="191">
        <f>SUMPRODUCT(($CZ$3:$CZ$42=$AO53)*($DC$3:$DC$42=$AO54)*($DD$3:$DD$42="L"))+SUMPRODUCT(($CZ$3:$CZ$42=$AO53)*($DC$3:$DC$42=$AO55)*($DD$3:$DD$42="L"))+SUMPRODUCT(($CZ$3:$CZ$42=$AO53)*($DC$3:$DC$42=$AO52)*($DD$3:$DD$42="L"))+SUMPRODUCT(($CZ$3:$CZ$42=$AO54)*($DC$3:$DC$42=$AO53)*($DE$3:$DE$42="L"))+SUMPRODUCT(($CZ$3:$CZ$42=$AO55)*($DC$3:$DC$42=$AO53)*($DE$3:$DE$42="L"))+SUMPRODUCT(($CZ$3:$CZ$42=$AO52)*($DC$3:$DC$42=$AO53)*($DE$3:$DE$42="L"))</f>
        <v>0</v>
      </c>
      <c r="AS53" s="191">
        <f>SUMPRODUCT(($CZ$3:$CZ$42=$AO53)*($DC$3:$DC$42=$AO54)*$DA$3:$DA$42)+SUMPRODUCT(($CZ$3:$CZ$42=$AO53)*($DC$3:$DC$42=$AO55)*$DA$3:$DA$42)+SUMPRODUCT(($CZ$3:$CZ$42=$AO53)*($DC$3:$DC$42=$AO51)*$DA$3:$DA$42)+SUMPRODUCT(($CZ$3:$CZ$42=$AO53)*($DC$3:$DC$42=$AO52)*$DA$3:$DA$42)+SUMPRODUCT(($CZ$3:$CZ$42=$AO54)*($DC$3:$DC$42=$AO53)*$DB$3:$DB$42)+SUMPRODUCT(($CZ$3:$CZ$42=$AO55)*($DC$3:$DC$42=$AO53)*$DB$3:$DB$42)+SUMPRODUCT(($CZ$3:$CZ$42=$AO51)*($DC$3:$DC$42=$AO53)*$DB$3:$DB$42)+SUMPRODUCT(($CZ$3:$CZ$42=$AO52)*($DC$3:$DC$42=$AO53)*$DB$3:$DB$42)</f>
        <v>0</v>
      </c>
      <c r="AT53" s="191">
        <f>SUMPRODUCT(($CZ$3:$CZ$42=$AO53)*($DC$3:$DC$42=$AO54)*$DB$3:$DB$42)+SUMPRODUCT(($CZ$3:$CZ$42=$AO53)*($DC$3:$DC$42=$AO55)*$DB$3:$DB$42)+SUMPRODUCT(($CZ$3:$CZ$42=$AO53)*($DC$3:$DC$42=$AO51)*$DB$3:$DB$42)+SUMPRODUCT(($CZ$3:$CZ$42=$AO53)*($DC$3:$DC$42=$AO52)*$DB$3:$DB$42)+SUMPRODUCT(($CZ$3:$CZ$42=$AO54)*($DC$3:$DC$42=$AO53)*$DA$3:$DA$42)+SUMPRODUCT(($CZ$3:$CZ$42=$AO55)*($DC$3:$DC$42=$AO53)*$DA$3:$DA$42)+SUMPRODUCT(($CZ$3:$CZ$42=$AO51)*($DC$3:$DC$42=$AO53)*$DA$3:$DA$42)+SUMPRODUCT(($CZ$3:$CZ$42=$AO52)*($DC$3:$DC$42=$AO53)*$DA$3:$DA$42)</f>
        <v>0</v>
      </c>
      <c r="AU53" s="191">
        <f>AS53-AT53+1000</f>
        <v>1000</v>
      </c>
      <c r="AV53" s="191" t="str">
        <f t="shared" si="333"/>
        <v/>
      </c>
      <c r="AW53" s="191" t="str">
        <f t="shared" si="334"/>
        <v/>
      </c>
      <c r="AX53" s="191" t="str">
        <f t="shared" si="335"/>
        <v/>
      </c>
      <c r="AY53" s="191" t="str">
        <f t="shared" si="336"/>
        <v/>
      </c>
      <c r="AZ53" s="191" t="str">
        <f t="shared" si="337"/>
        <v/>
      </c>
      <c r="BA53" s="191" t="str">
        <f t="shared" ref="BA53:BA54" si="338">IF(AO53&lt;&gt;"",RANK(AZ53,AZ$51:AZ$54),"")</f>
        <v/>
      </c>
      <c r="BB53" s="191" t="str">
        <f t="shared" ref="BB53:BB54" si="339">IF(AO53&lt;&gt;"",SUMPRODUCT((AZ$51:AZ$54=AZ53)*(AU$51:AU$54&gt;AU53)),"")</f>
        <v/>
      </c>
      <c r="BC53" s="191" t="str">
        <f t="shared" ref="BC53:BC54" si="340">IF(AO53&lt;&gt;"",SUMPRODUCT((AZ$51:AZ$54=AZ53)*(AU$51:AU$54=AU53)*(AS$51:AS$54&gt;AS53)),"")</f>
        <v/>
      </c>
      <c r="BD53" s="191" t="str">
        <f t="shared" ref="BD53:BD54" si="341">IF(AO53&lt;&gt;"",SUMPRODUCT((AZ$51:AZ$54=AZ53)*(AU$51:AU$54=AU53)*(AS$51:AS$54=AS53)*(AW$51:AW$54&gt;AW53)),"")</f>
        <v/>
      </c>
      <c r="BE53" s="191" t="str">
        <f t="shared" ref="BE53:BE54" si="342">IF(AO53&lt;&gt;"",SUMPRODUCT((AZ$51:AZ$54=AZ53)*(AU$51:AU$54=AU53)*(AS$51:AS$54=AS53)*(AW$51:AW$54=AW53)*(AX$51:AX$54&gt;AX53)),"")</f>
        <v/>
      </c>
      <c r="BF53" s="191" t="str">
        <f t="shared" ref="BF53:BF54" si="343">IF(AO53&lt;&gt;"",SUMPRODUCT((AZ$51:AZ$54=AZ53)*(AU$51:AU$54=AU53)*(AS$51:AS$54=AS53)*(AW$51:AW$54=AW53)*(AX$51:AX$54=AX53)*(AY$51:AY$54&gt;AY53)),"")</f>
        <v/>
      </c>
      <c r="BG53" s="191" t="str">
        <f t="shared" ref="BG53:BG54" si="344">IF(AO53&lt;&gt;"",SUM(BA53:BF53)+1,"")</f>
        <v/>
      </c>
      <c r="EH53" s="193" t="e">
        <f>Fixtures!#REF!</f>
        <v>#REF!</v>
      </c>
      <c r="EJ53" s="193" t="str">
        <f>IF(ISERROR("'Countries and Timezone'!"&amp;VLOOKUP(EH53,'Dummy Table'!$EH$7:$EI$38,2,FALSE)),"'Countries and Timezone'!b39","'Countries and Timezone'!"&amp;VLOOKUP(EH53,'Dummy Table'!$EH$7:$EI$38,2,FALSE))</f>
        <v>'Countries and Timezone'!b39</v>
      </c>
      <c r="EL53" s="199">
        <v>44379.875</v>
      </c>
      <c r="EM53" s="200">
        <f t="shared" si="51"/>
        <v>44379.875</v>
      </c>
      <c r="EO53" s="209" t="s">
        <v>669</v>
      </c>
      <c r="EP53" s="191">
        <v>0</v>
      </c>
      <c r="EQ53" s="191" t="s">
        <v>670</v>
      </c>
      <c r="ER53" s="191" t="s">
        <v>671</v>
      </c>
    </row>
    <row r="54" spans="9:148" x14ac:dyDescent="0.35">
      <c r="I54" s="191">
        <f>SUMPRODUCT((I11:I14=I14)*(H11:H14=H14)*(F11:F14&gt;F14))+1</f>
        <v>1</v>
      </c>
      <c r="T54" s="191" t="str">
        <f t="shared" si="321"/>
        <v/>
      </c>
      <c r="U54" s="191" t="str">
        <f t="shared" si="322"/>
        <v/>
      </c>
      <c r="V54" s="191">
        <f>SUMPRODUCT(($CZ$3:$CZ$42=$U54)*($DC$3:$DC$42=$U55)*($DD$3:$DD$42="W"))+SUMPRODUCT(($CZ$3:$CZ$42=$U54)*($DC$3:$DC$42=$U51)*($DD$3:$DD$42="W"))+SUMPRODUCT(($CZ$3:$CZ$42=$U54)*($DC$3:$DC$42=$U52)*($DD$3:$DD$42="W"))+SUMPRODUCT(($CZ$3:$CZ$42=$U54)*($DC$3:$DC$42=$U53)*($DD$3:$DD$42="W"))+SUMPRODUCT(($CZ$3:$CZ$42=$U55)*($DC$3:$DC$42=$U54)*($DE$3:$DE$42="W"))+SUMPRODUCT(($CZ$3:$CZ$42=$U51)*($DC$3:$DC$42=$U54)*($DE$3:$DE$42="W"))+SUMPRODUCT(($CZ$3:$CZ$42=$U52)*($DC$3:$DC$42=$U54)*($DE$3:$DE$42="W"))+SUMPRODUCT(($CZ$3:$CZ$42=$U53)*($DC$3:$DC$42=$U54)*($DE$3:$DE$42="W"))</f>
        <v>0</v>
      </c>
      <c r="W54" s="191">
        <f>SUMPRODUCT(($CZ$3:$CZ$42=$U54)*($DC$3:$DC$42=$U55)*($DD$3:$DD$42="D"))+SUMPRODUCT(($CZ$3:$CZ$42=$U54)*($DC$3:$DC$42=$U51)*($DD$3:$DD$42="D"))+SUMPRODUCT(($CZ$3:$CZ$42=$U54)*($DC$3:$DC$42=$U52)*($DD$3:$DD$42="D"))+SUMPRODUCT(($CZ$3:$CZ$42=$U54)*($DC$3:$DC$42=$U53)*($DD$3:$DD$42="D"))+SUMPRODUCT(($CZ$3:$CZ$42=$U55)*($DC$3:$DC$42=$U54)*($DD$3:$DD$42="D"))+SUMPRODUCT(($CZ$3:$CZ$42=$U51)*($DC$3:$DC$42=$U54)*($DD$3:$DD$42="D"))+SUMPRODUCT(($CZ$3:$CZ$42=$U52)*($DC$3:$DC$42=$U54)*($DD$3:$DD$42="D"))+SUMPRODUCT(($CZ$3:$CZ$42=$U53)*($DC$3:$DC$42=$U54)*($DD$3:$DD$42="D"))</f>
        <v>0</v>
      </c>
      <c r="X54" s="191">
        <f>SUMPRODUCT(($CZ$3:$CZ$42=$U54)*($DC$3:$DC$42=$U55)*($DD$3:$DD$42="L"))+SUMPRODUCT(($CZ$3:$CZ$42=$U54)*($DC$3:$DC$42=$U51)*($DD$3:$DD$42="L"))+SUMPRODUCT(($CZ$3:$CZ$42=$U54)*($DC$3:$DC$42=$U52)*($DD$3:$DD$42="L"))+SUMPRODUCT(($CZ$3:$CZ$42=$U54)*($DC$3:$DC$42=$U53)*($DD$3:$DD$42="L"))+SUMPRODUCT(($CZ$3:$CZ$42=$U55)*($DC$3:$DC$42=$U54)*($DE$3:$DE$42="L"))+SUMPRODUCT(($CZ$3:$CZ$42=$U51)*($DC$3:$DC$42=$U54)*($DE$3:$DE$42="L"))+SUMPRODUCT(($CZ$3:$CZ$42=$U52)*($DC$3:$DC$42=$U54)*($DE$3:$DE$42="L"))+SUMPRODUCT(($CZ$3:$CZ$42=$U53)*($DC$3:$DC$42=$U54)*($DE$3:$DE$42="L"))</f>
        <v>0</v>
      </c>
      <c r="Y54" s="191">
        <f>SUMPRODUCT(($CZ$3:$CZ$42=$U54)*($DC$3:$DC$42=$U55)*$DA$3:$DA$42)+SUMPRODUCT(($CZ$3:$CZ$42=$U54)*($DC$3:$DC$42=$U51)*$DA$3:$DA$42)+SUMPRODUCT(($CZ$3:$CZ$42=$U54)*($DC$3:$DC$42=$U52)*$DA$3:$DA$42)+SUMPRODUCT(($CZ$3:$CZ$42=$U54)*($DC$3:$DC$42=$U53)*$DA$3:$DA$42)+SUMPRODUCT(($CZ$3:$CZ$42=$U55)*($DC$3:$DC$42=$U54)*$DB$3:$DB$42)+SUMPRODUCT(($CZ$3:$CZ$42=$U51)*($DC$3:$DC$42=$U54)*$DB$3:$DB$42)+SUMPRODUCT(($CZ$3:$CZ$42=$U52)*($DC$3:$DC$42=$U54)*$DB$3:$DB$42)+SUMPRODUCT(($CZ$3:$CZ$42=$U53)*($DC$3:$DC$42=$U54)*$DB$3:$DB$42)</f>
        <v>0</v>
      </c>
      <c r="Z54" s="191">
        <f>SUMPRODUCT(($CZ$3:$CZ$42=$U54)*($DC$3:$DC$42=$U55)*$DB$3:$DB$42)+SUMPRODUCT(($CZ$3:$CZ$42=$U54)*($DC$3:$DC$42=$U51)*$DB$3:$DB$42)+SUMPRODUCT(($CZ$3:$CZ$42=$U54)*($DC$3:$DC$42=$U52)*$DB$3:$DB$42)+SUMPRODUCT(($CZ$3:$CZ$42=$U54)*($DC$3:$DC$42=$U53)*$DB$3:$DB$42)+SUMPRODUCT(($CZ$3:$CZ$42=$U55)*($DC$3:$DC$42=$U54)*$DA$3:$DA$42)+SUMPRODUCT(($CZ$3:$CZ$42=$U51)*($DC$3:$DC$42=$U54)*$DA$3:$DA$42)+SUMPRODUCT(($CZ$3:$CZ$42=$U52)*($DC$3:$DC$42=$U54)*$DA$3:$DA$42)+SUMPRODUCT(($CZ$3:$CZ$42=$U53)*($DC$3:$DC$42=$U54)*$DA$3:$DA$42)</f>
        <v>0</v>
      </c>
      <c r="AA54" s="191">
        <f>Y54-Z54+1000</f>
        <v>1000</v>
      </c>
      <c r="AB54" s="191" t="str">
        <f t="shared" si="317"/>
        <v/>
      </c>
      <c r="AC54" s="191" t="str">
        <f t="shared" si="318"/>
        <v/>
      </c>
      <c r="AD54" s="191" t="str">
        <f t="shared" si="319"/>
        <v/>
      </c>
      <c r="AE54" s="191" t="str">
        <f t="shared" si="320"/>
        <v/>
      </c>
      <c r="AF54" s="191" t="str">
        <f t="shared" si="323"/>
        <v/>
      </c>
      <c r="AG54" s="191" t="str">
        <f t="shared" si="324"/>
        <v/>
      </c>
      <c r="AH54" s="191" t="str">
        <f t="shared" si="325"/>
        <v/>
      </c>
      <c r="AI54" s="191" t="str">
        <f t="shared" si="326"/>
        <v/>
      </c>
      <c r="AJ54" s="191" t="str">
        <f t="shared" si="327"/>
        <v/>
      </c>
      <c r="AK54" s="191" t="str">
        <f t="shared" si="328"/>
        <v/>
      </c>
      <c r="AL54" s="191" t="str">
        <f t="shared" si="329"/>
        <v/>
      </c>
      <c r="AM54" s="191" t="str">
        <f t="shared" si="330"/>
        <v/>
      </c>
      <c r="AN54" s="191">
        <f t="shared" si="331"/>
        <v>1</v>
      </c>
      <c r="AO54" s="191" t="str">
        <f t="shared" si="332"/>
        <v/>
      </c>
      <c r="AP54" s="191" t="str">
        <f>IF($AO54&lt;&gt;"",SUMPRODUCT(($CZ$3:$CZ$42=$AO54)*($DC$3:$DC$42=$AO55)*($DD$3:$DD$42="W"))+SUMPRODUCT(($CZ$3:$CZ$42=$AO54)*($DC$3:$DC$42=$AO52)*($DD$3:$DD$42="W"))+SUMPRODUCT(($CZ$3:$CZ$42=$AO54)*($DC$3:$DC$42=$AO53)*($DD$3:$DD$42="W"))+SUMPRODUCT(($CZ$3:$CZ$42=$AO55)*($DC$3:$DC$42=$AO54)*($DE$3:$DE$42="W"))+SUMPRODUCT(($CZ$3:$CZ$42=$AO52)*($DC$3:$DC$42=$AO54)*($DE$3:$DE$42="W"))+SUMPRODUCT(($CZ$3:$CZ$42=$AO53)*($DC$3:$DC$42=$AO54)*($DE$3:$DE$42="W")),"")</f>
        <v/>
      </c>
      <c r="AQ54" s="191" t="str">
        <f>IF($AO54&lt;&gt;"",SUMPRODUCT(($CZ$3:$CZ$42=$AO54)*($DC$3:$DC$42=$AO55)*($DD$3:$DD$42="D"))+SUMPRODUCT(($CZ$3:$CZ$42=$AO54)*($DC$3:$DC$42=$AO52)*($DD$3:$DD$42="D"))+SUMPRODUCT(($CZ$3:$CZ$42=$AO54)*($DC$3:$DC$42=$AO53)*($DD$3:$DD$42="D"))+SUMPRODUCT(($CZ$3:$CZ$42=$AO55)*($DC$3:$DC$42=$AO54)*($DD$3:$DD$42="D"))+SUMPRODUCT(($CZ$3:$CZ$42=$AO52)*($DC$3:$DC$42=$AO54)*($DD$3:$DD$42="D"))+SUMPRODUCT(($CZ$3:$CZ$42=$AO53)*($DC$3:$DC$42=$AO54)*($DD$3:$DD$42="D")),"")</f>
        <v/>
      </c>
      <c r="AR54" s="191" t="str">
        <f>IF($AO54&lt;&gt;"",SUMPRODUCT(($CZ$3:$CZ$42=$AO54)*($DC$3:$DC$42=$AO55)*($DD$3:$DD$42="L"))+SUMPRODUCT(($CZ$3:$CZ$42=$AO54)*($DC$3:$DC$42=$AO52)*($DD$3:$DD$42="L"))+SUMPRODUCT(($CZ$3:$CZ$42=$AO54)*($DC$3:$DC$42=$AO53)*($DD$3:$DD$42="L"))+SUMPRODUCT(($CZ$3:$CZ$42=$AO55)*($DC$3:$DC$42=$AO54)*($DE$3:$DE$42="L"))+SUMPRODUCT(($CZ$3:$CZ$42=$AO52)*($DC$3:$DC$42=$AO54)*($DE$3:$DE$42="L"))+SUMPRODUCT(($CZ$3:$CZ$42=$AO53)*($DC$3:$DC$42=$AO54)*($DE$3:$DE$42="L")),"")</f>
        <v/>
      </c>
      <c r="AS54" s="191">
        <f>SUMPRODUCT(($CZ$3:$CZ$42=$AO54)*($DC$3:$DC$42=$AO55)*$DA$3:$DA$42)+SUMPRODUCT(($CZ$3:$CZ$42=$AO54)*($DC$3:$DC$42=$AO51)*$DA$3:$DA$42)+SUMPRODUCT(($CZ$3:$CZ$42=$AO54)*($DC$3:$DC$42=$AO52)*$DA$3:$DA$42)+SUMPRODUCT(($CZ$3:$CZ$42=$AO54)*($DC$3:$DC$42=$AO53)*$DA$3:$DA$42)+SUMPRODUCT(($CZ$3:$CZ$42=$AO55)*($DC$3:$DC$42=$AO54)*$DB$3:$DB$42)+SUMPRODUCT(($CZ$3:$CZ$42=$AO51)*($DC$3:$DC$42=$AO54)*$DB$3:$DB$42)+SUMPRODUCT(($CZ$3:$CZ$42=$AO52)*($DC$3:$DC$42=$AO54)*$DB$3:$DB$42)+SUMPRODUCT(($CZ$3:$CZ$42=$AO53)*($DC$3:$DC$42=$AO54)*$DB$3:$DB$42)</f>
        <v>0</v>
      </c>
      <c r="AT54" s="191">
        <f>SUMPRODUCT(($CZ$3:$CZ$42=$AO54)*($DC$3:$DC$42=$AO55)*$DB$3:$DB$42)+SUMPRODUCT(($CZ$3:$CZ$42=$AO54)*($DC$3:$DC$42=$AO51)*$DB$3:$DB$42)+SUMPRODUCT(($CZ$3:$CZ$42=$AO54)*($DC$3:$DC$42=$AO52)*$DB$3:$DB$42)+SUMPRODUCT(($CZ$3:$CZ$42=$AO54)*($DC$3:$DC$42=$AO53)*$DB$3:$DB$42)+SUMPRODUCT(($CZ$3:$CZ$42=$AO55)*($DC$3:$DC$42=$AO54)*$DA$3:$DA$42)+SUMPRODUCT(($CZ$3:$CZ$42=$AO51)*($DC$3:$DC$42=$AO54)*$DA$3:$DA$42)+SUMPRODUCT(($CZ$3:$CZ$42=$AO52)*($DC$3:$DC$42=$AO54)*$DA$3:$DA$42)+SUMPRODUCT(($CZ$3:$CZ$42=$AO53)*($DC$3:$DC$42=$AO54)*$DA$3:$DA$42)</f>
        <v>0</v>
      </c>
      <c r="AU54" s="191">
        <f>AS54-AT54+1000</f>
        <v>1000</v>
      </c>
      <c r="AV54" s="191" t="str">
        <f t="shared" si="333"/>
        <v/>
      </c>
      <c r="AW54" s="191" t="str">
        <f t="shared" si="334"/>
        <v/>
      </c>
      <c r="AX54" s="191" t="str">
        <f t="shared" si="335"/>
        <v/>
      </c>
      <c r="AY54" s="191" t="str">
        <f t="shared" si="336"/>
        <v/>
      </c>
      <c r="AZ54" s="191" t="str">
        <f t="shared" si="337"/>
        <v/>
      </c>
      <c r="BA54" s="191" t="str">
        <f t="shared" si="338"/>
        <v/>
      </c>
      <c r="BB54" s="191" t="str">
        <f t="shared" si="339"/>
        <v/>
      </c>
      <c r="BC54" s="191" t="str">
        <f t="shared" si="340"/>
        <v/>
      </c>
      <c r="BD54" s="191" t="str">
        <f t="shared" si="341"/>
        <v/>
      </c>
      <c r="BE54" s="191" t="str">
        <f t="shared" si="342"/>
        <v/>
      </c>
      <c r="BF54" s="191" t="str">
        <f t="shared" si="343"/>
        <v/>
      </c>
      <c r="BG54" s="191" t="str">
        <f t="shared" si="344"/>
        <v/>
      </c>
      <c r="EH54" s="193" t="e">
        <f>Fixtures!#REF!</f>
        <v>#REF!</v>
      </c>
      <c r="EJ54" s="193" t="str">
        <f>IF(ISERROR("'Countries and Timezone'!"&amp;VLOOKUP(EH54,'Dummy Table'!$EH$7:$EI$38,2,FALSE)),"'Countries and Timezone'!b39","'Countries and Timezone'!"&amp;VLOOKUP(EH54,'Dummy Table'!$EH$7:$EI$38,2,FALSE))</f>
        <v>'Countries and Timezone'!b39</v>
      </c>
      <c r="EL54" s="199">
        <v>44380.75</v>
      </c>
      <c r="EM54" s="200">
        <f t="shared" si="51"/>
        <v>44380.75</v>
      </c>
      <c r="EO54" s="209" t="s">
        <v>672</v>
      </c>
      <c r="EP54" s="191">
        <v>0</v>
      </c>
      <c r="EQ54" s="191" t="s">
        <v>673</v>
      </c>
      <c r="ER54" s="191" t="s">
        <v>674</v>
      </c>
    </row>
    <row r="55" spans="9:148" x14ac:dyDescent="0.35">
      <c r="EH55" s="193" t="e">
        <f>Fixtures!#REF!</f>
        <v>#REF!</v>
      </c>
      <c r="EJ55" s="193" t="str">
        <f>IF(ISERROR("'Countries and Timezone'!"&amp;VLOOKUP(EH55,'Dummy Table'!$EH$7:$EI$38,2,FALSE)),"'Countries and Timezone'!b39","'Countries and Timezone'!"&amp;VLOOKUP(EH55,'Dummy Table'!$EH$7:$EI$38,2,FALSE))</f>
        <v>'Countries and Timezone'!b39</v>
      </c>
      <c r="EL55" s="199">
        <v>44380.875</v>
      </c>
      <c r="EM55" s="200">
        <f t="shared" si="51"/>
        <v>44380.875</v>
      </c>
      <c r="EO55" s="209" t="s">
        <v>675</v>
      </c>
      <c r="EP55" s="191">
        <v>1</v>
      </c>
      <c r="EQ55" s="191" t="s">
        <v>676</v>
      </c>
      <c r="ER55" s="191" t="s">
        <v>677</v>
      </c>
    </row>
    <row r="56" spans="9:148" x14ac:dyDescent="0.35">
      <c r="EH56" s="193" t="e">
        <f>Fixtures!#REF!</f>
        <v>#REF!</v>
      </c>
      <c r="EJ56" s="193" t="str">
        <f>IF(ISERROR("'Countries and Timezone'!"&amp;VLOOKUP(EH56,'Dummy Table'!$EH$7:$EI$38,2,FALSE)),"'Countries and Timezone'!b39","'Countries and Timezone'!"&amp;VLOOKUP(EH56,'Dummy Table'!$EH$7:$EI$38,2,FALSE))</f>
        <v>'Countries and Timezone'!b39</v>
      </c>
      <c r="EL56" s="199">
        <v>44383.875</v>
      </c>
      <c r="EM56" s="200">
        <f t="shared" si="51"/>
        <v>44383.875</v>
      </c>
      <c r="EO56" s="209" t="s">
        <v>678</v>
      </c>
      <c r="EP56" s="191">
        <v>1</v>
      </c>
      <c r="EQ56" s="191" t="s">
        <v>679</v>
      </c>
      <c r="ER56" s="191" t="s">
        <v>680</v>
      </c>
    </row>
    <row r="57" spans="9:148" x14ac:dyDescent="0.35">
      <c r="T57" s="191">
        <f>IF(U58="",SUM(AG18:AL18),IF(U59="",SUM(AG19:AL19),IF(U60="",SUM(AG20:AL20),IF(U61="",SUM(AG21:AL21),0))))</f>
        <v>0</v>
      </c>
      <c r="AN57" s="191">
        <f>IF(AO59="",SUM(BA19:BF19),IF(AO60="",SUM(BA20:BF20),IF(AO61="",SUM(BA21:BF21),0)))</f>
        <v>0</v>
      </c>
      <c r="EH57" s="193" t="e">
        <f>Fixtures!#REF!</f>
        <v>#REF!</v>
      </c>
      <c r="EJ57" s="193" t="str">
        <f>IF(ISERROR("'Countries and Timezone'!"&amp;VLOOKUP(EH57,'Dummy Table'!$EH$7:$EI$38,2,FALSE)),"'Countries and Timezone'!b39","'Countries and Timezone'!"&amp;VLOOKUP(EH57,'Dummy Table'!$EH$7:$EI$38,2,FALSE))</f>
        <v>'Countries and Timezone'!b39</v>
      </c>
      <c r="EL57" s="199">
        <v>44384.875</v>
      </c>
      <c r="EM57" s="200">
        <f t="shared" si="51"/>
        <v>44384.875</v>
      </c>
      <c r="EO57" s="210"/>
      <c r="EP57" s="191">
        <v>1</v>
      </c>
      <c r="EQ57" s="191" t="s">
        <v>681</v>
      </c>
      <c r="ER57" s="191" t="s">
        <v>682</v>
      </c>
    </row>
    <row r="58" spans="9:148" x14ac:dyDescent="0.35">
      <c r="I58" s="191">
        <f>SUMPRODUCT((I18:I21=I18)*(H18:H21=H18)*(F18:F21&gt;F18))+1</f>
        <v>1</v>
      </c>
      <c r="T58" s="191" t="str">
        <f t="shared" ref="T58:T61" si="345">IF(U18&lt;&gt;"",SUMPRODUCT(($AB$18:$AB$21=AB18)*($AA$18:$AA$21=AA18)*($Y$18:$Y$21=Y18)*($Z$18:$Z$21=Z18)),"")</f>
        <v/>
      </c>
      <c r="U58" s="191" t="str">
        <f>IF(AND(T58&lt;&gt;"",T58&gt;1),U18,"")</f>
        <v/>
      </c>
      <c r="V58" s="191">
        <f>SUMPRODUCT(($CZ$3:$CZ$42=$U58)*($DC$3:$DC$42=$U59)*($DD$3:$DD$42="W"))+SUMPRODUCT(($CZ$3:$CZ$42=$U58)*($DC$3:$DC$42=$U60)*($DD$3:$DD$42="W"))+SUMPRODUCT(($CZ$3:$CZ$42=$U58)*($DC$3:$DC$42=$U61)*($DD$3:$DD$42="W"))+SUMPRODUCT(($CZ$3:$CZ$42=$U58)*($DC$3:$DC$42=$U62)*($DD$3:$DD$42="W"))+SUMPRODUCT(($CZ$3:$CZ$42=$U59)*($DC$3:$DC$42=$U58)*($DE$3:$DE$42="W"))+SUMPRODUCT(($CZ$3:$CZ$42=$U60)*($DC$3:$DC$42=$U58)*($DE$3:$DE$42="W"))+SUMPRODUCT(($CZ$3:$CZ$42=$U61)*($DC$3:$DC$42=$U58)*($DE$3:$DE$42="W"))+SUMPRODUCT(($CZ$3:$CZ$42=$U62)*($DC$3:$DC$42=$U58)*($DE$3:$DE$42="W"))</f>
        <v>0</v>
      </c>
      <c r="W58" s="191">
        <f>SUMPRODUCT(($CZ$3:$CZ$42=$U58)*($DC$3:$DC$42=$U59)*($DD$3:$DD$42="D"))+SUMPRODUCT(($CZ$3:$CZ$42=$U58)*($DC$3:$DC$42=$U60)*($DD$3:$DD$42="D"))+SUMPRODUCT(($CZ$3:$CZ$42=$U58)*($DC$3:$DC$42=$U61)*($DD$3:$DD$42="D"))+SUMPRODUCT(($CZ$3:$CZ$42=$U58)*($DC$3:$DC$42=$U62)*($DD$3:$DD$42="D"))+SUMPRODUCT(($CZ$3:$CZ$42=$U59)*($DC$3:$DC$42=$U58)*($DD$3:$DD$42="D"))+SUMPRODUCT(($CZ$3:$CZ$42=$U60)*($DC$3:$DC$42=$U58)*($DD$3:$DD$42="D"))+SUMPRODUCT(($CZ$3:$CZ$42=$U61)*($DC$3:$DC$42=$U58)*($DD$3:$DD$42="D"))+SUMPRODUCT(($CZ$3:$CZ$42=$U62)*($DC$3:$DC$42=$U58)*($DD$3:$DD$42="D"))</f>
        <v>0</v>
      </c>
      <c r="X58" s="191">
        <f>SUMPRODUCT(($CZ$3:$CZ$42=$U58)*($DC$3:$DC$42=$U59)*($DD$3:$DD$42="L"))+SUMPRODUCT(($CZ$3:$CZ$42=$U58)*($DC$3:$DC$42=$U60)*($DD$3:$DD$42="L"))+SUMPRODUCT(($CZ$3:$CZ$42=$U58)*($DC$3:$DC$42=$U61)*($DD$3:$DD$42="L"))+SUMPRODUCT(($CZ$3:$CZ$42=$U58)*($DC$3:$DC$42=$U62)*($DD$3:$DD$42="L"))+SUMPRODUCT(($CZ$3:$CZ$42=$U59)*($DC$3:$DC$42=$U58)*($DE$3:$DE$42="L"))+SUMPRODUCT(($CZ$3:$CZ$42=$U60)*($DC$3:$DC$42=$U58)*($DE$3:$DE$42="L"))+SUMPRODUCT(($CZ$3:$CZ$42=$U61)*($DC$3:$DC$42=$U58)*($DE$3:$DE$42="L"))+SUMPRODUCT(($CZ$3:$CZ$42=$U62)*($DC$3:$DC$42=$U58)*($DE$3:$DE$42="L"))</f>
        <v>0</v>
      </c>
      <c r="Y58" s="191">
        <f>SUMPRODUCT(($CZ$3:$CZ$42=$U58)*($DC$3:$DC$42=$U59)*$DA$3:$DA$42)+SUMPRODUCT(($CZ$3:$CZ$42=$U58)*($DC$3:$DC$42=$U60)*$DA$3:$DA$42)+SUMPRODUCT(($CZ$3:$CZ$42=$U58)*($DC$3:$DC$42=$U61)*$DA$3:$DA$42)+SUMPRODUCT(($CZ$3:$CZ$42=$U58)*($DC$3:$DC$42=$U62)*$DA$3:$DA$42)+SUMPRODUCT(($CZ$3:$CZ$42=$U59)*($DC$3:$DC$42=$U58)*$DB$3:$DB$42)+SUMPRODUCT(($CZ$3:$CZ$42=$U60)*($DC$3:$DC$42=$U58)*$DB$3:$DB$42)+SUMPRODUCT(($CZ$3:$CZ$42=$U61)*($DC$3:$DC$42=$U58)*$DB$3:$DB$42)+SUMPRODUCT(($CZ$3:$CZ$42=$U62)*($DC$3:$DC$42=$U58)*$DB$3:$DB$42)</f>
        <v>0</v>
      </c>
      <c r="Z58" s="191">
        <f>SUMPRODUCT(($CZ$3:$CZ$42=$U58)*($DC$3:$DC$42=$U59)*$DB$3:$DB$42)+SUMPRODUCT(($CZ$3:$CZ$42=$U58)*($DC$3:$DC$42=$U60)*$DB$3:$DB$42)+SUMPRODUCT(($CZ$3:$CZ$42=$U58)*($DC$3:$DC$42=$U61)*$DB$3:$DB$42)+SUMPRODUCT(($CZ$3:$CZ$42=$U58)*($DC$3:$DC$42=$U62)*$DB$3:$DB$42)+SUMPRODUCT(($CZ$3:$CZ$42=$U59)*($DC$3:$DC$42=$U58)*$DA$3:$DA$42)+SUMPRODUCT(($CZ$3:$CZ$42=$U60)*($DC$3:$DC$42=$U58)*$DA$3:$DA$42)+SUMPRODUCT(($CZ$3:$CZ$42=$U61)*($DC$3:$DC$42=$U58)*$DA$3:$DA$42)+SUMPRODUCT(($CZ$3:$CZ$42=$U62)*($DC$3:$DC$42=$U58)*$DA$3:$DA$42)</f>
        <v>0</v>
      </c>
      <c r="AA58" s="191">
        <f>Y58-Z58+1000</f>
        <v>1000</v>
      </c>
      <c r="AB58" s="191" t="str">
        <f>IF(U58&lt;&gt;"",V58*3+W58*1,"")</f>
        <v/>
      </c>
      <c r="AC58" s="191" t="str">
        <f>IF(U58&lt;&gt;"",VLOOKUP(U58,$B$4:$H$40,7,FALSE),"")</f>
        <v/>
      </c>
      <c r="AD58" s="191" t="str">
        <f>IF(U58&lt;&gt;"",VLOOKUP(U58,$B$4:$H$40,5,FALSE),"")</f>
        <v/>
      </c>
      <c r="AE58" s="191" t="str">
        <f>IF(U58&lt;&gt;"",VLOOKUP(U58,$B$4:$J$40,9,FALSE),"")</f>
        <v/>
      </c>
      <c r="AF58" s="191" t="str">
        <f>AB58</f>
        <v/>
      </c>
      <c r="AG58" s="191" t="str">
        <f>IF(U58&lt;&gt;"",RANK(AF58,AF$58:AF$61),"")</f>
        <v/>
      </c>
      <c r="AH58" s="191" t="str">
        <f>IF(U58&lt;&gt;"",SUMPRODUCT((AF$58:AF$61=AF58)*(AA$58:AA$61&gt;AA58)),"")</f>
        <v/>
      </c>
      <c r="AI58" s="191" t="str">
        <f>IF(U58&lt;&gt;"",SUMPRODUCT((AF$58:AF$61=AF58)*(AA$58:AA$61=AA58)*(Y$58:Y$61&gt;Y58)),"")</f>
        <v/>
      </c>
      <c r="AJ58" s="191" t="str">
        <f>IF(U58&lt;&gt;"",SUMPRODUCT((AF$58:AF$61=AF58)*(AA$58:AA$61=AA58)*(Y$58:Y$61=Y58)*(AC$58:AC$61&gt;AC58)),"")</f>
        <v/>
      </c>
      <c r="AK58" s="191" t="str">
        <f>IF(U58&lt;&gt;"",SUMPRODUCT((AF$58:AF$61=AF58)*(AA$58:AA$61=AA58)*(Y$58:Y$61=Y58)*(AC$58:AC$61=AC58)*(AD$58:AD$61&gt;AD58)),"")</f>
        <v/>
      </c>
      <c r="AL58" s="191" t="str">
        <f>IF(U58&lt;&gt;"",SUMPRODUCT((AF$58:AF$61=AF58)*(AA$58:AA$61=AA58)*(Y$58:Y$61=Y58)*(AC$58:AC$61=AC58)*(AD$58:AD$61=AD58)*(AE$58:AE$61&gt;AE58)),"")</f>
        <v/>
      </c>
      <c r="AM58" s="191" t="str">
        <f>IF(U58&lt;&gt;"",SUM(AG58:AL58),"")</f>
        <v/>
      </c>
      <c r="EH58" s="193" t="e">
        <f>Fixtures!#REF!</f>
        <v>#REF!</v>
      </c>
      <c r="EJ58" s="193" t="str">
        <f>IF(ISERROR("'Countries and Timezone'!"&amp;VLOOKUP(EH58,'Dummy Table'!$EH$7:$EI$38,2,FALSE)),"'Countries and Timezone'!b39","'Countries and Timezone'!"&amp;VLOOKUP(EH58,'Dummy Table'!$EH$7:$EI$38,2,FALSE))</f>
        <v>'Countries and Timezone'!b39</v>
      </c>
      <c r="EL58" s="199">
        <v>44388.875</v>
      </c>
      <c r="EM58" s="200">
        <f t="shared" si="51"/>
        <v>44388.875</v>
      </c>
      <c r="EP58" s="191">
        <v>1</v>
      </c>
      <c r="EQ58" s="191" t="s">
        <v>683</v>
      </c>
      <c r="ER58" s="191" t="s">
        <v>684</v>
      </c>
    </row>
    <row r="59" spans="9:148" x14ac:dyDescent="0.35">
      <c r="I59" s="191">
        <f>SUMPRODUCT((I18:I21=I19)*(H18:H21=H19)*(F18:F21&gt;F19))+1</f>
        <v>1</v>
      </c>
      <c r="T59" s="191" t="str">
        <f t="shared" si="345"/>
        <v/>
      </c>
      <c r="U59" s="191" t="str">
        <f t="shared" ref="U59:U61" si="346">IF(AND(T59&lt;&gt;"",T59&gt;1),U19,"")</f>
        <v/>
      </c>
      <c r="V59" s="191">
        <f>SUMPRODUCT(($CZ$3:$CZ$42=$U59)*($DC$3:$DC$42=$U60)*($DD$3:$DD$42="W"))+SUMPRODUCT(($CZ$3:$CZ$42=$U59)*($DC$3:$DC$42=$U61)*($DD$3:$DD$42="W"))+SUMPRODUCT(($CZ$3:$CZ$42=$U59)*($DC$3:$DC$42=$U62)*($DD$3:$DD$42="W"))+SUMPRODUCT(($CZ$3:$CZ$42=$U59)*($DC$3:$DC$42=$U58)*($DD$3:$DD$42="W"))+SUMPRODUCT(($CZ$3:$CZ$42=$U60)*($DC$3:$DC$42=$U59)*($DE$3:$DE$42="W"))+SUMPRODUCT(($CZ$3:$CZ$42=$U61)*($DC$3:$DC$42=$U59)*($DE$3:$DE$42="W"))+SUMPRODUCT(($CZ$3:$CZ$42=$U62)*($DC$3:$DC$42=$U59)*($DE$3:$DE$42="W"))+SUMPRODUCT(($CZ$3:$CZ$42=$U58)*($DC$3:$DC$42=$U59)*($DE$3:$DE$42="W"))</f>
        <v>0</v>
      </c>
      <c r="W59" s="191">
        <f>SUMPRODUCT(($CZ$3:$CZ$42=$U59)*($DC$3:$DC$42=$U60)*($DD$3:$DD$42="D"))+SUMPRODUCT(($CZ$3:$CZ$42=$U59)*($DC$3:$DC$42=$U61)*($DD$3:$DD$42="D"))+SUMPRODUCT(($CZ$3:$CZ$42=$U59)*($DC$3:$DC$42=$U62)*($DD$3:$DD$42="D"))+SUMPRODUCT(($CZ$3:$CZ$42=$U59)*($DC$3:$DC$42=$U58)*($DD$3:$DD$42="D"))+SUMPRODUCT(($CZ$3:$CZ$42=$U60)*($DC$3:$DC$42=$U59)*($DD$3:$DD$42="D"))+SUMPRODUCT(($CZ$3:$CZ$42=$U61)*($DC$3:$DC$42=$U59)*($DD$3:$DD$42="D"))+SUMPRODUCT(($CZ$3:$CZ$42=$U62)*($DC$3:$DC$42=$U59)*($DD$3:$DD$42="D"))+SUMPRODUCT(($CZ$3:$CZ$42=$U58)*($DC$3:$DC$42=$U59)*($DD$3:$DD$42="D"))</f>
        <v>0</v>
      </c>
      <c r="X59" s="191">
        <f>SUMPRODUCT(($CZ$3:$CZ$42=$U59)*($DC$3:$DC$42=$U60)*($DD$3:$DD$42="L"))+SUMPRODUCT(($CZ$3:$CZ$42=$U59)*($DC$3:$DC$42=$U61)*($DD$3:$DD$42="L"))+SUMPRODUCT(($CZ$3:$CZ$42=$U59)*($DC$3:$DC$42=$U62)*($DD$3:$DD$42="L"))+SUMPRODUCT(($CZ$3:$CZ$42=$U59)*($DC$3:$DC$42=$U58)*($DD$3:$DD$42="L"))+SUMPRODUCT(($CZ$3:$CZ$42=$U60)*($DC$3:$DC$42=$U59)*($DE$3:$DE$42="L"))+SUMPRODUCT(($CZ$3:$CZ$42=$U61)*($DC$3:$DC$42=$U59)*($DE$3:$DE$42="L"))+SUMPRODUCT(($CZ$3:$CZ$42=$U62)*($DC$3:$DC$42=$U59)*($DE$3:$DE$42="L"))+SUMPRODUCT(($CZ$3:$CZ$42=$U58)*($DC$3:$DC$42=$U59)*($DE$3:$DE$42="L"))</f>
        <v>0</v>
      </c>
      <c r="Y59" s="191">
        <f>SUMPRODUCT(($CZ$3:$CZ$42=$U59)*($DC$3:$DC$42=$U60)*$DA$3:$DA$42)+SUMPRODUCT(($CZ$3:$CZ$42=$U59)*($DC$3:$DC$42=$U61)*$DA$3:$DA$42)+SUMPRODUCT(($CZ$3:$CZ$42=$U59)*($DC$3:$DC$42=$U62)*$DA$3:$DA$42)+SUMPRODUCT(($CZ$3:$CZ$42=$U59)*($DC$3:$DC$42=$U58)*$DA$3:$DA$42)+SUMPRODUCT(($CZ$3:$CZ$42=$U60)*($DC$3:$DC$42=$U59)*$DB$3:$DB$42)+SUMPRODUCT(($CZ$3:$CZ$42=$U61)*($DC$3:$DC$42=$U59)*$DB$3:$DB$42)+SUMPRODUCT(($CZ$3:$CZ$42=$U62)*($DC$3:$DC$42=$U59)*$DB$3:$DB$42)+SUMPRODUCT(($CZ$3:$CZ$42=$U58)*($DC$3:$DC$42=$U59)*$DB$3:$DB$42)</f>
        <v>0</v>
      </c>
      <c r="Z59" s="191">
        <f>SUMPRODUCT(($CZ$3:$CZ$42=$U59)*($DC$3:$DC$42=$U60)*$DB$3:$DB$42)+SUMPRODUCT(($CZ$3:$CZ$42=$U59)*($DC$3:$DC$42=$U61)*$DB$3:$DB$42)+SUMPRODUCT(($CZ$3:$CZ$42=$U59)*($DC$3:$DC$42=$U62)*$DB$3:$DB$42)+SUMPRODUCT(($CZ$3:$CZ$42=$U59)*($DC$3:$DC$42=$U58)*$DB$3:$DB$42)+SUMPRODUCT(($CZ$3:$CZ$42=$U60)*($DC$3:$DC$42=$U59)*$DA$3:$DA$42)+SUMPRODUCT(($CZ$3:$CZ$42=$U61)*($DC$3:$DC$42=$U59)*$DA$3:$DA$42)+SUMPRODUCT(($CZ$3:$CZ$42=$U62)*($DC$3:$DC$42=$U59)*$DA$3:$DA$42)+SUMPRODUCT(($CZ$3:$CZ$42=$U58)*($DC$3:$DC$42=$U59)*$DA$3:$DA$42)</f>
        <v>0</v>
      </c>
      <c r="AA59" s="191">
        <f>Y59-Z59+1000</f>
        <v>1000</v>
      </c>
      <c r="AB59" s="191" t="str">
        <f t="shared" ref="AB59:AB61" si="347">IF(U59&lt;&gt;"",V59*3+W59*1,"")</f>
        <v/>
      </c>
      <c r="AC59" s="191" t="str">
        <f t="shared" ref="AC59:AC61" si="348">IF(U59&lt;&gt;"",VLOOKUP(U59,$B$4:$H$40,7,FALSE),"")</f>
        <v/>
      </c>
      <c r="AD59" s="191" t="str">
        <f t="shared" ref="AD59:AD61" si="349">IF(U59&lt;&gt;"",VLOOKUP(U59,$B$4:$H$40,5,FALSE),"")</f>
        <v/>
      </c>
      <c r="AE59" s="191" t="str">
        <f t="shared" ref="AE59:AE61" si="350">IF(U59&lt;&gt;"",VLOOKUP(U59,$B$4:$J$40,9,FALSE),"")</f>
        <v/>
      </c>
      <c r="AF59" s="191" t="str">
        <f t="shared" ref="AF59:AF61" si="351">AB59</f>
        <v/>
      </c>
      <c r="AG59" s="191" t="str">
        <f t="shared" ref="AG59:AG61" si="352">IF(U59&lt;&gt;"",RANK(AF59,AF$58:AF$61),"")</f>
        <v/>
      </c>
      <c r="AH59" s="191" t="str">
        <f t="shared" ref="AH59:AH61" si="353">IF(U59&lt;&gt;"",SUMPRODUCT((AF$58:AF$61=AF59)*(AA$58:AA$61&gt;AA59)),"")</f>
        <v/>
      </c>
      <c r="AI59" s="191" t="str">
        <f t="shared" ref="AI59:AI61" si="354">IF(U59&lt;&gt;"",SUMPRODUCT((AF$58:AF$61=AF59)*(AA$58:AA$61=AA59)*(Y$58:Y$61&gt;Y59)),"")</f>
        <v/>
      </c>
      <c r="AJ59" s="191" t="str">
        <f t="shared" ref="AJ59:AJ61" si="355">IF(U59&lt;&gt;"",SUMPRODUCT((AF$58:AF$61=AF59)*(AA$58:AA$61=AA59)*(Y$58:Y$61=Y59)*(AC$58:AC$61&gt;AC59)),"")</f>
        <v/>
      </c>
      <c r="AK59" s="191" t="str">
        <f t="shared" ref="AK59:AK61" si="356">IF(U59&lt;&gt;"",SUMPRODUCT((AF$58:AF$61=AF59)*(AA$58:AA$61=AA59)*(Y$58:Y$61=Y59)*(AC$58:AC$61=AC59)*(AD$58:AD$61&gt;AD59)),"")</f>
        <v/>
      </c>
      <c r="AL59" s="191" t="str">
        <f t="shared" ref="AL59:AL61" si="357">IF(U59&lt;&gt;"",SUMPRODUCT((AF$58:AF$61=AF59)*(AA$58:AA$61=AA59)*(Y$58:Y$61=Y59)*(AC$58:AC$61=AC59)*(AD$58:AD$61=AD59)*(AE$58:AE$61&gt;AE59)),"")</f>
        <v/>
      </c>
      <c r="AM59" s="191" t="str">
        <f>IF(U59&lt;&gt;"",SUM(AG59:AL59),"")</f>
        <v/>
      </c>
      <c r="AN59" s="191" t="str">
        <f>IF(AO19&lt;&gt;"",SUMPRODUCT(($AV$18:$AV$21=AV19)*($AU$18:$AU$21=AU19)*($AS$18:$AS$21=AS19)*($AT$18:$AT$21=AT19)),"")</f>
        <v/>
      </c>
      <c r="AO59" s="191" t="str">
        <f t="shared" ref="AO59:AO61" si="358">IF(AND(AN59&lt;&gt;"",AN59&gt;1),AO19,"")</f>
        <v/>
      </c>
      <c r="AP59" s="191">
        <f>SUMPRODUCT(($CZ$3:$CZ$42=$AO59)*($DC$3:$DC$42=$AO60)*($DD$3:$DD$42="W"))+SUMPRODUCT(($CZ$3:$CZ$42=$AO59)*($DC$3:$DC$42=$AO61)*($DD$3:$DD$42="W"))+SUMPRODUCT(($CZ$3:$CZ$42=$AO59)*($DC$3:$DC$42=$AO62)*($DD$3:$DD$42="W"))+SUMPRODUCT(($CZ$3:$CZ$42=$AO60)*($DC$3:$DC$42=$AO59)*($DE$3:$DE$42="W"))+SUMPRODUCT(($CZ$3:$CZ$42=$AO61)*($DC$3:$DC$42=$AO59)*($DE$3:$DE$42="W"))+SUMPRODUCT(($CZ$3:$CZ$42=$AO62)*($DC$3:$DC$42=$AO59)*($DE$3:$DE$42="W"))</f>
        <v>0</v>
      </c>
      <c r="AQ59" s="191">
        <f>SUMPRODUCT(($CZ$3:$CZ$42=$AO59)*($DC$3:$DC$42=$AO60)*($DD$3:$DD$42="D"))+SUMPRODUCT(($CZ$3:$CZ$42=$AO59)*($DC$3:$DC$42=$AO61)*($DD$3:$DD$42="D"))+SUMPRODUCT(($CZ$3:$CZ$42=$AO59)*($DC$3:$DC$42=$AO62)*($DD$3:$DD$42="D"))+SUMPRODUCT(($CZ$3:$CZ$42=$AO60)*($DC$3:$DC$42=$AO59)*($DD$3:$DD$42="D"))+SUMPRODUCT(($CZ$3:$CZ$42=$AO61)*($DC$3:$DC$42=$AO59)*($DD$3:$DD$42="D"))+SUMPRODUCT(($CZ$3:$CZ$42=$AO62)*($DC$3:$DC$42=$AO59)*($DD$3:$DD$42="D"))</f>
        <v>0</v>
      </c>
      <c r="AR59" s="191">
        <f>SUMPRODUCT(($CZ$3:$CZ$42=$AO59)*($DC$3:$DC$42=$AO60)*($DD$3:$DD$42="L"))+SUMPRODUCT(($CZ$3:$CZ$42=$AO59)*($DC$3:$DC$42=$AO61)*($DD$3:$DD$42="L"))+SUMPRODUCT(($CZ$3:$CZ$42=$AO59)*($DC$3:$DC$42=$AO62)*($DD$3:$DD$42="L"))+SUMPRODUCT(($CZ$3:$CZ$42=$AO60)*($DC$3:$DC$42=$AO59)*($DE$3:$DE$42="L"))+SUMPRODUCT(($CZ$3:$CZ$42=$AO61)*($DC$3:$DC$42=$AO59)*($DE$3:$DE$42="L"))+SUMPRODUCT(($CZ$3:$CZ$42=$AO62)*($DC$3:$DC$42=$AO59)*($DE$3:$DE$42="L"))</f>
        <v>0</v>
      </c>
      <c r="AS59" s="191">
        <f>SUMPRODUCT(($CZ$3:$CZ$42=$AO59)*($DC$3:$DC$42=$AO60)*$DA$3:$DA$42)+SUMPRODUCT(($CZ$3:$CZ$42=$AO59)*($DC$3:$DC$42=$AO61)*$DA$3:$DA$42)+SUMPRODUCT(($CZ$3:$CZ$42=$AO59)*($DC$3:$DC$42=$AO62)*$DA$3:$DA$42)+SUMPRODUCT(($CZ$3:$CZ$42=$AO59)*($DC$3:$DC$42=$AO58)*$DA$3:$DA$42)+SUMPRODUCT(($CZ$3:$CZ$42=$AO60)*($DC$3:$DC$42=$AO59)*$DB$3:$DB$42)+SUMPRODUCT(($CZ$3:$CZ$42=$AO61)*($DC$3:$DC$42=$AO59)*$DB$3:$DB$42)+SUMPRODUCT(($CZ$3:$CZ$42=$AO62)*($DC$3:$DC$42=$AO59)*$DB$3:$DB$42)+SUMPRODUCT(($CZ$3:$CZ$42=$AO58)*($DC$3:$DC$42=$AO59)*$DB$3:$DB$42)</f>
        <v>0</v>
      </c>
      <c r="AT59" s="191">
        <f>SUMPRODUCT(($CZ$3:$CZ$42=$AO59)*($DC$3:$DC$42=$AO60)*$DB$3:$DB$42)+SUMPRODUCT(($CZ$3:$CZ$42=$AO59)*($DC$3:$DC$42=$AO61)*$DB$3:$DB$42)+SUMPRODUCT(($CZ$3:$CZ$42=$AO59)*($DC$3:$DC$42=$AO62)*$DB$3:$DB$42)+SUMPRODUCT(($CZ$3:$CZ$42=$AO59)*($DC$3:$DC$42=$AO58)*$DB$3:$DB$42)+SUMPRODUCT(($CZ$3:$CZ$42=$AO60)*($DC$3:$DC$42=$AO59)*$DA$3:$DA$42)+SUMPRODUCT(($CZ$3:$CZ$42=$AO61)*($DC$3:$DC$42=$AO59)*$DA$3:$DA$42)+SUMPRODUCT(($CZ$3:$CZ$42=$AO62)*($DC$3:$DC$42=$AO59)*$DA$3:$DA$42)+SUMPRODUCT(($CZ$3:$CZ$42=$AO58)*($DC$3:$DC$42=$AO59)*$DA$3:$DA$42)</f>
        <v>0</v>
      </c>
      <c r="AU59" s="191">
        <f>AS59-AT59+1000</f>
        <v>1000</v>
      </c>
      <c r="AV59" s="191" t="str">
        <f t="shared" ref="AV59:AV61" si="359">IF(AO59&lt;&gt;"",AP59*3+AQ59*1,"")</f>
        <v/>
      </c>
      <c r="AW59" s="191" t="str">
        <f t="shared" ref="AW59:AW61" si="360">IF(AO59&lt;&gt;"",VLOOKUP(AO59,$B$4:$H$40,7,FALSE),"")</f>
        <v/>
      </c>
      <c r="AX59" s="191" t="str">
        <f t="shared" ref="AX59:AX61" si="361">IF(AO59&lt;&gt;"",VLOOKUP(AO59,$B$4:$H$40,5,FALSE),"")</f>
        <v/>
      </c>
      <c r="AY59" s="191" t="str">
        <f t="shared" ref="AY59:AY61" si="362">IF(AO59&lt;&gt;"",VLOOKUP(AO59,$B$4:$J$40,9,FALSE),"")</f>
        <v/>
      </c>
      <c r="AZ59" s="191" t="str">
        <f t="shared" ref="AZ59:AZ61" si="363">AV59</f>
        <v/>
      </c>
      <c r="BA59" s="191" t="str">
        <f>IF(AO59&lt;&gt;"",RANK(AZ59,AZ$58:AZ$61),"")</f>
        <v/>
      </c>
      <c r="BB59" s="191" t="str">
        <f>IF(AO59&lt;&gt;"",SUMPRODUCT((AZ$58:AZ$61=AZ59)*(AU$58:AU$61&gt;AU59)),"")</f>
        <v/>
      </c>
      <c r="BC59" s="191" t="str">
        <f>IF(AO59&lt;&gt;"",SUMPRODUCT((AZ$58:AZ$61=AZ59)*(AU$58:AU$61=AU59)*(AS$58:AS$61&gt;AS59)),"")</f>
        <v/>
      </c>
      <c r="BD59" s="191" t="str">
        <f>IF(AO59&lt;&gt;"",SUMPRODUCT((AZ$58:AZ$61=AZ59)*(AU$58:AU$61=AU59)*(AS$58:AS$61=AS59)*(AW$58:AW$61&gt;AW59)),"")</f>
        <v/>
      </c>
      <c r="BE59" s="191" t="str">
        <f>IF(AO59&lt;&gt;"",SUMPRODUCT((AZ$58:AZ$61=AZ59)*(AU$58:AU$61=AU59)*(AS$58:AS$61=AS59)*(AW$58:AW$61=AW59)*(AX$58:AX$61&gt;AX59)),"")</f>
        <v/>
      </c>
      <c r="BF59" s="191" t="str">
        <f>IF(AO59&lt;&gt;"",SUMPRODUCT((AZ$58:AZ$61=AZ59)*(AU$58:AU$61=AU59)*(AS$58:AS$61=AS59)*(AW$58:AW$61=AW59)*(AX$58:AX$61=AX59)*(AY$58:AY$61&gt;AY59)),"")</f>
        <v/>
      </c>
      <c r="BG59" s="191" t="str">
        <f>IF(AO59&lt;&gt;"",SUM(BA59:BF59)+1,"")</f>
        <v/>
      </c>
      <c r="EH59" s="193" t="e">
        <f>Fixtures!#REF!</f>
        <v>#REF!</v>
      </c>
      <c r="EJ59" s="193" t="str">
        <f>IF(ISERROR("'Countries and Timezone'!"&amp;VLOOKUP(EH59,'Dummy Table'!$EH$7:$EI$38,2,FALSE)),"'Countries and Timezone'!b39","'Countries and Timezone'!"&amp;VLOOKUP(EH59,'Dummy Table'!$EH$7:$EI$38,2,FALSE))</f>
        <v>'Countries and Timezone'!b39</v>
      </c>
      <c r="EP59" s="191">
        <v>1</v>
      </c>
      <c r="EQ59" s="191" t="s">
        <v>685</v>
      </c>
      <c r="ER59" s="191" t="s">
        <v>686</v>
      </c>
    </row>
    <row r="60" spans="9:148" x14ac:dyDescent="0.35">
      <c r="I60" s="191">
        <f>SUMPRODUCT((I18:I21=I20)*(H18:H21=H20)*(F18:F21&gt;F20))+1</f>
        <v>1</v>
      </c>
      <c r="T60" s="191" t="str">
        <f t="shared" si="345"/>
        <v/>
      </c>
      <c r="U60" s="191" t="str">
        <f t="shared" si="346"/>
        <v/>
      </c>
      <c r="V60" s="191">
        <f>SUMPRODUCT(($CZ$3:$CZ$42=$U60)*($DC$3:$DC$42=$U61)*($DD$3:$DD$42="W"))+SUMPRODUCT(($CZ$3:$CZ$42=$U60)*($DC$3:$DC$42=$U62)*($DD$3:$DD$42="W"))+SUMPRODUCT(($CZ$3:$CZ$42=$U60)*($DC$3:$DC$42=$U58)*($DD$3:$DD$42="W"))+SUMPRODUCT(($CZ$3:$CZ$42=$U60)*($DC$3:$DC$42=$U59)*($DD$3:$DD$42="W"))+SUMPRODUCT(($CZ$3:$CZ$42=$U61)*($DC$3:$DC$42=$U60)*($DE$3:$DE$42="W"))+SUMPRODUCT(($CZ$3:$CZ$42=$U62)*($DC$3:$DC$42=$U60)*($DE$3:$DE$42="W"))+SUMPRODUCT(($CZ$3:$CZ$42=$U58)*($DC$3:$DC$42=$U60)*($DE$3:$DE$42="W"))+SUMPRODUCT(($CZ$3:$CZ$42=$U59)*($DC$3:$DC$42=$U60)*($DE$3:$DE$42="W"))</f>
        <v>0</v>
      </c>
      <c r="W60" s="191">
        <f>SUMPRODUCT(($CZ$3:$CZ$42=$U60)*($DC$3:$DC$42=$U61)*($DD$3:$DD$42="D"))+SUMPRODUCT(($CZ$3:$CZ$42=$U60)*($DC$3:$DC$42=$U62)*($DD$3:$DD$42="D"))+SUMPRODUCT(($CZ$3:$CZ$42=$U60)*($DC$3:$DC$42=$U58)*($DD$3:$DD$42="D"))+SUMPRODUCT(($CZ$3:$CZ$42=$U60)*($DC$3:$DC$42=$U59)*($DD$3:$DD$42="D"))+SUMPRODUCT(($CZ$3:$CZ$42=$U61)*($DC$3:$DC$42=$U60)*($DD$3:$DD$42="D"))+SUMPRODUCT(($CZ$3:$CZ$42=$U62)*($DC$3:$DC$42=$U60)*($DD$3:$DD$42="D"))+SUMPRODUCT(($CZ$3:$CZ$42=$U58)*($DC$3:$DC$42=$U60)*($DD$3:$DD$42="D"))+SUMPRODUCT(($CZ$3:$CZ$42=$U59)*($DC$3:$DC$42=$U60)*($DD$3:$DD$42="D"))</f>
        <v>0</v>
      </c>
      <c r="X60" s="191">
        <f>SUMPRODUCT(($CZ$3:$CZ$42=$U60)*($DC$3:$DC$42=$U61)*($DD$3:$DD$42="L"))+SUMPRODUCT(($CZ$3:$CZ$42=$U60)*($DC$3:$DC$42=$U62)*($DD$3:$DD$42="L"))+SUMPRODUCT(($CZ$3:$CZ$42=$U60)*($DC$3:$DC$42=$U58)*($DD$3:$DD$42="L"))+SUMPRODUCT(($CZ$3:$CZ$42=$U60)*($DC$3:$DC$42=$U59)*($DD$3:$DD$42="L"))+SUMPRODUCT(($CZ$3:$CZ$42=$U61)*($DC$3:$DC$42=$U60)*($DE$3:$DE$42="L"))+SUMPRODUCT(($CZ$3:$CZ$42=$U62)*($DC$3:$DC$42=$U60)*($DE$3:$DE$42="L"))+SUMPRODUCT(($CZ$3:$CZ$42=$U58)*($DC$3:$DC$42=$U60)*($DE$3:$DE$42="L"))+SUMPRODUCT(($CZ$3:$CZ$42=$U59)*($DC$3:$DC$42=$U60)*($DE$3:$DE$42="L"))</f>
        <v>0</v>
      </c>
      <c r="Y60" s="191">
        <f>SUMPRODUCT(($CZ$3:$CZ$42=$U60)*($DC$3:$DC$42=$U61)*$DA$3:$DA$42)+SUMPRODUCT(($CZ$3:$CZ$42=$U60)*($DC$3:$DC$42=$U62)*$DA$3:$DA$42)+SUMPRODUCT(($CZ$3:$CZ$42=$U60)*($DC$3:$DC$42=$U58)*$DA$3:$DA$42)+SUMPRODUCT(($CZ$3:$CZ$42=$U60)*($DC$3:$DC$42=$U59)*$DA$3:$DA$42)+SUMPRODUCT(($CZ$3:$CZ$42=$U61)*($DC$3:$DC$42=$U60)*$DB$3:$DB$42)+SUMPRODUCT(($CZ$3:$CZ$42=$U62)*($DC$3:$DC$42=$U60)*$DB$3:$DB$42)+SUMPRODUCT(($CZ$3:$CZ$42=$U58)*($DC$3:$DC$42=$U60)*$DB$3:$DB$42)+SUMPRODUCT(($CZ$3:$CZ$42=$U59)*($DC$3:$DC$42=$U60)*$DB$3:$DB$42)</f>
        <v>0</v>
      </c>
      <c r="Z60" s="191">
        <f>SUMPRODUCT(($CZ$3:$CZ$42=$U60)*($DC$3:$DC$42=$U61)*$DB$3:$DB$42)+SUMPRODUCT(($CZ$3:$CZ$42=$U60)*($DC$3:$DC$42=$U62)*$DB$3:$DB$42)+SUMPRODUCT(($CZ$3:$CZ$42=$U60)*($DC$3:$DC$42=$U58)*$DB$3:$DB$42)+SUMPRODUCT(($CZ$3:$CZ$42=$U60)*($DC$3:$DC$42=$U59)*$DB$3:$DB$42)+SUMPRODUCT(($CZ$3:$CZ$42=$U61)*($DC$3:$DC$42=$U60)*$DA$3:$DA$42)+SUMPRODUCT(($CZ$3:$CZ$42=$U62)*($DC$3:$DC$42=$U60)*$DA$3:$DA$42)+SUMPRODUCT(($CZ$3:$CZ$42=$U58)*($DC$3:$DC$42=$U60)*$DA$3:$DA$42)+SUMPRODUCT(($CZ$3:$CZ$42=$U59)*($DC$3:$DC$42=$U60)*$DA$3:$DA$42)</f>
        <v>0</v>
      </c>
      <c r="AA60" s="191">
        <f>Y60-Z60+1000</f>
        <v>1000</v>
      </c>
      <c r="AB60" s="191" t="str">
        <f t="shared" si="347"/>
        <v/>
      </c>
      <c r="AC60" s="191" t="str">
        <f t="shared" si="348"/>
        <v/>
      </c>
      <c r="AD60" s="191" t="str">
        <f t="shared" si="349"/>
        <v/>
      </c>
      <c r="AE60" s="191" t="str">
        <f t="shared" si="350"/>
        <v/>
      </c>
      <c r="AF60" s="191" t="str">
        <f t="shared" si="351"/>
        <v/>
      </c>
      <c r="AG60" s="191" t="str">
        <f t="shared" si="352"/>
        <v/>
      </c>
      <c r="AH60" s="191" t="str">
        <f t="shared" si="353"/>
        <v/>
      </c>
      <c r="AI60" s="191" t="str">
        <f t="shared" si="354"/>
        <v/>
      </c>
      <c r="AJ60" s="191" t="str">
        <f t="shared" si="355"/>
        <v/>
      </c>
      <c r="AK60" s="191" t="str">
        <f t="shared" si="356"/>
        <v/>
      </c>
      <c r="AL60" s="191" t="str">
        <f t="shared" si="357"/>
        <v/>
      </c>
      <c r="AM60" s="191" t="str">
        <f>IF(U60&lt;&gt;"",SUM(AG60:AL60),"")</f>
        <v/>
      </c>
      <c r="AN60" s="191" t="str">
        <f t="shared" ref="AN60:AN61" si="364">IF(AO20&lt;&gt;"",SUMPRODUCT(($AV$18:$AV$21=AV20)*($AU$18:$AU$21=AU20)*($AS$18:$AS$21=AS20)*($AT$18:$AT$21=AT20)),"")</f>
        <v/>
      </c>
      <c r="AO60" s="191" t="str">
        <f t="shared" si="358"/>
        <v/>
      </c>
      <c r="AP60" s="191">
        <f>SUMPRODUCT(($CZ$3:$CZ$42=$AO60)*($DC$3:$DC$42=$AO61)*($DD$3:$DD$42="W"))+SUMPRODUCT(($CZ$3:$CZ$42=$AO60)*($DC$3:$DC$42=$AO62)*($DD$3:$DD$42="W"))+SUMPRODUCT(($CZ$3:$CZ$42=$AO60)*($DC$3:$DC$42=$AO59)*($DD$3:$DD$42="W"))+SUMPRODUCT(($CZ$3:$CZ$42=$AO61)*($DC$3:$DC$42=$AO60)*($DE$3:$DE$42="W"))+SUMPRODUCT(($CZ$3:$CZ$42=$AO62)*($DC$3:$DC$42=$AO60)*($DE$3:$DE$42="W"))+SUMPRODUCT(($CZ$3:$CZ$42=$AO59)*($DC$3:$DC$42=$AO60)*($DE$3:$DE$42="W"))</f>
        <v>0</v>
      </c>
      <c r="AQ60" s="191">
        <f>SUMPRODUCT(($CZ$3:$CZ$42=$AO60)*($DC$3:$DC$42=$AO61)*($DD$3:$DD$42="D"))+SUMPRODUCT(($CZ$3:$CZ$42=$AO60)*($DC$3:$DC$42=$AO62)*($DD$3:$DD$42="D"))+SUMPRODUCT(($CZ$3:$CZ$42=$AO60)*($DC$3:$DC$42=$AO59)*($DD$3:$DD$42="D"))+SUMPRODUCT(($CZ$3:$CZ$42=$AO61)*($DC$3:$DC$42=$AO60)*($DD$3:$DD$42="D"))+SUMPRODUCT(($CZ$3:$CZ$42=$AO62)*($DC$3:$DC$42=$AO60)*($DD$3:$DD$42="D"))+SUMPRODUCT(($CZ$3:$CZ$42=$AO59)*($DC$3:$DC$42=$AO60)*($DD$3:$DD$42="D"))</f>
        <v>0</v>
      </c>
      <c r="AR60" s="191">
        <f>SUMPRODUCT(($CZ$3:$CZ$42=$AO60)*($DC$3:$DC$42=$AO61)*($DD$3:$DD$42="L"))+SUMPRODUCT(($CZ$3:$CZ$42=$AO60)*($DC$3:$DC$42=$AO62)*($DD$3:$DD$42="L"))+SUMPRODUCT(($CZ$3:$CZ$42=$AO60)*($DC$3:$DC$42=$AO59)*($DD$3:$DD$42="L"))+SUMPRODUCT(($CZ$3:$CZ$42=$AO61)*($DC$3:$DC$42=$AO60)*($DE$3:$DE$42="L"))+SUMPRODUCT(($CZ$3:$CZ$42=$AO62)*($DC$3:$DC$42=$AO60)*($DE$3:$DE$42="L"))+SUMPRODUCT(($CZ$3:$CZ$42=$AO59)*($DC$3:$DC$42=$AO60)*($DE$3:$DE$42="L"))</f>
        <v>0</v>
      </c>
      <c r="AS60" s="191">
        <f>SUMPRODUCT(($CZ$3:$CZ$42=$AO60)*($DC$3:$DC$42=$AO61)*$DA$3:$DA$42)+SUMPRODUCT(($CZ$3:$CZ$42=$AO60)*($DC$3:$DC$42=$AO62)*$DA$3:$DA$42)+SUMPRODUCT(($CZ$3:$CZ$42=$AO60)*($DC$3:$DC$42=$AO58)*$DA$3:$DA$42)+SUMPRODUCT(($CZ$3:$CZ$42=$AO60)*($DC$3:$DC$42=$AO59)*$DA$3:$DA$42)+SUMPRODUCT(($CZ$3:$CZ$42=$AO61)*($DC$3:$DC$42=$AO60)*$DB$3:$DB$42)+SUMPRODUCT(($CZ$3:$CZ$42=$AO62)*($DC$3:$DC$42=$AO60)*$DB$3:$DB$42)+SUMPRODUCT(($CZ$3:$CZ$42=$AO58)*($DC$3:$DC$42=$AO60)*$DB$3:$DB$42)+SUMPRODUCT(($CZ$3:$CZ$42=$AO59)*($DC$3:$DC$42=$AO60)*$DB$3:$DB$42)</f>
        <v>0</v>
      </c>
      <c r="AT60" s="191">
        <f>SUMPRODUCT(($CZ$3:$CZ$42=$AO60)*($DC$3:$DC$42=$AO61)*$DB$3:$DB$42)+SUMPRODUCT(($CZ$3:$CZ$42=$AO60)*($DC$3:$DC$42=$AO62)*$DB$3:$DB$42)+SUMPRODUCT(($CZ$3:$CZ$42=$AO60)*($DC$3:$DC$42=$AO58)*$DB$3:$DB$42)+SUMPRODUCT(($CZ$3:$CZ$42=$AO60)*($DC$3:$DC$42=$AO59)*$DB$3:$DB$42)+SUMPRODUCT(($CZ$3:$CZ$42=$AO61)*($DC$3:$DC$42=$AO60)*$DA$3:$DA$42)+SUMPRODUCT(($CZ$3:$CZ$42=$AO62)*($DC$3:$DC$42=$AO60)*$DA$3:$DA$42)+SUMPRODUCT(($CZ$3:$CZ$42=$AO58)*($DC$3:$DC$42=$AO60)*$DA$3:$DA$42)+SUMPRODUCT(($CZ$3:$CZ$42=$AO59)*($DC$3:$DC$42=$AO60)*$DA$3:$DA$42)</f>
        <v>0</v>
      </c>
      <c r="AU60" s="191">
        <f>AS60-AT60+1000</f>
        <v>1000</v>
      </c>
      <c r="AV60" s="191" t="str">
        <f t="shared" si="359"/>
        <v/>
      </c>
      <c r="AW60" s="191" t="str">
        <f t="shared" si="360"/>
        <v/>
      </c>
      <c r="AX60" s="191" t="str">
        <f t="shared" si="361"/>
        <v/>
      </c>
      <c r="AY60" s="191" t="str">
        <f t="shared" si="362"/>
        <v/>
      </c>
      <c r="AZ60" s="191" t="str">
        <f t="shared" si="363"/>
        <v/>
      </c>
      <c r="BA60" s="191" t="str">
        <f t="shared" ref="BA60:BA61" si="365">IF(AO60&lt;&gt;"",RANK(AZ60,AZ$58:AZ$61),"")</f>
        <v/>
      </c>
      <c r="BB60" s="191" t="str">
        <f t="shared" ref="BB60:BB61" si="366">IF(AO60&lt;&gt;"",SUMPRODUCT((AZ$58:AZ$61=AZ60)*(AU$58:AU$61&gt;AU60)),"")</f>
        <v/>
      </c>
      <c r="BC60" s="191" t="str">
        <f t="shared" ref="BC60:BC61" si="367">IF(AO60&lt;&gt;"",SUMPRODUCT((AZ$58:AZ$61=AZ60)*(AU$58:AU$61=AU60)*(AS$58:AS$61&gt;AS60)),"")</f>
        <v/>
      </c>
      <c r="BD60" s="191" t="str">
        <f t="shared" ref="BD60:BD61" si="368">IF(AO60&lt;&gt;"",SUMPRODUCT((AZ$58:AZ$61=AZ60)*(AU$58:AU$61=AU60)*(AS$58:AS$61=AS60)*(AW$58:AW$61&gt;AW60)),"")</f>
        <v/>
      </c>
      <c r="BE60" s="191" t="str">
        <f t="shared" ref="BE60:BE61" si="369">IF(AO60&lt;&gt;"",SUMPRODUCT((AZ$58:AZ$61=AZ60)*(AU$58:AU$61=AU60)*(AS$58:AS$61=AS60)*(AW$58:AW$61=AW60)*(AX$58:AX$61&gt;AX60)),"")</f>
        <v/>
      </c>
      <c r="BF60" s="191" t="str">
        <f t="shared" ref="BF60:BF61" si="370">IF(AO60&lt;&gt;"",SUMPRODUCT((AZ$58:AZ$61=AZ60)*(AU$58:AU$61=AU60)*(AS$58:AS$61=AS60)*(AW$58:AW$61=AW60)*(AX$58:AX$61=AX60)*(AY$58:AY$61&gt;AY60)),"")</f>
        <v/>
      </c>
      <c r="BG60" s="191" t="str">
        <f t="shared" ref="BG60:BG61" si="371">IF(AO60&lt;&gt;"",SUM(BA60:BF60)+1,"")</f>
        <v/>
      </c>
      <c r="EH60" s="193" t="e">
        <f>Fixtures!#REF!</f>
        <v>#REF!</v>
      </c>
      <c r="EJ60" s="193" t="str">
        <f>IF(ISERROR("'Countries and Timezone'!"&amp;VLOOKUP(EH60,'Dummy Table'!$EH$7:$EI$38,2,FALSE)),"'Countries and Timezone'!b39","'Countries and Timezone'!"&amp;VLOOKUP(EH60,'Dummy Table'!$EH$7:$EI$38,2,FALSE))</f>
        <v>'Countries and Timezone'!b39</v>
      </c>
      <c r="EP60" s="191">
        <v>1</v>
      </c>
      <c r="EQ60" s="191" t="s">
        <v>687</v>
      </c>
      <c r="ER60" s="191" t="s">
        <v>688</v>
      </c>
    </row>
    <row r="61" spans="9:148" x14ac:dyDescent="0.35">
      <c r="I61" s="191">
        <f>SUMPRODUCT((I18:I21=I21)*(H18:H21=H21)*(F18:F21&gt;F21))+1</f>
        <v>1</v>
      </c>
      <c r="T61" s="191" t="str">
        <f t="shared" si="345"/>
        <v/>
      </c>
      <c r="U61" s="191" t="str">
        <f t="shared" si="346"/>
        <v/>
      </c>
      <c r="V61" s="191">
        <f>SUMPRODUCT(($CZ$3:$CZ$42=$U61)*($DC$3:$DC$42=$U62)*($DD$3:$DD$42="W"))+SUMPRODUCT(($CZ$3:$CZ$42=$U61)*($DC$3:$DC$42=$U58)*($DD$3:$DD$42="W"))+SUMPRODUCT(($CZ$3:$CZ$42=$U61)*($DC$3:$DC$42=$U59)*($DD$3:$DD$42="W"))+SUMPRODUCT(($CZ$3:$CZ$42=$U61)*($DC$3:$DC$42=$U60)*($DD$3:$DD$42="W"))+SUMPRODUCT(($CZ$3:$CZ$42=$U62)*($DC$3:$DC$42=$U61)*($DE$3:$DE$42="W"))+SUMPRODUCT(($CZ$3:$CZ$42=$U58)*($DC$3:$DC$42=$U61)*($DE$3:$DE$42="W"))+SUMPRODUCT(($CZ$3:$CZ$42=$U59)*($DC$3:$DC$42=$U61)*($DE$3:$DE$42="W"))+SUMPRODUCT(($CZ$3:$CZ$42=$U60)*($DC$3:$DC$42=$U61)*($DE$3:$DE$42="W"))</f>
        <v>0</v>
      </c>
      <c r="W61" s="191">
        <f>SUMPRODUCT(($CZ$3:$CZ$42=$U61)*($DC$3:$DC$42=$U62)*($DD$3:$DD$42="D"))+SUMPRODUCT(($CZ$3:$CZ$42=$U61)*($DC$3:$DC$42=$U58)*($DD$3:$DD$42="D"))+SUMPRODUCT(($CZ$3:$CZ$42=$U61)*($DC$3:$DC$42=$U59)*($DD$3:$DD$42="D"))+SUMPRODUCT(($CZ$3:$CZ$42=$U61)*($DC$3:$DC$42=$U60)*($DD$3:$DD$42="D"))+SUMPRODUCT(($CZ$3:$CZ$42=$U62)*($DC$3:$DC$42=$U61)*($DD$3:$DD$42="D"))+SUMPRODUCT(($CZ$3:$CZ$42=$U58)*($DC$3:$DC$42=$U61)*($DD$3:$DD$42="D"))+SUMPRODUCT(($CZ$3:$CZ$42=$U59)*($DC$3:$DC$42=$U61)*($DD$3:$DD$42="D"))+SUMPRODUCT(($CZ$3:$CZ$42=$U60)*($DC$3:$DC$42=$U61)*($DD$3:$DD$42="D"))</f>
        <v>0</v>
      </c>
      <c r="X61" s="191">
        <f>SUMPRODUCT(($CZ$3:$CZ$42=$U61)*($DC$3:$DC$42=$U62)*($DD$3:$DD$42="L"))+SUMPRODUCT(($CZ$3:$CZ$42=$U61)*($DC$3:$DC$42=$U58)*($DD$3:$DD$42="L"))+SUMPRODUCT(($CZ$3:$CZ$42=$U61)*($DC$3:$DC$42=$U59)*($DD$3:$DD$42="L"))+SUMPRODUCT(($CZ$3:$CZ$42=$U61)*($DC$3:$DC$42=$U60)*($DD$3:$DD$42="L"))+SUMPRODUCT(($CZ$3:$CZ$42=$U62)*($DC$3:$DC$42=$U61)*($DE$3:$DE$42="L"))+SUMPRODUCT(($CZ$3:$CZ$42=$U58)*($DC$3:$DC$42=$U61)*($DE$3:$DE$42="L"))+SUMPRODUCT(($CZ$3:$CZ$42=$U59)*($DC$3:$DC$42=$U61)*($DE$3:$DE$42="L"))+SUMPRODUCT(($CZ$3:$CZ$42=$U60)*($DC$3:$DC$42=$U61)*($DE$3:$DE$42="L"))</f>
        <v>0</v>
      </c>
      <c r="Y61" s="191">
        <f>SUMPRODUCT(($CZ$3:$CZ$42=$U61)*($DC$3:$DC$42=$U62)*$DA$3:$DA$42)+SUMPRODUCT(($CZ$3:$CZ$42=$U61)*($DC$3:$DC$42=$U58)*$DA$3:$DA$42)+SUMPRODUCT(($CZ$3:$CZ$42=$U61)*($DC$3:$DC$42=$U59)*$DA$3:$DA$42)+SUMPRODUCT(($CZ$3:$CZ$42=$U61)*($DC$3:$DC$42=$U60)*$DA$3:$DA$42)+SUMPRODUCT(($CZ$3:$CZ$42=$U62)*($DC$3:$DC$42=$U61)*$DB$3:$DB$42)+SUMPRODUCT(($CZ$3:$CZ$42=$U58)*($DC$3:$DC$42=$U61)*$DB$3:$DB$42)+SUMPRODUCT(($CZ$3:$CZ$42=$U59)*($DC$3:$DC$42=$U61)*$DB$3:$DB$42)+SUMPRODUCT(($CZ$3:$CZ$42=$U60)*($DC$3:$DC$42=$U61)*$DB$3:$DB$42)</f>
        <v>0</v>
      </c>
      <c r="Z61" s="191">
        <f>SUMPRODUCT(($CZ$3:$CZ$42=$U61)*($DC$3:$DC$42=$U62)*$DB$3:$DB$42)+SUMPRODUCT(($CZ$3:$CZ$42=$U61)*($DC$3:$DC$42=$U58)*$DB$3:$DB$42)+SUMPRODUCT(($CZ$3:$CZ$42=$U61)*($DC$3:$DC$42=$U59)*$DB$3:$DB$42)+SUMPRODUCT(($CZ$3:$CZ$42=$U61)*($DC$3:$DC$42=$U60)*$DB$3:$DB$42)+SUMPRODUCT(($CZ$3:$CZ$42=$U62)*($DC$3:$DC$42=$U61)*$DA$3:$DA$42)+SUMPRODUCT(($CZ$3:$CZ$42=$U58)*($DC$3:$DC$42=$U61)*$DA$3:$DA$42)+SUMPRODUCT(($CZ$3:$CZ$42=$U59)*($DC$3:$DC$42=$U61)*$DA$3:$DA$42)+SUMPRODUCT(($CZ$3:$CZ$42=$U60)*($DC$3:$DC$42=$U61)*$DA$3:$DA$42)</f>
        <v>0</v>
      </c>
      <c r="AA61" s="191">
        <f>Y61-Z61+1000</f>
        <v>1000</v>
      </c>
      <c r="AB61" s="191" t="str">
        <f t="shared" si="347"/>
        <v/>
      </c>
      <c r="AC61" s="191" t="str">
        <f t="shared" si="348"/>
        <v/>
      </c>
      <c r="AD61" s="191" t="str">
        <f t="shared" si="349"/>
        <v/>
      </c>
      <c r="AE61" s="191" t="str">
        <f t="shared" si="350"/>
        <v/>
      </c>
      <c r="AF61" s="191" t="str">
        <f t="shared" si="351"/>
        <v/>
      </c>
      <c r="AG61" s="191" t="str">
        <f t="shared" si="352"/>
        <v/>
      </c>
      <c r="AH61" s="191" t="str">
        <f t="shared" si="353"/>
        <v/>
      </c>
      <c r="AI61" s="191" t="str">
        <f t="shared" si="354"/>
        <v/>
      </c>
      <c r="AJ61" s="191" t="str">
        <f t="shared" si="355"/>
        <v/>
      </c>
      <c r="AK61" s="191" t="str">
        <f t="shared" si="356"/>
        <v/>
      </c>
      <c r="AL61" s="191" t="str">
        <f t="shared" si="357"/>
        <v/>
      </c>
      <c r="AM61" s="191" t="str">
        <f>IF(U61&lt;&gt;"",SUM(AG61:AL61),"")</f>
        <v/>
      </c>
      <c r="AN61" s="191" t="str">
        <f t="shared" si="364"/>
        <v/>
      </c>
      <c r="AO61" s="191" t="str">
        <f t="shared" si="358"/>
        <v/>
      </c>
      <c r="AP61" s="191" t="str">
        <f>IF($AO61&lt;&gt;"",SUMPRODUCT(($CZ$3:$CZ$42=$AO61)*($DC$3:$DC$42=$AO62)*($DD$3:$DD$42="W"))+SUMPRODUCT(($CZ$3:$CZ$42=$AO61)*($DC$3:$DC$42=$AO59)*($DD$3:$DD$42="W"))+SUMPRODUCT(($CZ$3:$CZ$42=$AO61)*($DC$3:$DC$42=$AO60)*($DD$3:$DD$42="W"))+SUMPRODUCT(($CZ$3:$CZ$42=$AO62)*($DC$3:$DC$42=$AO61)*($DE$3:$DE$42="W"))+SUMPRODUCT(($CZ$3:$CZ$42=$AO59)*($DC$3:$DC$42=$AO61)*($DE$3:$DE$42="W"))+SUMPRODUCT(($CZ$3:$CZ$42=$AO60)*($DC$3:$DC$42=$AO61)*($DE$3:$DE$42="W")),"")</f>
        <v/>
      </c>
      <c r="AQ61" s="191" t="str">
        <f>IF($AO61&lt;&gt;"",SUMPRODUCT(($CZ$3:$CZ$42=$AO61)*($DC$3:$DC$42=$AO62)*($DD$3:$DD$42="D"))+SUMPRODUCT(($CZ$3:$CZ$42=$AO61)*($DC$3:$DC$42=$AO59)*($DD$3:$DD$42="D"))+SUMPRODUCT(($CZ$3:$CZ$42=$AO61)*($DC$3:$DC$42=$AO60)*($DD$3:$DD$42="D"))+SUMPRODUCT(($CZ$3:$CZ$42=$AO62)*($DC$3:$DC$42=$AO61)*($DD$3:$DD$42="D"))+SUMPRODUCT(($CZ$3:$CZ$42=$AO59)*($DC$3:$DC$42=$AO61)*($DD$3:$DD$42="D"))+SUMPRODUCT(($CZ$3:$CZ$42=$AO60)*($DC$3:$DC$42=$AO61)*($DD$3:$DD$42="D")),"")</f>
        <v/>
      </c>
      <c r="AR61" s="191" t="str">
        <f>IF($AO61&lt;&gt;"",SUMPRODUCT(($CZ$3:$CZ$42=$AO61)*($DC$3:$DC$42=$AO62)*($DD$3:$DD$42="L"))+SUMPRODUCT(($CZ$3:$CZ$42=$AO61)*($DC$3:$DC$42=$AO59)*($DD$3:$DD$42="L"))+SUMPRODUCT(($CZ$3:$CZ$42=$AO61)*($DC$3:$DC$42=$AO60)*($DD$3:$DD$42="L"))+SUMPRODUCT(($CZ$3:$CZ$42=$AO62)*($DC$3:$DC$42=$AO61)*($DE$3:$DE$42="L"))+SUMPRODUCT(($CZ$3:$CZ$42=$AO59)*($DC$3:$DC$42=$AO61)*($DE$3:$DE$42="L"))+SUMPRODUCT(($CZ$3:$CZ$42=$AO60)*($DC$3:$DC$42=$AO61)*($DE$3:$DE$42="L")),"")</f>
        <v/>
      </c>
      <c r="AS61" s="191">
        <f>SUMPRODUCT(($CZ$3:$CZ$42=$AO61)*($DC$3:$DC$42=$AO62)*$DA$3:$DA$42)+SUMPRODUCT(($CZ$3:$CZ$42=$AO61)*($DC$3:$DC$42=$AO58)*$DA$3:$DA$42)+SUMPRODUCT(($CZ$3:$CZ$42=$AO61)*($DC$3:$DC$42=$AO59)*$DA$3:$DA$42)+SUMPRODUCT(($CZ$3:$CZ$42=$AO61)*($DC$3:$DC$42=$AO60)*$DA$3:$DA$42)+SUMPRODUCT(($CZ$3:$CZ$42=$AO62)*($DC$3:$DC$42=$AO61)*$DB$3:$DB$42)+SUMPRODUCT(($CZ$3:$CZ$42=$AO58)*($DC$3:$DC$42=$AO61)*$DB$3:$DB$42)+SUMPRODUCT(($CZ$3:$CZ$42=$AO59)*($DC$3:$DC$42=$AO61)*$DB$3:$DB$42)+SUMPRODUCT(($CZ$3:$CZ$42=$AO60)*($DC$3:$DC$42=$AO61)*$DB$3:$DB$42)</f>
        <v>0</v>
      </c>
      <c r="AT61" s="191">
        <f>SUMPRODUCT(($CZ$3:$CZ$42=$AO61)*($DC$3:$DC$42=$AO62)*$DB$3:$DB$42)+SUMPRODUCT(($CZ$3:$CZ$42=$AO61)*($DC$3:$DC$42=$AO58)*$DB$3:$DB$42)+SUMPRODUCT(($CZ$3:$CZ$42=$AO61)*($DC$3:$DC$42=$AO59)*$DB$3:$DB$42)+SUMPRODUCT(($CZ$3:$CZ$42=$AO61)*($DC$3:$DC$42=$AO60)*$DB$3:$DB$42)+SUMPRODUCT(($CZ$3:$CZ$42=$AO62)*($DC$3:$DC$42=$AO61)*$DA$3:$DA$42)+SUMPRODUCT(($CZ$3:$CZ$42=$AO58)*($DC$3:$DC$42=$AO61)*$DA$3:$DA$42)+SUMPRODUCT(($CZ$3:$CZ$42=$AO59)*($DC$3:$DC$42=$AO61)*$DA$3:$DA$42)+SUMPRODUCT(($CZ$3:$CZ$42=$AO60)*($DC$3:$DC$42=$AO61)*$DA$3:$DA$42)</f>
        <v>0</v>
      </c>
      <c r="AU61" s="191">
        <f>AS61-AT61+1000</f>
        <v>1000</v>
      </c>
      <c r="AV61" s="191" t="str">
        <f t="shared" si="359"/>
        <v/>
      </c>
      <c r="AW61" s="191" t="str">
        <f t="shared" si="360"/>
        <v/>
      </c>
      <c r="AX61" s="191" t="str">
        <f t="shared" si="361"/>
        <v/>
      </c>
      <c r="AY61" s="191" t="str">
        <f t="shared" si="362"/>
        <v/>
      </c>
      <c r="AZ61" s="191" t="str">
        <f t="shared" si="363"/>
        <v/>
      </c>
      <c r="BA61" s="191" t="str">
        <f t="shared" si="365"/>
        <v/>
      </c>
      <c r="BB61" s="191" t="str">
        <f t="shared" si="366"/>
        <v/>
      </c>
      <c r="BC61" s="191" t="str">
        <f t="shared" si="367"/>
        <v/>
      </c>
      <c r="BD61" s="191" t="str">
        <f t="shared" si="368"/>
        <v/>
      </c>
      <c r="BE61" s="191" t="str">
        <f t="shared" si="369"/>
        <v/>
      </c>
      <c r="BF61" s="191" t="str">
        <f t="shared" si="370"/>
        <v/>
      </c>
      <c r="BG61" s="191" t="str">
        <f t="shared" si="371"/>
        <v/>
      </c>
      <c r="EH61" s="193" t="e">
        <f>Fixtures!#REF!</f>
        <v>#REF!</v>
      </c>
      <c r="EJ61" s="193" t="str">
        <f>IF(ISERROR("'Countries and Timezone'!"&amp;VLOOKUP(EH61,'Dummy Table'!$EH$7:$EI$38,2,FALSE)),"'Countries and Timezone'!b39","'Countries and Timezone'!"&amp;VLOOKUP(EH61,'Dummy Table'!$EH$7:$EI$38,2,FALSE))</f>
        <v>'Countries and Timezone'!b39</v>
      </c>
      <c r="EP61" s="191">
        <v>2</v>
      </c>
      <c r="EQ61" s="191" t="s">
        <v>689</v>
      </c>
      <c r="ER61" s="191" t="s">
        <v>690</v>
      </c>
    </row>
    <row r="62" spans="9:148" x14ac:dyDescent="0.35">
      <c r="EH62" s="193" t="e">
        <f>Fixtures!#REF!</f>
        <v>#REF!</v>
      </c>
      <c r="EJ62" s="193" t="str">
        <f>IF(ISERROR("'Countries and Timezone'!"&amp;VLOOKUP(EH62,'Dummy Table'!$EH$7:$EI$38,2,FALSE)),"'Countries and Timezone'!b39","'Countries and Timezone'!"&amp;VLOOKUP(EH62,'Dummy Table'!$EH$7:$EI$38,2,FALSE))</f>
        <v>'Countries and Timezone'!b39</v>
      </c>
      <c r="EP62" s="191">
        <v>2</v>
      </c>
      <c r="EQ62" s="191" t="s">
        <v>691</v>
      </c>
      <c r="ER62" s="191" t="s">
        <v>692</v>
      </c>
    </row>
    <row r="63" spans="9:148" x14ac:dyDescent="0.35">
      <c r="EH63" s="193" t="e">
        <f>Fixtures!#REF!</f>
        <v>#REF!</v>
      </c>
      <c r="EJ63" s="193" t="str">
        <f>IF(ISERROR("'Countries and Timezone'!"&amp;VLOOKUP(EH63,'Dummy Table'!$EH$7:$EI$38,2,FALSE)),"'Countries and Timezone'!b39","'Countries and Timezone'!"&amp;VLOOKUP(EH63,'Dummy Table'!$EH$7:$EI$38,2,FALSE))</f>
        <v>'Countries and Timezone'!b39</v>
      </c>
      <c r="EP63" s="191">
        <v>2</v>
      </c>
      <c r="EQ63" s="191" t="s">
        <v>693</v>
      </c>
      <c r="ER63" s="191" t="s">
        <v>694</v>
      </c>
    </row>
    <row r="64" spans="9:148" x14ac:dyDescent="0.35">
      <c r="T64" s="191">
        <f>IF(U65="",SUM(AG25:AL25),IF(U66="",SUM(AG26:AL26),IF(U67="",SUM(AG27:AL27),IF(U68="",SUM(AG28:AL28),0))))</f>
        <v>0</v>
      </c>
      <c r="AN64" s="191">
        <f>IF(AO66="",SUM(BA26:BF26),IF(AO67="",SUM(BA27:BF27),IF(AO68="",SUM(BA28:BF28),0)))</f>
        <v>0</v>
      </c>
      <c r="EH64" s="193" t="e">
        <f>Fixtures!#REF!</f>
        <v>#REF!</v>
      </c>
      <c r="EJ64" s="193" t="str">
        <f>IF(ISERROR("'Countries and Timezone'!"&amp;VLOOKUP(EH64,'Dummy Table'!$EH$7:$EI$38,2,FALSE)),"'Countries and Timezone'!b39","'Countries and Timezone'!"&amp;VLOOKUP(EH64,'Dummy Table'!$EH$7:$EI$38,2,FALSE))</f>
        <v>'Countries and Timezone'!b39</v>
      </c>
      <c r="EP64" s="191">
        <v>2</v>
      </c>
      <c r="EQ64" s="191" t="s">
        <v>695</v>
      </c>
      <c r="ER64" s="191" t="s">
        <v>696</v>
      </c>
    </row>
    <row r="65" spans="9:148" x14ac:dyDescent="0.35">
      <c r="I65" s="191">
        <f>SUMPRODUCT((I25:I28=I25)*(H25:H28=H25)*(F25:F28&gt;F25))+1</f>
        <v>1</v>
      </c>
      <c r="T65" s="191" t="str">
        <f>IF(U25&lt;&gt;"",SUMPRODUCT(($AB$25:$AB$28=AB25)*($AA$25:$AA$28=AA25)*($Y$25:$Y$28=Y25)*($Z$25:$Z$28=Z25)),"")</f>
        <v/>
      </c>
      <c r="U65" s="191" t="str">
        <f>IF(AND(T65&lt;&gt;"",T65&gt;1),U25,"")</f>
        <v/>
      </c>
      <c r="V65" s="191">
        <f>SUMPRODUCT(($CZ$3:$CZ$42=$U65)*($DC$3:$DC$42=$U66)*($DD$3:$DD$42="W"))+SUMPRODUCT(($CZ$3:$CZ$42=$U65)*($DC$3:$DC$42=$U67)*($DD$3:$DD$42="W"))+SUMPRODUCT(($CZ$3:$CZ$42=$U65)*($DC$3:$DC$42=$U68)*($DD$3:$DD$42="W"))+SUMPRODUCT(($CZ$3:$CZ$42=$U65)*($DC$3:$DC$42=$U69)*($DD$3:$DD$42="W"))+SUMPRODUCT(($CZ$3:$CZ$42=$U66)*($DC$3:$DC$42=$U65)*($DE$3:$DE$42="W"))+SUMPRODUCT(($CZ$3:$CZ$42=$U67)*($DC$3:$DC$42=$U65)*($DE$3:$DE$42="W"))+SUMPRODUCT(($CZ$3:$CZ$42=$U68)*($DC$3:$DC$42=$U65)*($DE$3:$DE$42="W"))+SUMPRODUCT(($CZ$3:$CZ$42=$U69)*($DC$3:$DC$42=$U65)*($DE$3:$DE$42="W"))</f>
        <v>0</v>
      </c>
      <c r="W65" s="191">
        <f>SUMPRODUCT(($CZ$3:$CZ$42=$U65)*($DC$3:$DC$42=$U66)*($DD$3:$DD$42="D"))+SUMPRODUCT(($CZ$3:$CZ$42=$U65)*($DC$3:$DC$42=$U67)*($DD$3:$DD$42="D"))+SUMPRODUCT(($CZ$3:$CZ$42=$U65)*($DC$3:$DC$42=$U68)*($DD$3:$DD$42="D"))+SUMPRODUCT(($CZ$3:$CZ$42=$U65)*($DC$3:$DC$42=$U69)*($DD$3:$DD$42="D"))+SUMPRODUCT(($CZ$3:$CZ$42=$U66)*($DC$3:$DC$42=$U65)*($DD$3:$DD$42="D"))+SUMPRODUCT(($CZ$3:$CZ$42=$U67)*($DC$3:$DC$42=$U65)*($DD$3:$DD$42="D"))+SUMPRODUCT(($CZ$3:$CZ$42=$U68)*($DC$3:$DC$42=$U65)*($DD$3:$DD$42="D"))+SUMPRODUCT(($CZ$3:$CZ$42=$U69)*($DC$3:$DC$42=$U65)*($DD$3:$DD$42="D"))</f>
        <v>0</v>
      </c>
      <c r="X65" s="191">
        <f>SUMPRODUCT(($CZ$3:$CZ$42=$U65)*($DC$3:$DC$42=$U66)*($DD$3:$DD$42="L"))+SUMPRODUCT(($CZ$3:$CZ$42=$U65)*($DC$3:$DC$42=$U67)*($DD$3:$DD$42="L"))+SUMPRODUCT(($CZ$3:$CZ$42=$U65)*($DC$3:$DC$42=$U68)*($DD$3:$DD$42="L"))+SUMPRODUCT(($CZ$3:$CZ$42=$U65)*($DC$3:$DC$42=$U69)*($DD$3:$DD$42="L"))+SUMPRODUCT(($CZ$3:$CZ$42=$U66)*($DC$3:$DC$42=$U65)*($DE$3:$DE$42="L"))+SUMPRODUCT(($CZ$3:$CZ$42=$U67)*($DC$3:$DC$42=$U65)*($DE$3:$DE$42="L"))+SUMPRODUCT(($CZ$3:$CZ$42=$U68)*($DC$3:$DC$42=$U65)*($DE$3:$DE$42="L"))+SUMPRODUCT(($CZ$3:$CZ$42=$U69)*($DC$3:$DC$42=$U65)*($DE$3:$DE$42="L"))</f>
        <v>0</v>
      </c>
      <c r="Y65" s="191">
        <f>SUMPRODUCT(($CZ$3:$CZ$42=$U65)*($DC$3:$DC$42=$U66)*$DA$3:$DA$42)+SUMPRODUCT(($CZ$3:$CZ$42=$U65)*($DC$3:$DC$42=$U67)*$DA$3:$DA$42)+SUMPRODUCT(($CZ$3:$CZ$42=$U65)*($DC$3:$DC$42=$U68)*$DA$3:$DA$42)+SUMPRODUCT(($CZ$3:$CZ$42=$U65)*($DC$3:$DC$42=$U69)*$DA$3:$DA$42)+SUMPRODUCT(($CZ$3:$CZ$42=$U66)*($DC$3:$DC$42=$U65)*$DB$3:$DB$42)+SUMPRODUCT(($CZ$3:$CZ$42=$U67)*($DC$3:$DC$42=$U65)*$DB$3:$DB$42)+SUMPRODUCT(($CZ$3:$CZ$42=$U68)*($DC$3:$DC$42=$U65)*$DB$3:$DB$42)+SUMPRODUCT(($CZ$3:$CZ$42=$U69)*($DC$3:$DC$42=$U65)*$DB$3:$DB$42)</f>
        <v>0</v>
      </c>
      <c r="Z65" s="191">
        <f>SUMPRODUCT(($CZ$3:$CZ$42=$U65)*($DC$3:$DC$42=$U66)*$DB$3:$DB$42)+SUMPRODUCT(($CZ$3:$CZ$42=$U65)*($DC$3:$DC$42=$U67)*$DB$3:$DB$42)+SUMPRODUCT(($CZ$3:$CZ$42=$U65)*($DC$3:$DC$42=$U68)*$DB$3:$DB$42)+SUMPRODUCT(($CZ$3:$CZ$42=$U65)*($DC$3:$DC$42=$U69)*$DB$3:$DB$42)+SUMPRODUCT(($CZ$3:$CZ$42=$U66)*($DC$3:$DC$42=$U65)*$DA$3:$DA$42)+SUMPRODUCT(($CZ$3:$CZ$42=$U67)*($DC$3:$DC$42=$U65)*$DA$3:$DA$42)+SUMPRODUCT(($CZ$3:$CZ$42=$U68)*($DC$3:$DC$42=$U65)*$DA$3:$DA$42)+SUMPRODUCT(($CZ$3:$CZ$42=$U69)*($DC$3:$DC$42=$U65)*$DA$3:$DA$42)</f>
        <v>0</v>
      </c>
      <c r="AA65" s="191">
        <f>Y65-Z65+1000</f>
        <v>1000</v>
      </c>
      <c r="AB65" s="191" t="str">
        <f>IF(U65&lt;&gt;"",V65*3+W65*1,"")</f>
        <v/>
      </c>
      <c r="AC65" s="191" t="str">
        <f>IF(U65&lt;&gt;"",VLOOKUP(U65,$B$4:$H$40,7,FALSE),"")</f>
        <v/>
      </c>
      <c r="AD65" s="191" t="str">
        <f>IF(U65&lt;&gt;"",VLOOKUP(U65,$B$4:$H$40,5,FALSE),"")</f>
        <v/>
      </c>
      <c r="AE65" s="191" t="str">
        <f>IF(U65&lt;&gt;"",VLOOKUP(U65,$B$4:$J$40,9,FALSE),"")</f>
        <v/>
      </c>
      <c r="AF65" s="191" t="str">
        <f>AB65</f>
        <v/>
      </c>
      <c r="AG65" s="191" t="str">
        <f>IF(U65&lt;&gt;"",RANK(AF65,AF$65:AF$68),"")</f>
        <v/>
      </c>
      <c r="AH65" s="191" t="str">
        <f>IF(U65&lt;&gt;"",SUMPRODUCT((AF$65:AF$68=AF65)*(AA$65:AA$68&gt;AA65)),"")</f>
        <v/>
      </c>
      <c r="AI65" s="191" t="str">
        <f>IF(U65&lt;&gt;"",SUMPRODUCT((AF$65:AF$68=AF65)*(AA$65:AA$68=AA65)*(Y$65:Y$68&gt;Y65)),"")</f>
        <v/>
      </c>
      <c r="AJ65" s="191" t="str">
        <f>IF(U65&lt;&gt;"",SUMPRODUCT((AF$65:AF$68=AF65)*(AA$65:AA$68=AA65)*(Y$65:Y$68=Y65)*(AC$65:AC$68&gt;AC65)),"")</f>
        <v/>
      </c>
      <c r="AK65" s="191" t="str">
        <f>IF(U65&lt;&gt;"",SUMPRODUCT((AF$65:AF$68=AF65)*(AA$65:AA$68=AA65)*(Y$65:Y$68=Y65)*(AC$65:AC$68=AC65)*(AD$65:AD$68&gt;AD65)),"")</f>
        <v/>
      </c>
      <c r="AL65" s="191" t="str">
        <f>IF(U65&lt;&gt;"",SUMPRODUCT((AF$65:AF$68=AF65)*(AA$65:AA$68=AA65)*(Y$65:Y$68=Y65)*(AC$65:AC$68=AC65)*(AD$65:AD$68=AD65)*(AE$65:AE$68&gt;AE65)),"")</f>
        <v/>
      </c>
      <c r="AM65" s="191" t="str">
        <f>IF(U65&lt;&gt;"",SUM(AG65:AL65),"")</f>
        <v/>
      </c>
      <c r="EH65" s="193" t="e">
        <f>Fixtures!#REF!</f>
        <v>#REF!</v>
      </c>
      <c r="EJ65" s="193" t="str">
        <f>IF(ISERROR("'Countries and Timezone'!"&amp;VLOOKUP(EH65,'Dummy Table'!$EH$7:$EI$38,2,FALSE)),"'Countries and Timezone'!b39","'Countries and Timezone'!"&amp;VLOOKUP(EH65,'Dummy Table'!$EH$7:$EI$38,2,FALSE))</f>
        <v>'Countries and Timezone'!b39</v>
      </c>
      <c r="EP65" s="191">
        <v>2</v>
      </c>
      <c r="EQ65" s="191" t="s">
        <v>697</v>
      </c>
      <c r="ER65" s="191" t="s">
        <v>698</v>
      </c>
    </row>
    <row r="66" spans="9:148" x14ac:dyDescent="0.35">
      <c r="I66" s="191">
        <f>SUMPRODUCT((I25:I28=I26)*(H25:H28=H26)*(F25:F28&gt;F26))+1</f>
        <v>2</v>
      </c>
      <c r="T66" s="191" t="str">
        <f t="shared" ref="T66:T68" si="372">IF(U26&lt;&gt;"",SUMPRODUCT(($AB$25:$AB$28=AB26)*($AA$25:$AA$28=AA26)*($Y$25:$Y$28=Y26)*($Z$25:$Z$28=Z26)),"")</f>
        <v/>
      </c>
      <c r="U66" s="191" t="str">
        <f t="shared" ref="U66:U68" si="373">IF(AND(T66&lt;&gt;"",T66&gt;1),U26,"")</f>
        <v/>
      </c>
      <c r="V66" s="191">
        <f>SUMPRODUCT(($CZ$3:$CZ$42=$U66)*($DC$3:$DC$42=$U67)*($DD$3:$DD$42="W"))+SUMPRODUCT(($CZ$3:$CZ$42=$U66)*($DC$3:$DC$42=$U68)*($DD$3:$DD$42="W"))+SUMPRODUCT(($CZ$3:$CZ$42=$U66)*($DC$3:$DC$42=$U69)*($DD$3:$DD$42="W"))+SUMPRODUCT(($CZ$3:$CZ$42=$U66)*($DC$3:$DC$42=$U65)*($DD$3:$DD$42="W"))+SUMPRODUCT(($CZ$3:$CZ$42=$U67)*($DC$3:$DC$42=$U66)*($DE$3:$DE$42="W"))+SUMPRODUCT(($CZ$3:$CZ$42=$U68)*($DC$3:$DC$42=$U66)*($DE$3:$DE$42="W"))+SUMPRODUCT(($CZ$3:$CZ$42=$U69)*($DC$3:$DC$42=$U66)*($DE$3:$DE$42="W"))+SUMPRODUCT(($CZ$3:$CZ$42=$U65)*($DC$3:$DC$42=$U66)*($DE$3:$DE$42="W"))</f>
        <v>0</v>
      </c>
      <c r="W66" s="191">
        <f>SUMPRODUCT(($CZ$3:$CZ$42=$U66)*($DC$3:$DC$42=$U67)*($DD$3:$DD$42="D"))+SUMPRODUCT(($CZ$3:$CZ$42=$U66)*($DC$3:$DC$42=$U68)*($DD$3:$DD$42="D"))+SUMPRODUCT(($CZ$3:$CZ$42=$U66)*($DC$3:$DC$42=$U69)*($DD$3:$DD$42="D"))+SUMPRODUCT(($CZ$3:$CZ$42=$U66)*($DC$3:$DC$42=$U65)*($DD$3:$DD$42="D"))+SUMPRODUCT(($CZ$3:$CZ$42=$U67)*($DC$3:$DC$42=$U66)*($DD$3:$DD$42="D"))+SUMPRODUCT(($CZ$3:$CZ$42=$U68)*($DC$3:$DC$42=$U66)*($DD$3:$DD$42="D"))+SUMPRODUCT(($CZ$3:$CZ$42=$U69)*($DC$3:$DC$42=$U66)*($DD$3:$DD$42="D"))+SUMPRODUCT(($CZ$3:$CZ$42=$U65)*($DC$3:$DC$42=$U66)*($DD$3:$DD$42="D"))</f>
        <v>0</v>
      </c>
      <c r="X66" s="191">
        <f>SUMPRODUCT(($CZ$3:$CZ$42=$U66)*($DC$3:$DC$42=$U67)*($DD$3:$DD$42="L"))+SUMPRODUCT(($CZ$3:$CZ$42=$U66)*($DC$3:$DC$42=$U68)*($DD$3:$DD$42="L"))+SUMPRODUCT(($CZ$3:$CZ$42=$U66)*($DC$3:$DC$42=$U69)*($DD$3:$DD$42="L"))+SUMPRODUCT(($CZ$3:$CZ$42=$U66)*($DC$3:$DC$42=$U65)*($DD$3:$DD$42="L"))+SUMPRODUCT(($CZ$3:$CZ$42=$U67)*($DC$3:$DC$42=$U66)*($DE$3:$DE$42="L"))+SUMPRODUCT(($CZ$3:$CZ$42=$U68)*($DC$3:$DC$42=$U66)*($DE$3:$DE$42="L"))+SUMPRODUCT(($CZ$3:$CZ$42=$U69)*($DC$3:$DC$42=$U66)*($DE$3:$DE$42="L"))+SUMPRODUCT(($CZ$3:$CZ$42=$U65)*($DC$3:$DC$42=$U66)*($DE$3:$DE$42="L"))</f>
        <v>0</v>
      </c>
      <c r="Y66" s="191">
        <f>SUMPRODUCT(($CZ$3:$CZ$42=$U66)*($DC$3:$DC$42=$U67)*$DA$3:$DA$42)+SUMPRODUCT(($CZ$3:$CZ$42=$U66)*($DC$3:$DC$42=$U68)*$DA$3:$DA$42)+SUMPRODUCT(($CZ$3:$CZ$42=$U66)*($DC$3:$DC$42=$U69)*$DA$3:$DA$42)+SUMPRODUCT(($CZ$3:$CZ$42=$U66)*($DC$3:$DC$42=$U65)*$DA$3:$DA$42)+SUMPRODUCT(($CZ$3:$CZ$42=$U67)*($DC$3:$DC$42=$U66)*$DB$3:$DB$42)+SUMPRODUCT(($CZ$3:$CZ$42=$U68)*($DC$3:$DC$42=$U66)*$DB$3:$DB$42)+SUMPRODUCT(($CZ$3:$CZ$42=$U69)*($DC$3:$DC$42=$U66)*$DB$3:$DB$42)+SUMPRODUCT(($CZ$3:$CZ$42=$U65)*($DC$3:$DC$42=$U66)*$DB$3:$DB$42)</f>
        <v>0</v>
      </c>
      <c r="Z66" s="191">
        <f>SUMPRODUCT(($CZ$3:$CZ$42=$U66)*($DC$3:$DC$42=$U67)*$DB$3:$DB$42)+SUMPRODUCT(($CZ$3:$CZ$42=$U66)*($DC$3:$DC$42=$U68)*$DB$3:$DB$42)+SUMPRODUCT(($CZ$3:$CZ$42=$U66)*($DC$3:$DC$42=$U69)*$DB$3:$DB$42)+SUMPRODUCT(($CZ$3:$CZ$42=$U66)*($DC$3:$DC$42=$U65)*$DB$3:$DB$42)+SUMPRODUCT(($CZ$3:$CZ$42=$U67)*($DC$3:$DC$42=$U66)*$DA$3:$DA$42)+SUMPRODUCT(($CZ$3:$CZ$42=$U68)*($DC$3:$DC$42=$U66)*$DA$3:$DA$42)+SUMPRODUCT(($CZ$3:$CZ$42=$U69)*($DC$3:$DC$42=$U66)*$DA$3:$DA$42)+SUMPRODUCT(($CZ$3:$CZ$42=$U65)*($DC$3:$DC$42=$U66)*$DA$3:$DA$42)</f>
        <v>0</v>
      </c>
      <c r="AA66" s="191">
        <f>Y66-Z66+1000</f>
        <v>1000</v>
      </c>
      <c r="AB66" s="191" t="str">
        <f t="shared" ref="AB66:AB68" si="374">IF(U66&lt;&gt;"",V66*3+W66*1,"")</f>
        <v/>
      </c>
      <c r="AC66" s="191" t="str">
        <f t="shared" ref="AC66:AC68" si="375">IF(U66&lt;&gt;"",VLOOKUP(U66,$B$4:$H$40,7,FALSE),"")</f>
        <v/>
      </c>
      <c r="AD66" s="191" t="str">
        <f t="shared" ref="AD66:AD68" si="376">IF(U66&lt;&gt;"",VLOOKUP(U66,$B$4:$H$40,5,FALSE),"")</f>
        <v/>
      </c>
      <c r="AE66" s="191" t="str">
        <f t="shared" ref="AE66:AE68" si="377">IF(U66&lt;&gt;"",VLOOKUP(U66,$B$4:$J$40,9,FALSE),"")</f>
        <v/>
      </c>
      <c r="AF66" s="191" t="str">
        <f t="shared" ref="AF66:AF68" si="378">AB66</f>
        <v/>
      </c>
      <c r="AG66" s="191" t="str">
        <f t="shared" ref="AG66:AG68" si="379">IF(U66&lt;&gt;"",RANK(AF66,AF$65:AF$68),"")</f>
        <v/>
      </c>
      <c r="AH66" s="191" t="str">
        <f t="shared" ref="AH66:AH68" si="380">IF(U66&lt;&gt;"",SUMPRODUCT((AF$65:AF$68=AF66)*(AA$65:AA$68&gt;AA66)),"")</f>
        <v/>
      </c>
      <c r="AI66" s="191" t="str">
        <f t="shared" ref="AI66:AI68" si="381">IF(U66&lt;&gt;"",SUMPRODUCT((AF$65:AF$68=AF66)*(AA$65:AA$68=AA66)*(Y$65:Y$68&gt;Y66)),"")</f>
        <v/>
      </c>
      <c r="AJ66" s="191" t="str">
        <f t="shared" ref="AJ66:AJ68" si="382">IF(U66&lt;&gt;"",SUMPRODUCT((AF$65:AF$68=AF66)*(AA$65:AA$68=AA66)*(Y$65:Y$68=Y66)*(AC$65:AC$68&gt;AC66)),"")</f>
        <v/>
      </c>
      <c r="AK66" s="191" t="str">
        <f t="shared" ref="AK66:AK68" si="383">IF(U66&lt;&gt;"",SUMPRODUCT((AF$65:AF$68=AF66)*(AA$65:AA$68=AA66)*(Y$65:Y$68=Y66)*(AC$65:AC$68=AC66)*(AD$65:AD$68&gt;AD66)),"")</f>
        <v/>
      </c>
      <c r="AL66" s="191" t="str">
        <f t="shared" ref="AL66:AL68" si="384">IF(U66&lt;&gt;"",SUMPRODUCT((AF$65:AF$68=AF66)*(AA$65:AA$68=AA66)*(Y$65:Y$68=Y66)*(AC$65:AC$68=AC66)*(AD$65:AD$68=AD66)*(AE$65:AE$68&gt;AE66)),"")</f>
        <v/>
      </c>
      <c r="AM66" s="191" t="str">
        <f>IF(U66&lt;&gt;"",SUM(AG66:AL66),"")</f>
        <v/>
      </c>
      <c r="AN66" s="191">
        <f>IF(AO26&lt;&gt;"",SUMPRODUCT(($AV$25:$AV$28=AV26)*($AU$25:$AU$28=AU26)*($AS$25:$AS$28=AS26)*($AT$25:$AT$28=AT26)),"")</f>
        <v>2</v>
      </c>
      <c r="AO66" s="191" t="str">
        <f t="shared" ref="AO66:AO68" si="385">IF(AND(AN66&lt;&gt;"",AN66&gt;1),AO26,"")</f>
        <v>Czech Republic</v>
      </c>
      <c r="AP66" s="191">
        <f>SUMPRODUCT(($CZ$3:$CZ$42=$AO66)*($DC$3:$DC$42=$AO67)*($DD$3:$DD$42="W"))+SUMPRODUCT(($CZ$3:$CZ$42=$AO66)*($DC$3:$DC$42=$AO68)*($DD$3:$DD$42="W"))+SUMPRODUCT(($CZ$3:$CZ$42=$AO66)*($DC$3:$DC$42=$AO69)*($DD$3:$DD$42="W"))+SUMPRODUCT(($CZ$3:$CZ$42=$AO67)*($DC$3:$DC$42=$AO66)*($DE$3:$DE$42="W"))+SUMPRODUCT(($CZ$3:$CZ$42=$AO68)*($DC$3:$DC$42=$AO66)*($DE$3:$DE$42="W"))+SUMPRODUCT(($CZ$3:$CZ$42=$AO69)*($DC$3:$DC$42=$AO66)*($DE$3:$DE$42="W"))</f>
        <v>0</v>
      </c>
      <c r="AQ66" s="191">
        <f>SUMPRODUCT(($CZ$3:$CZ$42=$AO66)*($DC$3:$DC$42=$AO67)*($DD$3:$DD$42="D"))+SUMPRODUCT(($CZ$3:$CZ$42=$AO66)*($DC$3:$DC$42=$AO68)*($DD$3:$DD$42="D"))+SUMPRODUCT(($CZ$3:$CZ$42=$AO66)*($DC$3:$DC$42=$AO69)*($DD$3:$DD$42="D"))+SUMPRODUCT(($CZ$3:$CZ$42=$AO67)*($DC$3:$DC$42=$AO66)*($DD$3:$DD$42="D"))+SUMPRODUCT(($CZ$3:$CZ$42=$AO68)*($DC$3:$DC$42=$AO66)*($DD$3:$DD$42="D"))+SUMPRODUCT(($CZ$3:$CZ$42=$AO69)*($DC$3:$DC$42=$AO66)*($DD$3:$DD$42="D"))</f>
        <v>1</v>
      </c>
      <c r="AR66" s="191">
        <f>SUMPRODUCT(($CZ$3:$CZ$42=$AO66)*($DC$3:$DC$42=$AO67)*($DD$3:$DD$42="L"))+SUMPRODUCT(($CZ$3:$CZ$42=$AO66)*($DC$3:$DC$42=$AO68)*($DD$3:$DD$42="L"))+SUMPRODUCT(($CZ$3:$CZ$42=$AO66)*($DC$3:$DC$42=$AO69)*($DD$3:$DD$42="L"))+SUMPRODUCT(($CZ$3:$CZ$42=$AO67)*($DC$3:$DC$42=$AO66)*($DE$3:$DE$42="L"))+SUMPRODUCT(($CZ$3:$CZ$42=$AO68)*($DC$3:$DC$42=$AO66)*($DE$3:$DE$42="L"))+SUMPRODUCT(($CZ$3:$CZ$42=$AO69)*($DC$3:$DC$42=$AO66)*($DE$3:$DE$42="L"))</f>
        <v>0</v>
      </c>
      <c r="AS66" s="191">
        <f>SUMPRODUCT(($CZ$3:$CZ$42=$AO66)*($DC$3:$DC$42=$AO67)*$DA$3:$DA$42)+SUMPRODUCT(($CZ$3:$CZ$42=$AO66)*($DC$3:$DC$42=$AO68)*$DA$3:$DA$42)+SUMPRODUCT(($CZ$3:$CZ$42=$AO66)*($DC$3:$DC$42=$AO69)*$DA$3:$DA$42)+SUMPRODUCT(($CZ$3:$CZ$42=$AO66)*($DC$3:$DC$42=$AO65)*$DA$3:$DA$42)+SUMPRODUCT(($CZ$3:$CZ$42=$AO67)*($DC$3:$DC$42=$AO66)*$DB$3:$DB$42)+SUMPRODUCT(($CZ$3:$CZ$42=$AO68)*($DC$3:$DC$42=$AO66)*$DB$3:$DB$42)+SUMPRODUCT(($CZ$3:$CZ$42=$AO69)*($DC$3:$DC$42=$AO66)*$DB$3:$DB$42)+SUMPRODUCT(($CZ$3:$CZ$42=$AO65)*($DC$3:$DC$42=$AO66)*$DB$3:$DB$42)</f>
        <v>1</v>
      </c>
      <c r="AT66" s="191">
        <f>SUMPRODUCT(($CZ$3:$CZ$42=$AO66)*($DC$3:$DC$42=$AO67)*$DB$3:$DB$42)+SUMPRODUCT(($CZ$3:$CZ$42=$AO66)*($DC$3:$DC$42=$AO68)*$DB$3:$DB$42)+SUMPRODUCT(($CZ$3:$CZ$42=$AO66)*($DC$3:$DC$42=$AO69)*$DB$3:$DB$42)+SUMPRODUCT(($CZ$3:$CZ$42=$AO66)*($DC$3:$DC$42=$AO65)*$DB$3:$DB$42)+SUMPRODUCT(($CZ$3:$CZ$42=$AO67)*($DC$3:$DC$42=$AO66)*$DA$3:$DA$42)+SUMPRODUCT(($CZ$3:$CZ$42=$AO68)*($DC$3:$DC$42=$AO66)*$DA$3:$DA$42)+SUMPRODUCT(($CZ$3:$CZ$42=$AO69)*($DC$3:$DC$42=$AO66)*$DA$3:$DA$42)+SUMPRODUCT(($CZ$3:$CZ$42=$AO65)*($DC$3:$DC$42=$AO66)*$DA$3:$DA$42)</f>
        <v>1</v>
      </c>
      <c r="AU66" s="191">
        <f>AS66-AT66+1000</f>
        <v>1000</v>
      </c>
      <c r="AV66" s="191">
        <f t="shared" ref="AV66:AV68" si="386">IF(AO66&lt;&gt;"",AP66*3+AQ66*1,"")</f>
        <v>1</v>
      </c>
      <c r="AW66" s="191">
        <f t="shared" ref="AW66:AW68" si="387">IF(AO66&lt;&gt;"",VLOOKUP(AO66,$B$4:$H$40,7,FALSE),"")</f>
        <v>1001</v>
      </c>
      <c r="AX66" s="191">
        <f t="shared" ref="AX66:AX68" si="388">IF(AO66&lt;&gt;"",VLOOKUP(AO66,$B$4:$H$40,5,FALSE),"")</f>
        <v>3</v>
      </c>
      <c r="AY66" s="191">
        <f t="shared" ref="AY66:AY68" si="389">IF(AO66&lt;&gt;"",VLOOKUP(AO66,$B$4:$J$40,9,FALSE),"")</f>
        <v>38</v>
      </c>
      <c r="AZ66" s="191">
        <f t="shared" ref="AZ66:AZ68" si="390">AV66</f>
        <v>1</v>
      </c>
      <c r="BA66" s="191">
        <f>IF(AO66&lt;&gt;"",RANK(AZ66,AZ$65:AZ$68),"")</f>
        <v>1</v>
      </c>
      <c r="BB66" s="191">
        <f>IF(AO66&lt;&gt;"",SUMPRODUCT((AZ$65:AZ$68=AZ66)*(AU$65:AU$68&gt;AU66)),"")</f>
        <v>0</v>
      </c>
      <c r="BC66" s="191">
        <f>IF(AO66&lt;&gt;"",SUMPRODUCT((AZ$65:AZ$68=AZ66)*(AU$65:AU$68=AU66)*(AS$65:AS$68&gt;AS66)),"")</f>
        <v>0</v>
      </c>
      <c r="BD66" s="191">
        <f>IF(AO66&lt;&gt;"",SUMPRODUCT((AZ$65:AZ$68=AZ66)*(AU$65:AU$68=AU66)*(AS$65:AS$68=AS66)*(AW$65:AW$68&gt;AW66)),"")</f>
        <v>0</v>
      </c>
      <c r="BE66" s="191">
        <f>IF(AO66&lt;&gt;"",SUMPRODUCT((AZ$65:AZ$68=AZ66)*(AU$65:AU$68=AU66)*(AS$65:AS$68=AS66)*(AW$65:AW$68=AW66)*(AX$65:AX$68&gt;AX66)),"")</f>
        <v>1</v>
      </c>
      <c r="BF66" s="191">
        <f>IF(AO66&lt;&gt;"",SUMPRODUCT((AZ$65:AZ$68=AZ66)*(AU$65:AU$68=AU66)*(AS$65:AS$68=AS66)*(AW$65:AW$68=AW66)*(AX$65:AX$68=AX66)*(AY$65:AY$68&gt;AY66)),"")</f>
        <v>0</v>
      </c>
      <c r="BG66" s="191">
        <f>IF(AO66&lt;&gt;"",SUM(BA66:BF66)+1,"")</f>
        <v>3</v>
      </c>
      <c r="EH66" s="193" t="e">
        <f>Fixtures!#REF!</f>
        <v>#REF!</v>
      </c>
      <c r="EJ66" s="193" t="str">
        <f>IF(ISERROR("'Countries and Timezone'!"&amp;VLOOKUP(EH66,'Dummy Table'!$EH$7:$EI$38,2,FALSE)),"'Countries and Timezone'!b39","'Countries and Timezone'!"&amp;VLOOKUP(EH66,'Dummy Table'!$EH$7:$EI$38,2,FALSE))</f>
        <v>'Countries and Timezone'!b39</v>
      </c>
      <c r="EP66" s="191">
        <v>2</v>
      </c>
      <c r="EQ66" s="191" t="s">
        <v>699</v>
      </c>
      <c r="ER66" s="191" t="s">
        <v>700</v>
      </c>
    </row>
    <row r="67" spans="9:148" x14ac:dyDescent="0.35">
      <c r="I67" s="191">
        <f>SUMPRODUCT((I25:I28=I27)*(H25:H28=H27)*(F25:F28&gt;F27))+1</f>
        <v>1</v>
      </c>
      <c r="T67" s="191" t="str">
        <f t="shared" si="372"/>
        <v/>
      </c>
      <c r="U67" s="191" t="str">
        <f t="shared" si="373"/>
        <v/>
      </c>
      <c r="V67" s="191">
        <f>SUMPRODUCT(($CZ$3:$CZ$42=$U67)*($DC$3:$DC$42=$U68)*($DD$3:$DD$42="W"))+SUMPRODUCT(($CZ$3:$CZ$42=$U67)*($DC$3:$DC$42=$U69)*($DD$3:$DD$42="W"))+SUMPRODUCT(($CZ$3:$CZ$42=$U67)*($DC$3:$DC$42=$U65)*($DD$3:$DD$42="W"))+SUMPRODUCT(($CZ$3:$CZ$42=$U67)*($DC$3:$DC$42=$U66)*($DD$3:$DD$42="W"))+SUMPRODUCT(($CZ$3:$CZ$42=$U68)*($DC$3:$DC$42=$U67)*($DE$3:$DE$42="W"))+SUMPRODUCT(($CZ$3:$CZ$42=$U69)*($DC$3:$DC$42=$U67)*($DE$3:$DE$42="W"))+SUMPRODUCT(($CZ$3:$CZ$42=$U65)*($DC$3:$DC$42=$U67)*($DE$3:$DE$42="W"))+SUMPRODUCT(($CZ$3:$CZ$42=$U66)*($DC$3:$DC$42=$U67)*($DE$3:$DE$42="W"))</f>
        <v>0</v>
      </c>
      <c r="W67" s="191">
        <f>SUMPRODUCT(($CZ$3:$CZ$42=$U67)*($DC$3:$DC$42=$U68)*($DD$3:$DD$42="D"))+SUMPRODUCT(($CZ$3:$CZ$42=$U67)*($DC$3:$DC$42=$U69)*($DD$3:$DD$42="D"))+SUMPRODUCT(($CZ$3:$CZ$42=$U67)*($DC$3:$DC$42=$U65)*($DD$3:$DD$42="D"))+SUMPRODUCT(($CZ$3:$CZ$42=$U67)*($DC$3:$DC$42=$U66)*($DD$3:$DD$42="D"))+SUMPRODUCT(($CZ$3:$CZ$42=$U68)*($DC$3:$DC$42=$U67)*($DD$3:$DD$42="D"))+SUMPRODUCT(($CZ$3:$CZ$42=$U69)*($DC$3:$DC$42=$U67)*($DD$3:$DD$42="D"))+SUMPRODUCT(($CZ$3:$CZ$42=$U65)*($DC$3:$DC$42=$U67)*($DD$3:$DD$42="D"))+SUMPRODUCT(($CZ$3:$CZ$42=$U66)*($DC$3:$DC$42=$U67)*($DD$3:$DD$42="D"))</f>
        <v>0</v>
      </c>
      <c r="X67" s="191">
        <f>SUMPRODUCT(($CZ$3:$CZ$42=$U67)*($DC$3:$DC$42=$U68)*($DD$3:$DD$42="L"))+SUMPRODUCT(($CZ$3:$CZ$42=$U67)*($DC$3:$DC$42=$U69)*($DD$3:$DD$42="L"))+SUMPRODUCT(($CZ$3:$CZ$42=$U67)*($DC$3:$DC$42=$U65)*($DD$3:$DD$42="L"))+SUMPRODUCT(($CZ$3:$CZ$42=$U67)*($DC$3:$DC$42=$U66)*($DD$3:$DD$42="L"))+SUMPRODUCT(($CZ$3:$CZ$42=$U68)*($DC$3:$DC$42=$U67)*($DE$3:$DE$42="L"))+SUMPRODUCT(($CZ$3:$CZ$42=$U69)*($DC$3:$DC$42=$U67)*($DE$3:$DE$42="L"))+SUMPRODUCT(($CZ$3:$CZ$42=$U65)*($DC$3:$DC$42=$U67)*($DE$3:$DE$42="L"))+SUMPRODUCT(($CZ$3:$CZ$42=$U66)*($DC$3:$DC$42=$U67)*($DE$3:$DE$42="L"))</f>
        <v>0</v>
      </c>
      <c r="Y67" s="191">
        <f>SUMPRODUCT(($CZ$3:$CZ$42=$U67)*($DC$3:$DC$42=$U68)*$DA$3:$DA$42)+SUMPRODUCT(($CZ$3:$CZ$42=$U67)*($DC$3:$DC$42=$U69)*$DA$3:$DA$42)+SUMPRODUCT(($CZ$3:$CZ$42=$U67)*($DC$3:$DC$42=$U65)*$DA$3:$DA$42)+SUMPRODUCT(($CZ$3:$CZ$42=$U67)*($DC$3:$DC$42=$U66)*$DA$3:$DA$42)+SUMPRODUCT(($CZ$3:$CZ$42=$U68)*($DC$3:$DC$42=$U67)*$DB$3:$DB$42)+SUMPRODUCT(($CZ$3:$CZ$42=$U69)*($DC$3:$DC$42=$U67)*$DB$3:$DB$42)+SUMPRODUCT(($CZ$3:$CZ$42=$U65)*($DC$3:$DC$42=$U67)*$DB$3:$DB$42)+SUMPRODUCT(($CZ$3:$CZ$42=$U66)*($DC$3:$DC$42=$U67)*$DB$3:$DB$42)</f>
        <v>0</v>
      </c>
      <c r="Z67" s="191">
        <f>SUMPRODUCT(($CZ$3:$CZ$42=$U67)*($DC$3:$DC$42=$U68)*$DB$3:$DB$42)+SUMPRODUCT(($CZ$3:$CZ$42=$U67)*($DC$3:$DC$42=$U69)*$DB$3:$DB$42)+SUMPRODUCT(($CZ$3:$CZ$42=$U67)*($DC$3:$DC$42=$U65)*$DB$3:$DB$42)+SUMPRODUCT(($CZ$3:$CZ$42=$U67)*($DC$3:$DC$42=$U66)*$DB$3:$DB$42)+SUMPRODUCT(($CZ$3:$CZ$42=$U68)*($DC$3:$DC$42=$U67)*$DA$3:$DA$42)+SUMPRODUCT(($CZ$3:$CZ$42=$U69)*($DC$3:$DC$42=$U67)*$DA$3:$DA$42)+SUMPRODUCT(($CZ$3:$CZ$42=$U65)*($DC$3:$DC$42=$U67)*$DA$3:$DA$42)+SUMPRODUCT(($CZ$3:$CZ$42=$U66)*($DC$3:$DC$42=$U67)*$DA$3:$DA$42)</f>
        <v>0</v>
      </c>
      <c r="AA67" s="191">
        <f>Y67-Z67+1000</f>
        <v>1000</v>
      </c>
      <c r="AB67" s="191" t="str">
        <f t="shared" si="374"/>
        <v/>
      </c>
      <c r="AC67" s="191" t="str">
        <f t="shared" si="375"/>
        <v/>
      </c>
      <c r="AD67" s="191" t="str">
        <f t="shared" si="376"/>
        <v/>
      </c>
      <c r="AE67" s="191" t="str">
        <f t="shared" si="377"/>
        <v/>
      </c>
      <c r="AF67" s="191" t="str">
        <f t="shared" si="378"/>
        <v/>
      </c>
      <c r="AG67" s="191" t="str">
        <f t="shared" si="379"/>
        <v/>
      </c>
      <c r="AH67" s="191" t="str">
        <f t="shared" si="380"/>
        <v/>
      </c>
      <c r="AI67" s="191" t="str">
        <f t="shared" si="381"/>
        <v/>
      </c>
      <c r="AJ67" s="191" t="str">
        <f t="shared" si="382"/>
        <v/>
      </c>
      <c r="AK67" s="191" t="str">
        <f t="shared" si="383"/>
        <v/>
      </c>
      <c r="AL67" s="191" t="str">
        <f t="shared" si="384"/>
        <v/>
      </c>
      <c r="AM67" s="191" t="str">
        <f>IF(U67&lt;&gt;"",SUM(AG67:AL67),"")</f>
        <v/>
      </c>
      <c r="AN67" s="191">
        <f t="shared" ref="AN67:AN68" si="391">IF(AO27&lt;&gt;"",SUMPRODUCT(($AV$25:$AV$28=AV27)*($AU$25:$AU$28=AU27)*($AS$25:$AS$28=AS27)*($AT$25:$AT$28=AT27)),"")</f>
        <v>2</v>
      </c>
      <c r="AO67" s="191" t="str">
        <f t="shared" si="385"/>
        <v>Croatia</v>
      </c>
      <c r="AP67" s="191">
        <f>SUMPRODUCT(($CZ$3:$CZ$42=$AO67)*($DC$3:$DC$42=$AO68)*($DD$3:$DD$42="W"))+SUMPRODUCT(($CZ$3:$CZ$42=$AO67)*($DC$3:$DC$42=$AO69)*($DD$3:$DD$42="W"))+SUMPRODUCT(($CZ$3:$CZ$42=$AO67)*($DC$3:$DC$42=$AO66)*($DD$3:$DD$42="W"))+SUMPRODUCT(($CZ$3:$CZ$42=$AO68)*($DC$3:$DC$42=$AO67)*($DE$3:$DE$42="W"))+SUMPRODUCT(($CZ$3:$CZ$42=$AO69)*($DC$3:$DC$42=$AO67)*($DE$3:$DE$42="W"))+SUMPRODUCT(($CZ$3:$CZ$42=$AO66)*($DC$3:$DC$42=$AO67)*($DE$3:$DE$42="W"))</f>
        <v>0</v>
      </c>
      <c r="AQ67" s="191">
        <f>SUMPRODUCT(($CZ$3:$CZ$42=$AO67)*($DC$3:$DC$42=$AO68)*($DD$3:$DD$42="D"))+SUMPRODUCT(($CZ$3:$CZ$42=$AO67)*($DC$3:$DC$42=$AO69)*($DD$3:$DD$42="D"))+SUMPRODUCT(($CZ$3:$CZ$42=$AO67)*($DC$3:$DC$42=$AO66)*($DD$3:$DD$42="D"))+SUMPRODUCT(($CZ$3:$CZ$42=$AO68)*($DC$3:$DC$42=$AO67)*($DD$3:$DD$42="D"))+SUMPRODUCT(($CZ$3:$CZ$42=$AO69)*($DC$3:$DC$42=$AO67)*($DD$3:$DD$42="D"))+SUMPRODUCT(($CZ$3:$CZ$42=$AO66)*($DC$3:$DC$42=$AO67)*($DD$3:$DD$42="D"))</f>
        <v>1</v>
      </c>
      <c r="AR67" s="191">
        <f>SUMPRODUCT(($CZ$3:$CZ$42=$AO67)*($DC$3:$DC$42=$AO68)*($DD$3:$DD$42="L"))+SUMPRODUCT(($CZ$3:$CZ$42=$AO67)*($DC$3:$DC$42=$AO69)*($DD$3:$DD$42="L"))+SUMPRODUCT(($CZ$3:$CZ$42=$AO67)*($DC$3:$DC$42=$AO66)*($DD$3:$DD$42="L"))+SUMPRODUCT(($CZ$3:$CZ$42=$AO68)*($DC$3:$DC$42=$AO67)*($DE$3:$DE$42="L"))+SUMPRODUCT(($CZ$3:$CZ$42=$AO69)*($DC$3:$DC$42=$AO67)*($DE$3:$DE$42="L"))+SUMPRODUCT(($CZ$3:$CZ$42=$AO66)*($DC$3:$DC$42=$AO67)*($DE$3:$DE$42="L"))</f>
        <v>0</v>
      </c>
      <c r="AS67" s="191">
        <f>SUMPRODUCT(($CZ$3:$CZ$42=$AO67)*($DC$3:$DC$42=$AO68)*$DA$3:$DA$42)+SUMPRODUCT(($CZ$3:$CZ$42=$AO67)*($DC$3:$DC$42=$AO69)*$DA$3:$DA$42)+SUMPRODUCT(($CZ$3:$CZ$42=$AO67)*($DC$3:$DC$42=$AO65)*$DA$3:$DA$42)+SUMPRODUCT(($CZ$3:$CZ$42=$AO67)*($DC$3:$DC$42=$AO66)*$DA$3:$DA$42)+SUMPRODUCT(($CZ$3:$CZ$42=$AO68)*($DC$3:$DC$42=$AO67)*$DB$3:$DB$42)+SUMPRODUCT(($CZ$3:$CZ$42=$AO69)*($DC$3:$DC$42=$AO67)*$DB$3:$DB$42)+SUMPRODUCT(($CZ$3:$CZ$42=$AO65)*($DC$3:$DC$42=$AO67)*$DB$3:$DB$42)+SUMPRODUCT(($CZ$3:$CZ$42=$AO66)*($DC$3:$DC$42=$AO67)*$DB$3:$DB$42)</f>
        <v>1</v>
      </c>
      <c r="AT67" s="191">
        <f>SUMPRODUCT(($CZ$3:$CZ$42=$AO67)*($DC$3:$DC$42=$AO68)*$DB$3:$DB$42)+SUMPRODUCT(($CZ$3:$CZ$42=$AO67)*($DC$3:$DC$42=$AO69)*$DB$3:$DB$42)+SUMPRODUCT(($CZ$3:$CZ$42=$AO67)*($DC$3:$DC$42=$AO65)*$DB$3:$DB$42)+SUMPRODUCT(($CZ$3:$CZ$42=$AO67)*($DC$3:$DC$42=$AO66)*$DB$3:$DB$42)+SUMPRODUCT(($CZ$3:$CZ$42=$AO68)*($DC$3:$DC$42=$AO67)*$DA$3:$DA$42)+SUMPRODUCT(($CZ$3:$CZ$42=$AO69)*($DC$3:$DC$42=$AO67)*$DA$3:$DA$42)+SUMPRODUCT(($CZ$3:$CZ$42=$AO65)*($DC$3:$DC$42=$AO67)*$DA$3:$DA$42)+SUMPRODUCT(($CZ$3:$CZ$42=$AO66)*($DC$3:$DC$42=$AO67)*$DA$3:$DA$42)</f>
        <v>1</v>
      </c>
      <c r="AU67" s="191">
        <f>AS67-AT67+1000</f>
        <v>1000</v>
      </c>
      <c r="AV67" s="191">
        <f t="shared" si="386"/>
        <v>1</v>
      </c>
      <c r="AW67" s="191">
        <f t="shared" si="387"/>
        <v>1001</v>
      </c>
      <c r="AX67" s="191">
        <f t="shared" si="388"/>
        <v>4</v>
      </c>
      <c r="AY67" s="191">
        <f t="shared" si="389"/>
        <v>46</v>
      </c>
      <c r="AZ67" s="191">
        <f t="shared" si="390"/>
        <v>1</v>
      </c>
      <c r="BA67" s="191">
        <f t="shared" ref="BA67:BA68" si="392">IF(AO67&lt;&gt;"",RANK(AZ67,AZ$65:AZ$68),"")</f>
        <v>1</v>
      </c>
      <c r="BB67" s="191">
        <f t="shared" ref="BB67:BB68" si="393">IF(AO67&lt;&gt;"",SUMPRODUCT((AZ$65:AZ$68=AZ67)*(AU$65:AU$68&gt;AU67)),"")</f>
        <v>0</v>
      </c>
      <c r="BC67" s="191">
        <f t="shared" ref="BC67:BC68" si="394">IF(AO67&lt;&gt;"",SUMPRODUCT((AZ$65:AZ$68=AZ67)*(AU$65:AU$68=AU67)*(AS$65:AS$68&gt;AS67)),"")</f>
        <v>0</v>
      </c>
      <c r="BD67" s="191">
        <f t="shared" ref="BD67:BD68" si="395">IF(AO67&lt;&gt;"",SUMPRODUCT((AZ$65:AZ$68=AZ67)*(AU$65:AU$68=AU67)*(AS$65:AS$68=AS67)*(AW$65:AW$68&gt;AW67)),"")</f>
        <v>0</v>
      </c>
      <c r="BE67" s="191">
        <f t="shared" ref="BE67:BE68" si="396">IF(AO67&lt;&gt;"",SUMPRODUCT((AZ$65:AZ$68=AZ67)*(AU$65:AU$68=AU67)*(AS$65:AS$68=AS67)*(AW$65:AW$68=AW67)*(AX$65:AX$68&gt;AX67)),"")</f>
        <v>0</v>
      </c>
      <c r="BF67" s="191">
        <f t="shared" ref="BF67:BF68" si="397">IF(AO67&lt;&gt;"",SUMPRODUCT((AZ$65:AZ$68=AZ67)*(AU$65:AU$68=AU67)*(AS$65:AS$68=AS67)*(AW$65:AW$68=AW67)*(AX$65:AX$68=AX67)*(AY$65:AY$68&gt;AY67)),"")</f>
        <v>0</v>
      </c>
      <c r="BG67" s="191">
        <f t="shared" ref="BG67:BG68" si="398">IF(AO67&lt;&gt;"",SUM(BA67:BF67)+1,"")</f>
        <v>2</v>
      </c>
      <c r="EH67" s="193" t="e">
        <f>Fixtures!#REF!</f>
        <v>#REF!</v>
      </c>
      <c r="EJ67" s="193" t="str">
        <f>IF(ISERROR("'Countries and Timezone'!"&amp;VLOOKUP(EH67,'Dummy Table'!$EH$7:$EI$38,2,FALSE)),"'Countries and Timezone'!b39","'Countries and Timezone'!"&amp;VLOOKUP(EH67,'Dummy Table'!$EH$7:$EI$38,2,FALSE))</f>
        <v>'Countries and Timezone'!b39</v>
      </c>
      <c r="EP67" s="191">
        <v>2</v>
      </c>
      <c r="EQ67" s="191" t="s">
        <v>701</v>
      </c>
      <c r="ER67" s="191" t="s">
        <v>702</v>
      </c>
    </row>
    <row r="68" spans="9:148" x14ac:dyDescent="0.35">
      <c r="I68" s="191">
        <f>SUMPRODUCT((I25:I28=I28)*(H25:H28=H28)*(F25:F28&gt;F28))+1</f>
        <v>1</v>
      </c>
      <c r="T68" s="191" t="str">
        <f t="shared" si="372"/>
        <v/>
      </c>
      <c r="U68" s="191" t="str">
        <f t="shared" si="373"/>
        <v/>
      </c>
      <c r="V68" s="191">
        <f>SUMPRODUCT(($CZ$3:$CZ$42=$U68)*($DC$3:$DC$42=$U69)*($DD$3:$DD$42="W"))+SUMPRODUCT(($CZ$3:$CZ$42=$U68)*($DC$3:$DC$42=$U65)*($DD$3:$DD$42="W"))+SUMPRODUCT(($CZ$3:$CZ$42=$U68)*($DC$3:$DC$42=$U66)*($DD$3:$DD$42="W"))+SUMPRODUCT(($CZ$3:$CZ$42=$U68)*($DC$3:$DC$42=$U67)*($DD$3:$DD$42="W"))+SUMPRODUCT(($CZ$3:$CZ$42=$U69)*($DC$3:$DC$42=$U68)*($DE$3:$DE$42="W"))+SUMPRODUCT(($CZ$3:$CZ$42=$U65)*($DC$3:$DC$42=$U68)*($DE$3:$DE$42="W"))+SUMPRODUCT(($CZ$3:$CZ$42=$U66)*($DC$3:$DC$42=$U68)*($DE$3:$DE$42="W"))+SUMPRODUCT(($CZ$3:$CZ$42=$U67)*($DC$3:$DC$42=$U68)*($DE$3:$DE$42="W"))</f>
        <v>0</v>
      </c>
      <c r="W68" s="191">
        <f>SUMPRODUCT(($CZ$3:$CZ$42=$U68)*($DC$3:$DC$42=$U69)*($DD$3:$DD$42="D"))+SUMPRODUCT(($CZ$3:$CZ$42=$U68)*($DC$3:$DC$42=$U65)*($DD$3:$DD$42="D"))+SUMPRODUCT(($CZ$3:$CZ$42=$U68)*($DC$3:$DC$42=$U66)*($DD$3:$DD$42="D"))+SUMPRODUCT(($CZ$3:$CZ$42=$U68)*($DC$3:$DC$42=$U67)*($DD$3:$DD$42="D"))+SUMPRODUCT(($CZ$3:$CZ$42=$U69)*($DC$3:$DC$42=$U68)*($DD$3:$DD$42="D"))+SUMPRODUCT(($CZ$3:$CZ$42=$U65)*($DC$3:$DC$42=$U68)*($DD$3:$DD$42="D"))+SUMPRODUCT(($CZ$3:$CZ$42=$U66)*($DC$3:$DC$42=$U68)*($DD$3:$DD$42="D"))+SUMPRODUCT(($CZ$3:$CZ$42=$U67)*($DC$3:$DC$42=$U68)*($DD$3:$DD$42="D"))</f>
        <v>0</v>
      </c>
      <c r="X68" s="191">
        <f>SUMPRODUCT(($CZ$3:$CZ$42=$U68)*($DC$3:$DC$42=$U69)*($DD$3:$DD$42="L"))+SUMPRODUCT(($CZ$3:$CZ$42=$U68)*($DC$3:$DC$42=$U65)*($DD$3:$DD$42="L"))+SUMPRODUCT(($CZ$3:$CZ$42=$U68)*($DC$3:$DC$42=$U66)*($DD$3:$DD$42="L"))+SUMPRODUCT(($CZ$3:$CZ$42=$U68)*($DC$3:$DC$42=$U67)*($DD$3:$DD$42="L"))+SUMPRODUCT(($CZ$3:$CZ$42=$U69)*($DC$3:$DC$42=$U68)*($DE$3:$DE$42="L"))+SUMPRODUCT(($CZ$3:$CZ$42=$U65)*($DC$3:$DC$42=$U68)*($DE$3:$DE$42="L"))+SUMPRODUCT(($CZ$3:$CZ$42=$U66)*($DC$3:$DC$42=$U68)*($DE$3:$DE$42="L"))+SUMPRODUCT(($CZ$3:$CZ$42=$U67)*($DC$3:$DC$42=$U68)*($DE$3:$DE$42="L"))</f>
        <v>0</v>
      </c>
      <c r="Y68" s="191">
        <f>SUMPRODUCT(($CZ$3:$CZ$42=$U68)*($DC$3:$DC$42=$U69)*$DA$3:$DA$42)+SUMPRODUCT(($CZ$3:$CZ$42=$U68)*($DC$3:$DC$42=$U65)*$DA$3:$DA$42)+SUMPRODUCT(($CZ$3:$CZ$42=$U68)*($DC$3:$DC$42=$U66)*$DA$3:$DA$42)+SUMPRODUCT(($CZ$3:$CZ$42=$U68)*($DC$3:$DC$42=$U67)*$DA$3:$DA$42)+SUMPRODUCT(($CZ$3:$CZ$42=$U69)*($DC$3:$DC$42=$U68)*$DB$3:$DB$42)+SUMPRODUCT(($CZ$3:$CZ$42=$U65)*($DC$3:$DC$42=$U68)*$DB$3:$DB$42)+SUMPRODUCT(($CZ$3:$CZ$42=$U66)*($DC$3:$DC$42=$U68)*$DB$3:$DB$42)+SUMPRODUCT(($CZ$3:$CZ$42=$U67)*($DC$3:$DC$42=$U68)*$DB$3:$DB$42)</f>
        <v>0</v>
      </c>
      <c r="Z68" s="191">
        <f>SUMPRODUCT(($CZ$3:$CZ$42=$U68)*($DC$3:$DC$42=$U69)*$DB$3:$DB$42)+SUMPRODUCT(($CZ$3:$CZ$42=$U68)*($DC$3:$DC$42=$U65)*$DB$3:$DB$42)+SUMPRODUCT(($CZ$3:$CZ$42=$U68)*($DC$3:$DC$42=$U66)*$DB$3:$DB$42)+SUMPRODUCT(($CZ$3:$CZ$42=$U68)*($DC$3:$DC$42=$U67)*$DB$3:$DB$42)+SUMPRODUCT(($CZ$3:$CZ$42=$U69)*($DC$3:$DC$42=$U68)*$DA$3:$DA$42)+SUMPRODUCT(($CZ$3:$CZ$42=$U65)*($DC$3:$DC$42=$U68)*$DA$3:$DA$42)+SUMPRODUCT(($CZ$3:$CZ$42=$U66)*($DC$3:$DC$42=$U68)*$DA$3:$DA$42)+SUMPRODUCT(($CZ$3:$CZ$42=$U67)*($DC$3:$DC$42=$U68)*$DA$3:$DA$42)</f>
        <v>0</v>
      </c>
      <c r="AA68" s="191">
        <f>Y68-Z68+1000</f>
        <v>1000</v>
      </c>
      <c r="AB68" s="191" t="str">
        <f t="shared" si="374"/>
        <v/>
      </c>
      <c r="AC68" s="191" t="str">
        <f t="shared" si="375"/>
        <v/>
      </c>
      <c r="AD68" s="191" t="str">
        <f t="shared" si="376"/>
        <v/>
      </c>
      <c r="AE68" s="191" t="str">
        <f t="shared" si="377"/>
        <v/>
      </c>
      <c r="AF68" s="191" t="str">
        <f t="shared" si="378"/>
        <v/>
      </c>
      <c r="AG68" s="191" t="str">
        <f t="shared" si="379"/>
        <v/>
      </c>
      <c r="AH68" s="191" t="str">
        <f t="shared" si="380"/>
        <v/>
      </c>
      <c r="AI68" s="191" t="str">
        <f t="shared" si="381"/>
        <v/>
      </c>
      <c r="AJ68" s="191" t="str">
        <f t="shared" si="382"/>
        <v/>
      </c>
      <c r="AK68" s="191" t="str">
        <f t="shared" si="383"/>
        <v/>
      </c>
      <c r="AL68" s="191" t="str">
        <f t="shared" si="384"/>
        <v/>
      </c>
      <c r="AM68" s="191" t="str">
        <f>IF(U68&lt;&gt;"",SUM(AG68:AL68),"")</f>
        <v/>
      </c>
      <c r="AN68" s="191" t="str">
        <f t="shared" si="391"/>
        <v/>
      </c>
      <c r="AO68" s="191" t="str">
        <f t="shared" si="385"/>
        <v/>
      </c>
      <c r="AP68" s="191" t="str">
        <f>IF($AO68&lt;&gt;"",SUMPRODUCT(($CZ$3:$CZ$42=$AO68)*($DC$3:$DC$42=$AO69)*($DD$3:$DD$42="W"))+SUMPRODUCT(($CZ$3:$CZ$42=$AO68)*($DC$3:$DC$42=$AO66)*($DD$3:$DD$42="W"))+SUMPRODUCT(($CZ$3:$CZ$42=$AO68)*($DC$3:$DC$42=$AO67)*($DD$3:$DD$42="W"))+SUMPRODUCT(($CZ$3:$CZ$42=$AO69)*($DC$3:$DC$42=$AO68)*($DE$3:$DE$42="W"))+SUMPRODUCT(($CZ$3:$CZ$42=$AO66)*($DC$3:$DC$42=$AO68)*($DE$3:$DE$42="W"))+SUMPRODUCT(($CZ$3:$CZ$42=$AO67)*($DC$3:$DC$42=$AO68)*($DE$3:$DE$42="W")),"")</f>
        <v/>
      </c>
      <c r="AQ68" s="191" t="str">
        <f>IF($AO68&lt;&gt;"",SUMPRODUCT(($CZ$3:$CZ$42=$AO68)*($DC$3:$DC$42=$AO69)*($DD$3:$DD$42="D"))+SUMPRODUCT(($CZ$3:$CZ$42=$AO68)*($DC$3:$DC$42=$AO66)*($DD$3:$DD$42="D"))+SUMPRODUCT(($CZ$3:$CZ$42=$AO68)*($DC$3:$DC$42=$AO67)*($DD$3:$DD$42="D"))+SUMPRODUCT(($CZ$3:$CZ$42=$AO69)*($DC$3:$DC$42=$AO68)*($DD$3:$DD$42="D"))+SUMPRODUCT(($CZ$3:$CZ$42=$AO66)*($DC$3:$DC$42=$AO68)*($DD$3:$DD$42="D"))+SUMPRODUCT(($CZ$3:$CZ$42=$AO67)*($DC$3:$DC$42=$AO68)*($DD$3:$DD$42="D")),"")</f>
        <v/>
      </c>
      <c r="AR68" s="191" t="str">
        <f>IF($AO68&lt;&gt;"",SUMPRODUCT(($CZ$3:$CZ$42=$AO68)*($DC$3:$DC$42=$AO69)*($DD$3:$DD$42="L"))+SUMPRODUCT(($CZ$3:$CZ$42=$AO68)*($DC$3:$DC$42=$AO66)*($DD$3:$DD$42="L"))+SUMPRODUCT(($CZ$3:$CZ$42=$AO68)*($DC$3:$DC$42=$AO67)*($DD$3:$DD$42="L"))+SUMPRODUCT(($CZ$3:$CZ$42=$AO69)*($DC$3:$DC$42=$AO68)*($DE$3:$DE$42="L"))+SUMPRODUCT(($CZ$3:$CZ$42=$AO66)*($DC$3:$DC$42=$AO68)*($DE$3:$DE$42="L"))+SUMPRODUCT(($CZ$3:$CZ$42=$AO67)*($DC$3:$DC$42=$AO68)*($DE$3:$DE$42="L")),"")</f>
        <v/>
      </c>
      <c r="AS68" s="191">
        <f>SUMPRODUCT(($CZ$3:$CZ$42=$AO68)*($DC$3:$DC$42=$AO69)*$DA$3:$DA$42)+SUMPRODUCT(($CZ$3:$CZ$42=$AO68)*($DC$3:$DC$42=$AO65)*$DA$3:$DA$42)+SUMPRODUCT(($CZ$3:$CZ$42=$AO68)*($DC$3:$DC$42=$AO66)*$DA$3:$DA$42)+SUMPRODUCT(($CZ$3:$CZ$42=$AO68)*($DC$3:$DC$42=$AO67)*$DA$3:$DA$42)+SUMPRODUCT(($CZ$3:$CZ$42=$AO69)*($DC$3:$DC$42=$AO68)*$DB$3:$DB$42)+SUMPRODUCT(($CZ$3:$CZ$42=$AO65)*($DC$3:$DC$42=$AO68)*$DB$3:$DB$42)+SUMPRODUCT(($CZ$3:$CZ$42=$AO66)*($DC$3:$DC$42=$AO68)*$DB$3:$DB$42)+SUMPRODUCT(($CZ$3:$CZ$42=$AO67)*($DC$3:$DC$42=$AO68)*$DB$3:$DB$42)</f>
        <v>0</v>
      </c>
      <c r="AT68" s="191">
        <f>SUMPRODUCT(($CZ$3:$CZ$42=$AO68)*($DC$3:$DC$42=$AO69)*$DB$3:$DB$42)+SUMPRODUCT(($CZ$3:$CZ$42=$AO68)*($DC$3:$DC$42=$AO65)*$DB$3:$DB$42)+SUMPRODUCT(($CZ$3:$CZ$42=$AO68)*($DC$3:$DC$42=$AO66)*$DB$3:$DB$42)+SUMPRODUCT(($CZ$3:$CZ$42=$AO68)*($DC$3:$DC$42=$AO67)*$DB$3:$DB$42)+SUMPRODUCT(($CZ$3:$CZ$42=$AO69)*($DC$3:$DC$42=$AO68)*$DA$3:$DA$42)+SUMPRODUCT(($CZ$3:$CZ$42=$AO65)*($DC$3:$DC$42=$AO68)*$DA$3:$DA$42)+SUMPRODUCT(($CZ$3:$CZ$42=$AO66)*($DC$3:$DC$42=$AO68)*$DA$3:$DA$42)+SUMPRODUCT(($CZ$3:$CZ$42=$AO67)*($DC$3:$DC$42=$AO68)*$DA$3:$DA$42)</f>
        <v>0</v>
      </c>
      <c r="AU68" s="191">
        <f>AS68-AT68+1000</f>
        <v>1000</v>
      </c>
      <c r="AV68" s="191" t="str">
        <f t="shared" si="386"/>
        <v/>
      </c>
      <c r="AW68" s="191" t="str">
        <f t="shared" si="387"/>
        <v/>
      </c>
      <c r="AX68" s="191" t="str">
        <f t="shared" si="388"/>
        <v/>
      </c>
      <c r="AY68" s="191" t="str">
        <f t="shared" si="389"/>
        <v/>
      </c>
      <c r="AZ68" s="191" t="str">
        <f t="shared" si="390"/>
        <v/>
      </c>
      <c r="BA68" s="191" t="str">
        <f t="shared" si="392"/>
        <v/>
      </c>
      <c r="BB68" s="191" t="str">
        <f t="shared" si="393"/>
        <v/>
      </c>
      <c r="BC68" s="191" t="str">
        <f t="shared" si="394"/>
        <v/>
      </c>
      <c r="BD68" s="191" t="str">
        <f t="shared" si="395"/>
        <v/>
      </c>
      <c r="BE68" s="191" t="str">
        <f t="shared" si="396"/>
        <v/>
      </c>
      <c r="BF68" s="191" t="str">
        <f t="shared" si="397"/>
        <v/>
      </c>
      <c r="BG68" s="191" t="str">
        <f t="shared" si="398"/>
        <v/>
      </c>
      <c r="EH68" s="193" t="e">
        <f>Fixtures!#REF!</f>
        <v>#REF!</v>
      </c>
      <c r="EJ68" s="193" t="str">
        <f>IF(ISERROR("'Countries and Timezone'!"&amp;VLOOKUP(EH68,'Dummy Table'!$EH$7:$EI$38,2,FALSE)),"'Countries and Timezone'!b39","'Countries and Timezone'!"&amp;VLOOKUP(EH68,'Dummy Table'!$EH$7:$EI$38,2,FALSE))</f>
        <v>'Countries and Timezone'!b39</v>
      </c>
      <c r="EP68" s="191">
        <v>2</v>
      </c>
      <c r="EQ68" s="191" t="s">
        <v>703</v>
      </c>
      <c r="ER68" s="191" t="s">
        <v>704</v>
      </c>
    </row>
    <row r="69" spans="9:148" x14ac:dyDescent="0.35">
      <c r="EH69" s="193" t="e">
        <f>Fixtures!#REF!</f>
        <v>#REF!</v>
      </c>
      <c r="EJ69" s="193" t="str">
        <f>IF(ISERROR("'Countries and Timezone'!"&amp;VLOOKUP(EH69,'Dummy Table'!$EH$7:$EI$38,2,FALSE)),"'Countries and Timezone'!b39","'Countries and Timezone'!"&amp;VLOOKUP(EH69,'Dummy Table'!$EH$7:$EI$38,2,FALSE))</f>
        <v>'Countries and Timezone'!b39</v>
      </c>
      <c r="EP69" s="191">
        <v>2</v>
      </c>
      <c r="EQ69" s="191" t="s">
        <v>705</v>
      </c>
      <c r="ER69" s="191" t="s">
        <v>706</v>
      </c>
    </row>
    <row r="70" spans="9:148" x14ac:dyDescent="0.35">
      <c r="T70" s="191">
        <f>IF(U71="",SUM(AG31:AL31),IF(U72="",SUM(AG32:AL32),IF(U73="",SUM(AG33:AL33),IF(U74="",SUM(AG34:AL34),0))))</f>
        <v>0</v>
      </c>
      <c r="AN70" s="191">
        <f>IF(AO72="",SUM(BA32:BF32),IF(AO73="",SUM(BA33:BF33),IF(AO74="",SUM(BA34:BF34),0)))</f>
        <v>0</v>
      </c>
      <c r="EH70" s="193" t="e">
        <f>Fixtures!#REF!</f>
        <v>#REF!</v>
      </c>
      <c r="EJ70" s="193" t="str">
        <f>IF(ISERROR("'Countries and Timezone'!"&amp;VLOOKUP(EH70,'Dummy Table'!$EH$7:$EI$38,2,FALSE)),"'Countries and Timezone'!b39","'Countries and Timezone'!"&amp;VLOOKUP(EH70,'Dummy Table'!$EH$7:$EI$38,2,FALSE))</f>
        <v>'Countries and Timezone'!b39</v>
      </c>
      <c r="EP70" s="191">
        <v>2</v>
      </c>
      <c r="EQ70" s="191" t="s">
        <v>707</v>
      </c>
      <c r="ER70" s="191" t="s">
        <v>708</v>
      </c>
    </row>
    <row r="71" spans="9:148" x14ac:dyDescent="0.35">
      <c r="I71" s="191">
        <f>SUMPRODUCT((I31:I34=I31)*(H31:H34=H31)*(F31:F34&gt;F31))+1</f>
        <v>1</v>
      </c>
      <c r="T71" s="191" t="str">
        <f>IF(U31&lt;&gt;"",SUMPRODUCT(($AB$31:$AB$34=AB31)*($AA$31:$AA$34=AA31)*($Y$31:$Y$34=Y31)*($Z$31:$Z$34=Z31)),"")</f>
        <v/>
      </c>
      <c r="U71" s="191" t="str">
        <f>IF(AND(T71&lt;&gt;"",T71&gt;1),U31,"")</f>
        <v/>
      </c>
      <c r="V71" s="191">
        <f>SUMPRODUCT(($CZ$3:$CZ$42=$U71)*($DC$3:$DC$42=$U72)*($DD$3:$DD$42="W"))+SUMPRODUCT(($CZ$3:$CZ$42=$U71)*($DC$3:$DC$42=$U73)*($DD$3:$DD$42="W"))+SUMPRODUCT(($CZ$3:$CZ$42=$U71)*($DC$3:$DC$42=$U74)*($DD$3:$DD$42="W"))+SUMPRODUCT(($CZ$3:$CZ$42=$U71)*($DC$3:$DC$42=$U75)*($DD$3:$DD$42="W"))+SUMPRODUCT(($CZ$3:$CZ$42=$U72)*($DC$3:$DC$42=$U71)*($DE$3:$DE$42="W"))+SUMPRODUCT(($CZ$3:$CZ$42=$U73)*($DC$3:$DC$42=$U71)*($DE$3:$DE$42="W"))+SUMPRODUCT(($CZ$3:$CZ$42=$U74)*($DC$3:$DC$42=$U71)*($DE$3:$DE$42="W"))+SUMPRODUCT(($CZ$3:$CZ$42=$U75)*($DC$3:$DC$42=$U71)*($DE$3:$DE$42="W"))</f>
        <v>0</v>
      </c>
      <c r="W71" s="191">
        <f>SUMPRODUCT(($CZ$3:$CZ$42=$U71)*($DC$3:$DC$42=$U72)*($DD$3:$DD$42="D"))+SUMPRODUCT(($CZ$3:$CZ$42=$U71)*($DC$3:$DC$42=$U73)*($DD$3:$DD$42="D"))+SUMPRODUCT(($CZ$3:$CZ$42=$U71)*($DC$3:$DC$42=$U74)*($DD$3:$DD$42="D"))+SUMPRODUCT(($CZ$3:$CZ$42=$U71)*($DC$3:$DC$42=$U75)*($DD$3:$DD$42="D"))+SUMPRODUCT(($CZ$3:$CZ$42=$U72)*($DC$3:$DC$42=$U71)*($DD$3:$DD$42="D"))+SUMPRODUCT(($CZ$3:$CZ$42=$U73)*($DC$3:$DC$42=$U71)*($DD$3:$DD$42="D"))+SUMPRODUCT(($CZ$3:$CZ$42=$U74)*($DC$3:$DC$42=$U71)*($DD$3:$DD$42="D"))+SUMPRODUCT(($CZ$3:$CZ$42=$U75)*($DC$3:$DC$42=$U71)*($DD$3:$DD$42="D"))</f>
        <v>0</v>
      </c>
      <c r="X71" s="191">
        <f>SUMPRODUCT(($CZ$3:$CZ$42=$U71)*($DC$3:$DC$42=$U72)*($DD$3:$DD$42="L"))+SUMPRODUCT(($CZ$3:$CZ$42=$U71)*($DC$3:$DC$42=$U73)*($DD$3:$DD$42="L"))+SUMPRODUCT(($CZ$3:$CZ$42=$U71)*($DC$3:$DC$42=$U74)*($DD$3:$DD$42="L"))+SUMPRODUCT(($CZ$3:$CZ$42=$U71)*($DC$3:$DC$42=$U75)*($DD$3:$DD$42="L"))+SUMPRODUCT(($CZ$3:$CZ$42=$U72)*($DC$3:$DC$42=$U71)*($DE$3:$DE$42="L"))+SUMPRODUCT(($CZ$3:$CZ$42=$U73)*($DC$3:$DC$42=$U71)*($DE$3:$DE$42="L"))+SUMPRODUCT(($CZ$3:$CZ$42=$U74)*($DC$3:$DC$42=$U71)*($DE$3:$DE$42="L"))+SUMPRODUCT(($CZ$3:$CZ$42=$U75)*($DC$3:$DC$42=$U71)*($DE$3:$DE$42="L"))</f>
        <v>0</v>
      </c>
      <c r="Y71" s="191">
        <f>SUMPRODUCT(($CZ$3:$CZ$42=$U71)*($DC$3:$DC$42=$U72)*$DA$3:$DA$42)+SUMPRODUCT(($CZ$3:$CZ$42=$U71)*($DC$3:$DC$42=$U73)*$DA$3:$DA$42)+SUMPRODUCT(($CZ$3:$CZ$42=$U71)*($DC$3:$DC$42=$U74)*$DA$3:$DA$42)+SUMPRODUCT(($CZ$3:$CZ$42=$U71)*($DC$3:$DC$42=$U75)*$DA$3:$DA$42)+SUMPRODUCT(($CZ$3:$CZ$42=$U72)*($DC$3:$DC$42=$U71)*$DB$3:$DB$42)+SUMPRODUCT(($CZ$3:$CZ$42=$U73)*($DC$3:$DC$42=$U71)*$DB$3:$DB$42)+SUMPRODUCT(($CZ$3:$CZ$42=$U74)*($DC$3:$DC$42=$U71)*$DB$3:$DB$42)+SUMPRODUCT(($CZ$3:$CZ$42=$U75)*($DC$3:$DC$42=$U71)*$DB$3:$DB$42)</f>
        <v>0</v>
      </c>
      <c r="Z71" s="191">
        <f>SUMPRODUCT(($CZ$3:$CZ$42=$U71)*($DC$3:$DC$42=$U72)*$DB$3:$DB$42)+SUMPRODUCT(($CZ$3:$CZ$42=$U71)*($DC$3:$DC$42=$U73)*$DB$3:$DB$42)+SUMPRODUCT(($CZ$3:$CZ$42=$U71)*($DC$3:$DC$42=$U74)*$DB$3:$DB$42)+SUMPRODUCT(($CZ$3:$CZ$42=$U71)*($DC$3:$DC$42=$U75)*$DB$3:$DB$42)+SUMPRODUCT(($CZ$3:$CZ$42=$U72)*($DC$3:$DC$42=$U71)*$DA$3:$DA$42)+SUMPRODUCT(($CZ$3:$CZ$42=$U73)*($DC$3:$DC$42=$U71)*$DA$3:$DA$42)+SUMPRODUCT(($CZ$3:$CZ$42=$U74)*($DC$3:$DC$42=$U71)*$DA$3:$DA$42)+SUMPRODUCT(($CZ$3:$CZ$42=$U75)*($DC$3:$DC$42=$U71)*$DA$3:$DA$42)</f>
        <v>0</v>
      </c>
      <c r="AA71" s="191">
        <f>Y71-Z71+1000</f>
        <v>1000</v>
      </c>
      <c r="AB71" s="191" t="str">
        <f>IF(U71&lt;&gt;"",V71*3+W71*1,"")</f>
        <v/>
      </c>
      <c r="AC71" s="191" t="str">
        <f>IF(U71&lt;&gt;"",VLOOKUP(U71,$B$4:$H$40,7,FALSE),"")</f>
        <v/>
      </c>
      <c r="AD71" s="191" t="str">
        <f>IF(U71&lt;&gt;"",VLOOKUP(U71,$B$4:$H$40,5,FALSE),"")</f>
        <v/>
      </c>
      <c r="AE71" s="191" t="str">
        <f>IF(U71&lt;&gt;"",VLOOKUP(U71,$B$4:$J$40,9,FALSE),"")</f>
        <v/>
      </c>
      <c r="AF71" s="191" t="str">
        <f>AB71</f>
        <v/>
      </c>
      <c r="AG71" s="191" t="str">
        <f>IF(U71&lt;&gt;"",RANK(AF71,AF$71:AF$74),"")</f>
        <v/>
      </c>
      <c r="AH71" s="191" t="str">
        <f>IF(U71&lt;&gt;"",SUMPRODUCT((AF$71:AF$74=AF71)*(AA$71:AA$74&gt;AA71)),"")</f>
        <v/>
      </c>
      <c r="AI71" s="191" t="str">
        <f>IF(U71&lt;&gt;"",SUMPRODUCT((AF$71:AF$74=AF71)*(AA$71:AA$74=AA71)*(Y$71:Y$74&gt;Y71)),"")</f>
        <v/>
      </c>
      <c r="AJ71" s="191" t="str">
        <f>IF(U71&lt;&gt;"",SUMPRODUCT((AF$71:AF$74=AF71)*(AA$71:AA$74=AA71)*(Y$71:Y$74=Y71)*(AC$71:AC$74&gt;AC71)),"")</f>
        <v/>
      </c>
      <c r="AK71" s="191" t="str">
        <f>IF(U71&lt;&gt;"",SUMPRODUCT((AF$71:AF$74=AF71)*(AA$71:AA$74=AA71)*(Y$71:Y$74=Y71)*(AC$71:AC$74=AC71)*(AD$71:AD$74&gt;AD71)),"")</f>
        <v/>
      </c>
      <c r="AL71" s="191" t="str">
        <f>IF(U71&lt;&gt;"",SUMPRODUCT((AF$71:AF$74=AF71)*(AA$71:AA$74=AA71)*(Y$71:Y$74=Y71)*(AC$71:AC$74=AC71)*(AD$71:AD$74=AD71)*(AE$71:AE$74&gt;AE71)),"")</f>
        <v/>
      </c>
      <c r="AM71" s="191" t="str">
        <f>IF(U71&lt;&gt;"",SUM(AG71:AL71),"")</f>
        <v/>
      </c>
      <c r="EH71" s="193" t="e">
        <f>Fixtures!#REF!</f>
        <v>#REF!</v>
      </c>
      <c r="EJ71" s="193" t="str">
        <f>IF(ISERROR("'Countries and Timezone'!"&amp;VLOOKUP(EH71,'Dummy Table'!$EH$7:$EI$38,2,FALSE)),"'Countries and Timezone'!b39","'Countries and Timezone'!"&amp;VLOOKUP(EH71,'Dummy Table'!$EH$7:$EI$38,2,FALSE))</f>
        <v>'Countries and Timezone'!b39</v>
      </c>
      <c r="EP71" s="191">
        <v>2</v>
      </c>
      <c r="EQ71" s="191" t="s">
        <v>709</v>
      </c>
      <c r="ER71" s="191" t="s">
        <v>710</v>
      </c>
    </row>
    <row r="72" spans="9:148" x14ac:dyDescent="0.35">
      <c r="I72" s="191">
        <f>SUMPRODUCT((I31:I34=I32)*(H31:H34=H32)*(F31:F34&gt;F32))+1</f>
        <v>1</v>
      </c>
      <c r="T72" s="191" t="str">
        <f t="shared" ref="T72:T74" si="399">IF(U32&lt;&gt;"",SUMPRODUCT(($AB$31:$AB$34=AB32)*($AA$31:$AA$34=AA32)*($Y$31:$Y$34=Y32)*($Z$31:$Z$34=Z32)),"")</f>
        <v/>
      </c>
      <c r="U72" s="191" t="str">
        <f t="shared" ref="U72:U74" si="400">IF(AND(T72&lt;&gt;"",T72&gt;1),U32,"")</f>
        <v/>
      </c>
      <c r="V72" s="191">
        <f>SUMPRODUCT(($CZ$3:$CZ$42=$U72)*($DC$3:$DC$42=$U73)*($DD$3:$DD$42="W"))+SUMPRODUCT(($CZ$3:$CZ$42=$U72)*($DC$3:$DC$42=$U74)*($DD$3:$DD$42="W"))+SUMPRODUCT(($CZ$3:$CZ$42=$U72)*($DC$3:$DC$42=$U75)*($DD$3:$DD$42="W"))+SUMPRODUCT(($CZ$3:$CZ$42=$U72)*($DC$3:$DC$42=$U71)*($DD$3:$DD$42="W"))+SUMPRODUCT(($CZ$3:$CZ$42=$U73)*($DC$3:$DC$42=$U72)*($DE$3:$DE$42="W"))+SUMPRODUCT(($CZ$3:$CZ$42=$U74)*($DC$3:$DC$42=$U72)*($DE$3:$DE$42="W"))+SUMPRODUCT(($CZ$3:$CZ$42=$U75)*($DC$3:$DC$42=$U72)*($DE$3:$DE$42="W"))+SUMPRODUCT(($CZ$3:$CZ$42=$U71)*($DC$3:$DC$42=$U72)*($DE$3:$DE$42="W"))</f>
        <v>0</v>
      </c>
      <c r="W72" s="191">
        <f>SUMPRODUCT(($CZ$3:$CZ$42=$U72)*($DC$3:$DC$42=$U73)*($DD$3:$DD$42="D"))+SUMPRODUCT(($CZ$3:$CZ$42=$U72)*($DC$3:$DC$42=$U74)*($DD$3:$DD$42="D"))+SUMPRODUCT(($CZ$3:$CZ$42=$U72)*($DC$3:$DC$42=$U75)*($DD$3:$DD$42="D"))+SUMPRODUCT(($CZ$3:$CZ$42=$U72)*($DC$3:$DC$42=$U71)*($DD$3:$DD$42="D"))+SUMPRODUCT(($CZ$3:$CZ$42=$U73)*($DC$3:$DC$42=$U72)*($DD$3:$DD$42="D"))+SUMPRODUCT(($CZ$3:$CZ$42=$U74)*($DC$3:$DC$42=$U72)*($DD$3:$DD$42="D"))+SUMPRODUCT(($CZ$3:$CZ$42=$U75)*($DC$3:$DC$42=$U72)*($DD$3:$DD$42="D"))+SUMPRODUCT(($CZ$3:$CZ$42=$U71)*($DC$3:$DC$42=$U72)*($DD$3:$DD$42="D"))</f>
        <v>0</v>
      </c>
      <c r="X72" s="191">
        <f>SUMPRODUCT(($CZ$3:$CZ$42=$U72)*($DC$3:$DC$42=$U73)*($DD$3:$DD$42="L"))+SUMPRODUCT(($CZ$3:$CZ$42=$U72)*($DC$3:$DC$42=$U74)*($DD$3:$DD$42="L"))+SUMPRODUCT(($CZ$3:$CZ$42=$U72)*($DC$3:$DC$42=$U75)*($DD$3:$DD$42="L"))+SUMPRODUCT(($CZ$3:$CZ$42=$U72)*($DC$3:$DC$42=$U71)*($DD$3:$DD$42="L"))+SUMPRODUCT(($CZ$3:$CZ$42=$U73)*($DC$3:$DC$42=$U72)*($DE$3:$DE$42="L"))+SUMPRODUCT(($CZ$3:$CZ$42=$U74)*($DC$3:$DC$42=$U72)*($DE$3:$DE$42="L"))+SUMPRODUCT(($CZ$3:$CZ$42=$U75)*($DC$3:$DC$42=$U72)*($DE$3:$DE$42="L"))+SUMPRODUCT(($CZ$3:$CZ$42=$U71)*($DC$3:$DC$42=$U72)*($DE$3:$DE$42="L"))</f>
        <v>0</v>
      </c>
      <c r="Y72" s="191">
        <f>SUMPRODUCT(($CZ$3:$CZ$42=$U72)*($DC$3:$DC$42=$U73)*$DA$3:$DA$42)+SUMPRODUCT(($CZ$3:$CZ$42=$U72)*($DC$3:$DC$42=$U74)*$DA$3:$DA$42)+SUMPRODUCT(($CZ$3:$CZ$42=$U72)*($DC$3:$DC$42=$U75)*$DA$3:$DA$42)+SUMPRODUCT(($CZ$3:$CZ$42=$U72)*($DC$3:$DC$42=$U71)*$DA$3:$DA$42)+SUMPRODUCT(($CZ$3:$CZ$42=$U73)*($DC$3:$DC$42=$U72)*$DB$3:$DB$42)+SUMPRODUCT(($CZ$3:$CZ$42=$U74)*($DC$3:$DC$42=$U72)*$DB$3:$DB$42)+SUMPRODUCT(($CZ$3:$CZ$42=$U75)*($DC$3:$DC$42=$U72)*$DB$3:$DB$42)+SUMPRODUCT(($CZ$3:$CZ$42=$U71)*($DC$3:$DC$42=$U72)*$DB$3:$DB$42)</f>
        <v>0</v>
      </c>
      <c r="Z72" s="191">
        <f>SUMPRODUCT(($CZ$3:$CZ$42=$U72)*($DC$3:$DC$42=$U73)*$DB$3:$DB$42)+SUMPRODUCT(($CZ$3:$CZ$42=$U72)*($DC$3:$DC$42=$U74)*$DB$3:$DB$42)+SUMPRODUCT(($CZ$3:$CZ$42=$U72)*($DC$3:$DC$42=$U75)*$DB$3:$DB$42)+SUMPRODUCT(($CZ$3:$CZ$42=$U72)*($DC$3:$DC$42=$U71)*$DB$3:$DB$42)+SUMPRODUCT(($CZ$3:$CZ$42=$U73)*($DC$3:$DC$42=$U72)*$DA$3:$DA$42)+SUMPRODUCT(($CZ$3:$CZ$42=$U74)*($DC$3:$DC$42=$U72)*$DA$3:$DA$42)+SUMPRODUCT(($CZ$3:$CZ$42=$U75)*($DC$3:$DC$42=$U72)*$DA$3:$DA$42)+SUMPRODUCT(($CZ$3:$CZ$42=$U71)*($DC$3:$DC$42=$U72)*$DA$3:$DA$42)</f>
        <v>0</v>
      </c>
      <c r="AA72" s="191">
        <f>Y72-Z72+1000</f>
        <v>1000</v>
      </c>
      <c r="AB72" s="191" t="str">
        <f t="shared" ref="AB72:AB74" si="401">IF(U72&lt;&gt;"",V72*3+W72*1,"")</f>
        <v/>
      </c>
      <c r="AC72" s="191" t="str">
        <f t="shared" ref="AC72:AC74" si="402">IF(U72&lt;&gt;"",VLOOKUP(U72,$B$4:$H$40,7,FALSE),"")</f>
        <v/>
      </c>
      <c r="AD72" s="191" t="str">
        <f t="shared" ref="AD72:AD74" si="403">IF(U72&lt;&gt;"",VLOOKUP(U72,$B$4:$H$40,5,FALSE),"")</f>
        <v/>
      </c>
      <c r="AE72" s="191" t="str">
        <f t="shared" ref="AE72:AE74" si="404">IF(U72&lt;&gt;"",VLOOKUP(U72,$B$4:$J$40,9,FALSE),"")</f>
        <v/>
      </c>
      <c r="AF72" s="191" t="str">
        <f t="shared" ref="AF72:AF74" si="405">AB72</f>
        <v/>
      </c>
      <c r="AG72" s="191" t="str">
        <f t="shared" ref="AG72:AG74" si="406">IF(U72&lt;&gt;"",RANK(AF72,AF$71:AF$74),"")</f>
        <v/>
      </c>
      <c r="AH72" s="191" t="str">
        <f t="shared" ref="AH72:AH74" si="407">IF(U72&lt;&gt;"",SUMPRODUCT((AF$71:AF$74=AF72)*(AA$71:AA$74&gt;AA72)),"")</f>
        <v/>
      </c>
      <c r="AI72" s="191" t="str">
        <f t="shared" ref="AI72:AI74" si="408">IF(U72&lt;&gt;"",SUMPRODUCT((AF$71:AF$74=AF72)*(AA$71:AA$74=AA72)*(Y$71:Y$74&gt;Y72)),"")</f>
        <v/>
      </c>
      <c r="AJ72" s="191" t="str">
        <f t="shared" ref="AJ72:AJ74" si="409">IF(U72&lt;&gt;"",SUMPRODUCT((AF$71:AF$74=AF72)*(AA$71:AA$74=AA72)*(Y$71:Y$74=Y72)*(AC$71:AC$74&gt;AC72)),"")</f>
        <v/>
      </c>
      <c r="AK72" s="191" t="str">
        <f t="shared" ref="AK72:AK74" si="410">IF(U72&lt;&gt;"",SUMPRODUCT((AF$71:AF$74=AF72)*(AA$71:AA$74=AA72)*(Y$71:Y$74=Y72)*(AC$71:AC$74=AC72)*(AD$71:AD$74&gt;AD72)),"")</f>
        <v/>
      </c>
      <c r="AL72" s="191" t="str">
        <f t="shared" ref="AL72:AL74" si="411">IF(U72&lt;&gt;"",SUMPRODUCT((AF$71:AF$74=AF72)*(AA$71:AA$74=AA72)*(Y$71:Y$74=Y72)*(AC$71:AC$74=AC72)*(AD$71:AD$74=AD72)*(AE$71:AE$74&gt;AE72)),"")</f>
        <v/>
      </c>
      <c r="AM72" s="191" t="str">
        <f>IF(U72&lt;&gt;"",SUM(AG72:AL72),"")</f>
        <v/>
      </c>
      <c r="AN72" s="191" t="str">
        <f>IF(AO32&lt;&gt;"",SUMPRODUCT(($AV$31:$AV$34=AV32)*($AU$31:$AU$34=AU32)*($AS$31:$AS$34=AS32)*($AT$31:$AT$34=AT32)),"")</f>
        <v/>
      </c>
      <c r="AO72" s="191" t="str">
        <f t="shared" ref="AO72:AO74" si="412">IF(AND(AN72&lt;&gt;"",AN72&gt;1),AO32,"")</f>
        <v/>
      </c>
      <c r="AP72" s="191">
        <f>SUMPRODUCT(($CZ$3:$CZ$42=$AO72)*($DC$3:$DC$42=$AO73)*($DD$3:$DD$42="W"))+SUMPRODUCT(($CZ$3:$CZ$42=$AO72)*($DC$3:$DC$42=$AO74)*($DD$3:$DD$42="W"))+SUMPRODUCT(($CZ$3:$CZ$42=$AO72)*($DC$3:$DC$42=$AO75)*($DD$3:$DD$42="W"))+SUMPRODUCT(($CZ$3:$CZ$42=$AO73)*($DC$3:$DC$42=$AO72)*($DE$3:$DE$42="W"))+SUMPRODUCT(($CZ$3:$CZ$42=$AO74)*($DC$3:$DC$42=$AO72)*($DE$3:$DE$42="W"))+SUMPRODUCT(($CZ$3:$CZ$42=$AO75)*($DC$3:$DC$42=$AO72)*($DE$3:$DE$42="W"))</f>
        <v>0</v>
      </c>
      <c r="AQ72" s="191">
        <f>SUMPRODUCT(($CZ$3:$CZ$42=$AO72)*($DC$3:$DC$42=$AO73)*($DD$3:$DD$42="D"))+SUMPRODUCT(($CZ$3:$CZ$42=$AO72)*($DC$3:$DC$42=$AO74)*($DD$3:$DD$42="D"))+SUMPRODUCT(($CZ$3:$CZ$42=$AO72)*($DC$3:$DC$42=$AO75)*($DD$3:$DD$42="D"))+SUMPRODUCT(($CZ$3:$CZ$42=$AO73)*($DC$3:$DC$42=$AO72)*($DD$3:$DD$42="D"))+SUMPRODUCT(($CZ$3:$CZ$42=$AO74)*($DC$3:$DC$42=$AO72)*($DD$3:$DD$42="D"))+SUMPRODUCT(($CZ$3:$CZ$42=$AO75)*($DC$3:$DC$42=$AO72)*($DD$3:$DD$42="D"))</f>
        <v>0</v>
      </c>
      <c r="AR72" s="191">
        <f>SUMPRODUCT(($CZ$3:$CZ$42=$AO72)*($DC$3:$DC$42=$AO73)*($DD$3:$DD$42="L"))+SUMPRODUCT(($CZ$3:$CZ$42=$AO72)*($DC$3:$DC$42=$AO74)*($DD$3:$DD$42="L"))+SUMPRODUCT(($CZ$3:$CZ$42=$AO72)*($DC$3:$DC$42=$AO75)*($DD$3:$DD$42="L"))+SUMPRODUCT(($CZ$3:$CZ$42=$AO73)*($DC$3:$DC$42=$AO72)*($DE$3:$DE$42="L"))+SUMPRODUCT(($CZ$3:$CZ$42=$AO74)*($DC$3:$DC$42=$AO72)*($DE$3:$DE$42="L"))+SUMPRODUCT(($CZ$3:$CZ$42=$AO75)*($DC$3:$DC$42=$AO72)*($DE$3:$DE$42="L"))</f>
        <v>0</v>
      </c>
      <c r="AS72" s="191">
        <f>SUMPRODUCT(($CZ$3:$CZ$42=$AO72)*($DC$3:$DC$42=$AO73)*$DA$3:$DA$42)+SUMPRODUCT(($CZ$3:$CZ$42=$AO72)*($DC$3:$DC$42=$AO74)*$DA$3:$DA$42)+SUMPRODUCT(($CZ$3:$CZ$42=$AO72)*($DC$3:$DC$42=$AO75)*$DA$3:$DA$42)+SUMPRODUCT(($CZ$3:$CZ$42=$AO72)*($DC$3:$DC$42=$AO71)*$DA$3:$DA$42)+SUMPRODUCT(($CZ$3:$CZ$42=$AO73)*($DC$3:$DC$42=$AO72)*$DB$3:$DB$42)+SUMPRODUCT(($CZ$3:$CZ$42=$AO74)*($DC$3:$DC$42=$AO72)*$DB$3:$DB$42)+SUMPRODUCT(($CZ$3:$CZ$42=$AO75)*($DC$3:$DC$42=$AO72)*$DB$3:$DB$42)+SUMPRODUCT(($CZ$3:$CZ$42=$AO71)*($DC$3:$DC$42=$AO72)*$DB$3:$DB$42)</f>
        <v>0</v>
      </c>
      <c r="AT72" s="191">
        <f>SUMPRODUCT(($CZ$3:$CZ$42=$AO72)*($DC$3:$DC$42=$AO73)*$DB$3:$DB$42)+SUMPRODUCT(($CZ$3:$CZ$42=$AO72)*($DC$3:$DC$42=$AO74)*$DB$3:$DB$42)+SUMPRODUCT(($CZ$3:$CZ$42=$AO72)*($DC$3:$DC$42=$AO75)*$DB$3:$DB$42)+SUMPRODUCT(($CZ$3:$CZ$42=$AO72)*($DC$3:$DC$42=$AO71)*$DB$3:$DB$42)+SUMPRODUCT(($CZ$3:$CZ$42=$AO73)*($DC$3:$DC$42=$AO72)*$DA$3:$DA$42)+SUMPRODUCT(($CZ$3:$CZ$42=$AO74)*($DC$3:$DC$42=$AO72)*$DA$3:$DA$42)+SUMPRODUCT(($CZ$3:$CZ$42=$AO75)*($DC$3:$DC$42=$AO72)*$DA$3:$DA$42)+SUMPRODUCT(($CZ$3:$CZ$42=$AO71)*($DC$3:$DC$42=$AO72)*$DA$3:$DA$42)</f>
        <v>0</v>
      </c>
      <c r="AU72" s="191">
        <f>AS72-AT72+1000</f>
        <v>1000</v>
      </c>
      <c r="AV72" s="191" t="str">
        <f t="shared" ref="AV72:AV74" si="413">IF(AO72&lt;&gt;"",AP72*3+AQ72*1,"")</f>
        <v/>
      </c>
      <c r="AW72" s="191" t="str">
        <f t="shared" ref="AW72:AW74" si="414">IF(AO72&lt;&gt;"",VLOOKUP(AO72,$B$4:$H$40,7,FALSE),"")</f>
        <v/>
      </c>
      <c r="AX72" s="191" t="str">
        <f t="shared" ref="AX72:AX74" si="415">IF(AO72&lt;&gt;"",VLOOKUP(AO72,$B$4:$H$40,5,FALSE),"")</f>
        <v/>
      </c>
      <c r="AY72" s="191" t="str">
        <f t="shared" ref="AY72:AY74" si="416">IF(AO72&lt;&gt;"",VLOOKUP(AO72,$B$4:$J$40,9,FALSE),"")</f>
        <v/>
      </c>
      <c r="AZ72" s="191" t="str">
        <f t="shared" ref="AZ72:AZ74" si="417">AV72</f>
        <v/>
      </c>
      <c r="BA72" s="191" t="str">
        <f>IF(AO72&lt;&gt;"",RANK(AZ72,AZ$71:AZ$74),"")</f>
        <v/>
      </c>
      <c r="BB72" s="191" t="str">
        <f>IF(AO72&lt;&gt;"",SUMPRODUCT((AZ$71:AZ$74=AZ72)*(AU$71:AU$74&gt;AU72)),"")</f>
        <v/>
      </c>
      <c r="BC72" s="191" t="str">
        <f>IF(AO72&lt;&gt;"",SUMPRODUCT((AZ$71:AZ$74=AZ72)*(AU$71:AU$74=AU72)*(AS$71:AS$74&gt;AS72)),"")</f>
        <v/>
      </c>
      <c r="BD72" s="191" t="str">
        <f>IF(AO72&lt;&gt;"",SUMPRODUCT((AZ$71:AZ$74=AZ72)*(AU$71:AU$74=AU72)*(AS$71:AS$74=AS72)*(AW$71:AW$74&gt;AW72)),"")</f>
        <v/>
      </c>
      <c r="BE72" s="191" t="str">
        <f>IF(AO72&lt;&gt;"",SUMPRODUCT((AZ$71:AZ$74=AZ72)*(AU$71:AU$74=AU72)*(AS$71:AS$74=AS72)*(AW$71:AW$74=AW72)*(AX$71:AX$74&gt;AX72)),"")</f>
        <v/>
      </c>
      <c r="BF72" s="191" t="str">
        <f>IF(AO72&lt;&gt;"",SUMPRODUCT((AZ$71:AZ$74=AZ72)*(AU$71:AU$74=AU72)*(AS$71:AS$74=AS72)*(AW$71:AW$74=AW72)*(AX$71:AX$74=AX72)*(AY$71:AY$74&gt;AY72)),"")</f>
        <v/>
      </c>
      <c r="BG72" s="191" t="str">
        <f>IF(AO72&lt;&gt;"",SUM(BA72:BF72)+1,"")</f>
        <v/>
      </c>
      <c r="EH72" s="193" t="e">
        <f>Fixtures!#REF!</f>
        <v>#REF!</v>
      </c>
      <c r="EJ72" s="193" t="str">
        <f>IF(ISERROR("'Countries and Timezone'!"&amp;VLOOKUP(EH72,'Dummy Table'!$EH$7:$EI$38,2,FALSE)),"'Countries and Timezone'!b39","'Countries and Timezone'!"&amp;VLOOKUP(EH72,'Dummy Table'!$EH$7:$EI$38,2,FALSE))</f>
        <v>'Countries and Timezone'!b39</v>
      </c>
      <c r="EP72" s="191">
        <v>2</v>
      </c>
      <c r="EQ72" s="191" t="s">
        <v>711</v>
      </c>
      <c r="ER72" s="191" t="s">
        <v>712</v>
      </c>
    </row>
    <row r="73" spans="9:148" x14ac:dyDescent="0.35">
      <c r="I73" s="191">
        <f>SUMPRODUCT((I31:I34=I33)*(H31:H34=H33)*(F31:F34&gt;F33))+1</f>
        <v>1</v>
      </c>
      <c r="T73" s="191" t="str">
        <f t="shared" si="399"/>
        <v/>
      </c>
      <c r="U73" s="191" t="str">
        <f t="shared" si="400"/>
        <v/>
      </c>
      <c r="V73" s="191">
        <f>SUMPRODUCT(($CZ$3:$CZ$42=$U73)*($DC$3:$DC$42=$U74)*($DD$3:$DD$42="W"))+SUMPRODUCT(($CZ$3:$CZ$42=$U73)*($DC$3:$DC$42=$U75)*($DD$3:$DD$42="W"))+SUMPRODUCT(($CZ$3:$CZ$42=$U73)*($DC$3:$DC$42=$U71)*($DD$3:$DD$42="W"))+SUMPRODUCT(($CZ$3:$CZ$42=$U73)*($DC$3:$DC$42=$U72)*($DD$3:$DD$42="W"))+SUMPRODUCT(($CZ$3:$CZ$42=$U74)*($DC$3:$DC$42=$U73)*($DE$3:$DE$42="W"))+SUMPRODUCT(($CZ$3:$CZ$42=$U75)*($DC$3:$DC$42=$U73)*($DE$3:$DE$42="W"))+SUMPRODUCT(($CZ$3:$CZ$42=$U71)*($DC$3:$DC$42=$U73)*($DE$3:$DE$42="W"))+SUMPRODUCT(($CZ$3:$CZ$42=$U72)*($DC$3:$DC$42=$U73)*($DE$3:$DE$42="W"))</f>
        <v>0</v>
      </c>
      <c r="W73" s="191">
        <f>SUMPRODUCT(($CZ$3:$CZ$42=$U73)*($DC$3:$DC$42=$U74)*($DD$3:$DD$42="D"))+SUMPRODUCT(($CZ$3:$CZ$42=$U73)*($DC$3:$DC$42=$U75)*($DD$3:$DD$42="D"))+SUMPRODUCT(($CZ$3:$CZ$42=$U73)*($DC$3:$DC$42=$U71)*($DD$3:$DD$42="D"))+SUMPRODUCT(($CZ$3:$CZ$42=$U73)*($DC$3:$DC$42=$U72)*($DD$3:$DD$42="D"))+SUMPRODUCT(($CZ$3:$CZ$42=$U74)*($DC$3:$DC$42=$U73)*($DD$3:$DD$42="D"))+SUMPRODUCT(($CZ$3:$CZ$42=$U75)*($DC$3:$DC$42=$U73)*($DD$3:$DD$42="D"))+SUMPRODUCT(($CZ$3:$CZ$42=$U71)*($DC$3:$DC$42=$U73)*($DD$3:$DD$42="D"))+SUMPRODUCT(($CZ$3:$CZ$42=$U72)*($DC$3:$DC$42=$U73)*($DD$3:$DD$42="D"))</f>
        <v>0</v>
      </c>
      <c r="X73" s="191">
        <f>SUMPRODUCT(($CZ$3:$CZ$42=$U73)*($DC$3:$DC$42=$U74)*($DD$3:$DD$42="L"))+SUMPRODUCT(($CZ$3:$CZ$42=$U73)*($DC$3:$DC$42=$U75)*($DD$3:$DD$42="L"))+SUMPRODUCT(($CZ$3:$CZ$42=$U73)*($DC$3:$DC$42=$U71)*($DD$3:$DD$42="L"))+SUMPRODUCT(($CZ$3:$CZ$42=$U73)*($DC$3:$DC$42=$U72)*($DD$3:$DD$42="L"))+SUMPRODUCT(($CZ$3:$CZ$42=$U74)*($DC$3:$DC$42=$U73)*($DE$3:$DE$42="L"))+SUMPRODUCT(($CZ$3:$CZ$42=$U75)*($DC$3:$DC$42=$U73)*($DE$3:$DE$42="L"))+SUMPRODUCT(($CZ$3:$CZ$42=$U71)*($DC$3:$DC$42=$U73)*($DE$3:$DE$42="L"))+SUMPRODUCT(($CZ$3:$CZ$42=$U72)*($DC$3:$DC$42=$U73)*($DE$3:$DE$42="L"))</f>
        <v>0</v>
      </c>
      <c r="Y73" s="191">
        <f>SUMPRODUCT(($CZ$3:$CZ$42=$U73)*($DC$3:$DC$42=$U74)*$DA$3:$DA$42)+SUMPRODUCT(($CZ$3:$CZ$42=$U73)*($DC$3:$DC$42=$U75)*$DA$3:$DA$42)+SUMPRODUCT(($CZ$3:$CZ$42=$U73)*($DC$3:$DC$42=$U71)*$DA$3:$DA$42)+SUMPRODUCT(($CZ$3:$CZ$42=$U73)*($DC$3:$DC$42=$U72)*$DA$3:$DA$42)+SUMPRODUCT(($CZ$3:$CZ$42=$U74)*($DC$3:$DC$42=$U73)*$DB$3:$DB$42)+SUMPRODUCT(($CZ$3:$CZ$42=$U75)*($DC$3:$DC$42=$U73)*$DB$3:$DB$42)+SUMPRODUCT(($CZ$3:$CZ$42=$U71)*($DC$3:$DC$42=$U73)*$DB$3:$DB$42)+SUMPRODUCT(($CZ$3:$CZ$42=$U72)*($DC$3:$DC$42=$U73)*$DB$3:$DB$42)</f>
        <v>0</v>
      </c>
      <c r="Z73" s="191">
        <f>SUMPRODUCT(($CZ$3:$CZ$42=$U73)*($DC$3:$DC$42=$U74)*$DB$3:$DB$42)+SUMPRODUCT(($CZ$3:$CZ$42=$U73)*($DC$3:$DC$42=$U75)*$DB$3:$DB$42)+SUMPRODUCT(($CZ$3:$CZ$42=$U73)*($DC$3:$DC$42=$U71)*$DB$3:$DB$42)+SUMPRODUCT(($CZ$3:$CZ$42=$U73)*($DC$3:$DC$42=$U72)*$DB$3:$DB$42)+SUMPRODUCT(($CZ$3:$CZ$42=$U74)*($DC$3:$DC$42=$U73)*$DA$3:$DA$42)+SUMPRODUCT(($CZ$3:$CZ$42=$U75)*($DC$3:$DC$42=$U73)*$DA$3:$DA$42)+SUMPRODUCT(($CZ$3:$CZ$42=$U71)*($DC$3:$DC$42=$U73)*$DA$3:$DA$42)+SUMPRODUCT(($CZ$3:$CZ$42=$U72)*($DC$3:$DC$42=$U73)*$DA$3:$DA$42)</f>
        <v>0</v>
      </c>
      <c r="AA73" s="191">
        <f>Y73-Z73+1000</f>
        <v>1000</v>
      </c>
      <c r="AB73" s="191" t="str">
        <f t="shared" si="401"/>
        <v/>
      </c>
      <c r="AC73" s="191" t="str">
        <f t="shared" si="402"/>
        <v/>
      </c>
      <c r="AD73" s="191" t="str">
        <f t="shared" si="403"/>
        <v/>
      </c>
      <c r="AE73" s="191" t="str">
        <f t="shared" si="404"/>
        <v/>
      </c>
      <c r="AF73" s="191" t="str">
        <f t="shared" si="405"/>
        <v/>
      </c>
      <c r="AG73" s="191" t="str">
        <f t="shared" si="406"/>
        <v/>
      </c>
      <c r="AH73" s="191" t="str">
        <f t="shared" si="407"/>
        <v/>
      </c>
      <c r="AI73" s="191" t="str">
        <f t="shared" si="408"/>
        <v/>
      </c>
      <c r="AJ73" s="191" t="str">
        <f t="shared" si="409"/>
        <v/>
      </c>
      <c r="AK73" s="191" t="str">
        <f t="shared" si="410"/>
        <v/>
      </c>
      <c r="AL73" s="191" t="str">
        <f t="shared" si="411"/>
        <v/>
      </c>
      <c r="AM73" s="191" t="str">
        <f>IF(U73&lt;&gt;"",SUM(AG73:AL73),"")</f>
        <v/>
      </c>
      <c r="AN73" s="191" t="str">
        <f t="shared" ref="AN73:AN74" si="418">IF(AO33&lt;&gt;"",SUMPRODUCT(($AV$31:$AV$34=AV33)*($AU$31:$AU$34=AU33)*($AS$31:$AS$34=AS33)*($AT$31:$AT$34=AT33)),"")</f>
        <v/>
      </c>
      <c r="AO73" s="191" t="str">
        <f t="shared" si="412"/>
        <v/>
      </c>
      <c r="AP73" s="191">
        <f>SUMPRODUCT(($CZ$3:$CZ$42=$AO73)*($DC$3:$DC$42=$AO74)*($DD$3:$DD$42="W"))+SUMPRODUCT(($CZ$3:$CZ$42=$AO73)*($DC$3:$DC$42=$AO75)*($DD$3:$DD$42="W"))+SUMPRODUCT(($CZ$3:$CZ$42=$AO73)*($DC$3:$DC$42=$AO72)*($DD$3:$DD$42="W"))+SUMPRODUCT(($CZ$3:$CZ$42=$AO74)*($DC$3:$DC$42=$AO73)*($DE$3:$DE$42="W"))+SUMPRODUCT(($CZ$3:$CZ$42=$AO75)*($DC$3:$DC$42=$AO73)*($DE$3:$DE$42="W"))+SUMPRODUCT(($CZ$3:$CZ$42=$AO72)*($DC$3:$DC$42=$AO73)*($DE$3:$DE$42="W"))</f>
        <v>0</v>
      </c>
      <c r="AQ73" s="191">
        <f>SUMPRODUCT(($CZ$3:$CZ$42=$AO73)*($DC$3:$DC$42=$AO74)*($DD$3:$DD$42="D"))+SUMPRODUCT(($CZ$3:$CZ$42=$AO73)*($DC$3:$DC$42=$AO75)*($DD$3:$DD$42="D"))+SUMPRODUCT(($CZ$3:$CZ$42=$AO73)*($DC$3:$DC$42=$AO72)*($DD$3:$DD$42="D"))+SUMPRODUCT(($CZ$3:$CZ$42=$AO74)*($DC$3:$DC$42=$AO73)*($DD$3:$DD$42="D"))+SUMPRODUCT(($CZ$3:$CZ$42=$AO75)*($DC$3:$DC$42=$AO73)*($DD$3:$DD$42="D"))+SUMPRODUCT(($CZ$3:$CZ$42=$AO72)*($DC$3:$DC$42=$AO73)*($DD$3:$DD$42="D"))</f>
        <v>0</v>
      </c>
      <c r="AR73" s="191">
        <f>SUMPRODUCT(($CZ$3:$CZ$42=$AO73)*($DC$3:$DC$42=$AO74)*($DD$3:$DD$42="L"))+SUMPRODUCT(($CZ$3:$CZ$42=$AO73)*($DC$3:$DC$42=$AO75)*($DD$3:$DD$42="L"))+SUMPRODUCT(($CZ$3:$CZ$42=$AO73)*($DC$3:$DC$42=$AO72)*($DD$3:$DD$42="L"))+SUMPRODUCT(($CZ$3:$CZ$42=$AO74)*($DC$3:$DC$42=$AO73)*($DE$3:$DE$42="L"))+SUMPRODUCT(($CZ$3:$CZ$42=$AO75)*($DC$3:$DC$42=$AO73)*($DE$3:$DE$42="L"))+SUMPRODUCT(($CZ$3:$CZ$42=$AO72)*($DC$3:$DC$42=$AO73)*($DE$3:$DE$42="L"))</f>
        <v>0</v>
      </c>
      <c r="AS73" s="191">
        <f>SUMPRODUCT(($CZ$3:$CZ$42=$AO73)*($DC$3:$DC$42=$AO74)*$DA$3:$DA$42)+SUMPRODUCT(($CZ$3:$CZ$42=$AO73)*($DC$3:$DC$42=$AO75)*$DA$3:$DA$42)+SUMPRODUCT(($CZ$3:$CZ$42=$AO73)*($DC$3:$DC$42=$AO71)*$DA$3:$DA$42)+SUMPRODUCT(($CZ$3:$CZ$42=$AO73)*($DC$3:$DC$42=$AO72)*$DA$3:$DA$42)+SUMPRODUCT(($CZ$3:$CZ$42=$AO74)*($DC$3:$DC$42=$AO73)*$DB$3:$DB$42)+SUMPRODUCT(($CZ$3:$CZ$42=$AO75)*($DC$3:$DC$42=$AO73)*$DB$3:$DB$42)+SUMPRODUCT(($CZ$3:$CZ$42=$AO71)*($DC$3:$DC$42=$AO73)*$DB$3:$DB$42)+SUMPRODUCT(($CZ$3:$CZ$42=$AO72)*($DC$3:$DC$42=$AO73)*$DB$3:$DB$42)</f>
        <v>0</v>
      </c>
      <c r="AT73" s="191">
        <f>SUMPRODUCT(($CZ$3:$CZ$42=$AO73)*($DC$3:$DC$42=$AO74)*$DB$3:$DB$42)+SUMPRODUCT(($CZ$3:$CZ$42=$AO73)*($DC$3:$DC$42=$AO75)*$DB$3:$DB$42)+SUMPRODUCT(($CZ$3:$CZ$42=$AO73)*($DC$3:$DC$42=$AO71)*$DB$3:$DB$42)+SUMPRODUCT(($CZ$3:$CZ$42=$AO73)*($DC$3:$DC$42=$AO72)*$DB$3:$DB$42)+SUMPRODUCT(($CZ$3:$CZ$42=$AO74)*($DC$3:$DC$42=$AO73)*$DA$3:$DA$42)+SUMPRODUCT(($CZ$3:$CZ$42=$AO75)*($DC$3:$DC$42=$AO73)*$DA$3:$DA$42)+SUMPRODUCT(($CZ$3:$CZ$42=$AO71)*($DC$3:$DC$42=$AO73)*$DA$3:$DA$42)+SUMPRODUCT(($CZ$3:$CZ$42=$AO72)*($DC$3:$DC$42=$AO73)*$DA$3:$DA$42)</f>
        <v>0</v>
      </c>
      <c r="AU73" s="191">
        <f>AS73-AT73+1000</f>
        <v>1000</v>
      </c>
      <c r="AV73" s="191" t="str">
        <f t="shared" si="413"/>
        <v/>
      </c>
      <c r="AW73" s="191" t="str">
        <f t="shared" si="414"/>
        <v/>
      </c>
      <c r="AX73" s="191" t="str">
        <f t="shared" si="415"/>
        <v/>
      </c>
      <c r="AY73" s="191" t="str">
        <f t="shared" si="416"/>
        <v/>
      </c>
      <c r="AZ73" s="191" t="str">
        <f t="shared" si="417"/>
        <v/>
      </c>
      <c r="BA73" s="191" t="str">
        <f t="shared" ref="BA73:BA74" si="419">IF(AO73&lt;&gt;"",RANK(AZ73,AZ$71:AZ$74),"")</f>
        <v/>
      </c>
      <c r="BB73" s="191" t="str">
        <f t="shared" ref="BB73:BB74" si="420">IF(AO73&lt;&gt;"",SUMPRODUCT((AZ$71:AZ$74=AZ73)*(AU$71:AU$74&gt;AU73)),"")</f>
        <v/>
      </c>
      <c r="BC73" s="191" t="str">
        <f t="shared" ref="BC73:BC74" si="421">IF(AO73&lt;&gt;"",SUMPRODUCT((AZ$71:AZ$74=AZ73)*(AU$71:AU$74=AU73)*(AS$71:AS$74&gt;AS73)),"")</f>
        <v/>
      </c>
      <c r="BD73" s="191" t="str">
        <f t="shared" ref="BD73:BD74" si="422">IF(AO73&lt;&gt;"",SUMPRODUCT((AZ$71:AZ$74=AZ73)*(AU$71:AU$74=AU73)*(AS$71:AS$74=AS73)*(AW$71:AW$74&gt;AW73)),"")</f>
        <v/>
      </c>
      <c r="BE73" s="191" t="str">
        <f t="shared" ref="BE73:BE74" si="423">IF(AO73&lt;&gt;"",SUMPRODUCT((AZ$71:AZ$74=AZ73)*(AU$71:AU$74=AU73)*(AS$71:AS$74=AS73)*(AW$71:AW$74=AW73)*(AX$71:AX$74&gt;AX73)),"")</f>
        <v/>
      </c>
      <c r="BF73" s="191" t="str">
        <f t="shared" ref="BF73:BF74" si="424">IF(AO73&lt;&gt;"",SUMPRODUCT((AZ$71:AZ$74=AZ73)*(AU$71:AU$74=AU73)*(AS$71:AS$74=AS73)*(AW$71:AW$74=AW73)*(AX$71:AX$74=AX73)*(AY$71:AY$74&gt;AY73)),"")</f>
        <v/>
      </c>
      <c r="BG73" s="191" t="str">
        <f t="shared" ref="BG73:BG74" si="425">IF(AO73&lt;&gt;"",SUM(BA73:BF73)+1,"")</f>
        <v/>
      </c>
      <c r="EH73" s="193" t="e">
        <f>Fixtures!#REF!</f>
        <v>#REF!</v>
      </c>
      <c r="EJ73" s="193" t="str">
        <f>IF(ISERROR("'Countries and Timezone'!"&amp;VLOOKUP(EH73,'Dummy Table'!$EH$7:$EI$38,2,FALSE)),"'Countries and Timezone'!b39","'Countries and Timezone'!"&amp;VLOOKUP(EH73,'Dummy Table'!$EH$7:$EI$38,2,FALSE))</f>
        <v>'Countries and Timezone'!b39</v>
      </c>
      <c r="EP73" s="191">
        <v>2</v>
      </c>
      <c r="EQ73" s="191" t="s">
        <v>713</v>
      </c>
      <c r="ER73" s="191" t="s">
        <v>714</v>
      </c>
    </row>
    <row r="74" spans="9:148" x14ac:dyDescent="0.35">
      <c r="I74" s="191">
        <f>SUMPRODUCT((I31:I34=I34)*(H31:H34=H34)*(F31:F34&gt;F34))+1</f>
        <v>1</v>
      </c>
      <c r="T74" s="191" t="str">
        <f t="shared" si="399"/>
        <v/>
      </c>
      <c r="U74" s="191" t="str">
        <f t="shared" si="400"/>
        <v/>
      </c>
      <c r="V74" s="191">
        <f>SUMPRODUCT(($CZ$3:$CZ$42=$U74)*($DC$3:$DC$42=$U75)*($DD$3:$DD$42="W"))+SUMPRODUCT(($CZ$3:$CZ$42=$U74)*($DC$3:$DC$42=$U71)*($DD$3:$DD$42="W"))+SUMPRODUCT(($CZ$3:$CZ$42=$U74)*($DC$3:$DC$42=$U72)*($DD$3:$DD$42="W"))+SUMPRODUCT(($CZ$3:$CZ$42=$U74)*($DC$3:$DC$42=$U73)*($DD$3:$DD$42="W"))+SUMPRODUCT(($CZ$3:$CZ$42=$U75)*($DC$3:$DC$42=$U74)*($DE$3:$DE$42="W"))+SUMPRODUCT(($CZ$3:$CZ$42=$U71)*($DC$3:$DC$42=$U74)*($DE$3:$DE$42="W"))+SUMPRODUCT(($CZ$3:$CZ$42=$U72)*($DC$3:$DC$42=$U74)*($DE$3:$DE$42="W"))+SUMPRODUCT(($CZ$3:$CZ$42=$U73)*($DC$3:$DC$42=$U74)*($DE$3:$DE$42="W"))</f>
        <v>0</v>
      </c>
      <c r="W74" s="191">
        <f>SUMPRODUCT(($CZ$3:$CZ$42=$U74)*($DC$3:$DC$42=$U75)*($DD$3:$DD$42="D"))+SUMPRODUCT(($CZ$3:$CZ$42=$U74)*($DC$3:$DC$42=$U71)*($DD$3:$DD$42="D"))+SUMPRODUCT(($CZ$3:$CZ$42=$U74)*($DC$3:$DC$42=$U72)*($DD$3:$DD$42="D"))+SUMPRODUCT(($CZ$3:$CZ$42=$U74)*($DC$3:$DC$42=$U73)*($DD$3:$DD$42="D"))+SUMPRODUCT(($CZ$3:$CZ$42=$U75)*($DC$3:$DC$42=$U74)*($DD$3:$DD$42="D"))+SUMPRODUCT(($CZ$3:$CZ$42=$U71)*($DC$3:$DC$42=$U74)*($DD$3:$DD$42="D"))+SUMPRODUCT(($CZ$3:$CZ$42=$U72)*($DC$3:$DC$42=$U74)*($DD$3:$DD$42="D"))+SUMPRODUCT(($CZ$3:$CZ$42=$U73)*($DC$3:$DC$42=$U74)*($DD$3:$DD$42="D"))</f>
        <v>0</v>
      </c>
      <c r="X74" s="191">
        <f>SUMPRODUCT(($CZ$3:$CZ$42=$U74)*($DC$3:$DC$42=$U75)*($DD$3:$DD$42="L"))+SUMPRODUCT(($CZ$3:$CZ$42=$U74)*($DC$3:$DC$42=$U71)*($DD$3:$DD$42="L"))+SUMPRODUCT(($CZ$3:$CZ$42=$U74)*($DC$3:$DC$42=$U72)*($DD$3:$DD$42="L"))+SUMPRODUCT(($CZ$3:$CZ$42=$U74)*($DC$3:$DC$42=$U73)*($DD$3:$DD$42="L"))+SUMPRODUCT(($CZ$3:$CZ$42=$U75)*($DC$3:$DC$42=$U74)*($DE$3:$DE$42="L"))+SUMPRODUCT(($CZ$3:$CZ$42=$U71)*($DC$3:$DC$42=$U74)*($DE$3:$DE$42="L"))+SUMPRODUCT(($CZ$3:$CZ$42=$U72)*($DC$3:$DC$42=$U74)*($DE$3:$DE$42="L"))+SUMPRODUCT(($CZ$3:$CZ$42=$U73)*($DC$3:$DC$42=$U74)*($DE$3:$DE$42="L"))</f>
        <v>0</v>
      </c>
      <c r="Y74" s="191">
        <f>SUMPRODUCT(($CZ$3:$CZ$42=$U74)*($DC$3:$DC$42=$U75)*$DA$3:$DA$42)+SUMPRODUCT(($CZ$3:$CZ$42=$U74)*($DC$3:$DC$42=$U71)*$DA$3:$DA$42)+SUMPRODUCT(($CZ$3:$CZ$42=$U74)*($DC$3:$DC$42=$U72)*$DA$3:$DA$42)+SUMPRODUCT(($CZ$3:$CZ$42=$U74)*($DC$3:$DC$42=$U73)*$DA$3:$DA$42)+SUMPRODUCT(($CZ$3:$CZ$42=$U75)*($DC$3:$DC$42=$U74)*$DB$3:$DB$42)+SUMPRODUCT(($CZ$3:$CZ$42=$U71)*($DC$3:$DC$42=$U74)*$DB$3:$DB$42)+SUMPRODUCT(($CZ$3:$CZ$42=$U72)*($DC$3:$DC$42=$U74)*$DB$3:$DB$42)+SUMPRODUCT(($CZ$3:$CZ$42=$U73)*($DC$3:$DC$42=$U74)*$DB$3:$DB$42)</f>
        <v>0</v>
      </c>
      <c r="Z74" s="191">
        <f>SUMPRODUCT(($CZ$3:$CZ$42=$U74)*($DC$3:$DC$42=$U75)*$DB$3:$DB$42)+SUMPRODUCT(($CZ$3:$CZ$42=$U74)*($DC$3:$DC$42=$U71)*$DB$3:$DB$42)+SUMPRODUCT(($CZ$3:$CZ$42=$U74)*($DC$3:$DC$42=$U72)*$DB$3:$DB$42)+SUMPRODUCT(($CZ$3:$CZ$42=$U74)*($DC$3:$DC$42=$U73)*$DB$3:$DB$42)+SUMPRODUCT(($CZ$3:$CZ$42=$U75)*($DC$3:$DC$42=$U74)*$DA$3:$DA$42)+SUMPRODUCT(($CZ$3:$CZ$42=$U71)*($DC$3:$DC$42=$U74)*$DA$3:$DA$42)+SUMPRODUCT(($CZ$3:$CZ$42=$U72)*($DC$3:$DC$42=$U74)*$DA$3:$DA$42)+SUMPRODUCT(($CZ$3:$CZ$42=$U73)*($DC$3:$DC$42=$U74)*$DA$3:$DA$42)</f>
        <v>0</v>
      </c>
      <c r="AA74" s="191">
        <f>Y74-Z74+1000</f>
        <v>1000</v>
      </c>
      <c r="AB74" s="191" t="str">
        <f t="shared" si="401"/>
        <v/>
      </c>
      <c r="AC74" s="191" t="str">
        <f t="shared" si="402"/>
        <v/>
      </c>
      <c r="AD74" s="191" t="str">
        <f t="shared" si="403"/>
        <v/>
      </c>
      <c r="AE74" s="191" t="str">
        <f t="shared" si="404"/>
        <v/>
      </c>
      <c r="AF74" s="191" t="str">
        <f t="shared" si="405"/>
        <v/>
      </c>
      <c r="AG74" s="191" t="str">
        <f t="shared" si="406"/>
        <v/>
      </c>
      <c r="AH74" s="191" t="str">
        <f t="shared" si="407"/>
        <v/>
      </c>
      <c r="AI74" s="191" t="str">
        <f t="shared" si="408"/>
        <v/>
      </c>
      <c r="AJ74" s="191" t="str">
        <f t="shared" si="409"/>
        <v/>
      </c>
      <c r="AK74" s="191" t="str">
        <f t="shared" si="410"/>
        <v/>
      </c>
      <c r="AL74" s="191" t="str">
        <f t="shared" si="411"/>
        <v/>
      </c>
      <c r="AM74" s="191" t="str">
        <f>IF(U74&lt;&gt;"",SUM(AG74:AL74),"")</f>
        <v/>
      </c>
      <c r="AN74" s="191" t="str">
        <f t="shared" si="418"/>
        <v/>
      </c>
      <c r="AO74" s="191" t="str">
        <f t="shared" si="412"/>
        <v/>
      </c>
      <c r="AP74" s="191" t="str">
        <f>IF($AO74&lt;&gt;"",SUMPRODUCT(($CZ$3:$CZ$42=$AO74)*($DC$3:$DC$42=$AO75)*($DD$3:$DD$42="W"))+SUMPRODUCT(($CZ$3:$CZ$42=$AO74)*($DC$3:$DC$42=$AO72)*($DD$3:$DD$42="W"))+SUMPRODUCT(($CZ$3:$CZ$42=$AO74)*($DC$3:$DC$42=$AO73)*($DD$3:$DD$42="W"))+SUMPRODUCT(($CZ$3:$CZ$42=$AO75)*($DC$3:$DC$42=$AO74)*($DE$3:$DE$42="W"))+SUMPRODUCT(($CZ$3:$CZ$42=$AO72)*($DC$3:$DC$42=$AO74)*($DE$3:$DE$42="W"))+SUMPRODUCT(($CZ$3:$CZ$42=$AO73)*($DC$3:$DC$42=$AO74)*($DE$3:$DE$42="W")),"")</f>
        <v/>
      </c>
      <c r="AQ74" s="191" t="str">
        <f>IF($AO74&lt;&gt;"",SUMPRODUCT(($CZ$3:$CZ$42=$AO74)*($DC$3:$DC$42=$AO75)*($DD$3:$DD$42="D"))+SUMPRODUCT(($CZ$3:$CZ$42=$AO74)*($DC$3:$DC$42=$AO72)*($DD$3:$DD$42="D"))+SUMPRODUCT(($CZ$3:$CZ$42=$AO74)*($DC$3:$DC$42=$AO73)*($DD$3:$DD$42="D"))+SUMPRODUCT(($CZ$3:$CZ$42=$AO75)*($DC$3:$DC$42=$AO74)*($DD$3:$DD$42="D"))+SUMPRODUCT(($CZ$3:$CZ$42=$AO72)*($DC$3:$DC$42=$AO74)*($DD$3:$DD$42="D"))+SUMPRODUCT(($CZ$3:$CZ$42=$AO73)*($DC$3:$DC$42=$AO74)*($DD$3:$DD$42="D")),"")</f>
        <v/>
      </c>
      <c r="AR74" s="191" t="str">
        <f>IF($AO74&lt;&gt;"",SUMPRODUCT(($CZ$3:$CZ$42=$AO74)*($DC$3:$DC$42=$AO75)*($DD$3:$DD$42="L"))+SUMPRODUCT(($CZ$3:$CZ$42=$AO74)*($DC$3:$DC$42=$AO72)*($DD$3:$DD$42="L"))+SUMPRODUCT(($CZ$3:$CZ$42=$AO74)*($DC$3:$DC$42=$AO73)*($DD$3:$DD$42="L"))+SUMPRODUCT(($CZ$3:$CZ$42=$AO75)*($DC$3:$DC$42=$AO74)*($DE$3:$DE$42="L"))+SUMPRODUCT(($CZ$3:$CZ$42=$AO72)*($DC$3:$DC$42=$AO74)*($DE$3:$DE$42="L"))+SUMPRODUCT(($CZ$3:$CZ$42=$AO73)*($DC$3:$DC$42=$AO74)*($DE$3:$DE$42="L")),"")</f>
        <v/>
      </c>
      <c r="AS74" s="191">
        <f>SUMPRODUCT(($CZ$3:$CZ$42=$AO74)*($DC$3:$DC$42=$AO75)*$DA$3:$DA$42)+SUMPRODUCT(($CZ$3:$CZ$42=$AO74)*($DC$3:$DC$42=$AO71)*$DA$3:$DA$42)+SUMPRODUCT(($CZ$3:$CZ$42=$AO74)*($DC$3:$DC$42=$AO72)*$DA$3:$DA$42)+SUMPRODUCT(($CZ$3:$CZ$42=$AO74)*($DC$3:$DC$42=$AO73)*$DA$3:$DA$42)+SUMPRODUCT(($CZ$3:$CZ$42=$AO75)*($DC$3:$DC$42=$AO74)*$DB$3:$DB$42)+SUMPRODUCT(($CZ$3:$CZ$42=$AO71)*($DC$3:$DC$42=$AO74)*$DB$3:$DB$42)+SUMPRODUCT(($CZ$3:$CZ$42=$AO72)*($DC$3:$DC$42=$AO74)*$DB$3:$DB$42)+SUMPRODUCT(($CZ$3:$CZ$42=$AO73)*($DC$3:$DC$42=$AO74)*$DB$3:$DB$42)</f>
        <v>0</v>
      </c>
      <c r="AT74" s="191">
        <f>SUMPRODUCT(($CZ$3:$CZ$42=$AO74)*($DC$3:$DC$42=$AO75)*$DB$3:$DB$42)+SUMPRODUCT(($CZ$3:$CZ$42=$AO74)*($DC$3:$DC$42=$AO71)*$DB$3:$DB$42)+SUMPRODUCT(($CZ$3:$CZ$42=$AO74)*($DC$3:$DC$42=$AO72)*$DB$3:$DB$42)+SUMPRODUCT(($CZ$3:$CZ$42=$AO74)*($DC$3:$DC$42=$AO73)*$DB$3:$DB$42)+SUMPRODUCT(($CZ$3:$CZ$42=$AO75)*($DC$3:$DC$42=$AO74)*$DA$3:$DA$42)+SUMPRODUCT(($CZ$3:$CZ$42=$AO71)*($DC$3:$DC$42=$AO74)*$DA$3:$DA$42)+SUMPRODUCT(($CZ$3:$CZ$42=$AO72)*($DC$3:$DC$42=$AO74)*$DA$3:$DA$42)+SUMPRODUCT(($CZ$3:$CZ$42=$AO73)*($DC$3:$DC$42=$AO74)*$DA$3:$DA$42)</f>
        <v>0</v>
      </c>
      <c r="AU74" s="191">
        <f>AS74-AT74+1000</f>
        <v>1000</v>
      </c>
      <c r="AV74" s="191" t="str">
        <f t="shared" si="413"/>
        <v/>
      </c>
      <c r="AW74" s="191" t="str">
        <f t="shared" si="414"/>
        <v/>
      </c>
      <c r="AX74" s="191" t="str">
        <f t="shared" si="415"/>
        <v/>
      </c>
      <c r="AY74" s="191" t="str">
        <f t="shared" si="416"/>
        <v/>
      </c>
      <c r="AZ74" s="191" t="str">
        <f t="shared" si="417"/>
        <v/>
      </c>
      <c r="BA74" s="191" t="str">
        <f t="shared" si="419"/>
        <v/>
      </c>
      <c r="BB74" s="191" t="str">
        <f t="shared" si="420"/>
        <v/>
      </c>
      <c r="BC74" s="191" t="str">
        <f t="shared" si="421"/>
        <v/>
      </c>
      <c r="BD74" s="191" t="str">
        <f t="shared" si="422"/>
        <v/>
      </c>
      <c r="BE74" s="191" t="str">
        <f t="shared" si="423"/>
        <v/>
      </c>
      <c r="BF74" s="191" t="str">
        <f t="shared" si="424"/>
        <v/>
      </c>
      <c r="BG74" s="191" t="str">
        <f t="shared" si="425"/>
        <v/>
      </c>
      <c r="EP74" s="191">
        <v>2</v>
      </c>
      <c r="EQ74" s="191" t="s">
        <v>715</v>
      </c>
      <c r="ER74" s="191" t="s">
        <v>716</v>
      </c>
    </row>
    <row r="75" spans="9:148" x14ac:dyDescent="0.35">
      <c r="EP75" s="191">
        <v>3</v>
      </c>
      <c r="EQ75" s="191" t="s">
        <v>717</v>
      </c>
      <c r="ER75" s="191" t="s">
        <v>718</v>
      </c>
    </row>
    <row r="76" spans="9:148" x14ac:dyDescent="0.35">
      <c r="T76" s="191">
        <f>IF(U77="",SUM(AG37:AL37),IF(U78="",SUM(AG38:AL38),IF(U79="",SUM(AG39:AL39),IF(U80="",SUM(AG40:AL40),0))))</f>
        <v>0</v>
      </c>
      <c r="AN76" s="191">
        <f>IF(AO78="",SUM(BA38:BF38),IF(AO79="",SUM(BA39:BF39),IF(AO80="",SUM(BA40:BF40),0)))</f>
        <v>2</v>
      </c>
      <c r="EP76" s="191">
        <v>3</v>
      </c>
      <c r="EQ76" s="191" t="s">
        <v>719</v>
      </c>
      <c r="ER76" s="191" t="s">
        <v>720</v>
      </c>
    </row>
    <row r="77" spans="9:148" x14ac:dyDescent="0.35">
      <c r="I77" s="191">
        <f>SUMPRODUCT((I37:I40=I37)*(H37:H40=H37)*(F37:F40&gt;F37))+1</f>
        <v>1</v>
      </c>
      <c r="T77" s="191" t="str">
        <f>IF(U37&lt;&gt;"",SUMPRODUCT(($AB$37:$AB$40=AB37)*($AA$37:$AA$40=AA37)*($Y$37:$Y$40=Y37)*($Z$37:$Z$40=Z37)),"")</f>
        <v/>
      </c>
      <c r="U77" s="191" t="str">
        <f>IF(AND(T77&lt;&gt;"",T77&gt;1),U37,"")</f>
        <v/>
      </c>
      <c r="V77" s="191">
        <f>SUMPRODUCT(($CZ$3:$CZ$42=$U77)*($DC$3:$DC$42=$U78)*($DD$3:$DD$42="W"))+SUMPRODUCT(($CZ$3:$CZ$42=$U77)*($DC$3:$DC$42=$U79)*($DD$3:$DD$42="W"))+SUMPRODUCT(($CZ$3:$CZ$42=$U77)*($DC$3:$DC$42=$U80)*($DD$3:$DD$42="W"))+SUMPRODUCT(($CZ$3:$CZ$42=$U77)*($DC$3:$DC$42=$U81)*($DD$3:$DD$42="W"))+SUMPRODUCT(($CZ$3:$CZ$42=$U78)*($DC$3:$DC$42=$U77)*($DE$3:$DE$42="W"))+SUMPRODUCT(($CZ$3:$CZ$42=$U79)*($DC$3:$DC$42=$U77)*($DE$3:$DE$42="W"))+SUMPRODUCT(($CZ$3:$CZ$42=$U80)*($DC$3:$DC$42=$U77)*($DE$3:$DE$42="W"))+SUMPRODUCT(($CZ$3:$CZ$42=$U81)*($DC$3:$DC$42=$U77)*($DE$3:$DE$42="W"))</f>
        <v>0</v>
      </c>
      <c r="W77" s="191">
        <f>SUMPRODUCT(($CZ$3:$CZ$42=$U77)*($DC$3:$DC$42=$U78)*($DD$3:$DD$42="D"))+SUMPRODUCT(($CZ$3:$CZ$42=$U77)*($DC$3:$DC$42=$U79)*($DD$3:$DD$42="D"))+SUMPRODUCT(($CZ$3:$CZ$42=$U77)*($DC$3:$DC$42=$U80)*($DD$3:$DD$42="D"))+SUMPRODUCT(($CZ$3:$CZ$42=$U77)*($DC$3:$DC$42=$U81)*($DD$3:$DD$42="D"))+SUMPRODUCT(($CZ$3:$CZ$42=$U78)*($DC$3:$DC$42=$U77)*($DD$3:$DD$42="D"))+SUMPRODUCT(($CZ$3:$CZ$42=$U79)*($DC$3:$DC$42=$U77)*($DD$3:$DD$42="D"))+SUMPRODUCT(($CZ$3:$CZ$42=$U80)*($DC$3:$DC$42=$U77)*($DD$3:$DD$42="D"))+SUMPRODUCT(($CZ$3:$CZ$42=$U81)*($DC$3:$DC$42=$U77)*($DD$3:$DD$42="D"))</f>
        <v>0</v>
      </c>
      <c r="X77" s="191">
        <f>SUMPRODUCT(($CZ$3:$CZ$42=$U77)*($DC$3:$DC$42=$U78)*($DD$3:$DD$42="L"))+SUMPRODUCT(($CZ$3:$CZ$42=$U77)*($DC$3:$DC$42=$U79)*($DD$3:$DD$42="L"))+SUMPRODUCT(($CZ$3:$CZ$42=$U77)*($DC$3:$DC$42=$U80)*($DD$3:$DD$42="L"))+SUMPRODUCT(($CZ$3:$CZ$42=$U77)*($DC$3:$DC$42=$U81)*($DD$3:$DD$42="L"))+SUMPRODUCT(($CZ$3:$CZ$42=$U78)*($DC$3:$DC$42=$U77)*($DE$3:$DE$42="L"))+SUMPRODUCT(($CZ$3:$CZ$42=$U79)*($DC$3:$DC$42=$U77)*($DE$3:$DE$42="L"))+SUMPRODUCT(($CZ$3:$CZ$42=$U80)*($DC$3:$DC$42=$U77)*($DE$3:$DE$42="L"))+SUMPRODUCT(($CZ$3:$CZ$42=$U81)*($DC$3:$DC$42=$U77)*($DE$3:$DE$42="L"))</f>
        <v>0</v>
      </c>
      <c r="Y77" s="191">
        <f>SUMPRODUCT(($CZ$3:$CZ$42=$U77)*($DC$3:$DC$42=$U78)*$DA$3:$DA$42)+SUMPRODUCT(($CZ$3:$CZ$42=$U77)*($DC$3:$DC$42=$U79)*$DA$3:$DA$42)+SUMPRODUCT(($CZ$3:$CZ$42=$U77)*($DC$3:$DC$42=$U80)*$DA$3:$DA$42)+SUMPRODUCT(($CZ$3:$CZ$42=$U77)*($DC$3:$DC$42=$U81)*$DA$3:$DA$42)+SUMPRODUCT(($CZ$3:$CZ$42=$U78)*($DC$3:$DC$42=$U77)*$DB$3:$DB$42)+SUMPRODUCT(($CZ$3:$CZ$42=$U79)*($DC$3:$DC$42=$U77)*$DB$3:$DB$42)+SUMPRODUCT(($CZ$3:$CZ$42=$U80)*($DC$3:$DC$42=$U77)*$DB$3:$DB$42)+SUMPRODUCT(($CZ$3:$CZ$42=$U81)*($DC$3:$DC$42=$U77)*$DB$3:$DB$42)</f>
        <v>0</v>
      </c>
      <c r="Z77" s="191">
        <f>SUMPRODUCT(($CZ$3:$CZ$42=$U77)*($DC$3:$DC$42=$U78)*$DB$3:$DB$42)+SUMPRODUCT(($CZ$3:$CZ$42=$U77)*($DC$3:$DC$42=$U79)*$DB$3:$DB$42)+SUMPRODUCT(($CZ$3:$CZ$42=$U77)*($DC$3:$DC$42=$U80)*$DB$3:$DB$42)+SUMPRODUCT(($CZ$3:$CZ$42=$U77)*($DC$3:$DC$42=$U81)*$DB$3:$DB$42)+SUMPRODUCT(($CZ$3:$CZ$42=$U78)*($DC$3:$DC$42=$U77)*$DA$3:$DA$42)+SUMPRODUCT(($CZ$3:$CZ$42=$U79)*($DC$3:$DC$42=$U77)*$DA$3:$DA$42)+SUMPRODUCT(($CZ$3:$CZ$42=$U80)*($DC$3:$DC$42=$U77)*$DA$3:$DA$42)+SUMPRODUCT(($CZ$3:$CZ$42=$U81)*($DC$3:$DC$42=$U77)*$DA$3:$DA$42)</f>
        <v>0</v>
      </c>
      <c r="AA77" s="191">
        <f>Y77-Z77+1000</f>
        <v>1000</v>
      </c>
      <c r="AB77" s="191" t="str">
        <f>IF(U77&lt;&gt;"",V77*3+W77*1,"")</f>
        <v/>
      </c>
      <c r="AC77" s="191" t="str">
        <f>IF(U77&lt;&gt;"",VLOOKUP(U77,$B$4:$H$40,7,FALSE),"")</f>
        <v/>
      </c>
      <c r="AD77" s="191" t="str">
        <f>IF(U77&lt;&gt;"",VLOOKUP(U77,$B$4:$H$40,5,FALSE),"")</f>
        <v/>
      </c>
      <c r="AE77" s="191" t="str">
        <f>IF(U77&lt;&gt;"",VLOOKUP(U77,$B$4:$J$40,9,FALSE),"")</f>
        <v/>
      </c>
      <c r="AF77" s="191" t="str">
        <f>AB77</f>
        <v/>
      </c>
      <c r="AG77" s="191" t="str">
        <f>IF(U77&lt;&gt;"",RANK(AF77,AF$77:AF$80),"")</f>
        <v/>
      </c>
      <c r="AH77" s="191" t="str">
        <f>IF(U77&lt;&gt;"",SUMPRODUCT((AF$77:AF$80=AF77)*(AA$77:AA$80&gt;AA77)),"")</f>
        <v/>
      </c>
      <c r="AI77" s="191" t="str">
        <f>IF(U77&lt;&gt;"",SUMPRODUCT((AF$77:AF$80=AF77)*(AA$77:AA$80=AA77)*(Y$77:Y$80&gt;Y77)),"")</f>
        <v/>
      </c>
      <c r="AJ77" s="191" t="str">
        <f>IF(U77&lt;&gt;"",SUMPRODUCT((AF$77:AF$80=AF77)*(AA$77:AA$80=AA77)*(Y$77:Y$80=Y77)*(AC$77:AC$80&gt;AC77)),"")</f>
        <v/>
      </c>
      <c r="AK77" s="191" t="str">
        <f>IF(U77&lt;&gt;"",SUMPRODUCT((AF$77:AF$80=AF77)*(AA$77:AA$80=AA77)*(Y$77:Y$80=Y77)*(AC$77:AC$80=AC77)*(AD$77:AD$80&gt;AD77)),"")</f>
        <v/>
      </c>
      <c r="AL77" s="191" t="str">
        <f>IF(U77&lt;&gt;"",SUMPRODUCT((AF$77:AF$80=AF77)*(AA$77:AA$80=AA77)*(Y$77:Y$80=Y77)*(AC$77:AC$80=AC77)*(AD$77:AD$80=AD77)*(AE$77:AE$80&gt;AE77)),"")</f>
        <v/>
      </c>
      <c r="AM77" s="191" t="str">
        <f>IF(U77&lt;&gt;"",SUM(AG77:AL77),"")</f>
        <v/>
      </c>
      <c r="EP77" s="191">
        <v>3</v>
      </c>
      <c r="EQ77" s="191" t="s">
        <v>721</v>
      </c>
      <c r="ER77" s="191" t="s">
        <v>722</v>
      </c>
    </row>
    <row r="78" spans="9:148" x14ac:dyDescent="0.35">
      <c r="I78" s="191">
        <f>SUMPRODUCT((I37:I40=I38)*(H37:H40=H38)*(F37:F40&gt;F38))+1</f>
        <v>2</v>
      </c>
      <c r="T78" s="191" t="str">
        <f t="shared" ref="T78:T80" si="426">IF(U38&lt;&gt;"",SUMPRODUCT(($AB$37:$AB$40=AB38)*($AA$37:$AA$40=AA38)*($Y$37:$Y$40=Y38)*($Z$37:$Z$40=Z38)),"")</f>
        <v/>
      </c>
      <c r="U78" s="191" t="str">
        <f t="shared" ref="U78:U80" si="427">IF(AND(T78&lt;&gt;"",T78&gt;1),U38,"")</f>
        <v/>
      </c>
      <c r="V78" s="191">
        <f>SUMPRODUCT(($CZ$3:$CZ$42=$U78)*($DC$3:$DC$42=$U79)*($DD$3:$DD$42="W"))+SUMPRODUCT(($CZ$3:$CZ$42=$U78)*($DC$3:$DC$42=$U80)*($DD$3:$DD$42="W"))+SUMPRODUCT(($CZ$3:$CZ$42=$U78)*($DC$3:$DC$42=$U81)*($DD$3:$DD$42="W"))+SUMPRODUCT(($CZ$3:$CZ$42=$U78)*($DC$3:$DC$42=$U77)*($DD$3:$DD$42="W"))+SUMPRODUCT(($CZ$3:$CZ$42=$U79)*($DC$3:$DC$42=$U78)*($DE$3:$DE$42="W"))+SUMPRODUCT(($CZ$3:$CZ$42=$U80)*($DC$3:$DC$42=$U78)*($DE$3:$DE$42="W"))+SUMPRODUCT(($CZ$3:$CZ$42=$U81)*($DC$3:$DC$42=$U78)*($DE$3:$DE$42="W"))+SUMPRODUCT(($CZ$3:$CZ$42=$U77)*($DC$3:$DC$42=$U78)*($DE$3:$DE$42="W"))</f>
        <v>0</v>
      </c>
      <c r="W78" s="191">
        <f>SUMPRODUCT(($CZ$3:$CZ$42=$U78)*($DC$3:$DC$42=$U79)*($DD$3:$DD$42="D"))+SUMPRODUCT(($CZ$3:$CZ$42=$U78)*($DC$3:$DC$42=$U80)*($DD$3:$DD$42="D"))+SUMPRODUCT(($CZ$3:$CZ$42=$U78)*($DC$3:$DC$42=$U81)*($DD$3:$DD$42="D"))+SUMPRODUCT(($CZ$3:$CZ$42=$U78)*($DC$3:$DC$42=$U77)*($DD$3:$DD$42="D"))+SUMPRODUCT(($CZ$3:$CZ$42=$U79)*($DC$3:$DC$42=$U78)*($DD$3:$DD$42="D"))+SUMPRODUCT(($CZ$3:$CZ$42=$U80)*($DC$3:$DC$42=$U78)*($DD$3:$DD$42="D"))+SUMPRODUCT(($CZ$3:$CZ$42=$U81)*($DC$3:$DC$42=$U78)*($DD$3:$DD$42="D"))+SUMPRODUCT(($CZ$3:$CZ$42=$U77)*($DC$3:$DC$42=$U78)*($DD$3:$DD$42="D"))</f>
        <v>0</v>
      </c>
      <c r="X78" s="191">
        <f>SUMPRODUCT(($CZ$3:$CZ$42=$U78)*($DC$3:$DC$42=$U79)*($DD$3:$DD$42="L"))+SUMPRODUCT(($CZ$3:$CZ$42=$U78)*($DC$3:$DC$42=$U80)*($DD$3:$DD$42="L"))+SUMPRODUCT(($CZ$3:$CZ$42=$U78)*($DC$3:$DC$42=$U81)*($DD$3:$DD$42="L"))+SUMPRODUCT(($CZ$3:$CZ$42=$U78)*($DC$3:$DC$42=$U77)*($DD$3:$DD$42="L"))+SUMPRODUCT(($CZ$3:$CZ$42=$U79)*($DC$3:$DC$42=$U78)*($DE$3:$DE$42="L"))+SUMPRODUCT(($CZ$3:$CZ$42=$U80)*($DC$3:$DC$42=$U78)*($DE$3:$DE$42="L"))+SUMPRODUCT(($CZ$3:$CZ$42=$U81)*($DC$3:$DC$42=$U78)*($DE$3:$DE$42="L"))+SUMPRODUCT(($CZ$3:$CZ$42=$U77)*($DC$3:$DC$42=$U78)*($DE$3:$DE$42="L"))</f>
        <v>0</v>
      </c>
      <c r="Y78" s="191">
        <f>SUMPRODUCT(($CZ$3:$CZ$42=$U78)*($DC$3:$DC$42=$U79)*$DA$3:$DA$42)+SUMPRODUCT(($CZ$3:$CZ$42=$U78)*($DC$3:$DC$42=$U80)*$DA$3:$DA$42)+SUMPRODUCT(($CZ$3:$CZ$42=$U78)*($DC$3:$DC$42=$U81)*$DA$3:$DA$42)+SUMPRODUCT(($CZ$3:$CZ$42=$U78)*($DC$3:$DC$42=$U77)*$DA$3:$DA$42)+SUMPRODUCT(($CZ$3:$CZ$42=$U79)*($DC$3:$DC$42=$U78)*$DB$3:$DB$42)+SUMPRODUCT(($CZ$3:$CZ$42=$U80)*($DC$3:$DC$42=$U78)*$DB$3:$DB$42)+SUMPRODUCT(($CZ$3:$CZ$42=$U81)*($DC$3:$DC$42=$U78)*$DB$3:$DB$42)+SUMPRODUCT(($CZ$3:$CZ$42=$U77)*($DC$3:$DC$42=$U78)*$DB$3:$DB$42)</f>
        <v>0</v>
      </c>
      <c r="Z78" s="191">
        <f>SUMPRODUCT(($CZ$3:$CZ$42=$U78)*($DC$3:$DC$42=$U79)*$DB$3:$DB$42)+SUMPRODUCT(($CZ$3:$CZ$42=$U78)*($DC$3:$DC$42=$U80)*$DB$3:$DB$42)+SUMPRODUCT(($CZ$3:$CZ$42=$U78)*($DC$3:$DC$42=$U81)*$DB$3:$DB$42)+SUMPRODUCT(($CZ$3:$CZ$42=$U78)*($DC$3:$DC$42=$U77)*$DB$3:$DB$42)+SUMPRODUCT(($CZ$3:$CZ$42=$U79)*($DC$3:$DC$42=$U78)*$DA$3:$DA$42)+SUMPRODUCT(($CZ$3:$CZ$42=$U80)*($DC$3:$DC$42=$U78)*$DA$3:$DA$42)+SUMPRODUCT(($CZ$3:$CZ$42=$U81)*($DC$3:$DC$42=$U78)*$DA$3:$DA$42)+SUMPRODUCT(($CZ$3:$CZ$42=$U77)*($DC$3:$DC$42=$U78)*$DA$3:$DA$42)</f>
        <v>0</v>
      </c>
      <c r="AA78" s="191">
        <f>Y78-Z78+1000</f>
        <v>1000</v>
      </c>
      <c r="AB78" s="191" t="str">
        <f t="shared" ref="AB78:AB80" si="428">IF(U78&lt;&gt;"",V78*3+W78*1,"")</f>
        <v/>
      </c>
      <c r="AC78" s="191" t="str">
        <f t="shared" ref="AC78:AC80" si="429">IF(U78&lt;&gt;"",VLOOKUP(U78,$B$4:$H$40,7,FALSE),"")</f>
        <v/>
      </c>
      <c r="AD78" s="191" t="str">
        <f t="shared" ref="AD78:AD80" si="430">IF(U78&lt;&gt;"",VLOOKUP(U78,$B$4:$H$40,5,FALSE),"")</f>
        <v/>
      </c>
      <c r="AE78" s="191" t="str">
        <f t="shared" ref="AE78:AE80" si="431">IF(U78&lt;&gt;"",VLOOKUP(U78,$B$4:$J$40,9,FALSE),"")</f>
        <v/>
      </c>
      <c r="AF78" s="191" t="str">
        <f t="shared" ref="AF78:AF80" si="432">AB78</f>
        <v/>
      </c>
      <c r="AG78" s="191" t="str">
        <f t="shared" ref="AG78:AG80" si="433">IF(U78&lt;&gt;"",RANK(AF78,AF$77:AF$80),"")</f>
        <v/>
      </c>
      <c r="AH78" s="191" t="str">
        <f t="shared" ref="AH78:AH80" si="434">IF(U78&lt;&gt;"",SUMPRODUCT((AF$77:AF$80=AF78)*(AA$77:AA$80&gt;AA78)),"")</f>
        <v/>
      </c>
      <c r="AI78" s="191" t="str">
        <f t="shared" ref="AI78:AI80" si="435">IF(U78&lt;&gt;"",SUMPRODUCT((AF$77:AF$80=AF78)*(AA$77:AA$80=AA78)*(Y$77:Y$80&gt;Y78)),"")</f>
        <v/>
      </c>
      <c r="AJ78" s="191" t="str">
        <f t="shared" ref="AJ78:AJ80" si="436">IF(U78&lt;&gt;"",SUMPRODUCT((AF$77:AF$80=AF78)*(AA$77:AA$80=AA78)*(Y$77:Y$80=Y78)*(AC$77:AC$80&gt;AC78)),"")</f>
        <v/>
      </c>
      <c r="AK78" s="191" t="str">
        <f t="shared" ref="AK78:AK80" si="437">IF(U78&lt;&gt;"",SUMPRODUCT((AF$77:AF$80=AF78)*(AA$77:AA$80=AA78)*(Y$77:Y$80=Y78)*(AC$77:AC$80=AC78)*(AD$77:AD$80&gt;AD78)),"")</f>
        <v/>
      </c>
      <c r="AL78" s="191" t="str">
        <f t="shared" ref="AL78:AL80" si="438">IF(U78&lt;&gt;"",SUMPRODUCT((AF$77:AF$80=AF78)*(AA$77:AA$80=AA78)*(Y$77:Y$80=Y78)*(AC$77:AC$80=AC78)*(AD$77:AD$80=AD78)*(AE$77:AE$80&gt;AE78)),"")</f>
        <v/>
      </c>
      <c r="AM78" s="191" t="str">
        <f>IF(U78&lt;&gt;"",SUM(AG78:AL78),"")</f>
        <v/>
      </c>
      <c r="AN78" s="191">
        <f>IF(AO38&lt;&gt;"",SUMPRODUCT(($AV$37:$AV$40=AV38)*($AU$37:$AU$40=AU38)*($AS$37:$AS$40=AS38)*($AT$37:$AT$40=AT38)),"")</f>
        <v>1</v>
      </c>
      <c r="AO78" s="191" t="str">
        <f t="shared" ref="AO78:AO80" si="439">IF(AND(AN78&lt;&gt;"",AN78&gt;1),AO38,"")</f>
        <v/>
      </c>
      <c r="AP78" s="191">
        <f>SUMPRODUCT(($CZ$3:$CZ$42=$AO78)*($DC$3:$DC$42=$AO79)*($DD$3:$DD$42="W"))+SUMPRODUCT(($CZ$3:$CZ$42=$AO78)*($DC$3:$DC$42=$AO80)*($DD$3:$DD$42="W"))+SUMPRODUCT(($CZ$3:$CZ$42=$AO78)*($DC$3:$DC$42=$AO81)*($DD$3:$DD$42="W"))+SUMPRODUCT(($CZ$3:$CZ$42=$AO79)*($DC$3:$DC$42=$AO78)*($DE$3:$DE$42="W"))+SUMPRODUCT(($CZ$3:$CZ$42=$AO80)*($DC$3:$DC$42=$AO78)*($DE$3:$DE$42="W"))+SUMPRODUCT(($CZ$3:$CZ$42=$AO81)*($DC$3:$DC$42=$AO78)*($DE$3:$DE$42="W"))</f>
        <v>0</v>
      </c>
      <c r="AQ78" s="191">
        <f>SUMPRODUCT(($CZ$3:$CZ$42=$AO78)*($DC$3:$DC$42=$AO79)*($DD$3:$DD$42="D"))+SUMPRODUCT(($CZ$3:$CZ$42=$AO78)*($DC$3:$DC$42=$AO80)*($DD$3:$DD$42="D"))+SUMPRODUCT(($CZ$3:$CZ$42=$AO78)*($DC$3:$DC$42=$AO81)*($DD$3:$DD$42="D"))+SUMPRODUCT(($CZ$3:$CZ$42=$AO79)*($DC$3:$DC$42=$AO78)*($DD$3:$DD$42="D"))+SUMPRODUCT(($CZ$3:$CZ$42=$AO80)*($DC$3:$DC$42=$AO78)*($DD$3:$DD$42="D"))+SUMPRODUCT(($CZ$3:$CZ$42=$AO81)*($DC$3:$DC$42=$AO78)*($DD$3:$DD$42="D"))</f>
        <v>0</v>
      </c>
      <c r="AR78" s="191">
        <f>SUMPRODUCT(($CZ$3:$CZ$42=$AO78)*($DC$3:$DC$42=$AO79)*($DD$3:$DD$42="L"))+SUMPRODUCT(($CZ$3:$CZ$42=$AO78)*($DC$3:$DC$42=$AO80)*($DD$3:$DD$42="L"))+SUMPRODUCT(($CZ$3:$CZ$42=$AO78)*($DC$3:$DC$42=$AO81)*($DD$3:$DD$42="L"))+SUMPRODUCT(($CZ$3:$CZ$42=$AO79)*($DC$3:$DC$42=$AO78)*($DE$3:$DE$42="L"))+SUMPRODUCT(($CZ$3:$CZ$42=$AO80)*($DC$3:$DC$42=$AO78)*($DE$3:$DE$42="L"))+SUMPRODUCT(($CZ$3:$CZ$42=$AO81)*($DC$3:$DC$42=$AO78)*($DE$3:$DE$42="L"))</f>
        <v>0</v>
      </c>
      <c r="AS78" s="191">
        <f>SUMPRODUCT(($CZ$3:$CZ$42=$AO78)*($DC$3:$DC$42=$AO79)*$DA$3:$DA$42)+SUMPRODUCT(($CZ$3:$CZ$42=$AO78)*($DC$3:$DC$42=$AO80)*$DA$3:$DA$42)+SUMPRODUCT(($CZ$3:$CZ$42=$AO78)*($DC$3:$DC$42=$AO81)*$DA$3:$DA$42)+SUMPRODUCT(($CZ$3:$CZ$42=$AO78)*($DC$3:$DC$42=$AO77)*$DA$3:$DA$42)+SUMPRODUCT(($CZ$3:$CZ$42=$AO79)*($DC$3:$DC$42=$AO78)*$DB$3:$DB$42)+SUMPRODUCT(($CZ$3:$CZ$42=$AO80)*($DC$3:$DC$42=$AO78)*$DB$3:$DB$42)+SUMPRODUCT(($CZ$3:$CZ$42=$AO81)*($DC$3:$DC$42=$AO78)*$DB$3:$DB$42)+SUMPRODUCT(($CZ$3:$CZ$42=$AO77)*($DC$3:$DC$42=$AO78)*$DB$3:$DB$42)</f>
        <v>0</v>
      </c>
      <c r="AT78" s="191">
        <f>SUMPRODUCT(($CZ$3:$CZ$42=$AO78)*($DC$3:$DC$42=$AO79)*$DB$3:$DB$42)+SUMPRODUCT(($CZ$3:$CZ$42=$AO78)*($DC$3:$DC$42=$AO80)*$DB$3:$DB$42)+SUMPRODUCT(($CZ$3:$CZ$42=$AO78)*($DC$3:$DC$42=$AO81)*$DB$3:$DB$42)+SUMPRODUCT(($CZ$3:$CZ$42=$AO78)*($DC$3:$DC$42=$AO77)*$DB$3:$DB$42)+SUMPRODUCT(($CZ$3:$CZ$42=$AO79)*($DC$3:$DC$42=$AO78)*$DA$3:$DA$42)+SUMPRODUCT(($CZ$3:$CZ$42=$AO80)*($DC$3:$DC$42=$AO78)*$DA$3:$DA$42)+SUMPRODUCT(($CZ$3:$CZ$42=$AO81)*($DC$3:$DC$42=$AO78)*$DA$3:$DA$42)+SUMPRODUCT(($CZ$3:$CZ$42=$AO77)*($DC$3:$DC$42=$AO78)*$DA$3:$DA$42)</f>
        <v>0</v>
      </c>
      <c r="AU78" s="191">
        <f>AS78-AT78+1000</f>
        <v>1000</v>
      </c>
      <c r="AV78" s="191" t="str">
        <f t="shared" ref="AV78:AV80" si="440">IF(AO78&lt;&gt;"",AP78*3+AQ78*1,"")</f>
        <v/>
      </c>
      <c r="AW78" s="191" t="str">
        <f t="shared" ref="AW78:AW80" si="441">IF(AO78&lt;&gt;"",VLOOKUP(AO78,$B$4:$H$40,7,FALSE),"")</f>
        <v/>
      </c>
      <c r="AX78" s="191" t="str">
        <f t="shared" ref="AX78:AX80" si="442">IF(AO78&lt;&gt;"",VLOOKUP(AO78,$B$4:$H$40,5,FALSE),"")</f>
        <v/>
      </c>
      <c r="AY78" s="191" t="str">
        <f t="shared" ref="AY78:AY80" si="443">IF(AO78&lt;&gt;"",VLOOKUP(AO78,$B$4:$J$40,9,FALSE),"")</f>
        <v/>
      </c>
      <c r="AZ78" s="191" t="str">
        <f t="shared" ref="AZ78:AZ80" si="444">AV78</f>
        <v/>
      </c>
      <c r="BA78" s="191" t="str">
        <f>IF(AO78&lt;&gt;"",RANK(AZ78,AZ$77:AZ$80),"")</f>
        <v/>
      </c>
      <c r="BB78" s="191" t="str">
        <f>IF(AO78&lt;&gt;"",SUMPRODUCT((AZ$77:AZ$80=AZ78)*(AU$77:AU$80&gt;AU78)),"")</f>
        <v/>
      </c>
      <c r="BC78" s="191" t="str">
        <f>IF(AO78&lt;&gt;"",SUMPRODUCT((AZ$77:AZ$80=AZ78)*(AU$77:AU$80=AU78)*(AS$77:AS$80&gt;AS78)),"")</f>
        <v/>
      </c>
      <c r="BD78" s="191" t="str">
        <f>IF(AO78&lt;&gt;"",SUMPRODUCT((AZ$77:AZ$80=AZ78)*(AU$77:AU$80=AU78)*(AS$77:AS$80=AS78)*(AW$77:AW$80&gt;AW78)),"")</f>
        <v/>
      </c>
      <c r="BE78" s="191" t="str">
        <f>IF(AO78&lt;&gt;"",SUMPRODUCT((AZ$77:AZ$80=AZ78)*(AU$77:AU$80=AU78)*(AS$77:AS$80=AS78)*(AW$77:AW$80=AW78)*(AX$77:AX$80&gt;AX78)),"")</f>
        <v/>
      </c>
      <c r="BF78" s="191" t="str">
        <f>IF(AO78&lt;&gt;"",SUMPRODUCT((AZ$77:AZ$80=AZ78)*(AU$77:AU$80=AU78)*(AS$77:AS$80=AS78)*(AW$77:AW$80=AW78)*(AX$77:AX$80=AX78)*(AY$77:AY$80&gt;AY78)),"")</f>
        <v/>
      </c>
      <c r="BG78" s="191" t="str">
        <f>IF(AO78&lt;&gt;"",SUM(BA78:BF78)+1,"")</f>
        <v/>
      </c>
      <c r="EP78" s="191">
        <v>3</v>
      </c>
      <c r="EQ78" s="191" t="s">
        <v>723</v>
      </c>
      <c r="ER78" s="191" t="s">
        <v>724</v>
      </c>
    </row>
    <row r="79" spans="9:148" x14ac:dyDescent="0.35">
      <c r="I79" s="191">
        <f>SUMPRODUCT((I37:I40=I39)*(H37:H40=H39)*(F37:F40&gt;F39))+1</f>
        <v>1</v>
      </c>
      <c r="T79" s="191" t="str">
        <f t="shared" si="426"/>
        <v/>
      </c>
      <c r="U79" s="191" t="str">
        <f t="shared" si="427"/>
        <v/>
      </c>
      <c r="V79" s="191">
        <f>SUMPRODUCT(($CZ$3:$CZ$42=$U79)*($DC$3:$DC$42=$U80)*($DD$3:$DD$42="W"))+SUMPRODUCT(($CZ$3:$CZ$42=$U79)*($DC$3:$DC$42=$U81)*($DD$3:$DD$42="W"))+SUMPRODUCT(($CZ$3:$CZ$42=$U79)*($DC$3:$DC$42=$U77)*($DD$3:$DD$42="W"))+SUMPRODUCT(($CZ$3:$CZ$42=$U79)*($DC$3:$DC$42=$U78)*($DD$3:$DD$42="W"))+SUMPRODUCT(($CZ$3:$CZ$42=$U80)*($DC$3:$DC$42=$U79)*($DE$3:$DE$42="W"))+SUMPRODUCT(($CZ$3:$CZ$42=$U81)*($DC$3:$DC$42=$U79)*($DE$3:$DE$42="W"))+SUMPRODUCT(($CZ$3:$CZ$42=$U77)*($DC$3:$DC$42=$U79)*($DE$3:$DE$42="W"))+SUMPRODUCT(($CZ$3:$CZ$42=$U78)*($DC$3:$DC$42=$U79)*($DE$3:$DE$42="W"))</f>
        <v>0</v>
      </c>
      <c r="W79" s="191">
        <f>SUMPRODUCT(($CZ$3:$CZ$42=$U79)*($DC$3:$DC$42=$U80)*($DD$3:$DD$42="D"))+SUMPRODUCT(($CZ$3:$CZ$42=$U79)*($DC$3:$DC$42=$U81)*($DD$3:$DD$42="D"))+SUMPRODUCT(($CZ$3:$CZ$42=$U79)*($DC$3:$DC$42=$U77)*($DD$3:$DD$42="D"))+SUMPRODUCT(($CZ$3:$CZ$42=$U79)*($DC$3:$DC$42=$U78)*($DD$3:$DD$42="D"))+SUMPRODUCT(($CZ$3:$CZ$42=$U80)*($DC$3:$DC$42=$U79)*($DD$3:$DD$42="D"))+SUMPRODUCT(($CZ$3:$CZ$42=$U81)*($DC$3:$DC$42=$U79)*($DD$3:$DD$42="D"))+SUMPRODUCT(($CZ$3:$CZ$42=$U77)*($DC$3:$DC$42=$U79)*($DD$3:$DD$42="D"))+SUMPRODUCT(($CZ$3:$CZ$42=$U78)*($DC$3:$DC$42=$U79)*($DD$3:$DD$42="D"))</f>
        <v>0</v>
      </c>
      <c r="X79" s="191">
        <f>SUMPRODUCT(($CZ$3:$CZ$42=$U79)*($DC$3:$DC$42=$U80)*($DD$3:$DD$42="L"))+SUMPRODUCT(($CZ$3:$CZ$42=$U79)*($DC$3:$DC$42=$U81)*($DD$3:$DD$42="L"))+SUMPRODUCT(($CZ$3:$CZ$42=$U79)*($DC$3:$DC$42=$U77)*($DD$3:$DD$42="L"))+SUMPRODUCT(($CZ$3:$CZ$42=$U79)*($DC$3:$DC$42=$U78)*($DD$3:$DD$42="L"))+SUMPRODUCT(($CZ$3:$CZ$42=$U80)*($DC$3:$DC$42=$U79)*($DE$3:$DE$42="L"))+SUMPRODUCT(($CZ$3:$CZ$42=$U81)*($DC$3:$DC$42=$U79)*($DE$3:$DE$42="L"))+SUMPRODUCT(($CZ$3:$CZ$42=$U77)*($DC$3:$DC$42=$U79)*($DE$3:$DE$42="L"))+SUMPRODUCT(($CZ$3:$CZ$42=$U78)*($DC$3:$DC$42=$U79)*($DE$3:$DE$42="L"))</f>
        <v>0</v>
      </c>
      <c r="Y79" s="191">
        <f>SUMPRODUCT(($CZ$3:$CZ$42=$U79)*($DC$3:$DC$42=$U80)*$DA$3:$DA$42)+SUMPRODUCT(($CZ$3:$CZ$42=$U79)*($DC$3:$DC$42=$U81)*$DA$3:$DA$42)+SUMPRODUCT(($CZ$3:$CZ$42=$U79)*($DC$3:$DC$42=$U77)*$DA$3:$DA$42)+SUMPRODUCT(($CZ$3:$CZ$42=$U79)*($DC$3:$DC$42=$U78)*$DA$3:$DA$42)+SUMPRODUCT(($CZ$3:$CZ$42=$U80)*($DC$3:$DC$42=$U79)*$DB$3:$DB$42)+SUMPRODUCT(($CZ$3:$CZ$42=$U81)*($DC$3:$DC$42=$U79)*$DB$3:$DB$42)+SUMPRODUCT(($CZ$3:$CZ$42=$U77)*($DC$3:$DC$42=$U79)*$DB$3:$DB$42)+SUMPRODUCT(($CZ$3:$CZ$42=$U78)*($DC$3:$DC$42=$U79)*$DB$3:$DB$42)</f>
        <v>0</v>
      </c>
      <c r="Z79" s="191">
        <f>SUMPRODUCT(($CZ$3:$CZ$42=$U79)*($DC$3:$DC$42=$U80)*$DB$3:$DB$42)+SUMPRODUCT(($CZ$3:$CZ$42=$U79)*($DC$3:$DC$42=$U81)*$DB$3:$DB$42)+SUMPRODUCT(($CZ$3:$CZ$42=$U79)*($DC$3:$DC$42=$U77)*$DB$3:$DB$42)+SUMPRODUCT(($CZ$3:$CZ$42=$U79)*($DC$3:$DC$42=$U78)*$DB$3:$DB$42)+SUMPRODUCT(($CZ$3:$CZ$42=$U80)*($DC$3:$DC$42=$U79)*$DA$3:$DA$42)+SUMPRODUCT(($CZ$3:$CZ$42=$U81)*($DC$3:$DC$42=$U79)*$DA$3:$DA$42)+SUMPRODUCT(($CZ$3:$CZ$42=$U77)*($DC$3:$DC$42=$U79)*$DA$3:$DA$42)+SUMPRODUCT(($CZ$3:$CZ$42=$U78)*($DC$3:$DC$42=$U79)*$DA$3:$DA$42)</f>
        <v>0</v>
      </c>
      <c r="AA79" s="191">
        <f>Y79-Z79+1000</f>
        <v>1000</v>
      </c>
      <c r="AB79" s="191" t="str">
        <f t="shared" si="428"/>
        <v/>
      </c>
      <c r="AC79" s="191" t="str">
        <f t="shared" si="429"/>
        <v/>
      </c>
      <c r="AD79" s="191" t="str">
        <f t="shared" si="430"/>
        <v/>
      </c>
      <c r="AE79" s="191" t="str">
        <f t="shared" si="431"/>
        <v/>
      </c>
      <c r="AF79" s="191" t="str">
        <f t="shared" si="432"/>
        <v/>
      </c>
      <c r="AG79" s="191" t="str">
        <f t="shared" si="433"/>
        <v/>
      </c>
      <c r="AH79" s="191" t="str">
        <f t="shared" si="434"/>
        <v/>
      </c>
      <c r="AI79" s="191" t="str">
        <f t="shared" si="435"/>
        <v/>
      </c>
      <c r="AJ79" s="191" t="str">
        <f t="shared" si="436"/>
        <v/>
      </c>
      <c r="AK79" s="191" t="str">
        <f t="shared" si="437"/>
        <v/>
      </c>
      <c r="AL79" s="191" t="str">
        <f t="shared" si="438"/>
        <v/>
      </c>
      <c r="AM79" s="191" t="str">
        <f>IF(U79&lt;&gt;"",SUM(AG79:AL79),"")</f>
        <v/>
      </c>
      <c r="AN79" s="191">
        <f t="shared" ref="AN79:AN80" si="445">IF(AO39&lt;&gt;"",SUMPRODUCT(($AV$37:$AV$40=AV39)*($AU$37:$AU$40=AU39)*($AS$37:$AS$40=AS39)*($AT$37:$AT$40=AT39)),"")</f>
        <v>1</v>
      </c>
      <c r="AO79" s="191" t="str">
        <f t="shared" si="439"/>
        <v/>
      </c>
      <c r="AP79" s="191">
        <f>SUMPRODUCT(($CZ$3:$CZ$42=$AO79)*($DC$3:$DC$42=$AO80)*($DD$3:$DD$42="W"))+SUMPRODUCT(($CZ$3:$CZ$42=$AO79)*($DC$3:$DC$42=$AO81)*($DD$3:$DD$42="W"))+SUMPRODUCT(($CZ$3:$CZ$42=$AO79)*($DC$3:$DC$42=$AO78)*($DD$3:$DD$42="W"))+SUMPRODUCT(($CZ$3:$CZ$42=$AO80)*($DC$3:$DC$42=$AO79)*($DE$3:$DE$42="W"))+SUMPRODUCT(($CZ$3:$CZ$42=$AO81)*($DC$3:$DC$42=$AO79)*($DE$3:$DE$42="W"))+SUMPRODUCT(($CZ$3:$CZ$42=$AO78)*($DC$3:$DC$42=$AO79)*($DE$3:$DE$42="W"))</f>
        <v>0</v>
      </c>
      <c r="AQ79" s="191">
        <f>SUMPRODUCT(($CZ$3:$CZ$42=$AO79)*($DC$3:$DC$42=$AO80)*($DD$3:$DD$42="D"))+SUMPRODUCT(($CZ$3:$CZ$42=$AO79)*($DC$3:$DC$42=$AO81)*($DD$3:$DD$42="D"))+SUMPRODUCT(($CZ$3:$CZ$42=$AO79)*($DC$3:$DC$42=$AO78)*($DD$3:$DD$42="D"))+SUMPRODUCT(($CZ$3:$CZ$42=$AO80)*($DC$3:$DC$42=$AO79)*($DD$3:$DD$42="D"))+SUMPRODUCT(($CZ$3:$CZ$42=$AO81)*($DC$3:$DC$42=$AO79)*($DD$3:$DD$42="D"))+SUMPRODUCT(($CZ$3:$CZ$42=$AO78)*($DC$3:$DC$42=$AO79)*($DD$3:$DD$42="D"))</f>
        <v>0</v>
      </c>
      <c r="AR79" s="191">
        <f>SUMPRODUCT(($CZ$3:$CZ$42=$AO79)*($DC$3:$DC$42=$AO80)*($DD$3:$DD$42="L"))+SUMPRODUCT(($CZ$3:$CZ$42=$AO79)*($DC$3:$DC$42=$AO81)*($DD$3:$DD$42="L"))+SUMPRODUCT(($CZ$3:$CZ$42=$AO79)*($DC$3:$DC$42=$AO78)*($DD$3:$DD$42="L"))+SUMPRODUCT(($CZ$3:$CZ$42=$AO80)*($DC$3:$DC$42=$AO79)*($DE$3:$DE$42="L"))+SUMPRODUCT(($CZ$3:$CZ$42=$AO81)*($DC$3:$DC$42=$AO79)*($DE$3:$DE$42="L"))+SUMPRODUCT(($CZ$3:$CZ$42=$AO78)*($DC$3:$DC$42=$AO79)*($DE$3:$DE$42="L"))</f>
        <v>0</v>
      </c>
      <c r="AS79" s="191">
        <f>SUMPRODUCT(($CZ$3:$CZ$42=$AO79)*($DC$3:$DC$42=$AO80)*$DA$3:$DA$42)+SUMPRODUCT(($CZ$3:$CZ$42=$AO79)*($DC$3:$DC$42=$AO81)*$DA$3:$DA$42)+SUMPRODUCT(($CZ$3:$CZ$42=$AO79)*($DC$3:$DC$42=$AO77)*$DA$3:$DA$42)+SUMPRODUCT(($CZ$3:$CZ$42=$AO79)*($DC$3:$DC$42=$AO78)*$DA$3:$DA$42)+SUMPRODUCT(($CZ$3:$CZ$42=$AO80)*($DC$3:$DC$42=$AO79)*$DB$3:$DB$42)+SUMPRODUCT(($CZ$3:$CZ$42=$AO81)*($DC$3:$DC$42=$AO79)*$DB$3:$DB$42)+SUMPRODUCT(($CZ$3:$CZ$42=$AO77)*($DC$3:$DC$42=$AO79)*$DB$3:$DB$42)+SUMPRODUCT(($CZ$3:$CZ$42=$AO78)*($DC$3:$DC$42=$AO79)*$DB$3:$DB$42)</f>
        <v>0</v>
      </c>
      <c r="AT79" s="191">
        <f>SUMPRODUCT(($CZ$3:$CZ$42=$AO79)*($DC$3:$DC$42=$AO80)*$DB$3:$DB$42)+SUMPRODUCT(($CZ$3:$CZ$42=$AO79)*($DC$3:$DC$42=$AO81)*$DB$3:$DB$42)+SUMPRODUCT(($CZ$3:$CZ$42=$AO79)*($DC$3:$DC$42=$AO77)*$DB$3:$DB$42)+SUMPRODUCT(($CZ$3:$CZ$42=$AO79)*($DC$3:$DC$42=$AO78)*$DB$3:$DB$42)+SUMPRODUCT(($CZ$3:$CZ$42=$AO80)*($DC$3:$DC$42=$AO79)*$DA$3:$DA$42)+SUMPRODUCT(($CZ$3:$CZ$42=$AO81)*($DC$3:$DC$42=$AO79)*$DA$3:$DA$42)+SUMPRODUCT(($CZ$3:$CZ$42=$AO77)*($DC$3:$DC$42=$AO79)*$DA$3:$DA$42)+SUMPRODUCT(($CZ$3:$CZ$42=$AO78)*($DC$3:$DC$42=$AO79)*$DA$3:$DA$42)</f>
        <v>0</v>
      </c>
      <c r="AU79" s="191">
        <f>AS79-AT79+1000</f>
        <v>1000</v>
      </c>
      <c r="AV79" s="191" t="str">
        <f t="shared" si="440"/>
        <v/>
      </c>
      <c r="AW79" s="191" t="str">
        <f t="shared" si="441"/>
        <v/>
      </c>
      <c r="AX79" s="191" t="str">
        <f t="shared" si="442"/>
        <v/>
      </c>
      <c r="AY79" s="191" t="str">
        <f t="shared" si="443"/>
        <v/>
      </c>
      <c r="AZ79" s="191" t="str">
        <f t="shared" si="444"/>
        <v/>
      </c>
      <c r="BA79" s="191" t="str">
        <f t="shared" ref="BA79:BA80" si="446">IF(AO79&lt;&gt;"",RANK(AZ79,AZ$77:AZ$80),"")</f>
        <v/>
      </c>
      <c r="BB79" s="191" t="str">
        <f t="shared" ref="BB79:BB80" si="447">IF(AO79&lt;&gt;"",SUMPRODUCT((AZ$77:AZ$80=AZ79)*(AU$77:AU$80&gt;AU79)),"")</f>
        <v/>
      </c>
      <c r="BC79" s="191" t="str">
        <f t="shared" ref="BC79:BC80" si="448">IF(AO79&lt;&gt;"",SUMPRODUCT((AZ$77:AZ$80=AZ79)*(AU$77:AU$80=AU79)*(AS$77:AS$80&gt;AS79)),"")</f>
        <v/>
      </c>
      <c r="BD79" s="191" t="str">
        <f t="shared" ref="BD79:BD80" si="449">IF(AO79&lt;&gt;"",SUMPRODUCT((AZ$77:AZ$80=AZ79)*(AU$77:AU$80=AU79)*(AS$77:AS$80=AS79)*(AW$77:AW$80&gt;AW79)),"")</f>
        <v/>
      </c>
      <c r="BE79" s="191" t="str">
        <f t="shared" ref="BE79:BE80" si="450">IF(AO79&lt;&gt;"",SUMPRODUCT((AZ$77:AZ$80=AZ79)*(AU$77:AU$80=AU79)*(AS$77:AS$80=AS79)*(AW$77:AW$80=AW79)*(AX$77:AX$80&gt;AX79)),"")</f>
        <v/>
      </c>
      <c r="BF79" s="191" t="str">
        <f t="shared" ref="BF79:BF80" si="451">IF(AO79&lt;&gt;"",SUMPRODUCT((AZ$77:AZ$80=AZ79)*(AU$77:AU$80=AU79)*(AS$77:AS$80=AS79)*(AW$77:AW$80=AW79)*(AX$77:AX$80=AX79)*(AY$77:AY$80&gt;AY79)),"")</f>
        <v/>
      </c>
      <c r="BG79" s="191" t="str">
        <f t="shared" ref="BG79:BG80" si="452">IF(AO79&lt;&gt;"",SUM(BA79:BF79)+1,"")</f>
        <v/>
      </c>
      <c r="EP79" s="191">
        <v>3</v>
      </c>
      <c r="EQ79" s="191" t="s">
        <v>725</v>
      </c>
      <c r="ER79" s="191" t="s">
        <v>726</v>
      </c>
    </row>
    <row r="80" spans="9:148" x14ac:dyDescent="0.35">
      <c r="I80" s="191">
        <f>SUMPRODUCT((I37:I40=I40)*(H37:H40=H40)*(F37:F40&gt;F40))+1</f>
        <v>1</v>
      </c>
      <c r="T80" s="191" t="str">
        <f t="shared" si="426"/>
        <v/>
      </c>
      <c r="U80" s="191" t="str">
        <f t="shared" si="427"/>
        <v/>
      </c>
      <c r="V80" s="191">
        <f>SUMPRODUCT(($CZ$3:$CZ$42=$U80)*($DC$3:$DC$42=$U81)*($DD$3:$DD$42="W"))+SUMPRODUCT(($CZ$3:$CZ$42=$U80)*($DC$3:$DC$42=$U77)*($DD$3:$DD$42="W"))+SUMPRODUCT(($CZ$3:$CZ$42=$U80)*($DC$3:$DC$42=$U78)*($DD$3:$DD$42="W"))+SUMPRODUCT(($CZ$3:$CZ$42=$U80)*($DC$3:$DC$42=$U79)*($DD$3:$DD$42="W"))+SUMPRODUCT(($CZ$3:$CZ$42=$U81)*($DC$3:$DC$42=$U80)*($DE$3:$DE$42="W"))+SUMPRODUCT(($CZ$3:$CZ$42=$U77)*($DC$3:$DC$42=$U80)*($DE$3:$DE$42="W"))+SUMPRODUCT(($CZ$3:$CZ$42=$U78)*($DC$3:$DC$42=$U80)*($DE$3:$DE$42="W"))+SUMPRODUCT(($CZ$3:$CZ$42=$U79)*($DC$3:$DC$42=$U80)*($DE$3:$DE$42="W"))</f>
        <v>0</v>
      </c>
      <c r="W80" s="191">
        <f>SUMPRODUCT(($CZ$3:$CZ$42=$U80)*($DC$3:$DC$42=$U81)*($DD$3:$DD$42="D"))+SUMPRODUCT(($CZ$3:$CZ$42=$U80)*($DC$3:$DC$42=$U77)*($DD$3:$DD$42="D"))+SUMPRODUCT(($CZ$3:$CZ$42=$U80)*($DC$3:$DC$42=$U78)*($DD$3:$DD$42="D"))+SUMPRODUCT(($CZ$3:$CZ$42=$U80)*($DC$3:$DC$42=$U79)*($DD$3:$DD$42="D"))+SUMPRODUCT(($CZ$3:$CZ$42=$U81)*($DC$3:$DC$42=$U80)*($DD$3:$DD$42="D"))+SUMPRODUCT(($CZ$3:$CZ$42=$U77)*($DC$3:$DC$42=$U80)*($DD$3:$DD$42="D"))+SUMPRODUCT(($CZ$3:$CZ$42=$U78)*($DC$3:$DC$42=$U80)*($DD$3:$DD$42="D"))+SUMPRODUCT(($CZ$3:$CZ$42=$U79)*($DC$3:$DC$42=$U80)*($DD$3:$DD$42="D"))</f>
        <v>0</v>
      </c>
      <c r="X80" s="191">
        <f>SUMPRODUCT(($CZ$3:$CZ$42=$U80)*($DC$3:$DC$42=$U81)*($DD$3:$DD$42="L"))+SUMPRODUCT(($CZ$3:$CZ$42=$U80)*($DC$3:$DC$42=$U77)*($DD$3:$DD$42="L"))+SUMPRODUCT(($CZ$3:$CZ$42=$U80)*($DC$3:$DC$42=$U78)*($DD$3:$DD$42="L"))+SUMPRODUCT(($CZ$3:$CZ$42=$U80)*($DC$3:$DC$42=$U79)*($DD$3:$DD$42="L"))+SUMPRODUCT(($CZ$3:$CZ$42=$U81)*($DC$3:$DC$42=$U80)*($DE$3:$DE$42="L"))+SUMPRODUCT(($CZ$3:$CZ$42=$U77)*($DC$3:$DC$42=$U80)*($DE$3:$DE$42="L"))+SUMPRODUCT(($CZ$3:$CZ$42=$U78)*($DC$3:$DC$42=$U80)*($DE$3:$DE$42="L"))+SUMPRODUCT(($CZ$3:$CZ$42=$U79)*($DC$3:$DC$42=$U80)*($DE$3:$DE$42="L"))</f>
        <v>0</v>
      </c>
      <c r="Y80" s="191">
        <f>SUMPRODUCT(($CZ$3:$CZ$42=$U80)*($DC$3:$DC$42=$U81)*$DA$3:$DA$42)+SUMPRODUCT(($CZ$3:$CZ$42=$U80)*($DC$3:$DC$42=$U77)*$DA$3:$DA$42)+SUMPRODUCT(($CZ$3:$CZ$42=$U80)*($DC$3:$DC$42=$U78)*$DA$3:$DA$42)+SUMPRODUCT(($CZ$3:$CZ$42=$U80)*($DC$3:$DC$42=$U79)*$DA$3:$DA$42)+SUMPRODUCT(($CZ$3:$CZ$42=$U81)*($DC$3:$DC$42=$U80)*$DB$3:$DB$42)+SUMPRODUCT(($CZ$3:$CZ$42=$U77)*($DC$3:$DC$42=$U80)*$DB$3:$DB$42)+SUMPRODUCT(($CZ$3:$CZ$42=$U78)*($DC$3:$DC$42=$U80)*$DB$3:$DB$42)+SUMPRODUCT(($CZ$3:$CZ$42=$U79)*($DC$3:$DC$42=$U80)*$DB$3:$DB$42)</f>
        <v>0</v>
      </c>
      <c r="Z80" s="191">
        <f>SUMPRODUCT(($CZ$3:$CZ$42=$U80)*($DC$3:$DC$42=$U81)*$DB$3:$DB$42)+SUMPRODUCT(($CZ$3:$CZ$42=$U80)*($DC$3:$DC$42=$U77)*$DB$3:$DB$42)+SUMPRODUCT(($CZ$3:$CZ$42=$U80)*($DC$3:$DC$42=$U78)*$DB$3:$DB$42)+SUMPRODUCT(($CZ$3:$CZ$42=$U80)*($DC$3:$DC$42=$U79)*$DB$3:$DB$42)+SUMPRODUCT(($CZ$3:$CZ$42=$U81)*($DC$3:$DC$42=$U80)*$DA$3:$DA$42)+SUMPRODUCT(($CZ$3:$CZ$42=$U77)*($DC$3:$DC$42=$U80)*$DA$3:$DA$42)+SUMPRODUCT(($CZ$3:$CZ$42=$U78)*($DC$3:$DC$42=$U80)*$DA$3:$DA$42)+SUMPRODUCT(($CZ$3:$CZ$42=$U79)*($DC$3:$DC$42=$U80)*$DA$3:$DA$42)</f>
        <v>0</v>
      </c>
      <c r="AA80" s="191">
        <f>Y80-Z80+1000</f>
        <v>1000</v>
      </c>
      <c r="AB80" s="191" t="str">
        <f t="shared" si="428"/>
        <v/>
      </c>
      <c r="AC80" s="191" t="str">
        <f t="shared" si="429"/>
        <v/>
      </c>
      <c r="AD80" s="191" t="str">
        <f t="shared" si="430"/>
        <v/>
      </c>
      <c r="AE80" s="191" t="str">
        <f t="shared" si="431"/>
        <v/>
      </c>
      <c r="AF80" s="191" t="str">
        <f t="shared" si="432"/>
        <v/>
      </c>
      <c r="AG80" s="191" t="str">
        <f t="shared" si="433"/>
        <v/>
      </c>
      <c r="AH80" s="191" t="str">
        <f t="shared" si="434"/>
        <v/>
      </c>
      <c r="AI80" s="191" t="str">
        <f t="shared" si="435"/>
        <v/>
      </c>
      <c r="AJ80" s="191" t="str">
        <f t="shared" si="436"/>
        <v/>
      </c>
      <c r="AK80" s="191" t="str">
        <f t="shared" si="437"/>
        <v/>
      </c>
      <c r="AL80" s="191" t="str">
        <f t="shared" si="438"/>
        <v/>
      </c>
      <c r="AM80" s="191" t="str">
        <f>IF(U80&lt;&gt;"",SUM(AG80:AL80),"")</f>
        <v/>
      </c>
      <c r="AN80" s="191" t="str">
        <f t="shared" si="445"/>
        <v/>
      </c>
      <c r="AO80" s="191" t="str">
        <f t="shared" si="439"/>
        <v/>
      </c>
      <c r="AP80" s="191" t="str">
        <f>IF($AO80&lt;&gt;"",SUMPRODUCT(($CZ$3:$CZ$42=$AO80)*($DC$3:$DC$42=$AO81)*($DD$3:$DD$42="W"))+SUMPRODUCT(($CZ$3:$CZ$42=$AO80)*($DC$3:$DC$42=$AO78)*($DD$3:$DD$42="W"))+SUMPRODUCT(($CZ$3:$CZ$42=$AO80)*($DC$3:$DC$42=$AO79)*($DD$3:$DD$42="W"))+SUMPRODUCT(($CZ$3:$CZ$42=$AO81)*($DC$3:$DC$42=$AO80)*($DE$3:$DE$42="W"))+SUMPRODUCT(($CZ$3:$CZ$42=$AO78)*($DC$3:$DC$42=$AO80)*($DE$3:$DE$42="W"))+SUMPRODUCT(($CZ$3:$CZ$42=$AO79)*($DC$3:$DC$42=$AO80)*($DE$3:$DE$42="W")),"")</f>
        <v/>
      </c>
      <c r="AQ80" s="191" t="str">
        <f>IF($AO80&lt;&gt;"",SUMPRODUCT(($CZ$3:$CZ$42=$AO80)*($DC$3:$DC$42=$AO81)*($DD$3:$DD$42="D"))+SUMPRODUCT(($CZ$3:$CZ$42=$AO80)*($DC$3:$DC$42=$AO78)*($DD$3:$DD$42="D"))+SUMPRODUCT(($CZ$3:$CZ$42=$AO80)*($DC$3:$DC$42=$AO79)*($DD$3:$DD$42="D"))+SUMPRODUCT(($CZ$3:$CZ$42=$AO81)*($DC$3:$DC$42=$AO80)*($DD$3:$DD$42="D"))+SUMPRODUCT(($CZ$3:$CZ$42=$AO78)*($DC$3:$DC$42=$AO80)*($DD$3:$DD$42="D"))+SUMPRODUCT(($CZ$3:$CZ$42=$AO79)*($DC$3:$DC$42=$AO80)*($DD$3:$DD$42="D")),"")</f>
        <v/>
      </c>
      <c r="AR80" s="191" t="str">
        <f>IF($AO80&lt;&gt;"",SUMPRODUCT(($CZ$3:$CZ$42=$AO80)*($DC$3:$DC$42=$AO81)*($DD$3:$DD$42="L"))+SUMPRODUCT(($CZ$3:$CZ$42=$AO80)*($DC$3:$DC$42=$AO78)*($DD$3:$DD$42="L"))+SUMPRODUCT(($CZ$3:$CZ$42=$AO80)*($DC$3:$DC$42=$AO79)*($DD$3:$DD$42="L"))+SUMPRODUCT(($CZ$3:$CZ$42=$AO81)*($DC$3:$DC$42=$AO80)*($DE$3:$DE$42="L"))+SUMPRODUCT(($CZ$3:$CZ$42=$AO78)*($DC$3:$DC$42=$AO80)*($DE$3:$DE$42="L"))+SUMPRODUCT(($CZ$3:$CZ$42=$AO79)*($DC$3:$DC$42=$AO80)*($DE$3:$DE$42="L")),"")</f>
        <v/>
      </c>
      <c r="AS80" s="191">
        <f>SUMPRODUCT(($CZ$3:$CZ$42=$AO80)*($DC$3:$DC$42=$AO81)*$DA$3:$DA$42)+SUMPRODUCT(($CZ$3:$CZ$42=$AO80)*($DC$3:$DC$42=$AO77)*$DA$3:$DA$42)+SUMPRODUCT(($CZ$3:$CZ$42=$AO80)*($DC$3:$DC$42=$AO78)*$DA$3:$DA$42)+SUMPRODUCT(($CZ$3:$CZ$42=$AO80)*($DC$3:$DC$42=$AO79)*$DA$3:$DA$42)+SUMPRODUCT(($CZ$3:$CZ$42=$AO81)*($DC$3:$DC$42=$AO80)*$DB$3:$DB$42)+SUMPRODUCT(($CZ$3:$CZ$42=$AO77)*($DC$3:$DC$42=$AO80)*$DB$3:$DB$42)+SUMPRODUCT(($CZ$3:$CZ$42=$AO78)*($DC$3:$DC$42=$AO80)*$DB$3:$DB$42)+SUMPRODUCT(($CZ$3:$CZ$42=$AO79)*($DC$3:$DC$42=$AO80)*$DB$3:$DB$42)</f>
        <v>0</v>
      </c>
      <c r="AT80" s="191">
        <f>SUMPRODUCT(($CZ$3:$CZ$42=$AO80)*($DC$3:$DC$42=$AO81)*$DB$3:$DB$42)+SUMPRODUCT(($CZ$3:$CZ$42=$AO80)*($DC$3:$DC$42=$AO77)*$DB$3:$DB$42)+SUMPRODUCT(($CZ$3:$CZ$42=$AO80)*($DC$3:$DC$42=$AO78)*$DB$3:$DB$42)+SUMPRODUCT(($CZ$3:$CZ$42=$AO80)*($DC$3:$DC$42=$AO79)*$DB$3:$DB$42)+SUMPRODUCT(($CZ$3:$CZ$42=$AO81)*($DC$3:$DC$42=$AO80)*$DA$3:$DA$42)+SUMPRODUCT(($CZ$3:$CZ$42=$AO77)*($DC$3:$DC$42=$AO80)*$DA$3:$DA$42)+SUMPRODUCT(($CZ$3:$CZ$42=$AO78)*($DC$3:$DC$42=$AO80)*$DA$3:$DA$42)+SUMPRODUCT(($CZ$3:$CZ$42=$AO79)*($DC$3:$DC$42=$AO80)*$DA$3:$DA$42)</f>
        <v>0</v>
      </c>
      <c r="AU80" s="191">
        <f>AS80-AT80+1000</f>
        <v>1000</v>
      </c>
      <c r="AV80" s="191" t="str">
        <f t="shared" si="440"/>
        <v/>
      </c>
      <c r="AW80" s="191" t="str">
        <f t="shared" si="441"/>
        <v/>
      </c>
      <c r="AX80" s="191" t="str">
        <f t="shared" si="442"/>
        <v/>
      </c>
      <c r="AY80" s="191" t="str">
        <f t="shared" si="443"/>
        <v/>
      </c>
      <c r="AZ80" s="191" t="str">
        <f t="shared" si="444"/>
        <v/>
      </c>
      <c r="BA80" s="191" t="str">
        <f t="shared" si="446"/>
        <v/>
      </c>
      <c r="BB80" s="191" t="str">
        <f t="shared" si="447"/>
        <v/>
      </c>
      <c r="BC80" s="191" t="str">
        <f t="shared" si="448"/>
        <v/>
      </c>
      <c r="BD80" s="191" t="str">
        <f t="shared" si="449"/>
        <v/>
      </c>
      <c r="BE80" s="191" t="str">
        <f t="shared" si="450"/>
        <v/>
      </c>
      <c r="BF80" s="191" t="str">
        <f t="shared" si="451"/>
        <v/>
      </c>
      <c r="BG80" s="191" t="str">
        <f t="shared" si="452"/>
        <v/>
      </c>
      <c r="EP80" s="191">
        <v>3</v>
      </c>
      <c r="EQ80" s="191" t="s">
        <v>727</v>
      </c>
      <c r="ER80" s="191" t="s">
        <v>728</v>
      </c>
    </row>
    <row r="81" spans="146:148" x14ac:dyDescent="0.35">
      <c r="EP81" s="191">
        <v>3</v>
      </c>
      <c r="EQ81" s="191" t="s">
        <v>729</v>
      </c>
      <c r="ER81" s="191" t="s">
        <v>730</v>
      </c>
    </row>
    <row r="82" spans="146:148" x14ac:dyDescent="0.35">
      <c r="EP82" s="191">
        <v>4</v>
      </c>
      <c r="EQ82" s="191" t="s">
        <v>731</v>
      </c>
      <c r="ER82" s="191" t="s">
        <v>732</v>
      </c>
    </row>
    <row r="83" spans="146:148" x14ac:dyDescent="0.35">
      <c r="EP83" s="191">
        <v>4</v>
      </c>
      <c r="EQ83" s="191" t="s">
        <v>733</v>
      </c>
      <c r="ER83" s="191" t="s">
        <v>734</v>
      </c>
    </row>
    <row r="84" spans="146:148" x14ac:dyDescent="0.35">
      <c r="EP84" s="191">
        <v>4</v>
      </c>
      <c r="EQ84" s="191" t="s">
        <v>735</v>
      </c>
      <c r="ER84" s="191" t="s">
        <v>736</v>
      </c>
    </row>
    <row r="85" spans="146:148" x14ac:dyDescent="0.35">
      <c r="EP85" s="191">
        <v>4</v>
      </c>
      <c r="EQ85" s="191" t="s">
        <v>737</v>
      </c>
      <c r="ER85" s="191" t="s">
        <v>738</v>
      </c>
    </row>
    <row r="86" spans="146:148" x14ac:dyDescent="0.35">
      <c r="EP86" s="191">
        <v>4</v>
      </c>
      <c r="EQ86" s="191" t="s">
        <v>739</v>
      </c>
      <c r="ER86" s="191" t="s">
        <v>740</v>
      </c>
    </row>
    <row r="87" spans="146:148" x14ac:dyDescent="0.35">
      <c r="EP87" s="191">
        <v>4</v>
      </c>
      <c r="EQ87" s="191" t="s">
        <v>741</v>
      </c>
      <c r="ER87" s="191" t="s">
        <v>742</v>
      </c>
    </row>
    <row r="88" spans="146:148" x14ac:dyDescent="0.35">
      <c r="EP88" s="191">
        <v>4</v>
      </c>
      <c r="EQ88" s="191" t="s">
        <v>743</v>
      </c>
      <c r="ER88" s="191" t="s">
        <v>744</v>
      </c>
    </row>
    <row r="89" spans="146:148" x14ac:dyDescent="0.35">
      <c r="EP89" s="191">
        <v>4</v>
      </c>
      <c r="EQ89" s="191" t="s">
        <v>745</v>
      </c>
      <c r="ER89" s="191" t="s">
        <v>746</v>
      </c>
    </row>
    <row r="90" spans="146:148" x14ac:dyDescent="0.35">
      <c r="EP90" s="191">
        <v>4</v>
      </c>
      <c r="EQ90" s="191" t="s">
        <v>747</v>
      </c>
      <c r="ER90" s="191" t="s">
        <v>748</v>
      </c>
    </row>
    <row r="91" spans="146:148" x14ac:dyDescent="0.35">
      <c r="EP91" s="191">
        <v>4.5</v>
      </c>
      <c r="EQ91" s="191" t="s">
        <v>749</v>
      </c>
      <c r="ER91" s="191" t="s">
        <v>750</v>
      </c>
    </row>
    <row r="92" spans="146:148" x14ac:dyDescent="0.35">
      <c r="EP92" s="191">
        <v>5</v>
      </c>
      <c r="EQ92" s="191" t="s">
        <v>751</v>
      </c>
      <c r="ER92" s="191" t="s">
        <v>752</v>
      </c>
    </row>
    <row r="93" spans="146:148" x14ac:dyDescent="0.35">
      <c r="EP93" s="191">
        <v>5</v>
      </c>
      <c r="EQ93" s="191" t="s">
        <v>753</v>
      </c>
      <c r="ER93" s="191" t="s">
        <v>754</v>
      </c>
    </row>
    <row r="94" spans="146:148" x14ac:dyDescent="0.35">
      <c r="EP94" s="191">
        <v>5</v>
      </c>
      <c r="EQ94" s="191" t="s">
        <v>755</v>
      </c>
      <c r="ER94" s="191" t="s">
        <v>756</v>
      </c>
    </row>
    <row r="95" spans="146:148" x14ac:dyDescent="0.35">
      <c r="EP95" s="191">
        <v>5</v>
      </c>
      <c r="EQ95" s="191" t="s">
        <v>757</v>
      </c>
      <c r="ER95" s="191" t="s">
        <v>758</v>
      </c>
    </row>
    <row r="96" spans="146:148" x14ac:dyDescent="0.35">
      <c r="EP96" s="191">
        <v>5.3</v>
      </c>
      <c r="EQ96" s="191" t="s">
        <v>759</v>
      </c>
      <c r="ER96" s="191" t="s">
        <v>760</v>
      </c>
    </row>
    <row r="97" spans="146:148" x14ac:dyDescent="0.35">
      <c r="EP97" s="191">
        <v>5.3</v>
      </c>
      <c r="EQ97" s="191" t="s">
        <v>761</v>
      </c>
      <c r="ER97" s="191" t="s">
        <v>762</v>
      </c>
    </row>
    <row r="98" spans="146:148" x14ac:dyDescent="0.35">
      <c r="EP98" s="191">
        <v>5.75</v>
      </c>
      <c r="EQ98" s="191" t="s">
        <v>763</v>
      </c>
      <c r="ER98" s="191" t="s">
        <v>764</v>
      </c>
    </row>
    <row r="99" spans="146:148" x14ac:dyDescent="0.35">
      <c r="EP99" s="191">
        <v>6</v>
      </c>
      <c r="EQ99" s="191" t="s">
        <v>765</v>
      </c>
      <c r="ER99" s="191" t="s">
        <v>766</v>
      </c>
    </row>
    <row r="100" spans="146:148" x14ac:dyDescent="0.35">
      <c r="EP100" s="191">
        <v>6</v>
      </c>
      <c r="EQ100" s="191" t="s">
        <v>767</v>
      </c>
      <c r="ER100" s="191" t="s">
        <v>768</v>
      </c>
    </row>
    <row r="101" spans="146:148" x14ac:dyDescent="0.35">
      <c r="EP101" s="191">
        <v>6</v>
      </c>
      <c r="EQ101" s="191" t="s">
        <v>769</v>
      </c>
      <c r="ER101" s="191" t="s">
        <v>770</v>
      </c>
    </row>
    <row r="102" spans="146:148" x14ac:dyDescent="0.35">
      <c r="EP102" s="191">
        <v>6.5</v>
      </c>
      <c r="EQ102" s="191" t="s">
        <v>771</v>
      </c>
      <c r="ER102" s="191" t="s">
        <v>772</v>
      </c>
    </row>
    <row r="103" spans="146:148" x14ac:dyDescent="0.35">
      <c r="EP103" s="191">
        <v>7</v>
      </c>
      <c r="EQ103" s="191" t="s">
        <v>773</v>
      </c>
      <c r="ER103" s="191" t="s">
        <v>774</v>
      </c>
    </row>
    <row r="104" spans="146:148" x14ac:dyDescent="0.35">
      <c r="EP104" s="191">
        <v>7</v>
      </c>
      <c r="EQ104" s="191" t="s">
        <v>775</v>
      </c>
      <c r="ER104" s="191" t="s">
        <v>776</v>
      </c>
    </row>
    <row r="105" spans="146:148" x14ac:dyDescent="0.35">
      <c r="EP105" s="191">
        <v>7</v>
      </c>
      <c r="EQ105" s="191" t="s">
        <v>777</v>
      </c>
      <c r="ER105" s="191" t="s">
        <v>778</v>
      </c>
    </row>
    <row r="106" spans="146:148" x14ac:dyDescent="0.35">
      <c r="EP106" s="191">
        <v>7</v>
      </c>
      <c r="EQ106" s="191" t="s">
        <v>779</v>
      </c>
      <c r="ER106" s="191" t="s">
        <v>780</v>
      </c>
    </row>
    <row r="107" spans="146:148" x14ac:dyDescent="0.35">
      <c r="EP107" s="191">
        <v>7</v>
      </c>
      <c r="EQ107" s="191" t="s">
        <v>781</v>
      </c>
      <c r="ER107" s="191" t="s">
        <v>782</v>
      </c>
    </row>
    <row r="108" spans="146:148" x14ac:dyDescent="0.35">
      <c r="EP108" s="191">
        <v>7</v>
      </c>
      <c r="EQ108" s="191" t="s">
        <v>783</v>
      </c>
      <c r="ER108" s="191" t="s">
        <v>784</v>
      </c>
    </row>
    <row r="109" spans="146:148" x14ac:dyDescent="0.35">
      <c r="EP109" s="191">
        <v>8</v>
      </c>
      <c r="EQ109" s="191" t="s">
        <v>785</v>
      </c>
      <c r="ER109" s="191" t="s">
        <v>786</v>
      </c>
    </row>
    <row r="110" spans="146:148" x14ac:dyDescent="0.35">
      <c r="EP110" s="191">
        <v>8</v>
      </c>
      <c r="EQ110" s="191" t="s">
        <v>787</v>
      </c>
      <c r="ER110" s="191" t="s">
        <v>788</v>
      </c>
    </row>
    <row r="111" spans="146:148" x14ac:dyDescent="0.35">
      <c r="EP111" s="191">
        <v>8</v>
      </c>
      <c r="EQ111" s="191" t="s">
        <v>789</v>
      </c>
      <c r="ER111" s="191" t="s">
        <v>790</v>
      </c>
    </row>
    <row r="112" spans="146:148" x14ac:dyDescent="0.35">
      <c r="EP112" s="191">
        <v>8</v>
      </c>
      <c r="EQ112" s="191" t="s">
        <v>791</v>
      </c>
      <c r="ER112" s="191" t="s">
        <v>792</v>
      </c>
    </row>
    <row r="113" spans="146:148" x14ac:dyDescent="0.35">
      <c r="EP113" s="191">
        <v>8</v>
      </c>
      <c r="EQ113" s="191" t="s">
        <v>793</v>
      </c>
      <c r="ER113" s="191" t="s">
        <v>794</v>
      </c>
    </row>
    <row r="114" spans="146:148" x14ac:dyDescent="0.35">
      <c r="EP114" s="191">
        <v>8</v>
      </c>
      <c r="EQ114" s="191" t="s">
        <v>795</v>
      </c>
      <c r="ER114" s="191" t="s">
        <v>796</v>
      </c>
    </row>
    <row r="115" spans="146:148" x14ac:dyDescent="0.35">
      <c r="EP115" s="191">
        <v>8.75</v>
      </c>
      <c r="EQ115" s="191" t="s">
        <v>797</v>
      </c>
      <c r="ER115" s="191" t="s">
        <v>798</v>
      </c>
    </row>
    <row r="116" spans="146:148" x14ac:dyDescent="0.35">
      <c r="EP116" s="191">
        <v>9</v>
      </c>
      <c r="EQ116" s="191" t="s">
        <v>799</v>
      </c>
      <c r="ER116" s="191" t="s">
        <v>800</v>
      </c>
    </row>
    <row r="117" spans="146:148" x14ac:dyDescent="0.35">
      <c r="EP117" s="191">
        <v>9</v>
      </c>
      <c r="EQ117" s="191" t="s">
        <v>801</v>
      </c>
      <c r="ER117" s="191" t="s">
        <v>802</v>
      </c>
    </row>
    <row r="118" spans="146:148" x14ac:dyDescent="0.35">
      <c r="EP118" s="191">
        <v>9</v>
      </c>
      <c r="EQ118" s="191" t="s">
        <v>803</v>
      </c>
      <c r="ER118" s="191" t="s">
        <v>804</v>
      </c>
    </row>
    <row r="119" spans="146:148" x14ac:dyDescent="0.35">
      <c r="EP119" s="191">
        <v>9</v>
      </c>
      <c r="EQ119" s="191" t="s">
        <v>805</v>
      </c>
      <c r="ER119" s="191" t="s">
        <v>806</v>
      </c>
    </row>
    <row r="120" spans="146:148" x14ac:dyDescent="0.35">
      <c r="EP120" s="191">
        <v>9</v>
      </c>
      <c r="EQ120" s="191" t="s">
        <v>807</v>
      </c>
      <c r="ER120" s="191" t="s">
        <v>808</v>
      </c>
    </row>
    <row r="121" spans="146:148" x14ac:dyDescent="0.35">
      <c r="EP121" s="191">
        <v>9.5</v>
      </c>
      <c r="EQ121" s="191" t="s">
        <v>809</v>
      </c>
      <c r="ER121" s="191" t="s">
        <v>810</v>
      </c>
    </row>
    <row r="122" spans="146:148" x14ac:dyDescent="0.35">
      <c r="EP122" s="191">
        <v>9.5</v>
      </c>
      <c r="EQ122" s="191" t="s">
        <v>811</v>
      </c>
      <c r="ER122" s="191" t="s">
        <v>812</v>
      </c>
    </row>
    <row r="123" spans="146:148" x14ac:dyDescent="0.35">
      <c r="EP123" s="191">
        <v>10</v>
      </c>
      <c r="EQ123" s="191" t="s">
        <v>813</v>
      </c>
      <c r="ER123" s="191" t="s">
        <v>814</v>
      </c>
    </row>
    <row r="124" spans="146:148" x14ac:dyDescent="0.35">
      <c r="EP124" s="191">
        <v>10</v>
      </c>
      <c r="EQ124" s="191" t="s">
        <v>815</v>
      </c>
      <c r="ER124" s="191" t="s">
        <v>816</v>
      </c>
    </row>
    <row r="125" spans="146:148" x14ac:dyDescent="0.35">
      <c r="EP125" s="191">
        <v>10</v>
      </c>
      <c r="EQ125" s="191" t="s">
        <v>817</v>
      </c>
      <c r="ER125" s="191" t="s">
        <v>818</v>
      </c>
    </row>
    <row r="126" spans="146:148" x14ac:dyDescent="0.35">
      <c r="EP126" s="191">
        <v>10</v>
      </c>
      <c r="EQ126" s="191" t="s">
        <v>819</v>
      </c>
      <c r="ER126" s="191" t="s">
        <v>820</v>
      </c>
    </row>
    <row r="127" spans="146:148" x14ac:dyDescent="0.35">
      <c r="EP127" s="191">
        <v>10</v>
      </c>
      <c r="EQ127" s="191" t="s">
        <v>821</v>
      </c>
      <c r="ER127" s="191" t="s">
        <v>822</v>
      </c>
    </row>
    <row r="128" spans="146:148" x14ac:dyDescent="0.35">
      <c r="EP128" s="191">
        <v>10.5</v>
      </c>
      <c r="EQ128" s="191" t="s">
        <v>823</v>
      </c>
      <c r="ER128" s="191" t="s">
        <v>824</v>
      </c>
    </row>
    <row r="129" spans="146:148" x14ac:dyDescent="0.35">
      <c r="EP129" s="191">
        <v>11</v>
      </c>
      <c r="EQ129" s="191" t="s">
        <v>825</v>
      </c>
      <c r="ER129" s="191" t="s">
        <v>826</v>
      </c>
    </row>
    <row r="130" spans="146:148" x14ac:dyDescent="0.35">
      <c r="EP130" s="191">
        <v>11</v>
      </c>
      <c r="EQ130" s="191" t="s">
        <v>827</v>
      </c>
      <c r="ER130" s="191" t="s">
        <v>828</v>
      </c>
    </row>
    <row r="131" spans="146:148" x14ac:dyDescent="0.35">
      <c r="EP131" s="191">
        <v>11</v>
      </c>
      <c r="EQ131" s="191" t="s">
        <v>829</v>
      </c>
      <c r="ER131" s="191" t="s">
        <v>830</v>
      </c>
    </row>
    <row r="132" spans="146:148" x14ac:dyDescent="0.35">
      <c r="EP132" s="191">
        <v>11</v>
      </c>
      <c r="EQ132" s="191" t="s">
        <v>831</v>
      </c>
      <c r="ER132" s="191" t="s">
        <v>832</v>
      </c>
    </row>
    <row r="133" spans="146:148" x14ac:dyDescent="0.35">
      <c r="EP133" s="191">
        <v>11</v>
      </c>
      <c r="EQ133" s="191" t="s">
        <v>833</v>
      </c>
      <c r="ER133" s="191" t="s">
        <v>834</v>
      </c>
    </row>
    <row r="134" spans="146:148" x14ac:dyDescent="0.35">
      <c r="EP134" s="191">
        <v>11</v>
      </c>
      <c r="EQ134" s="191" t="s">
        <v>835</v>
      </c>
      <c r="ER134" s="191" t="s">
        <v>836</v>
      </c>
    </row>
    <row r="135" spans="146:148" x14ac:dyDescent="0.35">
      <c r="EP135" s="191">
        <v>12</v>
      </c>
      <c r="EQ135" s="191" t="s">
        <v>837</v>
      </c>
      <c r="ER135" s="191" t="s">
        <v>838</v>
      </c>
    </row>
    <row r="136" spans="146:148" x14ac:dyDescent="0.35">
      <c r="EP136" s="191">
        <v>12</v>
      </c>
      <c r="EQ136" s="191" t="s">
        <v>839</v>
      </c>
      <c r="ER136" s="191" t="s">
        <v>840</v>
      </c>
    </row>
    <row r="137" spans="146:148" x14ac:dyDescent="0.35">
      <c r="EP137" s="191">
        <v>12</v>
      </c>
      <c r="EQ137" s="191" t="s">
        <v>841</v>
      </c>
      <c r="ER137" s="191" t="s">
        <v>842</v>
      </c>
    </row>
    <row r="138" spans="146:148" x14ac:dyDescent="0.35">
      <c r="EP138" s="191">
        <v>12</v>
      </c>
      <c r="EQ138" s="191" t="s">
        <v>843</v>
      </c>
      <c r="ER138" s="191" t="s">
        <v>844</v>
      </c>
    </row>
    <row r="139" spans="146:148" x14ac:dyDescent="0.35">
      <c r="EP139" s="191">
        <v>12.75</v>
      </c>
      <c r="EQ139" s="191" t="s">
        <v>845</v>
      </c>
      <c r="ER139" s="191" t="s">
        <v>846</v>
      </c>
    </row>
    <row r="140" spans="146:148" x14ac:dyDescent="0.35">
      <c r="EP140" s="191">
        <v>13</v>
      </c>
      <c r="EQ140" s="191" t="s">
        <v>847</v>
      </c>
      <c r="ER140" s="191" t="s">
        <v>848</v>
      </c>
    </row>
    <row r="141" spans="146:148" x14ac:dyDescent="0.35">
      <c r="EP141" s="191">
        <v>13</v>
      </c>
      <c r="EQ141" s="191" t="s">
        <v>849</v>
      </c>
      <c r="ER141" s="191" t="s">
        <v>850</v>
      </c>
    </row>
    <row r="142" spans="146:148" x14ac:dyDescent="0.35">
      <c r="EP142" s="191">
        <v>13</v>
      </c>
      <c r="EQ142" s="191" t="s">
        <v>851</v>
      </c>
      <c r="ER142" s="191" t="s">
        <v>852</v>
      </c>
    </row>
    <row r="143" spans="146:148" x14ac:dyDescent="0.35">
      <c r="EP143" s="191">
        <v>14</v>
      </c>
      <c r="EQ143" s="191" t="s">
        <v>853</v>
      </c>
      <c r="ER143" s="191" t="s">
        <v>854</v>
      </c>
    </row>
  </sheetData>
  <sheetProtection password="CF6B" sheet="1" objects="1" scenarios="1" selectLockedCells="1" selectUnlockedCells="1"/>
  <mergeCells count="8">
    <mergeCell ref="EF31:EF34"/>
    <mergeCell ref="EF35:EF38"/>
    <mergeCell ref="EF7:EF10"/>
    <mergeCell ref="EF11:EF14"/>
    <mergeCell ref="EF15:EF18"/>
    <mergeCell ref="EF19:EF22"/>
    <mergeCell ref="EF23:EF26"/>
    <mergeCell ref="EF27:EF30"/>
  </mergeCells>
  <conditionalFormatting sqref="C3">
    <cfRule type="expression" dxfId="0" priority="1">
      <formula>$C$3="W"</formula>
    </cfRule>
  </conditionalFormatting>
  <pageMargins left="0.75" right="0.75" top="1" bottom="1" header="0.5" footer="0.5"/>
  <pageSetup paperSize="9" orientation="portrait" horizontalDpi="300" verticalDpi="300" r:id="rId1"/>
  <headerFooter alignWithMargins="0">
    <oddFooter>&amp;R(c) 2020 | journalSHEET.com</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CR46"/>
  <sheetViews>
    <sheetView showGridLines="0" workbookViewId="0">
      <pane ySplit="4" topLeftCell="A14" activePane="bottomLeft" state="frozen"/>
      <selection activeCell="R23" sqref="R23"/>
      <selection pane="bottomLeft" activeCell="R23" sqref="R23"/>
    </sheetView>
  </sheetViews>
  <sheetFormatPr defaultRowHeight="14.5" x14ac:dyDescent="0.35"/>
  <cols>
    <col min="1" max="1" width="1.6328125" style="211" customWidth="1"/>
    <col min="2" max="7" width="8.7265625" style="211"/>
    <col min="8" max="8" width="4.54296875" style="211" customWidth="1"/>
    <col min="9" max="16384" width="8.7265625" style="211"/>
  </cols>
  <sheetData>
    <row r="1" spans="2:96" s="1" customFormat="1" ht="5" customHeight="1" x14ac:dyDescent="0.25"/>
    <row r="2" spans="2:96" s="2" customFormat="1" ht="5" customHeight="1" x14ac:dyDescent="0.35">
      <c r="D2" s="3"/>
      <c r="E2" s="4"/>
      <c r="N2" s="5"/>
      <c r="O2" s="6"/>
      <c r="P2" s="6"/>
      <c r="Q2" s="6"/>
      <c r="R2" s="6"/>
      <c r="S2" s="7"/>
      <c r="T2" s="8"/>
      <c r="U2" s="9"/>
      <c r="V2" s="10"/>
      <c r="CO2" s="5"/>
      <c r="CP2" s="5"/>
      <c r="CQ2" s="5"/>
      <c r="CR2" s="5"/>
    </row>
    <row r="3" spans="2:96" s="11" customFormat="1" ht="30" customHeight="1" x14ac:dyDescent="0.35">
      <c r="B3" s="12" t="s">
        <v>855</v>
      </c>
      <c r="C3" s="13"/>
      <c r="D3" s="14"/>
      <c r="E3" s="15"/>
      <c r="F3" s="13"/>
      <c r="G3" s="13"/>
      <c r="H3" s="13"/>
      <c r="I3" s="13"/>
      <c r="J3" s="13"/>
      <c r="K3" s="13"/>
      <c r="L3" s="13"/>
      <c r="M3" s="13"/>
      <c r="N3" s="13"/>
      <c r="O3" s="13"/>
      <c r="P3" s="13"/>
      <c r="Q3" s="13"/>
      <c r="R3" s="13"/>
      <c r="S3" s="13"/>
      <c r="T3" s="16"/>
      <c r="U3" s="17"/>
      <c r="V3" s="13"/>
      <c r="W3" s="13"/>
      <c r="X3" s="13"/>
      <c r="Y3" s="13"/>
      <c r="Z3" s="13"/>
      <c r="AA3" s="13"/>
      <c r="AB3" s="13"/>
      <c r="AC3" s="13"/>
      <c r="AD3" s="13"/>
      <c r="AE3" s="13"/>
    </row>
    <row r="4" spans="2:96" ht="5" customHeight="1" x14ac:dyDescent="0.35"/>
    <row r="5" spans="2:96" x14ac:dyDescent="0.35">
      <c r="B5" s="212" t="s">
        <v>856</v>
      </c>
    </row>
    <row r="6" spans="2:96" ht="5" customHeight="1" x14ac:dyDescent="0.35"/>
    <row r="7" spans="2:96" x14ac:dyDescent="0.35">
      <c r="B7" s="211" t="s">
        <v>857</v>
      </c>
    </row>
    <row r="8" spans="2:96" ht="5" customHeight="1" x14ac:dyDescent="0.35"/>
    <row r="9" spans="2:96" x14ac:dyDescent="0.35">
      <c r="B9" s="213" t="s">
        <v>858</v>
      </c>
    </row>
    <row r="10" spans="2:96" x14ac:dyDescent="0.35">
      <c r="B10" s="213" t="s">
        <v>859</v>
      </c>
    </row>
    <row r="11" spans="2:96" x14ac:dyDescent="0.35">
      <c r="B11" s="213" t="s">
        <v>860</v>
      </c>
    </row>
    <row r="12" spans="2:96" ht="14.5" customHeight="1" x14ac:dyDescent="0.35">
      <c r="B12" s="273" t="s">
        <v>861</v>
      </c>
      <c r="C12" s="273"/>
      <c r="D12" s="273"/>
      <c r="E12" s="273"/>
      <c r="F12" s="273"/>
      <c r="G12" s="273"/>
      <c r="H12" s="273"/>
      <c r="I12" s="273"/>
      <c r="J12" s="273"/>
      <c r="K12" s="273"/>
      <c r="L12" s="273"/>
      <c r="M12" s="273"/>
      <c r="N12" s="273"/>
    </row>
    <row r="13" spans="2:96" x14ac:dyDescent="0.35">
      <c r="B13" s="273"/>
      <c r="C13" s="273"/>
      <c r="D13" s="273"/>
      <c r="E13" s="273"/>
      <c r="F13" s="273"/>
      <c r="G13" s="273"/>
      <c r="H13" s="273"/>
      <c r="I13" s="273"/>
      <c r="J13" s="273"/>
      <c r="K13" s="273"/>
      <c r="L13" s="273"/>
      <c r="M13" s="273"/>
      <c r="N13" s="273"/>
    </row>
    <row r="14" spans="2:96" x14ac:dyDescent="0.35">
      <c r="B14" s="273"/>
      <c r="C14" s="273"/>
      <c r="D14" s="273"/>
      <c r="E14" s="273"/>
      <c r="F14" s="273"/>
      <c r="G14" s="273"/>
      <c r="H14" s="273"/>
      <c r="I14" s="273"/>
      <c r="J14" s="273"/>
      <c r="K14" s="273"/>
      <c r="L14" s="273"/>
      <c r="M14" s="273"/>
      <c r="N14" s="273"/>
    </row>
    <row r="15" spans="2:96" x14ac:dyDescent="0.35">
      <c r="B15" s="213" t="s">
        <v>862</v>
      </c>
    </row>
    <row r="16" spans="2:96" x14ac:dyDescent="0.35">
      <c r="B16" s="213" t="s">
        <v>863</v>
      </c>
    </row>
    <row r="17" spans="2:14" x14ac:dyDescent="0.35">
      <c r="B17" s="213" t="s">
        <v>864</v>
      </c>
    </row>
    <row r="18" spans="2:14" x14ac:dyDescent="0.35">
      <c r="B18" s="274" t="s">
        <v>865</v>
      </c>
      <c r="C18" s="274"/>
      <c r="D18" s="274"/>
      <c r="E18" s="274"/>
      <c r="F18" s="274"/>
      <c r="G18" s="274"/>
      <c r="H18" s="274"/>
      <c r="I18" s="274"/>
      <c r="J18" s="274"/>
      <c r="K18" s="274"/>
      <c r="L18" s="274"/>
      <c r="M18" s="274"/>
      <c r="N18" s="274"/>
    </row>
    <row r="19" spans="2:14" x14ac:dyDescent="0.35">
      <c r="B19" s="274"/>
      <c r="C19" s="274"/>
      <c r="D19" s="274"/>
      <c r="E19" s="274"/>
      <c r="F19" s="274"/>
      <c r="G19" s="274"/>
      <c r="H19" s="274"/>
      <c r="I19" s="274"/>
      <c r="J19" s="274"/>
      <c r="K19" s="274"/>
      <c r="L19" s="274"/>
      <c r="M19" s="274"/>
      <c r="N19" s="274"/>
    </row>
    <row r="20" spans="2:14" x14ac:dyDescent="0.35">
      <c r="B20" s="274"/>
      <c r="C20" s="274"/>
      <c r="D20" s="274"/>
      <c r="E20" s="274"/>
      <c r="F20" s="274"/>
      <c r="G20" s="274"/>
      <c r="H20" s="274"/>
      <c r="I20" s="274"/>
      <c r="J20" s="274"/>
      <c r="K20" s="274"/>
      <c r="L20" s="274"/>
      <c r="M20" s="274"/>
      <c r="N20" s="274"/>
    </row>
    <row r="21" spans="2:14" x14ac:dyDescent="0.35">
      <c r="B21" s="274" t="s">
        <v>866</v>
      </c>
      <c r="C21" s="274"/>
      <c r="D21" s="274"/>
      <c r="E21" s="274"/>
      <c r="F21" s="274"/>
      <c r="G21" s="274"/>
      <c r="H21" s="274"/>
      <c r="I21" s="274"/>
      <c r="J21" s="274"/>
      <c r="K21" s="274"/>
      <c r="L21" s="274"/>
      <c r="M21" s="274"/>
      <c r="N21" s="274"/>
    </row>
    <row r="22" spans="2:14" x14ac:dyDescent="0.35">
      <c r="B22" s="274"/>
      <c r="C22" s="274"/>
      <c r="D22" s="274"/>
      <c r="E22" s="274"/>
      <c r="F22" s="274"/>
      <c r="G22" s="274"/>
      <c r="H22" s="274"/>
      <c r="I22" s="274"/>
      <c r="J22" s="274"/>
      <c r="K22" s="274"/>
      <c r="L22" s="274"/>
      <c r="M22" s="274"/>
      <c r="N22" s="274"/>
    </row>
    <row r="23" spans="2:14" x14ac:dyDescent="0.35">
      <c r="B23" s="213" t="s">
        <v>867</v>
      </c>
    </row>
    <row r="25" spans="2:14" x14ac:dyDescent="0.35">
      <c r="B25" s="275" t="s">
        <v>868</v>
      </c>
      <c r="C25" s="275"/>
      <c r="D25" s="275"/>
      <c r="E25" s="275"/>
      <c r="F25" s="275"/>
      <c r="G25" s="275"/>
      <c r="H25" s="275"/>
      <c r="I25" s="275"/>
      <c r="J25" s="275"/>
      <c r="K25" s="275"/>
      <c r="L25" s="275"/>
      <c r="M25" s="275"/>
      <c r="N25" s="275"/>
    </row>
    <row r="26" spans="2:14" x14ac:dyDescent="0.35">
      <c r="B26" s="275"/>
      <c r="C26" s="275"/>
      <c r="D26" s="275"/>
      <c r="E26" s="275"/>
      <c r="F26" s="275"/>
      <c r="G26" s="275"/>
      <c r="H26" s="275"/>
      <c r="I26" s="275"/>
      <c r="J26" s="275"/>
      <c r="K26" s="275"/>
      <c r="L26" s="275"/>
      <c r="M26" s="275"/>
      <c r="N26" s="275"/>
    </row>
    <row r="27" spans="2:14" x14ac:dyDescent="0.35">
      <c r="B27" s="214"/>
      <c r="C27" s="214"/>
      <c r="D27" s="214"/>
      <c r="E27" s="214"/>
      <c r="F27" s="214"/>
      <c r="G27" s="214"/>
      <c r="H27" s="214"/>
      <c r="I27" s="214"/>
      <c r="J27" s="214"/>
      <c r="K27" s="214"/>
      <c r="L27" s="214"/>
      <c r="M27" s="214"/>
      <c r="N27" s="214"/>
    </row>
    <row r="28" spans="2:14" x14ac:dyDescent="0.35">
      <c r="B28" s="212" t="s">
        <v>869</v>
      </c>
    </row>
    <row r="29" spans="2:14" ht="5" customHeight="1" x14ac:dyDescent="0.35"/>
    <row r="30" spans="2:14" x14ac:dyDescent="0.35">
      <c r="B30" s="276" t="s">
        <v>870</v>
      </c>
      <c r="C30" s="276"/>
      <c r="D30" s="276"/>
      <c r="E30" s="276"/>
      <c r="F30" s="276"/>
      <c r="G30" s="276"/>
      <c r="I30" s="215" t="s">
        <v>540</v>
      </c>
      <c r="J30" s="215" t="s">
        <v>541</v>
      </c>
      <c r="K30" s="215" t="s">
        <v>542</v>
      </c>
      <c r="L30" s="215" t="s">
        <v>543</v>
      </c>
    </row>
    <row r="31" spans="2:14" x14ac:dyDescent="0.35">
      <c r="B31" s="276"/>
      <c r="C31" s="276"/>
      <c r="D31" s="276"/>
      <c r="E31" s="276"/>
      <c r="F31" s="276"/>
      <c r="G31" s="276"/>
      <c r="I31" s="215" t="s">
        <v>871</v>
      </c>
      <c r="J31" s="215" t="s">
        <v>871</v>
      </c>
      <c r="K31" s="215" t="s">
        <v>871</v>
      </c>
      <c r="L31" s="215" t="s">
        <v>871</v>
      </c>
    </row>
    <row r="32" spans="2:14" x14ac:dyDescent="0.35">
      <c r="B32" s="215" t="s">
        <v>112</v>
      </c>
      <c r="C32" s="215" t="s">
        <v>118</v>
      </c>
      <c r="D32" s="215" t="s">
        <v>122</v>
      </c>
      <c r="E32" s="215" t="s">
        <v>109</v>
      </c>
      <c r="F32" s="215"/>
      <c r="G32" s="215"/>
      <c r="H32" s="216" t="s">
        <v>872</v>
      </c>
      <c r="I32" s="215" t="s">
        <v>873</v>
      </c>
      <c r="J32" s="215" t="s">
        <v>874</v>
      </c>
      <c r="K32" s="215" t="s">
        <v>875</v>
      </c>
      <c r="L32" s="215" t="s">
        <v>876</v>
      </c>
    </row>
    <row r="33" spans="2:12" x14ac:dyDescent="0.35">
      <c r="B33" s="215" t="s">
        <v>112</v>
      </c>
      <c r="C33" s="215" t="s">
        <v>118</v>
      </c>
      <c r="D33" s="215" t="s">
        <v>122</v>
      </c>
      <c r="E33" s="215"/>
      <c r="F33" s="215" t="s">
        <v>126</v>
      </c>
      <c r="G33" s="215"/>
      <c r="H33" s="216" t="s">
        <v>872</v>
      </c>
      <c r="I33" s="215" t="s">
        <v>873</v>
      </c>
      <c r="J33" s="215" t="s">
        <v>877</v>
      </c>
      <c r="K33" s="215" t="s">
        <v>875</v>
      </c>
      <c r="L33" s="215" t="s">
        <v>876</v>
      </c>
    </row>
    <row r="34" spans="2:12" x14ac:dyDescent="0.35">
      <c r="B34" s="215" t="s">
        <v>112</v>
      </c>
      <c r="C34" s="215" t="s">
        <v>118</v>
      </c>
      <c r="D34" s="215" t="s">
        <v>122</v>
      </c>
      <c r="E34" s="215"/>
      <c r="F34" s="215"/>
      <c r="G34" s="215" t="s">
        <v>111</v>
      </c>
      <c r="H34" s="216" t="s">
        <v>872</v>
      </c>
      <c r="I34" s="215" t="s">
        <v>873</v>
      </c>
      <c r="J34" s="215" t="s">
        <v>878</v>
      </c>
      <c r="K34" s="215" t="s">
        <v>875</v>
      </c>
      <c r="L34" s="215" t="s">
        <v>876</v>
      </c>
    </row>
    <row r="35" spans="2:12" x14ac:dyDescent="0.35">
      <c r="B35" s="215" t="s">
        <v>112</v>
      </c>
      <c r="C35" s="215" t="s">
        <v>118</v>
      </c>
      <c r="D35" s="215"/>
      <c r="E35" s="215" t="s">
        <v>109</v>
      </c>
      <c r="F35" s="215" t="s">
        <v>126</v>
      </c>
      <c r="G35" s="215"/>
      <c r="H35" s="216" t="s">
        <v>872</v>
      </c>
      <c r="I35" s="215" t="s">
        <v>874</v>
      </c>
      <c r="J35" s="215" t="s">
        <v>877</v>
      </c>
      <c r="K35" s="215" t="s">
        <v>873</v>
      </c>
      <c r="L35" s="215" t="s">
        <v>875</v>
      </c>
    </row>
    <row r="36" spans="2:12" x14ac:dyDescent="0.35">
      <c r="B36" s="215" t="s">
        <v>112</v>
      </c>
      <c r="C36" s="215" t="s">
        <v>118</v>
      </c>
      <c r="D36" s="215"/>
      <c r="E36" s="215" t="s">
        <v>109</v>
      </c>
      <c r="F36" s="215"/>
      <c r="G36" s="215" t="s">
        <v>111</v>
      </c>
      <c r="H36" s="216" t="s">
        <v>872</v>
      </c>
      <c r="I36" s="215" t="s">
        <v>874</v>
      </c>
      <c r="J36" s="215" t="s">
        <v>878</v>
      </c>
      <c r="K36" s="215" t="s">
        <v>873</v>
      </c>
      <c r="L36" s="215" t="s">
        <v>875</v>
      </c>
    </row>
    <row r="37" spans="2:12" x14ac:dyDescent="0.35">
      <c r="B37" s="215" t="s">
        <v>112</v>
      </c>
      <c r="C37" s="215" t="s">
        <v>118</v>
      </c>
      <c r="D37" s="215"/>
      <c r="E37" s="215"/>
      <c r="F37" s="215" t="s">
        <v>126</v>
      </c>
      <c r="G37" s="215" t="s">
        <v>111</v>
      </c>
      <c r="H37" s="216" t="s">
        <v>872</v>
      </c>
      <c r="I37" s="215" t="s">
        <v>877</v>
      </c>
      <c r="J37" s="215" t="s">
        <v>878</v>
      </c>
      <c r="K37" s="215" t="s">
        <v>875</v>
      </c>
      <c r="L37" s="215" t="s">
        <v>873</v>
      </c>
    </row>
    <row r="38" spans="2:12" x14ac:dyDescent="0.35">
      <c r="B38" s="215" t="s">
        <v>112</v>
      </c>
      <c r="C38" s="215"/>
      <c r="D38" s="215" t="s">
        <v>122</v>
      </c>
      <c r="E38" s="215" t="s">
        <v>109</v>
      </c>
      <c r="F38" s="215" t="s">
        <v>126</v>
      </c>
      <c r="G38" s="215"/>
      <c r="H38" s="216" t="s">
        <v>872</v>
      </c>
      <c r="I38" s="215" t="s">
        <v>877</v>
      </c>
      <c r="J38" s="215" t="s">
        <v>874</v>
      </c>
      <c r="K38" s="215" t="s">
        <v>876</v>
      </c>
      <c r="L38" s="215" t="s">
        <v>873</v>
      </c>
    </row>
    <row r="39" spans="2:12" x14ac:dyDescent="0.35">
      <c r="B39" s="215" t="s">
        <v>112</v>
      </c>
      <c r="C39" s="215"/>
      <c r="D39" s="215" t="s">
        <v>122</v>
      </c>
      <c r="E39" s="215" t="s">
        <v>109</v>
      </c>
      <c r="F39" s="215"/>
      <c r="G39" s="215" t="s">
        <v>111</v>
      </c>
      <c r="H39" s="216" t="s">
        <v>872</v>
      </c>
      <c r="I39" s="215" t="s">
        <v>878</v>
      </c>
      <c r="J39" s="215" t="s">
        <v>874</v>
      </c>
      <c r="K39" s="215" t="s">
        <v>876</v>
      </c>
      <c r="L39" s="215" t="s">
        <v>873</v>
      </c>
    </row>
    <row r="40" spans="2:12" x14ac:dyDescent="0.35">
      <c r="B40" s="215" t="s">
        <v>112</v>
      </c>
      <c r="C40" s="215"/>
      <c r="D40" s="215" t="s">
        <v>122</v>
      </c>
      <c r="E40" s="215"/>
      <c r="F40" s="215" t="s">
        <v>126</v>
      </c>
      <c r="G40" s="215" t="s">
        <v>111</v>
      </c>
      <c r="H40" s="216" t="s">
        <v>872</v>
      </c>
      <c r="I40" s="215" t="s">
        <v>877</v>
      </c>
      <c r="J40" s="215" t="s">
        <v>878</v>
      </c>
      <c r="K40" s="215" t="s">
        <v>876</v>
      </c>
      <c r="L40" s="215" t="s">
        <v>873</v>
      </c>
    </row>
    <row r="41" spans="2:12" x14ac:dyDescent="0.35">
      <c r="B41" s="215" t="s">
        <v>112</v>
      </c>
      <c r="C41" s="215"/>
      <c r="D41" s="215"/>
      <c r="E41" s="215" t="s">
        <v>109</v>
      </c>
      <c r="F41" s="215" t="s">
        <v>126</v>
      </c>
      <c r="G41" s="215" t="s">
        <v>111</v>
      </c>
      <c r="H41" s="216" t="s">
        <v>872</v>
      </c>
      <c r="I41" s="215" t="s">
        <v>877</v>
      </c>
      <c r="J41" s="215" t="s">
        <v>878</v>
      </c>
      <c r="K41" s="215" t="s">
        <v>874</v>
      </c>
      <c r="L41" s="215" t="s">
        <v>873</v>
      </c>
    </row>
    <row r="42" spans="2:12" x14ac:dyDescent="0.35">
      <c r="B42" s="215"/>
      <c r="C42" s="215" t="s">
        <v>118</v>
      </c>
      <c r="D42" s="215" t="s">
        <v>122</v>
      </c>
      <c r="E42" s="215" t="s">
        <v>109</v>
      </c>
      <c r="F42" s="215" t="s">
        <v>126</v>
      </c>
      <c r="G42" s="215"/>
      <c r="H42" s="216" t="s">
        <v>872</v>
      </c>
      <c r="I42" s="215" t="s">
        <v>877</v>
      </c>
      <c r="J42" s="215" t="s">
        <v>874</v>
      </c>
      <c r="K42" s="215" t="s">
        <v>875</v>
      </c>
      <c r="L42" s="215" t="s">
        <v>876</v>
      </c>
    </row>
    <row r="43" spans="2:12" x14ac:dyDescent="0.35">
      <c r="B43" s="215"/>
      <c r="C43" s="215" t="s">
        <v>118</v>
      </c>
      <c r="D43" s="215" t="s">
        <v>122</v>
      </c>
      <c r="E43" s="215" t="s">
        <v>109</v>
      </c>
      <c r="F43" s="215"/>
      <c r="G43" s="215" t="s">
        <v>111</v>
      </c>
      <c r="H43" s="216" t="s">
        <v>872</v>
      </c>
      <c r="I43" s="215" t="s">
        <v>878</v>
      </c>
      <c r="J43" s="215" t="s">
        <v>874</v>
      </c>
      <c r="K43" s="215" t="s">
        <v>876</v>
      </c>
      <c r="L43" s="215" t="s">
        <v>875</v>
      </c>
    </row>
    <row r="44" spans="2:12" x14ac:dyDescent="0.35">
      <c r="B44" s="215"/>
      <c r="C44" s="215" t="s">
        <v>118</v>
      </c>
      <c r="D44" s="215" t="s">
        <v>122</v>
      </c>
      <c r="E44" s="215"/>
      <c r="F44" s="215" t="s">
        <v>126</v>
      </c>
      <c r="G44" s="215" t="s">
        <v>111</v>
      </c>
      <c r="H44" s="216" t="s">
        <v>872</v>
      </c>
      <c r="I44" s="215" t="s">
        <v>878</v>
      </c>
      <c r="J44" s="215" t="s">
        <v>877</v>
      </c>
      <c r="K44" s="215" t="s">
        <v>876</v>
      </c>
      <c r="L44" s="215" t="s">
        <v>875</v>
      </c>
    </row>
    <row r="45" spans="2:12" x14ac:dyDescent="0.35">
      <c r="B45" s="215"/>
      <c r="C45" s="215" t="s">
        <v>118</v>
      </c>
      <c r="D45" s="215"/>
      <c r="E45" s="215" t="s">
        <v>109</v>
      </c>
      <c r="F45" s="215" t="s">
        <v>126</v>
      </c>
      <c r="G45" s="215" t="s">
        <v>111</v>
      </c>
      <c r="H45" s="216" t="s">
        <v>872</v>
      </c>
      <c r="I45" s="215" t="s">
        <v>878</v>
      </c>
      <c r="J45" s="215" t="s">
        <v>877</v>
      </c>
      <c r="K45" s="215" t="s">
        <v>874</v>
      </c>
      <c r="L45" s="215" t="s">
        <v>875</v>
      </c>
    </row>
    <row r="46" spans="2:12" x14ac:dyDescent="0.35">
      <c r="B46" s="215"/>
      <c r="C46" s="215"/>
      <c r="D46" s="215" t="s">
        <v>122</v>
      </c>
      <c r="E46" s="215" t="s">
        <v>109</v>
      </c>
      <c r="F46" s="215" t="s">
        <v>126</v>
      </c>
      <c r="G46" s="215" t="s">
        <v>111</v>
      </c>
      <c r="H46" s="216" t="s">
        <v>872</v>
      </c>
      <c r="I46" s="215" t="s">
        <v>878</v>
      </c>
      <c r="J46" s="215" t="s">
        <v>877</v>
      </c>
      <c r="K46" s="215" t="s">
        <v>874</v>
      </c>
      <c r="L46" s="215" t="s">
        <v>876</v>
      </c>
    </row>
  </sheetData>
  <sheetProtection password="CF6B" sheet="1" objects="1" scenarios="1"/>
  <mergeCells count="5">
    <mergeCell ref="B12:N14"/>
    <mergeCell ref="B18:N20"/>
    <mergeCell ref="B21:N22"/>
    <mergeCell ref="B25:N26"/>
    <mergeCell ref="B30:G31"/>
  </mergeCells>
  <pageMargins left="0.45" right="0.45" top="0.5" bottom="0.5" header="0.3" footer="0.3"/>
  <pageSetup scale="89" fitToHeight="0" orientation="portrait" r:id="rId1"/>
  <headerFooter>
    <oddFooter>&amp;R(c) 2020 | journalSHEET.com</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W22"/>
  <sheetViews>
    <sheetView showGridLines="0" workbookViewId="0">
      <pane ySplit="4" topLeftCell="A5" activePane="bottomLeft" state="frozen"/>
      <selection activeCell="R23" sqref="R23"/>
      <selection pane="bottomLeft" activeCell="E10" sqref="E10"/>
    </sheetView>
  </sheetViews>
  <sheetFormatPr defaultRowHeight="13" x14ac:dyDescent="0.3"/>
  <cols>
    <col min="1" max="1" width="1.6328125" style="218" customWidth="1"/>
    <col min="2" max="2" width="3.6328125" style="218" customWidth="1"/>
    <col min="3" max="3" width="12" style="218" customWidth="1"/>
    <col min="4" max="4" width="2.6328125" style="218" customWidth="1"/>
    <col min="5" max="5" width="38.453125" style="218" customWidth="1"/>
    <col min="6" max="6" width="8.7265625" style="218"/>
    <col min="7" max="7" width="1.6328125" style="218" customWidth="1"/>
    <col min="8" max="10" width="13.6328125" style="218" customWidth="1"/>
    <col min="11" max="11" width="2.6328125" style="218" customWidth="1"/>
    <col min="12" max="16384" width="8.7265625" style="218"/>
  </cols>
  <sheetData>
    <row r="1" spans="2:101" s="1" customFormat="1" ht="5" customHeight="1" x14ac:dyDescent="0.25"/>
    <row r="2" spans="2:101" s="2" customFormat="1" ht="5" customHeight="1" x14ac:dyDescent="0.35">
      <c r="D2" s="3"/>
      <c r="E2" s="4"/>
      <c r="L2" s="5"/>
      <c r="M2" s="6"/>
      <c r="N2" s="6"/>
      <c r="O2" s="6"/>
      <c r="P2" s="6"/>
      <c r="Q2" s="7"/>
      <c r="R2" s="8"/>
      <c r="S2" s="9"/>
      <c r="T2" s="10"/>
      <c r="CM2" s="5"/>
      <c r="CN2" s="5"/>
      <c r="CO2" s="5"/>
      <c r="CP2" s="5"/>
    </row>
    <row r="3" spans="2:101" s="11" customFormat="1" ht="30" customHeight="1" x14ac:dyDescent="0.35">
      <c r="B3" s="12" t="s">
        <v>879</v>
      </c>
      <c r="C3" s="13"/>
      <c r="D3" s="14"/>
      <c r="E3" s="15"/>
      <c r="F3" s="13"/>
      <c r="G3" s="13"/>
      <c r="H3" s="13"/>
      <c r="I3" s="13"/>
      <c r="J3" s="13"/>
      <c r="K3" s="13"/>
      <c r="L3" s="13"/>
      <c r="M3" s="13"/>
      <c r="N3" s="13"/>
      <c r="O3" s="13"/>
      <c r="P3" s="13"/>
      <c r="Q3" s="13"/>
      <c r="R3" s="16"/>
      <c r="S3" s="17"/>
      <c r="T3" s="13"/>
      <c r="U3" s="13"/>
      <c r="V3" s="13"/>
      <c r="W3" s="13"/>
      <c r="X3" s="13"/>
      <c r="Y3" s="13"/>
      <c r="Z3" s="13"/>
      <c r="AA3" s="13"/>
      <c r="AB3" s="13"/>
      <c r="AC3" s="13"/>
    </row>
    <row r="4" spans="2:101" s="18" customFormat="1" ht="5" customHeight="1" thickBot="1" x14ac:dyDescent="0.4">
      <c r="D4" s="19"/>
      <c r="K4" s="2"/>
      <c r="L4" s="5"/>
      <c r="M4" s="5"/>
      <c r="N4" s="5"/>
      <c r="O4" s="5"/>
      <c r="P4" s="5"/>
      <c r="Q4" s="20"/>
      <c r="R4" s="8"/>
      <c r="S4" s="9"/>
      <c r="T4" s="10"/>
      <c r="U4" s="2"/>
      <c r="V4" s="2"/>
      <c r="W4" s="2"/>
      <c r="X4" s="2"/>
      <c r="Y4" s="2"/>
      <c r="Z4" s="2"/>
      <c r="AA4" s="2"/>
      <c r="AB4" s="2"/>
      <c r="AC4" s="2"/>
      <c r="CT4" s="21"/>
      <c r="CU4" s="21"/>
      <c r="CV4" s="21"/>
      <c r="CW4" s="21"/>
    </row>
    <row r="5" spans="2:101" ht="15" customHeight="1" thickTop="1" x14ac:dyDescent="0.35">
      <c r="B5" s="217"/>
      <c r="C5" s="217"/>
      <c r="D5" s="217"/>
      <c r="E5" s="217"/>
      <c r="F5" s="217"/>
      <c r="H5" s="219"/>
      <c r="I5" s="220"/>
      <c r="J5" s="221"/>
    </row>
    <row r="6" spans="2:101" ht="15" customHeight="1" x14ac:dyDescent="0.35">
      <c r="B6" s="217"/>
      <c r="C6" s="217"/>
      <c r="D6" s="217"/>
      <c r="E6" s="222"/>
      <c r="F6" s="222"/>
      <c r="H6" s="223"/>
      <c r="I6" s="224"/>
      <c r="J6" s="225"/>
    </row>
    <row r="7" spans="2:101" ht="15" customHeight="1" x14ac:dyDescent="0.35">
      <c r="B7" s="217"/>
      <c r="C7" s="217"/>
      <c r="D7" s="217"/>
      <c r="E7" s="222"/>
      <c r="F7" s="222"/>
      <c r="H7" s="223"/>
      <c r="I7" s="224"/>
      <c r="J7" s="225"/>
    </row>
    <row r="8" spans="2:101" ht="15" customHeight="1" x14ac:dyDescent="0.35">
      <c r="B8" s="217"/>
      <c r="C8" s="217" t="s">
        <v>880</v>
      </c>
      <c r="D8" s="217" t="s">
        <v>881</v>
      </c>
      <c r="E8" s="226" t="s">
        <v>882</v>
      </c>
      <c r="F8" s="226"/>
      <c r="H8" s="223"/>
      <c r="I8" s="224"/>
      <c r="J8" s="225"/>
    </row>
    <row r="9" spans="2:101" ht="15" customHeight="1" x14ac:dyDescent="0.35">
      <c r="B9" s="217"/>
      <c r="C9" s="217" t="s">
        <v>883</v>
      </c>
      <c r="D9" s="217" t="s">
        <v>881</v>
      </c>
      <c r="E9" s="227" t="s">
        <v>897</v>
      </c>
      <c r="F9" s="217"/>
      <c r="H9" s="223"/>
      <c r="I9" s="224"/>
      <c r="J9" s="225"/>
    </row>
    <row r="10" spans="2:101" ht="15" customHeight="1" x14ac:dyDescent="0.35">
      <c r="B10" s="217"/>
      <c r="C10" s="217" t="s">
        <v>884</v>
      </c>
      <c r="D10" s="217" t="s">
        <v>881</v>
      </c>
      <c r="E10" s="226" t="s">
        <v>885</v>
      </c>
      <c r="F10" s="226"/>
      <c r="H10" s="223"/>
      <c r="I10" s="224"/>
      <c r="J10" s="225"/>
    </row>
    <row r="11" spans="2:101" ht="15" customHeight="1" x14ac:dyDescent="0.35">
      <c r="B11" s="217"/>
      <c r="C11" s="217" t="s">
        <v>886</v>
      </c>
      <c r="D11" s="217" t="s">
        <v>881</v>
      </c>
      <c r="E11" s="228" t="s">
        <v>887</v>
      </c>
      <c r="F11" s="229"/>
      <c r="H11" s="223"/>
      <c r="I11" s="224"/>
      <c r="J11" s="225"/>
    </row>
    <row r="12" spans="2:101" ht="15" customHeight="1" x14ac:dyDescent="0.35">
      <c r="B12" s="217"/>
      <c r="C12" s="217" t="s">
        <v>888</v>
      </c>
      <c r="D12" s="217" t="s">
        <v>881</v>
      </c>
      <c r="E12" s="228" t="s">
        <v>889</v>
      </c>
      <c r="F12" s="229"/>
      <c r="H12" s="277" t="s">
        <v>890</v>
      </c>
      <c r="I12" s="278"/>
      <c r="J12" s="279"/>
      <c r="K12" s="230"/>
    </row>
    <row r="13" spans="2:101" ht="15" customHeight="1" x14ac:dyDescent="0.35">
      <c r="B13" s="217"/>
      <c r="C13" s="217" t="s">
        <v>891</v>
      </c>
      <c r="D13" s="217" t="s">
        <v>881</v>
      </c>
      <c r="E13" s="231" t="s">
        <v>892</v>
      </c>
      <c r="F13" s="229"/>
      <c r="H13" s="232"/>
      <c r="I13" s="280" t="s">
        <v>893</v>
      </c>
      <c r="J13" s="233"/>
    </row>
    <row r="14" spans="2:101" ht="15" customHeight="1" thickBot="1" x14ac:dyDescent="0.4">
      <c r="B14" s="217"/>
      <c r="C14" s="217"/>
      <c r="D14" s="217"/>
      <c r="E14" s="217"/>
      <c r="F14" s="229"/>
      <c r="H14" s="234"/>
      <c r="I14" s="281"/>
      <c r="J14" s="235"/>
    </row>
    <row r="15" spans="2:101" ht="13.5" thickTop="1" x14ac:dyDescent="0.3"/>
    <row r="16" spans="2:101" ht="15.5" customHeight="1" x14ac:dyDescent="0.3">
      <c r="B16" s="282" t="s">
        <v>894</v>
      </c>
      <c r="C16" s="282"/>
      <c r="D16" s="282"/>
      <c r="E16" s="282"/>
      <c r="F16" s="282"/>
      <c r="G16" s="282"/>
      <c r="H16" s="282"/>
      <c r="I16" s="282"/>
      <c r="J16" s="282"/>
    </row>
    <row r="17" spans="2:10" ht="15.5" customHeight="1" x14ac:dyDescent="0.3">
      <c r="B17" s="282"/>
      <c r="C17" s="282"/>
      <c r="D17" s="282"/>
      <c r="E17" s="282"/>
      <c r="F17" s="282"/>
      <c r="G17" s="282"/>
      <c r="H17" s="282"/>
      <c r="I17" s="282"/>
      <c r="J17" s="282"/>
    </row>
    <row r="18" spans="2:10" ht="15.5" x14ac:dyDescent="0.35">
      <c r="B18" s="230"/>
    </row>
    <row r="19" spans="2:10" s="236" customFormat="1" ht="15.5" x14ac:dyDescent="0.35">
      <c r="B19" s="283" t="s">
        <v>895</v>
      </c>
      <c r="C19" s="283"/>
      <c r="D19" s="283"/>
      <c r="E19" s="283"/>
      <c r="F19" s="283"/>
    </row>
    <row r="20" spans="2:10" s="230" customFormat="1" ht="15.5" x14ac:dyDescent="0.35"/>
    <row r="21" spans="2:10" s="230" customFormat="1" ht="15.5" x14ac:dyDescent="0.35"/>
    <row r="22" spans="2:10" s="230" customFormat="1" ht="15.5" x14ac:dyDescent="0.35"/>
  </sheetData>
  <sheetProtection password="CF6B" sheet="1" objects="1" scenarios="1"/>
  <mergeCells count="4">
    <mergeCell ref="H12:J12"/>
    <mergeCell ref="I13:I14"/>
    <mergeCell ref="B16:J17"/>
    <mergeCell ref="B19:F19"/>
  </mergeCells>
  <hyperlinks>
    <hyperlink ref="E11" r:id="rId1"/>
    <hyperlink ref="B19:F19" r:id="rId2" display="Go to journalSHEET.com for other Euro 2020 spreadsheets"/>
  </hyperlinks>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Y14"/>
  <sheetViews>
    <sheetView showGridLines="0" workbookViewId="0">
      <pane ySplit="4" topLeftCell="A5" activePane="bottomLeft" state="frozen"/>
      <selection activeCell="R23" sqref="R23"/>
      <selection pane="bottomLeft" activeCell="R23" sqref="R23"/>
    </sheetView>
  </sheetViews>
  <sheetFormatPr defaultRowHeight="12.5" x14ac:dyDescent="0.25"/>
  <cols>
    <col min="1" max="1" width="1.6328125" customWidth="1"/>
  </cols>
  <sheetData>
    <row r="1" spans="2:103" s="1" customFormat="1" ht="5" customHeight="1" x14ac:dyDescent="0.25"/>
    <row r="2" spans="2:103" s="2" customFormat="1" ht="5" customHeight="1" x14ac:dyDescent="0.35">
      <c r="D2" s="3"/>
      <c r="E2" s="4"/>
      <c r="N2" s="5"/>
      <c r="O2" s="6"/>
      <c r="P2" s="6"/>
      <c r="Q2" s="6"/>
      <c r="R2" s="6"/>
      <c r="S2" s="7"/>
      <c r="T2" s="8"/>
      <c r="U2" s="9"/>
      <c r="V2" s="10"/>
      <c r="CO2" s="5"/>
      <c r="CP2" s="5"/>
      <c r="CQ2" s="5"/>
      <c r="CR2" s="5"/>
    </row>
    <row r="3" spans="2:103" s="11" customFormat="1" ht="30" customHeight="1" x14ac:dyDescent="0.35">
      <c r="B3" s="12" t="s">
        <v>896</v>
      </c>
      <c r="C3" s="13"/>
      <c r="D3" s="14"/>
      <c r="E3" s="15"/>
      <c r="F3" s="13"/>
      <c r="G3" s="13"/>
      <c r="H3" s="13"/>
      <c r="I3" s="13"/>
      <c r="J3" s="13"/>
      <c r="K3" s="13"/>
      <c r="L3" s="13"/>
      <c r="M3" s="13"/>
      <c r="N3" s="13"/>
      <c r="O3" s="13"/>
      <c r="P3" s="13"/>
      <c r="Q3" s="13"/>
      <c r="R3" s="13"/>
      <c r="S3" s="13"/>
      <c r="T3" s="16"/>
      <c r="U3" s="17"/>
      <c r="V3" s="13"/>
      <c r="W3" s="13"/>
      <c r="X3" s="13"/>
      <c r="Y3" s="13"/>
      <c r="Z3" s="13"/>
      <c r="AA3" s="13"/>
      <c r="AB3" s="13"/>
      <c r="AC3" s="13"/>
      <c r="AD3" s="13"/>
      <c r="AE3" s="13"/>
    </row>
    <row r="4" spans="2:103" s="18" customFormat="1" ht="5" customHeight="1" x14ac:dyDescent="0.35">
      <c r="D4" s="19"/>
      <c r="M4" s="2"/>
      <c r="N4" s="5"/>
      <c r="O4" s="5"/>
      <c r="P4" s="5"/>
      <c r="Q4" s="5"/>
      <c r="R4" s="5"/>
      <c r="S4" s="20"/>
      <c r="T4" s="8"/>
      <c r="U4" s="9"/>
      <c r="V4" s="10"/>
      <c r="W4" s="2"/>
      <c r="X4" s="2"/>
      <c r="Y4" s="2"/>
      <c r="Z4" s="2"/>
      <c r="AA4" s="2"/>
      <c r="AB4" s="2"/>
      <c r="AC4" s="2"/>
      <c r="AD4" s="2"/>
      <c r="AE4" s="2"/>
      <c r="CV4" s="21"/>
      <c r="CW4" s="21"/>
      <c r="CX4" s="21"/>
      <c r="CY4" s="21"/>
    </row>
    <row r="14" spans="2:103" x14ac:dyDescent="0.25">
      <c r="G14" s="237" t="s">
        <v>134</v>
      </c>
    </row>
  </sheetData>
  <sheetProtection password="CF6B" sheet="1" objects="1" scenarios="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9</vt:i4>
      </vt:variant>
    </vt:vector>
  </HeadingPairs>
  <TitlesOfParts>
    <vt:vector size="16" baseType="lpstr">
      <vt:lpstr>Setup</vt:lpstr>
      <vt:lpstr>Fixtures</vt:lpstr>
      <vt:lpstr>Language</vt:lpstr>
      <vt:lpstr>Dummy Table</vt:lpstr>
      <vt:lpstr>Tie Breaker Regulation</vt:lpstr>
      <vt:lpstr>About</vt:lpstr>
      <vt:lpstr>License</vt:lpstr>
      <vt:lpstr>Countries</vt:lpstr>
      <vt:lpstr>Country</vt:lpstr>
      <vt:lpstr>PoolTeam</vt:lpstr>
      <vt:lpstr>Fixtures!Print_Area</vt:lpstr>
      <vt:lpstr>'Tie Breaker Regulation'!Print_Area</vt:lpstr>
      <vt:lpstr>Team</vt:lpstr>
      <vt:lpstr>TimezoneData</vt:lpstr>
      <vt:lpstr>TimezoneList</vt:lpstr>
      <vt:lpstr>Venues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Euro 2020 Fixtures</dc:title>
  <dc:creator>journalSHEET</dc:creator>
  <cp:lastModifiedBy>Admin</cp:lastModifiedBy>
  <dcterms:created xsi:type="dcterms:W3CDTF">2021-04-08T10:14:13Z</dcterms:created>
  <dcterms:modified xsi:type="dcterms:W3CDTF">2021-06-24T09:55:40Z</dcterms:modified>
</cp:coreProperties>
</file>