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Montero\Dropbox\GitHub\nemo\prop\"/>
    </mc:Choice>
  </mc:AlternateContent>
  <bookViews>
    <workbookView xWindow="0" yWindow="0" windowWidth="20490" windowHeight="9045" tabRatio="663"/>
  </bookViews>
  <sheets>
    <sheet name="Nemo_BE" sheetId="16" r:id="rId1"/>
    <sheet name="Nemo_CR" sheetId="4" r:id="rId2"/>
    <sheet name="Larrabee" sheetId="7" r:id="rId3"/>
    <sheet name="E193" sheetId="18" r:id="rId4"/>
    <sheet name="BE50_50" sheetId="17" r:id="rId5"/>
    <sheet name="BE50_100" sheetId="14" r:id="rId6"/>
    <sheet name="CR001_100" sheetId="12" r:id="rId7"/>
    <sheet name="HS1_712_100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16" l="1"/>
  <c r="V18" i="16"/>
  <c r="V19" i="16"/>
  <c r="V20" i="16"/>
  <c r="V21" i="16"/>
  <c r="V22" i="16"/>
  <c r="V23" i="16"/>
  <c r="V24" i="16"/>
  <c r="V25" i="16"/>
  <c r="C11" i="16" l="1"/>
  <c r="J3" i="18" l="1"/>
  <c r="K3" i="18"/>
  <c r="L3" i="18"/>
  <c r="H4" i="18" a="1"/>
  <c r="H4" i="18" s="1"/>
  <c r="I3" i="18" s="1"/>
  <c r="I9" i="18"/>
  <c r="J9" i="18"/>
  <c r="J8" i="18" s="1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I33" i="18"/>
  <c r="J33" i="18"/>
  <c r="I34" i="18"/>
  <c r="J34" i="18"/>
  <c r="I35" i="18"/>
  <c r="J35" i="18"/>
  <c r="I36" i="18"/>
  <c r="J36" i="18"/>
  <c r="I37" i="18"/>
  <c r="J37" i="18"/>
  <c r="I38" i="18"/>
  <c r="J38" i="18"/>
  <c r="I39" i="18"/>
  <c r="J39" i="18"/>
  <c r="I40" i="18"/>
  <c r="J40" i="18"/>
  <c r="I41" i="18"/>
  <c r="J41" i="18"/>
  <c r="I42" i="18"/>
  <c r="J42" i="18"/>
  <c r="I43" i="18"/>
  <c r="J43" i="18"/>
  <c r="I44" i="18"/>
  <c r="J44" i="18"/>
  <c r="I45" i="18"/>
  <c r="J45" i="18"/>
  <c r="I46" i="18"/>
  <c r="J46" i="18"/>
  <c r="I47" i="18"/>
  <c r="J47" i="18"/>
  <c r="I48" i="18"/>
  <c r="J48" i="18"/>
  <c r="I49" i="18"/>
  <c r="J49" i="18"/>
  <c r="I50" i="18"/>
  <c r="J50" i="18"/>
  <c r="I51" i="18"/>
  <c r="J51" i="18"/>
  <c r="I52" i="18"/>
  <c r="J52" i="18"/>
  <c r="I53" i="18"/>
  <c r="J53" i="18"/>
  <c r="I54" i="18"/>
  <c r="J54" i="18"/>
  <c r="I55" i="18"/>
  <c r="J55" i="18"/>
  <c r="I56" i="18"/>
  <c r="J56" i="18"/>
  <c r="I57" i="18"/>
  <c r="J57" i="18"/>
  <c r="I58" i="18"/>
  <c r="J58" i="18"/>
  <c r="I59" i="18"/>
  <c r="J59" i="18"/>
  <c r="I60" i="18"/>
  <c r="J60" i="18"/>
  <c r="I61" i="18"/>
  <c r="J61" i="18"/>
  <c r="I62" i="18"/>
  <c r="J62" i="18"/>
  <c r="I63" i="18"/>
  <c r="J63" i="18"/>
  <c r="I64" i="18"/>
  <c r="J64" i="18"/>
  <c r="I65" i="18"/>
  <c r="J65" i="18"/>
  <c r="I66" i="18"/>
  <c r="J66" i="18"/>
  <c r="I67" i="18"/>
  <c r="J67" i="18"/>
  <c r="I68" i="18"/>
  <c r="J68" i="18"/>
  <c r="I69" i="18"/>
  <c r="J69" i="18"/>
  <c r="I70" i="18"/>
  <c r="J70" i="18"/>
  <c r="I71" i="18"/>
  <c r="J71" i="18"/>
  <c r="I72" i="18"/>
  <c r="J72" i="18"/>
  <c r="I73" i="18"/>
  <c r="J73" i="18"/>
  <c r="I74" i="18"/>
  <c r="J74" i="18"/>
  <c r="I75" i="18"/>
  <c r="J75" i="18"/>
  <c r="I76" i="18"/>
  <c r="J76" i="18"/>
  <c r="I77" i="18"/>
  <c r="J77" i="18"/>
  <c r="I78" i="18"/>
  <c r="J78" i="18"/>
  <c r="I79" i="18"/>
  <c r="J79" i="18"/>
  <c r="I80" i="18"/>
  <c r="J80" i="18"/>
  <c r="I81" i="18"/>
  <c r="J81" i="18"/>
  <c r="I82" i="18"/>
  <c r="J82" i="18"/>
  <c r="I83" i="18"/>
  <c r="J83" i="18"/>
  <c r="I84" i="18"/>
  <c r="J84" i="18"/>
  <c r="I85" i="18"/>
  <c r="J85" i="18"/>
  <c r="I86" i="18"/>
  <c r="J86" i="18"/>
  <c r="I87" i="18"/>
  <c r="J87" i="18"/>
  <c r="I88" i="18"/>
  <c r="J88" i="18"/>
  <c r="I89" i="18"/>
  <c r="J89" i="18"/>
  <c r="I90" i="18"/>
  <c r="J90" i="18"/>
  <c r="I91" i="18"/>
  <c r="J91" i="18"/>
  <c r="I92" i="18"/>
  <c r="J92" i="18"/>
  <c r="I93" i="18"/>
  <c r="J93" i="18"/>
  <c r="I94" i="18"/>
  <c r="J94" i="18"/>
  <c r="I95" i="18"/>
  <c r="J95" i="18"/>
  <c r="I96" i="18"/>
  <c r="J96" i="18"/>
  <c r="I97" i="18"/>
  <c r="J97" i="18"/>
  <c r="I98" i="18"/>
  <c r="J98" i="18"/>
  <c r="O3" i="18" l="1"/>
  <c r="L6" i="18"/>
  <c r="N6" i="18"/>
  <c r="I4" i="18"/>
  <c r="H3" i="18" s="1"/>
  <c r="S8" i="18" l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U8" i="18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M6" i="18"/>
  <c r="N3" i="18" s="1"/>
  <c r="O6" i="18"/>
  <c r="M3" i="18" s="1"/>
  <c r="R12" i="18" l="1"/>
  <c r="R16" i="18"/>
  <c r="R10" i="18"/>
  <c r="R13" i="18"/>
  <c r="R14" i="18"/>
  <c r="R11" i="18"/>
  <c r="R9" i="18"/>
  <c r="R15" i="18"/>
  <c r="R8" i="18"/>
  <c r="R17" i="18"/>
  <c r="R18" i="18"/>
  <c r="T14" i="18"/>
  <c r="T15" i="18"/>
  <c r="T17" i="18"/>
  <c r="T11" i="18"/>
  <c r="T12" i="18"/>
  <c r="T13" i="18"/>
  <c r="T10" i="18"/>
  <c r="T16" i="18"/>
  <c r="T9" i="18"/>
  <c r="T18" i="18"/>
  <c r="T8" i="18"/>
  <c r="AG17" i="16"/>
  <c r="AA17" i="16"/>
  <c r="Y17" i="16"/>
  <c r="AE17" i="16"/>
  <c r="AB17" i="16"/>
  <c r="Z17" i="16"/>
  <c r="AD17" i="16"/>
  <c r="AF17" i="16"/>
  <c r="AA18" i="16"/>
  <c r="AC17" i="16"/>
  <c r="E20" i="16" l="1"/>
  <c r="Y18" i="16"/>
  <c r="AB18" i="16"/>
  <c r="Z18" i="16"/>
  <c r="AG18" i="16"/>
  <c r="AE18" i="16"/>
  <c r="AF18" i="16"/>
  <c r="AC18" i="16"/>
  <c r="AD18" i="16"/>
  <c r="E30" i="16" l="1"/>
  <c r="O3" i="17"/>
  <c r="K3" i="17"/>
  <c r="J3" i="17"/>
  <c r="J92" i="17"/>
  <c r="I92" i="17"/>
  <c r="J91" i="17"/>
  <c r="I91" i="17"/>
  <c r="J90" i="17"/>
  <c r="I90" i="17"/>
  <c r="J89" i="17"/>
  <c r="I89" i="17"/>
  <c r="J88" i="17"/>
  <c r="I88" i="17"/>
  <c r="J87" i="17"/>
  <c r="I87" i="17"/>
  <c r="J86" i="17"/>
  <c r="I86" i="17"/>
  <c r="J85" i="17"/>
  <c r="I85" i="17"/>
  <c r="J84" i="17"/>
  <c r="I84" i="17"/>
  <c r="J83" i="17"/>
  <c r="I83" i="17"/>
  <c r="J82" i="17"/>
  <c r="I82" i="17"/>
  <c r="J81" i="17"/>
  <c r="I81" i="17"/>
  <c r="J80" i="17"/>
  <c r="I80" i="17"/>
  <c r="J79" i="17"/>
  <c r="I79" i="17"/>
  <c r="J78" i="17"/>
  <c r="I78" i="17"/>
  <c r="J77" i="17"/>
  <c r="I77" i="17"/>
  <c r="J76" i="17"/>
  <c r="I76" i="17"/>
  <c r="J75" i="17"/>
  <c r="I75" i="17"/>
  <c r="J74" i="17"/>
  <c r="I74" i="17"/>
  <c r="J73" i="17"/>
  <c r="I73" i="17"/>
  <c r="J72" i="17"/>
  <c r="I72" i="17"/>
  <c r="J71" i="17"/>
  <c r="I71" i="17"/>
  <c r="J70" i="17"/>
  <c r="I70" i="17"/>
  <c r="J69" i="17"/>
  <c r="I69" i="17"/>
  <c r="J68" i="17"/>
  <c r="I68" i="17"/>
  <c r="J67" i="17"/>
  <c r="I67" i="17"/>
  <c r="J66" i="17"/>
  <c r="I66" i="17"/>
  <c r="J65" i="17"/>
  <c r="I65" i="17"/>
  <c r="J64" i="17"/>
  <c r="I64" i="17"/>
  <c r="J63" i="17"/>
  <c r="I63" i="17"/>
  <c r="J62" i="17"/>
  <c r="I62" i="17"/>
  <c r="J61" i="17"/>
  <c r="I61" i="17"/>
  <c r="J60" i="17"/>
  <c r="I60" i="17"/>
  <c r="J59" i="17"/>
  <c r="I59" i="17"/>
  <c r="J58" i="17"/>
  <c r="I58" i="17"/>
  <c r="J57" i="17"/>
  <c r="I57" i="17"/>
  <c r="J56" i="17"/>
  <c r="I56" i="17"/>
  <c r="J55" i="17"/>
  <c r="I55" i="17"/>
  <c r="J54" i="17"/>
  <c r="I54" i="17"/>
  <c r="J53" i="17"/>
  <c r="I53" i="17"/>
  <c r="J52" i="17"/>
  <c r="I52" i="17"/>
  <c r="J51" i="17"/>
  <c r="I51" i="17"/>
  <c r="J50" i="17"/>
  <c r="I50" i="17"/>
  <c r="J49" i="17"/>
  <c r="I49" i="17"/>
  <c r="J48" i="17"/>
  <c r="I48" i="17"/>
  <c r="J47" i="17"/>
  <c r="I47" i="17"/>
  <c r="J46" i="17"/>
  <c r="I46" i="17"/>
  <c r="J45" i="17"/>
  <c r="I45" i="17"/>
  <c r="J44" i="17"/>
  <c r="I44" i="17"/>
  <c r="J43" i="17"/>
  <c r="I43" i="17"/>
  <c r="J42" i="17"/>
  <c r="I42" i="17"/>
  <c r="J41" i="17"/>
  <c r="I41" i="17"/>
  <c r="J40" i="17"/>
  <c r="I40" i="17"/>
  <c r="J39" i="17"/>
  <c r="I39" i="17"/>
  <c r="J38" i="17"/>
  <c r="I38" i="17"/>
  <c r="J37" i="17"/>
  <c r="I37" i="17"/>
  <c r="J36" i="17"/>
  <c r="I36" i="17"/>
  <c r="J35" i="17"/>
  <c r="I35" i="17"/>
  <c r="J34" i="17"/>
  <c r="I34" i="17"/>
  <c r="J33" i="17"/>
  <c r="I33" i="17"/>
  <c r="J32" i="17"/>
  <c r="I32" i="17"/>
  <c r="J31" i="17"/>
  <c r="I31" i="17"/>
  <c r="J30" i="17"/>
  <c r="I30" i="17"/>
  <c r="J29" i="17"/>
  <c r="I29" i="17"/>
  <c r="J28" i="17"/>
  <c r="I28" i="17"/>
  <c r="J27" i="17"/>
  <c r="I27" i="17"/>
  <c r="J26" i="17"/>
  <c r="I26" i="17"/>
  <c r="J25" i="17"/>
  <c r="I25" i="17"/>
  <c r="J24" i="17"/>
  <c r="I24" i="17"/>
  <c r="J23" i="17"/>
  <c r="I23" i="17"/>
  <c r="J22" i="17"/>
  <c r="I22" i="17"/>
  <c r="J21" i="17"/>
  <c r="I21" i="17"/>
  <c r="J20" i="17"/>
  <c r="I20" i="17"/>
  <c r="J19" i="17"/>
  <c r="I19" i="17"/>
  <c r="J18" i="17"/>
  <c r="I18" i="17"/>
  <c r="J17" i="17"/>
  <c r="I17" i="17"/>
  <c r="J16" i="17"/>
  <c r="I16" i="17"/>
  <c r="J15" i="17"/>
  <c r="I15" i="17"/>
  <c r="J14" i="17"/>
  <c r="I14" i="17"/>
  <c r="J13" i="17"/>
  <c r="I13" i="17"/>
  <c r="J12" i="17"/>
  <c r="I12" i="17"/>
  <c r="J11" i="17"/>
  <c r="I11" i="17"/>
  <c r="J10" i="17"/>
  <c r="I10" i="17"/>
  <c r="J9" i="17"/>
  <c r="I9" i="17"/>
  <c r="L3" i="17"/>
  <c r="AE22" i="16"/>
  <c r="AD23" i="16"/>
  <c r="AF19" i="16"/>
  <c r="Y22" i="16"/>
  <c r="AB20" i="16"/>
  <c r="AD21" i="16"/>
  <c r="AF21" i="16"/>
  <c r="Y24" i="16"/>
  <c r="Z20" i="16"/>
  <c r="Y23" i="16"/>
  <c r="AC25" i="16"/>
  <c r="AE23" i="16"/>
  <c r="AG22" i="16"/>
  <c r="AC20" i="16"/>
  <c r="AD20" i="16"/>
  <c r="AB24" i="16"/>
  <c r="AA24" i="16"/>
  <c r="AG19" i="16"/>
  <c r="AB22" i="16"/>
  <c r="AC19" i="16"/>
  <c r="AG20" i="16"/>
  <c r="AD19" i="16"/>
  <c r="Y20" i="16"/>
  <c r="AD24" i="16"/>
  <c r="AC21" i="16"/>
  <c r="AF20" i="16"/>
  <c r="AB21" i="16"/>
  <c r="AG25" i="16"/>
  <c r="Z19" i="16"/>
  <c r="Y21" i="16"/>
  <c r="AG21" i="16"/>
  <c r="AD25" i="16"/>
  <c r="AA20" i="16"/>
  <c r="AC23" i="16"/>
  <c r="AG23" i="16"/>
  <c r="Z21" i="16"/>
  <c r="Y19" i="16"/>
  <c r="AE24" i="16"/>
  <c r="Z23" i="16"/>
  <c r="Z22" i="16"/>
  <c r="AA25" i="16"/>
  <c r="AA19" i="16"/>
  <c r="AF24" i="16"/>
  <c r="AE21" i="16"/>
  <c r="AE25" i="16"/>
  <c r="AE19" i="16"/>
  <c r="AG24" i="16"/>
  <c r="Y25" i="16"/>
  <c r="Z24" i="16"/>
  <c r="AB23" i="16"/>
  <c r="AE20" i="16"/>
  <c r="AA21" i="16"/>
  <c r="AA23" i="16"/>
  <c r="AF22" i="16"/>
  <c r="AA22" i="16"/>
  <c r="AC22" i="16"/>
  <c r="AF23" i="16"/>
  <c r="AC24" i="16"/>
  <c r="Z25" i="16"/>
  <c r="AB19" i="16"/>
  <c r="AF25" i="16"/>
  <c r="AD22" i="16"/>
  <c r="AB25" i="16"/>
  <c r="H4" i="17" l="1" a="1"/>
  <c r="H4" i="17" s="1"/>
  <c r="I3" i="17" s="1"/>
  <c r="J8" i="17"/>
  <c r="N3" i="17"/>
  <c r="I4" i="17" l="1"/>
  <c r="H3" i="17" s="1"/>
  <c r="S8" i="17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U8" i="17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T18" i="17" s="1"/>
  <c r="M3" i="17"/>
  <c r="T17" i="17" l="1"/>
  <c r="T12" i="17"/>
  <c r="T14" i="17"/>
  <c r="T15" i="17"/>
  <c r="R11" i="17"/>
  <c r="R9" i="17"/>
  <c r="R12" i="17"/>
  <c r="R15" i="17"/>
  <c r="R14" i="17"/>
  <c r="R13" i="17"/>
  <c r="R8" i="17"/>
  <c r="R18" i="17"/>
  <c r="R17" i="17"/>
  <c r="R16" i="17"/>
  <c r="R10" i="17"/>
  <c r="T13" i="17"/>
  <c r="T11" i="17"/>
  <c r="T10" i="17"/>
  <c r="T8" i="17"/>
  <c r="T16" i="17"/>
  <c r="T9" i="17"/>
  <c r="W5" i="16" l="1"/>
  <c r="V5" i="16"/>
  <c r="U4" i="16"/>
  <c r="M4" i="16"/>
  <c r="M5" i="16" s="1"/>
  <c r="M3" i="16"/>
  <c r="L3" i="14"/>
  <c r="O3" i="14" s="1"/>
  <c r="H4" i="14" a="1"/>
  <c r="H4" i="14" s="1"/>
  <c r="J10" i="14"/>
  <c r="J11" i="14"/>
  <c r="J12" i="14"/>
  <c r="J13" i="14"/>
  <c r="J14" i="14"/>
  <c r="J15" i="14"/>
  <c r="J16" i="14"/>
  <c r="J17" i="14"/>
  <c r="J8" i="14" s="1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9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J11" i="16"/>
  <c r="I12" i="16"/>
  <c r="J14" i="16"/>
  <c r="Y10" i="16"/>
  <c r="J10" i="16"/>
  <c r="I10" i="16"/>
  <c r="I4" i="16"/>
  <c r="I5" i="16"/>
  <c r="I11" i="16"/>
  <c r="J9" i="16"/>
  <c r="W10" i="16"/>
  <c r="V10" i="16"/>
  <c r="J5" i="16"/>
  <c r="J13" i="16"/>
  <c r="J8" i="16"/>
  <c r="W8" i="16"/>
  <c r="I7" i="16"/>
  <c r="J6" i="16"/>
  <c r="V11" i="16"/>
  <c r="I9" i="16"/>
  <c r="V7" i="16"/>
  <c r="V8" i="16"/>
  <c r="J4" i="16"/>
  <c r="J12" i="16"/>
  <c r="X10" i="16"/>
  <c r="I13" i="16"/>
  <c r="J7" i="16"/>
  <c r="I8" i="16"/>
  <c r="I6" i="16"/>
  <c r="W7" i="16"/>
  <c r="I14" i="16"/>
  <c r="I30" i="16" l="1"/>
  <c r="J30" i="16" s="1"/>
  <c r="M6" i="16"/>
  <c r="F30" i="16"/>
  <c r="F20" i="16"/>
  <c r="F22" i="16"/>
  <c r="F24" i="16"/>
  <c r="F26" i="16"/>
  <c r="F27" i="16"/>
  <c r="F21" i="16"/>
  <c r="F23" i="16"/>
  <c r="F28" i="16"/>
  <c r="F25" i="16"/>
  <c r="F29" i="16"/>
  <c r="E22" i="16"/>
  <c r="U6" i="16"/>
  <c r="I22" i="16"/>
  <c r="I21" i="16"/>
  <c r="I20" i="16"/>
  <c r="U5" i="16"/>
  <c r="B1" i="16"/>
  <c r="V3" i="16" s="1"/>
  <c r="E21" i="16"/>
  <c r="I4" i="14"/>
  <c r="I3" i="14"/>
  <c r="M3" i="14"/>
  <c r="H3" i="14"/>
  <c r="C11" i="4"/>
  <c r="F5" i="4"/>
  <c r="F6" i="4" s="1"/>
  <c r="F7" i="4" s="1"/>
  <c r="F8" i="4" s="1"/>
  <c r="F9" i="4" s="1"/>
  <c r="F10" i="4" s="1"/>
  <c r="F11" i="4" s="1"/>
  <c r="F12" i="4" s="1"/>
  <c r="F13" i="4" s="1"/>
  <c r="F14" i="4" s="1"/>
  <c r="M3" i="4"/>
  <c r="AC17" i="4"/>
  <c r="AD17" i="4"/>
  <c r="Z17" i="4"/>
  <c r="AF17" i="4"/>
  <c r="AB17" i="4"/>
  <c r="AA17" i="4"/>
  <c r="AE17" i="4"/>
  <c r="Y17" i="4"/>
  <c r="O30" i="16" l="1"/>
  <c r="Q30" i="16"/>
  <c r="M30" i="16"/>
  <c r="K30" i="16"/>
  <c r="G20" i="16"/>
  <c r="H20" i="16" s="1"/>
  <c r="J20" i="16" s="1"/>
  <c r="O20" i="16" s="1"/>
  <c r="G22" i="16"/>
  <c r="H22" i="16" s="1"/>
  <c r="J22" i="16" s="1"/>
  <c r="G21" i="16"/>
  <c r="H21" i="16" s="1"/>
  <c r="J21" i="16" s="1"/>
  <c r="E23" i="16"/>
  <c r="G23" i="16" s="1"/>
  <c r="H23" i="16" s="1"/>
  <c r="U7" i="16"/>
  <c r="I23" i="16"/>
  <c r="N3" i="14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S8" i="14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R18" i="14" s="1"/>
  <c r="U4" i="4"/>
  <c r="M5" i="7"/>
  <c r="M20" i="16" l="1"/>
  <c r="K20" i="16"/>
  <c r="Q20" i="16"/>
  <c r="J23" i="16"/>
  <c r="K23" i="16" s="1"/>
  <c r="Q22" i="16"/>
  <c r="O22" i="16"/>
  <c r="M22" i="16"/>
  <c r="K22" i="16"/>
  <c r="O21" i="16"/>
  <c r="M21" i="16"/>
  <c r="K21" i="16"/>
  <c r="Q21" i="16"/>
  <c r="E24" i="16"/>
  <c r="U8" i="16"/>
  <c r="I24" i="16"/>
  <c r="R15" i="14"/>
  <c r="T8" i="14"/>
  <c r="T11" i="14"/>
  <c r="T14" i="14"/>
  <c r="T9" i="14"/>
  <c r="T12" i="14"/>
  <c r="T15" i="14"/>
  <c r="T16" i="14"/>
  <c r="T17" i="14"/>
  <c r="T18" i="14"/>
  <c r="T10" i="14"/>
  <c r="T13" i="14"/>
  <c r="R10" i="14"/>
  <c r="R8" i="14"/>
  <c r="R14" i="14"/>
  <c r="R16" i="14"/>
  <c r="R12" i="14"/>
  <c r="R13" i="14"/>
  <c r="R11" i="14"/>
  <c r="R9" i="14"/>
  <c r="R17" i="14"/>
  <c r="I3" i="12"/>
  <c r="H3" i="12"/>
  <c r="H4" i="12" a="1"/>
  <c r="H4" i="12" s="1"/>
  <c r="H3" i="11"/>
  <c r="I3" i="11"/>
  <c r="H4" i="11" a="1"/>
  <c r="H4" i="11" s="1"/>
  <c r="L3" i="12"/>
  <c r="O3" i="12" s="1"/>
  <c r="L3" i="11"/>
  <c r="O3" i="11" s="1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9" i="12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9" i="11"/>
  <c r="R21" i="16" l="1"/>
  <c r="R22" i="16" s="1"/>
  <c r="P21" i="16"/>
  <c r="P22" i="16" s="1"/>
  <c r="L21" i="16"/>
  <c r="L22" i="16" s="1"/>
  <c r="L23" i="16" s="1"/>
  <c r="N21" i="16"/>
  <c r="N22" i="16" s="1"/>
  <c r="Q23" i="16"/>
  <c r="M23" i="16"/>
  <c r="O23" i="16"/>
  <c r="G24" i="16"/>
  <c r="H24" i="16" s="1"/>
  <c r="J24" i="16" s="1"/>
  <c r="E25" i="16"/>
  <c r="U9" i="16"/>
  <c r="I25" i="16"/>
  <c r="I4" i="12"/>
  <c r="I4" i="11"/>
  <c r="M3" i="12"/>
  <c r="N3" i="12"/>
  <c r="M3" i="11"/>
  <c r="N3" i="11"/>
  <c r="T8" i="12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U8" i="12"/>
  <c r="U9" i="12" s="1"/>
  <c r="S8" i="12"/>
  <c r="U8" i="11"/>
  <c r="U9" i="11" s="1"/>
  <c r="U10" i="11" s="1"/>
  <c r="S8" i="11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8" i="11"/>
  <c r="I9" i="11"/>
  <c r="M4" i="4"/>
  <c r="M5" i="4" s="1"/>
  <c r="P23" i="16" l="1"/>
  <c r="N23" i="16"/>
  <c r="R23" i="16"/>
  <c r="E26" i="16"/>
  <c r="U10" i="16"/>
  <c r="I26" i="16"/>
  <c r="Q24" i="16"/>
  <c r="O24" i="16"/>
  <c r="K24" i="16"/>
  <c r="L24" i="16" s="1"/>
  <c r="M24" i="16"/>
  <c r="G25" i="16"/>
  <c r="H25" i="16" s="1"/>
  <c r="J25" i="16" s="1"/>
  <c r="M6" i="4"/>
  <c r="R8" i="11"/>
  <c r="J8" i="12"/>
  <c r="R8" i="12"/>
  <c r="T8" i="11"/>
  <c r="S9" i="11"/>
  <c r="S10" i="11" s="1"/>
  <c r="R10" i="11" s="1"/>
  <c r="U10" i="12"/>
  <c r="T9" i="12"/>
  <c r="S9" i="12"/>
  <c r="T10" i="11"/>
  <c r="U11" i="11"/>
  <c r="T9" i="11"/>
  <c r="P24" i="16" l="1"/>
  <c r="R24" i="16"/>
  <c r="N24" i="16"/>
  <c r="M25" i="16"/>
  <c r="O25" i="16"/>
  <c r="K25" i="16"/>
  <c r="L25" i="16" s="1"/>
  <c r="Q25" i="16"/>
  <c r="G26" i="16"/>
  <c r="H26" i="16" s="1"/>
  <c r="J26" i="16" s="1"/>
  <c r="E27" i="16"/>
  <c r="U11" i="16"/>
  <c r="I27" i="16"/>
  <c r="S11" i="11"/>
  <c r="S12" i="11" s="1"/>
  <c r="R9" i="11"/>
  <c r="T10" i="12"/>
  <c r="U11" i="12"/>
  <c r="S10" i="12"/>
  <c r="R9" i="12"/>
  <c r="U12" i="11"/>
  <c r="T11" i="11"/>
  <c r="P25" i="16" l="1"/>
  <c r="R25" i="16"/>
  <c r="N25" i="16"/>
  <c r="U12" i="16"/>
  <c r="E28" i="16"/>
  <c r="I28" i="16"/>
  <c r="G27" i="16"/>
  <c r="H27" i="16" s="1"/>
  <c r="J27" i="16" s="1"/>
  <c r="Q26" i="16"/>
  <c r="O26" i="16"/>
  <c r="K26" i="16"/>
  <c r="L26" i="16" s="1"/>
  <c r="M26" i="16"/>
  <c r="R11" i="11"/>
  <c r="U12" i="12"/>
  <c r="T11" i="12"/>
  <c r="R10" i="12"/>
  <c r="S11" i="12"/>
  <c r="R12" i="11"/>
  <c r="S13" i="11"/>
  <c r="T12" i="11"/>
  <c r="U13" i="11"/>
  <c r="P26" i="16" l="1"/>
  <c r="N26" i="16"/>
  <c r="R26" i="16"/>
  <c r="U13" i="16"/>
  <c r="E29" i="16"/>
  <c r="I29" i="16"/>
  <c r="Q27" i="16"/>
  <c r="K27" i="16"/>
  <c r="L27" i="16" s="1"/>
  <c r="O27" i="16"/>
  <c r="M27" i="16"/>
  <c r="G28" i="16"/>
  <c r="H28" i="16" s="1"/>
  <c r="J28" i="16" s="1"/>
  <c r="T12" i="12"/>
  <c r="U13" i="12"/>
  <c r="S12" i="12"/>
  <c r="R11" i="12"/>
  <c r="S14" i="11"/>
  <c r="R13" i="11"/>
  <c r="U14" i="11"/>
  <c r="T13" i="11"/>
  <c r="P27" i="16" l="1"/>
  <c r="N27" i="16"/>
  <c r="R27" i="16"/>
  <c r="U14" i="16"/>
  <c r="Q28" i="16"/>
  <c r="O28" i="16"/>
  <c r="K28" i="16"/>
  <c r="L28" i="16" s="1"/>
  <c r="M28" i="16"/>
  <c r="G29" i="16"/>
  <c r="H29" i="16" s="1"/>
  <c r="J29" i="16" s="1"/>
  <c r="U14" i="12"/>
  <c r="T13" i="12"/>
  <c r="R12" i="12"/>
  <c r="S13" i="12"/>
  <c r="R14" i="11"/>
  <c r="S15" i="11"/>
  <c r="T14" i="11"/>
  <c r="U15" i="11"/>
  <c r="P28" i="16" l="1"/>
  <c r="N28" i="16"/>
  <c r="R28" i="16"/>
  <c r="Q29" i="16"/>
  <c r="K29" i="16"/>
  <c r="L29" i="16" s="1"/>
  <c r="L30" i="16" s="1"/>
  <c r="O29" i="16"/>
  <c r="M29" i="16"/>
  <c r="S14" i="12"/>
  <c r="R13" i="12"/>
  <c r="T14" i="12"/>
  <c r="U15" i="12"/>
  <c r="S16" i="11"/>
  <c r="R15" i="11"/>
  <c r="U16" i="11"/>
  <c r="T15" i="11"/>
  <c r="P29" i="16" l="1"/>
  <c r="P30" i="16" s="1"/>
  <c r="N29" i="16"/>
  <c r="N30" i="16" s="1"/>
  <c r="R29" i="16"/>
  <c r="R30" i="16" s="1"/>
  <c r="R14" i="12"/>
  <c r="S15" i="12"/>
  <c r="U16" i="12"/>
  <c r="T15" i="12"/>
  <c r="R16" i="11"/>
  <c r="S17" i="11"/>
  <c r="T16" i="11"/>
  <c r="U17" i="11"/>
  <c r="M7" i="16" l="1"/>
  <c r="M8" i="16" s="1"/>
  <c r="S16" i="12"/>
  <c r="R15" i="12"/>
  <c r="T16" i="12"/>
  <c r="U17" i="12"/>
  <c r="U18" i="11"/>
  <c r="T18" i="11" s="1"/>
  <c r="T17" i="11"/>
  <c r="S18" i="11"/>
  <c r="R18" i="11" s="1"/>
  <c r="R17" i="11"/>
  <c r="O14" i="16" l="1"/>
  <c r="S30" i="16" s="1"/>
  <c r="T30" i="16" s="1"/>
  <c r="O10" i="16"/>
  <c r="S26" i="16" s="1"/>
  <c r="T26" i="16" s="1"/>
  <c r="O6" i="16"/>
  <c r="S22" i="16" s="1"/>
  <c r="T22" i="16" s="1"/>
  <c r="O11" i="16"/>
  <c r="S27" i="16" s="1"/>
  <c r="T27" i="16" s="1"/>
  <c r="O12" i="16"/>
  <c r="S28" i="16" s="1"/>
  <c r="T28" i="16" s="1"/>
  <c r="O13" i="16"/>
  <c r="S29" i="16" s="1"/>
  <c r="T29" i="16" s="1"/>
  <c r="O9" i="16"/>
  <c r="S25" i="16" s="1"/>
  <c r="T25" i="16" s="1"/>
  <c r="O5" i="16"/>
  <c r="S21" i="16" s="1"/>
  <c r="T21" i="16" s="1"/>
  <c r="O8" i="16"/>
  <c r="S24" i="16" s="1"/>
  <c r="T24" i="16" s="1"/>
  <c r="O7" i="16"/>
  <c r="S23" i="16" s="1"/>
  <c r="T23" i="16" s="1"/>
  <c r="O4" i="16"/>
  <c r="S20" i="16" s="1"/>
  <c r="T20" i="16" s="1"/>
  <c r="R16" i="12"/>
  <c r="S17" i="12"/>
  <c r="U18" i="12"/>
  <c r="T18" i="12" s="1"/>
  <c r="T17" i="12"/>
  <c r="P9" i="16" l="1"/>
  <c r="P13" i="16"/>
  <c r="P5" i="16"/>
  <c r="P12" i="16"/>
  <c r="P11" i="16"/>
  <c r="P6" i="16"/>
  <c r="P7" i="16"/>
  <c r="P10" i="16"/>
  <c r="P8" i="16"/>
  <c r="P14" i="16"/>
  <c r="P4" i="16"/>
  <c r="M9" i="16"/>
  <c r="S18" i="12"/>
  <c r="R18" i="12" s="1"/>
  <c r="R17" i="12"/>
  <c r="I8" i="4"/>
  <c r="M10" i="16" l="1"/>
  <c r="M11" i="16" s="1"/>
  <c r="Q14" i="16"/>
  <c r="Q12" i="16"/>
  <c r="Q8" i="16"/>
  <c r="Q7" i="16"/>
  <c r="Q5" i="16"/>
  <c r="Q11" i="16"/>
  <c r="Q13" i="16"/>
  <c r="Q6" i="16"/>
  <c r="Q10" i="16"/>
  <c r="Q9" i="16"/>
  <c r="Q4" i="16"/>
  <c r="X25" i="16"/>
  <c r="X18" i="16"/>
  <c r="X22" i="16"/>
  <c r="X24" i="16"/>
  <c r="X21" i="16"/>
  <c r="X23" i="16"/>
  <c r="X20" i="16"/>
  <c r="X17" i="16"/>
  <c r="X19" i="16"/>
  <c r="C11" i="7"/>
  <c r="M4" i="7" s="1"/>
  <c r="E1" i="7" s="1"/>
  <c r="V3" i="7" s="1"/>
  <c r="C15" i="7"/>
  <c r="C16" i="7"/>
  <c r="W5" i="7"/>
  <c r="V5" i="7"/>
  <c r="F5" i="7"/>
  <c r="E21" i="7" s="1"/>
  <c r="T4" i="7"/>
  <c r="S4" i="7"/>
  <c r="Q4" i="7"/>
  <c r="R4" i="7" s="1"/>
  <c r="M3" i="7"/>
  <c r="W5" i="4"/>
  <c r="V5" i="4"/>
  <c r="J9" i="7"/>
  <c r="AG21" i="7"/>
  <c r="AA18" i="7"/>
  <c r="V11" i="7"/>
  <c r="AA19" i="7"/>
  <c r="I7" i="7"/>
  <c r="I6" i="4"/>
  <c r="J8" i="4"/>
  <c r="AB20" i="7"/>
  <c r="AA23" i="7"/>
  <c r="AG22" i="7"/>
  <c r="AG22" i="4"/>
  <c r="J12" i="4"/>
  <c r="I13" i="7"/>
  <c r="I14" i="7"/>
  <c r="AA21" i="4"/>
  <c r="I10" i="7"/>
  <c r="AB20" i="4"/>
  <c r="W8" i="4"/>
  <c r="J14" i="4"/>
  <c r="AG19" i="4"/>
  <c r="J6" i="7"/>
  <c r="AB22" i="4"/>
  <c r="AA24" i="7"/>
  <c r="I4" i="7"/>
  <c r="V8" i="7"/>
  <c r="J8" i="7"/>
  <c r="AG21" i="4"/>
  <c r="AB21" i="7"/>
  <c r="J7" i="7"/>
  <c r="AA25" i="7"/>
  <c r="J5" i="4"/>
  <c r="I6" i="7"/>
  <c r="AG19" i="7"/>
  <c r="V11" i="4"/>
  <c r="AB23" i="7"/>
  <c r="AB21" i="4"/>
  <c r="AA22" i="4"/>
  <c r="J6" i="4"/>
  <c r="AB25" i="4"/>
  <c r="J4" i="4"/>
  <c r="J9" i="4"/>
  <c r="W8" i="7"/>
  <c r="AG18" i="4"/>
  <c r="AA21" i="7"/>
  <c r="I11" i="4"/>
  <c r="J13" i="4"/>
  <c r="AA25" i="4"/>
  <c r="AA18" i="4"/>
  <c r="J12" i="7"/>
  <c r="AA22" i="7"/>
  <c r="AB18" i="4"/>
  <c r="J4" i="7"/>
  <c r="J10" i="7"/>
  <c r="AG18" i="7"/>
  <c r="I4" i="4"/>
  <c r="I9" i="7"/>
  <c r="AA24" i="4"/>
  <c r="AA23" i="4"/>
  <c r="J5" i="7"/>
  <c r="I8" i="7"/>
  <c r="I5" i="4"/>
  <c r="AB24" i="4"/>
  <c r="AB19" i="7"/>
  <c r="I12" i="7"/>
  <c r="AG25" i="7"/>
  <c r="AG25" i="4"/>
  <c r="I12" i="4"/>
  <c r="AA19" i="4"/>
  <c r="AB18" i="7"/>
  <c r="J7" i="4"/>
  <c r="AB24" i="7"/>
  <c r="AB19" i="4"/>
  <c r="AG24" i="7"/>
  <c r="V8" i="4"/>
  <c r="AG23" i="7"/>
  <c r="J13" i="7"/>
  <c r="AB22" i="7"/>
  <c r="I10" i="4"/>
  <c r="AG24" i="4"/>
  <c r="I5" i="7"/>
  <c r="J10" i="4"/>
  <c r="AG23" i="4"/>
  <c r="I11" i="7"/>
  <c r="AA20" i="7"/>
  <c r="AA17" i="7"/>
  <c r="AG20" i="7"/>
  <c r="I14" i="4"/>
  <c r="AB17" i="7"/>
  <c r="AG20" i="4"/>
  <c r="J14" i="7"/>
  <c r="AA20" i="4"/>
  <c r="AB23" i="4"/>
  <c r="AG17" i="4"/>
  <c r="J11" i="4"/>
  <c r="AG17" i="7"/>
  <c r="AB25" i="7"/>
  <c r="J11" i="7"/>
  <c r="I13" i="4"/>
  <c r="I9" i="4"/>
  <c r="T10" i="16" l="1"/>
  <c r="T12" i="16"/>
  <c r="S12" i="16"/>
  <c r="T11" i="16"/>
  <c r="T7" i="16"/>
  <c r="W19" i="16"/>
  <c r="T13" i="16"/>
  <c r="W25" i="16"/>
  <c r="T8" i="16"/>
  <c r="W20" i="16"/>
  <c r="T9" i="16"/>
  <c r="W21" i="16"/>
  <c r="T5" i="16"/>
  <c r="T6" i="16"/>
  <c r="S4" i="16"/>
  <c r="T14" i="16"/>
  <c r="T4" i="16"/>
  <c r="S6" i="16"/>
  <c r="S11" i="16"/>
  <c r="S5" i="16"/>
  <c r="S10" i="16"/>
  <c r="F24" i="7"/>
  <c r="F29" i="7"/>
  <c r="F30" i="7"/>
  <c r="F22" i="7"/>
  <c r="F20" i="7"/>
  <c r="F23" i="7"/>
  <c r="F25" i="7"/>
  <c r="F27" i="7"/>
  <c r="F28" i="7"/>
  <c r="F21" i="7"/>
  <c r="F26" i="7"/>
  <c r="F6" i="7"/>
  <c r="I22" i="7" s="1"/>
  <c r="V17" i="7"/>
  <c r="I21" i="7"/>
  <c r="M6" i="7"/>
  <c r="I20" i="7"/>
  <c r="AC25" i="7"/>
  <c r="Z22" i="7"/>
  <c r="AC18" i="4"/>
  <c r="Z21" i="4"/>
  <c r="V10" i="4"/>
  <c r="V10" i="7"/>
  <c r="Z19" i="7"/>
  <c r="AC21" i="7"/>
  <c r="Z25" i="4"/>
  <c r="AC22" i="7"/>
  <c r="Z20" i="4"/>
  <c r="Z17" i="7"/>
  <c r="W7" i="4"/>
  <c r="Z22" i="4"/>
  <c r="AC25" i="4"/>
  <c r="AC24" i="7"/>
  <c r="AC19" i="7"/>
  <c r="AC20" i="7"/>
  <c r="AC21" i="4"/>
  <c r="I7" i="4"/>
  <c r="Z20" i="7"/>
  <c r="W7" i="7"/>
  <c r="Z25" i="7"/>
  <c r="Z23" i="4"/>
  <c r="AC24" i="4"/>
  <c r="Z23" i="7"/>
  <c r="AC23" i="7"/>
  <c r="AC20" i="4"/>
  <c r="AC23" i="4"/>
  <c r="Z18" i="4"/>
  <c r="AC17" i="7"/>
  <c r="AC22" i="4"/>
  <c r="AC19" i="4"/>
  <c r="Z24" i="7"/>
  <c r="Z19" i="4"/>
  <c r="AC18" i="7"/>
  <c r="Z21" i="7"/>
  <c r="Z18" i="7"/>
  <c r="Z24" i="4"/>
  <c r="R14" i="16" l="1"/>
  <c r="S14" i="16"/>
  <c r="R8" i="16"/>
  <c r="R9" i="16"/>
  <c r="R4" i="16"/>
  <c r="S8" i="16"/>
  <c r="W18" i="16"/>
  <c r="S13" i="16"/>
  <c r="S9" i="16"/>
  <c r="W24" i="16"/>
  <c r="R13" i="16"/>
  <c r="W17" i="16"/>
  <c r="W23" i="16"/>
  <c r="W22" i="16"/>
  <c r="R7" i="16"/>
  <c r="S7" i="16"/>
  <c r="G20" i="7"/>
  <c r="H20" i="7" s="1"/>
  <c r="J20" i="7" s="1"/>
  <c r="G21" i="7"/>
  <c r="H21" i="7" s="1"/>
  <c r="J21" i="7" s="1"/>
  <c r="V18" i="7"/>
  <c r="F7" i="7"/>
  <c r="E22" i="7"/>
  <c r="G22" i="7" s="1"/>
  <c r="H22" i="7" s="1"/>
  <c r="J22" i="7" s="1"/>
  <c r="B1" i="4"/>
  <c r="V3" i="4" s="1"/>
  <c r="Q4" i="4"/>
  <c r="U5" i="4"/>
  <c r="F30" i="4"/>
  <c r="F29" i="4"/>
  <c r="F28" i="4"/>
  <c r="F27" i="4"/>
  <c r="F26" i="4"/>
  <c r="F25" i="4"/>
  <c r="F24" i="4"/>
  <c r="F23" i="4"/>
  <c r="F22" i="4"/>
  <c r="F21" i="4"/>
  <c r="F20" i="4"/>
  <c r="T4" i="4"/>
  <c r="S4" i="4"/>
  <c r="AF20" i="7"/>
  <c r="Y19" i="7"/>
  <c r="Y22" i="4"/>
  <c r="Y17" i="7"/>
  <c r="AF21" i="7"/>
  <c r="Y21" i="7"/>
  <c r="Y19" i="4"/>
  <c r="Y20" i="7"/>
  <c r="AF22" i="7"/>
  <c r="AF17" i="7"/>
  <c r="Y18" i="4"/>
  <c r="Y10" i="7"/>
  <c r="AF18" i="7"/>
  <c r="Y23" i="7"/>
  <c r="AF21" i="4"/>
  <c r="Y25" i="7"/>
  <c r="Y18" i="7"/>
  <c r="Y10" i="4"/>
  <c r="Y23" i="4"/>
  <c r="Y20" i="4"/>
  <c r="AF24" i="4"/>
  <c r="AF19" i="7"/>
  <c r="AF18" i="4"/>
  <c r="Y25" i="4"/>
  <c r="V7" i="4"/>
  <c r="AF19" i="4"/>
  <c r="AF22" i="4"/>
  <c r="AF20" i="4"/>
  <c r="AF25" i="4"/>
  <c r="AF23" i="7"/>
  <c r="Y22" i="7"/>
  <c r="AF24" i="7"/>
  <c r="Y24" i="4"/>
  <c r="AF25" i="7"/>
  <c r="V7" i="7"/>
  <c r="Y21" i="4"/>
  <c r="AF23" i="4"/>
  <c r="Y24" i="7"/>
  <c r="R10" i="16" l="1"/>
  <c r="R6" i="16"/>
  <c r="R5" i="16"/>
  <c r="R12" i="16"/>
  <c r="R11" i="16"/>
  <c r="Q22" i="7"/>
  <c r="O22" i="7"/>
  <c r="M22" i="7"/>
  <c r="K22" i="7"/>
  <c r="F8" i="7"/>
  <c r="E23" i="7"/>
  <c r="V19" i="7"/>
  <c r="I23" i="7"/>
  <c r="O21" i="7"/>
  <c r="P21" i="7" s="1"/>
  <c r="M21" i="7"/>
  <c r="N21" i="7" s="1"/>
  <c r="K21" i="7"/>
  <c r="L21" i="7" s="1"/>
  <c r="Q21" i="7"/>
  <c r="R21" i="7" s="1"/>
  <c r="E21" i="4"/>
  <c r="V17" i="4"/>
  <c r="I20" i="4"/>
  <c r="R4" i="4"/>
  <c r="I21" i="4"/>
  <c r="AE22" i="4"/>
  <c r="AE20" i="7"/>
  <c r="AD22" i="7"/>
  <c r="AE21" i="7"/>
  <c r="AD18" i="4"/>
  <c r="AD23" i="4"/>
  <c r="AD19" i="4"/>
  <c r="AE21" i="4"/>
  <c r="AD20" i="4"/>
  <c r="AE20" i="4"/>
  <c r="AE23" i="4"/>
  <c r="AE19" i="4"/>
  <c r="X10" i="7"/>
  <c r="AE18" i="4"/>
  <c r="AD23" i="7"/>
  <c r="AE24" i="7"/>
  <c r="AE24" i="4"/>
  <c r="AD25" i="4"/>
  <c r="AD18" i="7"/>
  <c r="AD25" i="7"/>
  <c r="AE25" i="4"/>
  <c r="AD21" i="7"/>
  <c r="W10" i="7"/>
  <c r="AD24" i="7"/>
  <c r="AD17" i="7"/>
  <c r="AD19" i="7"/>
  <c r="AE22" i="7"/>
  <c r="AE19" i="7"/>
  <c r="AD20" i="7"/>
  <c r="X10" i="4"/>
  <c r="W10" i="4"/>
  <c r="AE23" i="7"/>
  <c r="AD24" i="4"/>
  <c r="AD22" i="4"/>
  <c r="AE17" i="7"/>
  <c r="AE25" i="7"/>
  <c r="AD21" i="4"/>
  <c r="AE18" i="7"/>
  <c r="V18" i="4" l="1"/>
  <c r="U6" i="4"/>
  <c r="I22" i="4"/>
  <c r="N22" i="7"/>
  <c r="P22" i="7"/>
  <c r="G23" i="7"/>
  <c r="H23" i="7" s="1"/>
  <c r="J23" i="7" s="1"/>
  <c r="R22" i="7"/>
  <c r="F9" i="7"/>
  <c r="E24" i="7"/>
  <c r="V20" i="7"/>
  <c r="I24" i="7"/>
  <c r="L22" i="7"/>
  <c r="U7" i="4"/>
  <c r="E22" i="4"/>
  <c r="G20" i="4"/>
  <c r="H20" i="4" s="1"/>
  <c r="J20" i="4" s="1"/>
  <c r="G21" i="4"/>
  <c r="H21" i="4" s="1"/>
  <c r="J21" i="4" s="1"/>
  <c r="G22" i="4" l="1"/>
  <c r="H22" i="4" s="1"/>
  <c r="J22" i="4" s="1"/>
  <c r="O22" i="4" s="1"/>
  <c r="M23" i="7"/>
  <c r="N23" i="7" s="1"/>
  <c r="K23" i="7"/>
  <c r="L23" i="7" s="1"/>
  <c r="Q23" i="7"/>
  <c r="R23" i="7" s="1"/>
  <c r="O23" i="7"/>
  <c r="P23" i="7" s="1"/>
  <c r="G24" i="7"/>
  <c r="H24" i="7" s="1"/>
  <c r="J24" i="7" s="1"/>
  <c r="E25" i="7"/>
  <c r="V21" i="7"/>
  <c r="F10" i="7"/>
  <c r="I25" i="7"/>
  <c r="I23" i="4"/>
  <c r="V19" i="4"/>
  <c r="U8" i="4"/>
  <c r="E23" i="4"/>
  <c r="Q21" i="4"/>
  <c r="R21" i="4" s="1"/>
  <c r="O21" i="4"/>
  <c r="P21" i="4" s="1"/>
  <c r="M21" i="4"/>
  <c r="N21" i="4" s="1"/>
  <c r="K21" i="4"/>
  <c r="L21" i="4" s="1"/>
  <c r="G23" i="4" l="1"/>
  <c r="H23" i="4" s="1"/>
  <c r="J23" i="4" s="1"/>
  <c r="O23" i="4" s="1"/>
  <c r="M22" i="4"/>
  <c r="N22" i="4" s="1"/>
  <c r="K22" i="4"/>
  <c r="L22" i="4" s="1"/>
  <c r="Q22" i="4"/>
  <c r="R22" i="4" s="1"/>
  <c r="Q24" i="7"/>
  <c r="R24" i="7" s="1"/>
  <c r="O24" i="7"/>
  <c r="P24" i="7" s="1"/>
  <c r="K24" i="7"/>
  <c r="L24" i="7" s="1"/>
  <c r="M24" i="7"/>
  <c r="N24" i="7" s="1"/>
  <c r="F11" i="7"/>
  <c r="E26" i="7"/>
  <c r="V22" i="7"/>
  <c r="I26" i="7"/>
  <c r="G25" i="7"/>
  <c r="H25" i="7" s="1"/>
  <c r="J25" i="7" s="1"/>
  <c r="I24" i="4"/>
  <c r="V20" i="4"/>
  <c r="E24" i="4"/>
  <c r="P22" i="4"/>
  <c r="G24" i="4" l="1"/>
  <c r="H24" i="4" s="1"/>
  <c r="J24" i="4" s="1"/>
  <c r="O24" i="4" s="1"/>
  <c r="V21" i="4"/>
  <c r="U9" i="4"/>
  <c r="M23" i="4"/>
  <c r="N23" i="4" s="1"/>
  <c r="Q23" i="4"/>
  <c r="R23" i="4" s="1"/>
  <c r="K23" i="4"/>
  <c r="L23" i="4" s="1"/>
  <c r="M25" i="7"/>
  <c r="N25" i="7" s="1"/>
  <c r="O25" i="7"/>
  <c r="P25" i="7" s="1"/>
  <c r="K25" i="7"/>
  <c r="L25" i="7" s="1"/>
  <c r="Q25" i="7"/>
  <c r="R25" i="7" s="1"/>
  <c r="G26" i="7"/>
  <c r="H26" i="7" s="1"/>
  <c r="J26" i="7" s="1"/>
  <c r="V23" i="7"/>
  <c r="F12" i="7"/>
  <c r="E27" i="7"/>
  <c r="I27" i="7"/>
  <c r="I25" i="4"/>
  <c r="U10" i="4"/>
  <c r="E25" i="4"/>
  <c r="P23" i="4"/>
  <c r="G25" i="4" l="1"/>
  <c r="H25" i="4" s="1"/>
  <c r="J25" i="4" s="1"/>
  <c r="Q25" i="4" s="1"/>
  <c r="Q24" i="4"/>
  <c r="R24" i="4" s="1"/>
  <c r="K24" i="4"/>
  <c r="L24" i="4" s="1"/>
  <c r="M24" i="4"/>
  <c r="N24" i="4" s="1"/>
  <c r="F13" i="7"/>
  <c r="E28" i="7"/>
  <c r="V24" i="7"/>
  <c r="I28" i="7"/>
  <c r="G27" i="7"/>
  <c r="H27" i="7" s="1"/>
  <c r="J27" i="7" s="1"/>
  <c r="Q26" i="7"/>
  <c r="R26" i="7" s="1"/>
  <c r="O26" i="7"/>
  <c r="P26" i="7" s="1"/>
  <c r="K26" i="7"/>
  <c r="L26" i="7" s="1"/>
  <c r="M26" i="7"/>
  <c r="N26" i="7" s="1"/>
  <c r="I26" i="4"/>
  <c r="V22" i="4"/>
  <c r="U11" i="4"/>
  <c r="E26" i="4"/>
  <c r="P24" i="4"/>
  <c r="K25" i="4" l="1"/>
  <c r="L25" i="4" s="1"/>
  <c r="M25" i="4"/>
  <c r="N25" i="4" s="1"/>
  <c r="O25" i="4"/>
  <c r="P25" i="4" s="1"/>
  <c r="G26" i="4"/>
  <c r="H26" i="4" s="1"/>
  <c r="J26" i="4" s="1"/>
  <c r="Q26" i="4" s="1"/>
  <c r="G28" i="7"/>
  <c r="H28" i="7" s="1"/>
  <c r="J28" i="7" s="1"/>
  <c r="F14" i="7"/>
  <c r="V25" i="7"/>
  <c r="E29" i="7"/>
  <c r="I29" i="7"/>
  <c r="Q27" i="7"/>
  <c r="R27" i="7" s="1"/>
  <c r="O27" i="7"/>
  <c r="P27" i="7" s="1"/>
  <c r="M27" i="7"/>
  <c r="N27" i="7" s="1"/>
  <c r="K27" i="7"/>
  <c r="L27" i="7" s="1"/>
  <c r="I27" i="4"/>
  <c r="V23" i="4"/>
  <c r="U12" i="4"/>
  <c r="E27" i="4"/>
  <c r="R25" i="4"/>
  <c r="G27" i="4" l="1"/>
  <c r="H27" i="4" s="1"/>
  <c r="J27" i="4" s="1"/>
  <c r="K27" i="4" s="1"/>
  <c r="K26" i="4"/>
  <c r="L26" i="4" s="1"/>
  <c r="M26" i="4"/>
  <c r="N26" i="4" s="1"/>
  <c r="O26" i="4"/>
  <c r="P26" i="4" s="1"/>
  <c r="Q28" i="7"/>
  <c r="R28" i="7" s="1"/>
  <c r="O28" i="7"/>
  <c r="P28" i="7" s="1"/>
  <c r="K28" i="7"/>
  <c r="L28" i="7" s="1"/>
  <c r="M28" i="7"/>
  <c r="N28" i="7" s="1"/>
  <c r="G29" i="7"/>
  <c r="H29" i="7" s="1"/>
  <c r="J29" i="7" s="1"/>
  <c r="E30" i="7"/>
  <c r="I30" i="7"/>
  <c r="I28" i="4"/>
  <c r="V24" i="4"/>
  <c r="E28" i="4"/>
  <c r="R26" i="4"/>
  <c r="V25" i="4" l="1"/>
  <c r="U13" i="4"/>
  <c r="G28" i="4"/>
  <c r="H28" i="4" s="1"/>
  <c r="J28" i="4" s="1"/>
  <c r="Q28" i="4" s="1"/>
  <c r="O27" i="4"/>
  <c r="P27" i="4" s="1"/>
  <c r="Q27" i="4"/>
  <c r="R27" i="4" s="1"/>
  <c r="M27" i="4"/>
  <c r="N27" i="4" s="1"/>
  <c r="I29" i="4"/>
  <c r="J30" i="7"/>
  <c r="Q29" i="7"/>
  <c r="R29" i="7" s="1"/>
  <c r="K29" i="7"/>
  <c r="L29" i="7" s="1"/>
  <c r="O29" i="7"/>
  <c r="P29" i="7" s="1"/>
  <c r="M29" i="7"/>
  <c r="N29" i="7" s="1"/>
  <c r="E29" i="4"/>
  <c r="L27" i="4"/>
  <c r="G29" i="4" l="1"/>
  <c r="H29" i="4" s="1"/>
  <c r="J29" i="4" s="1"/>
  <c r="Q29" i="4" s="1"/>
  <c r="E30" i="4"/>
  <c r="U14" i="4"/>
  <c r="O28" i="4"/>
  <c r="P28" i="4" s="1"/>
  <c r="K28" i="4"/>
  <c r="L28" i="4" s="1"/>
  <c r="M28" i="4"/>
  <c r="N28" i="4" s="1"/>
  <c r="K30" i="7"/>
  <c r="L30" i="7" s="1"/>
  <c r="Q30" i="7"/>
  <c r="R30" i="7" s="1"/>
  <c r="O30" i="7"/>
  <c r="P30" i="7" s="1"/>
  <c r="M30" i="7"/>
  <c r="N30" i="7" s="1"/>
  <c r="I30" i="4"/>
  <c r="J30" i="4" s="1"/>
  <c r="R28" i="4"/>
  <c r="K29" i="4" l="1"/>
  <c r="L29" i="4" s="1"/>
  <c r="M29" i="4"/>
  <c r="N29" i="4" s="1"/>
  <c r="O29" i="4"/>
  <c r="P29" i="4" s="1"/>
  <c r="M7" i="7"/>
  <c r="R29" i="4"/>
  <c r="K30" i="4"/>
  <c r="Q30" i="4"/>
  <c r="O30" i="4"/>
  <c r="M30" i="4"/>
  <c r="O6" i="7" l="1"/>
  <c r="P6" i="7" s="1"/>
  <c r="O10" i="7"/>
  <c r="P10" i="7" s="1"/>
  <c r="O14" i="7"/>
  <c r="P14" i="7" s="1"/>
  <c r="O7" i="7"/>
  <c r="P7" i="7" s="1"/>
  <c r="O11" i="7"/>
  <c r="P11" i="7" s="1"/>
  <c r="O8" i="7"/>
  <c r="P8" i="7" s="1"/>
  <c r="O12" i="7"/>
  <c r="P12" i="7" s="1"/>
  <c r="O9" i="7"/>
  <c r="P9" i="7" s="1"/>
  <c r="O13" i="7"/>
  <c r="P13" i="7" s="1"/>
  <c r="O4" i="7"/>
  <c r="P4" i="7" s="1"/>
  <c r="O5" i="7"/>
  <c r="P5" i="7" s="1"/>
  <c r="L30" i="4"/>
  <c r="N30" i="4"/>
  <c r="P30" i="4"/>
  <c r="R30" i="4"/>
  <c r="M8" i="7"/>
  <c r="M9" i="7"/>
  <c r="M10" i="7" s="1"/>
  <c r="S23" i="7" l="1"/>
  <c r="T7" i="7" s="1"/>
  <c r="X18" i="7"/>
  <c r="X25" i="7"/>
  <c r="S28" i="7"/>
  <c r="T12" i="7" s="1"/>
  <c r="X17" i="7"/>
  <c r="S25" i="7"/>
  <c r="T9" i="7" s="1"/>
  <c r="X20" i="7"/>
  <c r="S26" i="7"/>
  <c r="T26" i="7" s="1"/>
  <c r="Q10" i="7" s="1"/>
  <c r="S21" i="7"/>
  <c r="T5" i="7" s="1"/>
  <c r="S27" i="7"/>
  <c r="T11" i="7" s="1"/>
  <c r="M7" i="4"/>
  <c r="O4" i="4" s="1"/>
  <c r="P4" i="4" s="1"/>
  <c r="X24" i="7"/>
  <c r="S29" i="7"/>
  <c r="T13" i="7" s="1"/>
  <c r="X21" i="7"/>
  <c r="S24" i="7"/>
  <c r="T8" i="7" s="1"/>
  <c r="S22" i="7"/>
  <c r="T6" i="7" s="1"/>
  <c r="S30" i="7"/>
  <c r="T30" i="7" s="1"/>
  <c r="X19" i="7"/>
  <c r="X23" i="7"/>
  <c r="X22" i="7"/>
  <c r="M11" i="7"/>
  <c r="T23" i="7" l="1"/>
  <c r="Q7" i="7" s="1"/>
  <c r="W19" i="7" s="1"/>
  <c r="T28" i="7"/>
  <c r="S12" i="7" s="1"/>
  <c r="S10" i="7"/>
  <c r="T25" i="7"/>
  <c r="Q9" i="7" s="1"/>
  <c r="W21" i="7" s="1"/>
  <c r="T10" i="7"/>
  <c r="T27" i="7"/>
  <c r="Q11" i="7" s="1"/>
  <c r="W23" i="7" s="1"/>
  <c r="T21" i="7"/>
  <c r="O11" i="4"/>
  <c r="P11" i="4" s="1"/>
  <c r="X23" i="4" s="1"/>
  <c r="O7" i="4"/>
  <c r="P7" i="4" s="1"/>
  <c r="X19" i="4" s="1"/>
  <c r="O13" i="4"/>
  <c r="P13" i="4" s="1"/>
  <c r="X25" i="4" s="1"/>
  <c r="O10" i="4"/>
  <c r="P10" i="4" s="1"/>
  <c r="X22" i="4" s="1"/>
  <c r="O6" i="4"/>
  <c r="P6" i="4" s="1"/>
  <c r="X18" i="4" s="1"/>
  <c r="O8" i="4"/>
  <c r="P8" i="4" s="1"/>
  <c r="X20" i="4" s="1"/>
  <c r="O9" i="4"/>
  <c r="P9" i="4" s="1"/>
  <c r="X21" i="4" s="1"/>
  <c r="O5" i="4"/>
  <c r="P5" i="4" s="1"/>
  <c r="X17" i="4" s="1"/>
  <c r="O14" i="4"/>
  <c r="P14" i="4" s="1"/>
  <c r="M9" i="4"/>
  <c r="M10" i="4" s="1"/>
  <c r="O12" i="4"/>
  <c r="P12" i="4" s="1"/>
  <c r="X24" i="4" s="1"/>
  <c r="M8" i="4"/>
  <c r="T29" i="7"/>
  <c r="Q13" i="7" s="1"/>
  <c r="T24" i="7"/>
  <c r="S8" i="7" s="1"/>
  <c r="T14" i="7"/>
  <c r="T22" i="7"/>
  <c r="Q6" i="7" s="1"/>
  <c r="R10" i="7"/>
  <c r="W22" i="7"/>
  <c r="Q14" i="7"/>
  <c r="R14" i="7" s="1"/>
  <c r="S14" i="7"/>
  <c r="R9" i="7" l="1"/>
  <c r="Q12" i="7"/>
  <c r="R12" i="7" s="1"/>
  <c r="R7" i="7"/>
  <c r="S7" i="7"/>
  <c r="S11" i="7"/>
  <c r="R11" i="7"/>
  <c r="S9" i="7"/>
  <c r="Q5" i="7"/>
  <c r="S5" i="7"/>
  <c r="M11" i="4"/>
  <c r="S13" i="7"/>
  <c r="Q8" i="7"/>
  <c r="W20" i="7" s="1"/>
  <c r="S6" i="7"/>
  <c r="W18" i="7"/>
  <c r="R6" i="7"/>
  <c r="W25" i="7"/>
  <c r="R13" i="7"/>
  <c r="S25" i="4"/>
  <c r="T9" i="4" s="1"/>
  <c r="S26" i="4"/>
  <c r="T10" i="4" s="1"/>
  <c r="S27" i="4"/>
  <c r="T27" i="4" s="1"/>
  <c r="S23" i="4"/>
  <c r="T23" i="4" s="1"/>
  <c r="S24" i="4"/>
  <c r="T24" i="4" s="1"/>
  <c r="S28" i="4"/>
  <c r="T28" i="4" s="1"/>
  <c r="S29" i="4"/>
  <c r="T29" i="4" s="1"/>
  <c r="S21" i="4"/>
  <c r="T21" i="4" s="1"/>
  <c r="S30" i="4"/>
  <c r="T30" i="4" s="1"/>
  <c r="S22" i="4"/>
  <c r="T6" i="4" s="1"/>
  <c r="W24" i="7" l="1"/>
  <c r="R5" i="7"/>
  <c r="W17" i="7"/>
  <c r="Q7" i="4"/>
  <c r="W19" i="4" s="1"/>
  <c r="Q11" i="4"/>
  <c r="W23" i="4" s="1"/>
  <c r="Q14" i="4"/>
  <c r="Q12" i="4"/>
  <c r="W24" i="4" s="1"/>
  <c r="Q13" i="4"/>
  <c r="W25" i="4" s="1"/>
  <c r="Q8" i="4"/>
  <c r="W20" i="4" s="1"/>
  <c r="Q5" i="4"/>
  <c r="W17" i="4" s="1"/>
  <c r="S5" i="4"/>
  <c r="R8" i="7"/>
  <c r="T25" i="4"/>
  <c r="S11" i="4"/>
  <c r="T11" i="4"/>
  <c r="T26" i="4"/>
  <c r="S8" i="4"/>
  <c r="S7" i="4"/>
  <c r="T7" i="4"/>
  <c r="T8" i="4"/>
  <c r="T13" i="4"/>
  <c r="T5" i="4"/>
  <c r="T12" i="4"/>
  <c r="T14" i="4"/>
  <c r="T22" i="4"/>
  <c r="S13" i="4"/>
  <c r="S12" i="4"/>
  <c r="S14" i="4"/>
  <c r="R7" i="4" l="1"/>
  <c r="R8" i="4"/>
  <c r="R11" i="4"/>
  <c r="Q10" i="4"/>
  <c r="W22" i="4" s="1"/>
  <c r="Q9" i="4"/>
  <c r="W21" i="4" s="1"/>
  <c r="Q6" i="4"/>
  <c r="W18" i="4" s="1"/>
  <c r="S9" i="4"/>
  <c r="S10" i="4"/>
  <c r="S6" i="4"/>
  <c r="R12" i="4"/>
  <c r="R14" i="4"/>
  <c r="R13" i="4"/>
  <c r="R5" i="4"/>
  <c r="R9" i="4" l="1"/>
  <c r="R10" i="4"/>
  <c r="R6" i="4"/>
</calcChain>
</file>

<file path=xl/comments1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2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3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sharedStrings.xml><?xml version="1.0" encoding="utf-8"?>
<sst xmlns="http://schemas.openxmlformats.org/spreadsheetml/2006/main" count="460" uniqueCount="135">
  <si>
    <t>P [W]</t>
  </si>
  <si>
    <t>ro [kg/m3]</t>
  </si>
  <si>
    <t>Pc</t>
  </si>
  <si>
    <t>num</t>
  </si>
  <si>
    <t>G</t>
  </si>
  <si>
    <t>x</t>
  </si>
  <si>
    <t>eng rpm</t>
  </si>
  <si>
    <t>D/L</t>
  </si>
  <si>
    <t>I1</t>
  </si>
  <si>
    <t>I2</t>
  </si>
  <si>
    <t>J1</t>
  </si>
  <si>
    <t>J2</t>
  </si>
  <si>
    <t>Int</t>
  </si>
  <si>
    <t>f</t>
  </si>
  <si>
    <t>adv ratio</t>
  </si>
  <si>
    <t>F</t>
  </si>
  <si>
    <t>eff</t>
  </si>
  <si>
    <t>W/V</t>
  </si>
  <si>
    <t>c/R</t>
  </si>
  <si>
    <t>Thrust C</t>
  </si>
  <si>
    <t>CL</t>
  </si>
  <si>
    <t>CD</t>
  </si>
  <si>
    <t>vsound [m/s]</t>
  </si>
  <si>
    <t>V [m/s]</t>
  </si>
  <si>
    <t>Ma</t>
  </si>
  <si>
    <t>Re</t>
  </si>
  <si>
    <t>Medium input</t>
  </si>
  <si>
    <t>gear ratio</t>
  </si>
  <si>
    <t>Stations Input</t>
  </si>
  <si>
    <t>Stations Output</t>
  </si>
  <si>
    <t>Propeller Output</t>
  </si>
  <si>
    <t>Boat Input</t>
  </si>
  <si>
    <t>Propeller geometry</t>
  </si>
  <si>
    <t>dvisc [Pa.s]</t>
  </si>
  <si>
    <t>c [pol]</t>
  </si>
  <si>
    <t>c [mm]</t>
  </si>
  <si>
    <t>v'/V</t>
  </si>
  <si>
    <t>Stations Calculations</t>
  </si>
  <si>
    <t>w [rad/s]</t>
  </si>
  <si>
    <t>Torq [Nm]</t>
  </si>
  <si>
    <t>Thrust [N]</t>
  </si>
  <si>
    <t>r/R</t>
  </si>
  <si>
    <t>alfa °</t>
  </si>
  <si>
    <t>Beta ang °</t>
  </si>
  <si>
    <t>r [m]</t>
  </si>
  <si>
    <t>Hub_dia [m]</t>
  </si>
  <si>
    <t>Prop_dia [m]</t>
  </si>
  <si>
    <t>Blades</t>
  </si>
  <si>
    <t>w [rpm]</t>
  </si>
  <si>
    <t>Profile</t>
  </si>
  <si>
    <t>+atk ang °</t>
  </si>
  <si>
    <t>CD2l</t>
  </si>
  <si>
    <t>CLCD0</t>
  </si>
  <si>
    <t>CD2u</t>
  </si>
  <si>
    <t>CD0</t>
  </si>
  <si>
    <t>Clmax</t>
  </si>
  <si>
    <t>Clmin</t>
  </si>
  <si>
    <t>Cl0</t>
  </si>
  <si>
    <t>CL_a</t>
  </si>
  <si>
    <t>--------</t>
  </si>
  <si>
    <t>---------</t>
  </si>
  <si>
    <t>------</t>
  </si>
  <si>
    <t>L/D</t>
  </si>
  <si>
    <t>Bot_Xtr</t>
  </si>
  <si>
    <t>Top_Xtr</t>
  </si>
  <si>
    <t>CM</t>
  </si>
  <si>
    <t>CDp</t>
  </si>
  <si>
    <t>alpha</t>
  </si>
  <si>
    <t>E193</t>
  </si>
  <si>
    <t>!  REref  Reexp</t>
  </si>
  <si>
    <t>!  CD0    CD2u   CD2l   CLCD0</t>
  </si>
  <si>
    <t>! CLmin   Clmax</t>
  </si>
  <si>
    <t>! CL0     CL_a</t>
  </si>
  <si>
    <t>! Nblades  [ R ]</t>
  </si>
  <si>
    <t xml:space="preserve">!  Rfac   Cfac   Bfac  </t>
  </si>
  <si>
    <t xml:space="preserve">!  Radd   Cadd   Badd  </t>
  </si>
  <si>
    <t xml:space="preserve">#  r </t>
  </si>
  <si>
    <t xml:space="preserve">chord  </t>
  </si>
  <si>
    <t xml:space="preserve"> [  CL0  </t>
  </si>
  <si>
    <t xml:space="preserve">CL_a  </t>
  </si>
  <si>
    <t xml:space="preserve"> Clmin</t>
  </si>
  <si>
    <t xml:space="preserve"> Clmax</t>
  </si>
  <si>
    <t xml:space="preserve">  CD0  </t>
  </si>
  <si>
    <t xml:space="preserve"> CD2u   </t>
  </si>
  <si>
    <t xml:space="preserve">CD2l  </t>
  </si>
  <si>
    <t xml:space="preserve"> CLCD0 </t>
  </si>
  <si>
    <t xml:space="preserve"> REref  </t>
  </si>
  <si>
    <t>REexp ]</t>
  </si>
  <si>
    <t>0.001</t>
  </si>
  <si>
    <t>beta°</t>
  </si>
  <si>
    <t>alpha rad</t>
  </si>
  <si>
    <r>
      <rPr>
        <b/>
        <sz val="11"/>
        <color theme="1"/>
        <rFont val="Calibri"/>
        <family val="2"/>
        <scheme val="minor"/>
      </rPr>
      <t>Output for QPROP</t>
    </r>
    <r>
      <rPr>
        <i/>
        <sz val="11"/>
        <color theme="1"/>
        <rFont val="Calibri"/>
        <family val="2"/>
        <scheme val="minor"/>
      </rPr>
      <t xml:space="preserve"> (Replace special characters when exporting to txt)</t>
    </r>
  </si>
  <si>
    <t>Propeller Name</t>
  </si>
  <si>
    <t>Larrabee Prop</t>
  </si>
  <si>
    <t>Up CD</t>
  </si>
  <si>
    <t>Up CL</t>
  </si>
  <si>
    <t>Down CD</t>
  </si>
  <si>
    <t>Down CL</t>
  </si>
  <si>
    <r>
      <t>Reynolds number:</t>
    </r>
    <r>
      <rPr>
        <sz val="8"/>
        <color rgb="FF555555"/>
        <rFont val="Arial"/>
        <family val="2"/>
      </rPr>
      <t> 100,000</t>
    </r>
  </si>
  <si>
    <r>
      <t>Description:</t>
    </r>
    <r>
      <rPr>
        <sz val="8"/>
        <color rgb="FF555555"/>
        <rFont val="Arial"/>
        <family val="2"/>
      </rPr>
      <t> Mach=0 Ncrit=5</t>
    </r>
  </si>
  <si>
    <t>Airfoil: HAM-STD HS1-712 AIRFOIL (hs1712-il)</t>
  </si>
  <si>
    <r>
      <t>Max Cl/Cd:</t>
    </r>
    <r>
      <rPr>
        <sz val="8"/>
        <color rgb="FF555555"/>
        <rFont val="Arial"/>
        <family val="2"/>
      </rPr>
      <t> 58.37 at α=4.25°</t>
    </r>
  </si>
  <si>
    <t>Airfoil: cr001sm (cr001sm-il)</t>
  </si>
  <si>
    <r>
      <t>Max Cl/Cd:</t>
    </r>
    <r>
      <rPr>
        <sz val="8"/>
        <color rgb="FF555555"/>
        <rFont val="Arial"/>
        <family val="2"/>
      </rPr>
      <t> 64.26 at α=4.75°</t>
    </r>
  </si>
  <si>
    <t>CD up</t>
  </si>
  <si>
    <t>CD low</t>
  </si>
  <si>
    <t>CL up</t>
  </si>
  <si>
    <t>CL low</t>
  </si>
  <si>
    <t>Nemo_CR</t>
  </si>
  <si>
    <t>CR001_100</t>
  </si>
  <si>
    <t>Max thickness 12% at 36% chord.</t>
  </si>
  <si>
    <t>Max camber 4.9% at 44% chord</t>
  </si>
  <si>
    <t>Max thickness 7.3% at 23.8% chord.</t>
  </si>
  <si>
    <t>Max camber 4% at 45.4% chord</t>
  </si>
  <si>
    <t>Airfoil: BE50 (smoothed) (be50sm-il)</t>
  </si>
  <si>
    <r>
      <t>Max Cl/Cd:</t>
    </r>
    <r>
      <rPr>
        <sz val="8"/>
        <color rgb="FF555555"/>
        <rFont val="Arial"/>
        <family val="2"/>
      </rPr>
      <t> 59.21 at α=4°</t>
    </r>
  </si>
  <si>
    <t>BE50_100</t>
  </si>
  <si>
    <t>Nemo_BE</t>
  </si>
  <si>
    <r>
      <t>Reynolds number:</t>
    </r>
    <r>
      <rPr>
        <sz val="8"/>
        <color rgb="FF555555"/>
        <rFont val="Arial"/>
        <family val="2"/>
      </rPr>
      <t> 50,000</t>
    </r>
  </si>
  <si>
    <t>Max Cl/Cd: 43,02 at α=4,75°</t>
  </si>
  <si>
    <t>Max thickness 7,3% at 23,8% chord,</t>
  </si>
  <si>
    <t>Max camber 4% at 45,4% chord</t>
  </si>
  <si>
    <t>phi rad</t>
  </si>
  <si>
    <t>beta °</t>
  </si>
  <si>
    <t xml:space="preserve"> Mach =   0,000     Re =     0,100 e 6     Ncrit =   9,000</t>
  </si>
  <si>
    <t>deltaCLu</t>
  </si>
  <si>
    <t>deltaCDu</t>
  </si>
  <si>
    <t>deltaCLl</t>
  </si>
  <si>
    <t>deltaCDl</t>
  </si>
  <si>
    <t xml:space="preserve"> xtrf =   1,000 (top)        1,000 (bottom)  </t>
  </si>
  <si>
    <t xml:space="preserve">  Re = 100 000</t>
  </si>
  <si>
    <t xml:space="preserve"> 1 1 Reynolds number fixed          Mach number fixed         </t>
  </si>
  <si>
    <t xml:space="preserve"> Calculated polar for: E193  (10,22%)                                  </t>
  </si>
  <si>
    <t xml:space="preserve">       XFOIL         Version 6,96</t>
  </si>
  <si>
    <t>BE50_50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</si>
</sst>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/>
    </xf>
    <xf numFmtId="0" fontId="0" fillId="2" borderId="17" xfId="0" applyFill="1" applyBorder="1"/>
    <xf numFmtId="165" fontId="0" fillId="2" borderId="1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2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quotePrefix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2" borderId="19" xfId="0" applyNumberFormat="1" applyFill="1" applyBorder="1"/>
    <xf numFmtId="0" fontId="0" fillId="2" borderId="19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65" fontId="0" fillId="3" borderId="4" xfId="0" applyNumberForma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2"/>
    <xf numFmtId="167" fontId="12" fillId="2" borderId="0" xfId="0" applyNumberFormat="1" applyFont="1" applyFill="1"/>
    <xf numFmtId="0" fontId="13" fillId="2" borderId="0" xfId="0" applyFont="1" applyFill="1"/>
    <xf numFmtId="0" fontId="10" fillId="0" borderId="0" xfId="0" applyFont="1"/>
    <xf numFmtId="0" fontId="0" fillId="3" borderId="1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49" fontId="0" fillId="3" borderId="9" xfId="0" applyNumberFormat="1" applyFont="1" applyFill="1" applyBorder="1" applyAlignment="1">
      <alignment horizontal="center"/>
    </xf>
    <xf numFmtId="0" fontId="0" fillId="2" borderId="0" xfId="0" applyFont="1" applyFill="1"/>
    <xf numFmtId="11" fontId="0" fillId="2" borderId="0" xfId="0" applyNumberFormat="1" applyFill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'E193'!$B$9:$B$98</c:f>
              <c:numCache>
                <c:formatCode>General</c:formatCode>
                <c:ptCount val="90"/>
                <c:pt idx="0">
                  <c:v>9.2999999999999999E-2</c:v>
                </c:pt>
                <c:pt idx="1">
                  <c:v>9.1189999999999993E-2</c:v>
                </c:pt>
                <c:pt idx="2">
                  <c:v>8.9499999999999996E-2</c:v>
                </c:pt>
                <c:pt idx="3">
                  <c:v>8.5250000000000006E-2</c:v>
                </c:pt>
                <c:pt idx="4">
                  <c:v>8.3030000000000007E-2</c:v>
                </c:pt>
                <c:pt idx="5">
                  <c:v>8.1220000000000001E-2</c:v>
                </c:pt>
                <c:pt idx="6">
                  <c:v>7.0760000000000003E-2</c:v>
                </c:pt>
                <c:pt idx="7">
                  <c:v>6.6769999999999996E-2</c:v>
                </c:pt>
                <c:pt idx="8">
                  <c:v>7.5359999999999996E-2</c:v>
                </c:pt>
                <c:pt idx="9">
                  <c:v>7.2309999999999999E-2</c:v>
                </c:pt>
                <c:pt idx="10">
                  <c:v>6.6019999999999995E-2</c:v>
                </c:pt>
                <c:pt idx="11">
                  <c:v>6.0760000000000002E-2</c:v>
                </c:pt>
                <c:pt idx="12">
                  <c:v>5.6559999999999999E-2</c:v>
                </c:pt>
                <c:pt idx="13">
                  <c:v>5.3069999999999999E-2</c:v>
                </c:pt>
                <c:pt idx="14">
                  <c:v>3.4750000000000003E-2</c:v>
                </c:pt>
                <c:pt idx="15">
                  <c:v>3.125E-2</c:v>
                </c:pt>
                <c:pt idx="16">
                  <c:v>2.8139999999999998E-2</c:v>
                </c:pt>
                <c:pt idx="17">
                  <c:v>2.622E-2</c:v>
                </c:pt>
                <c:pt idx="18">
                  <c:v>2.3810000000000001E-2</c:v>
                </c:pt>
                <c:pt idx="19">
                  <c:v>2.2329999999999999E-2</c:v>
                </c:pt>
                <c:pt idx="20">
                  <c:v>2.085E-2</c:v>
                </c:pt>
                <c:pt idx="21">
                  <c:v>1.9369999999999998E-2</c:v>
                </c:pt>
                <c:pt idx="22">
                  <c:v>1.806E-2</c:v>
                </c:pt>
                <c:pt idx="23">
                  <c:v>1.703E-2</c:v>
                </c:pt>
                <c:pt idx="24">
                  <c:v>1.601E-2</c:v>
                </c:pt>
                <c:pt idx="25">
                  <c:v>1.4970000000000001E-2</c:v>
                </c:pt>
                <c:pt idx="26">
                  <c:v>1.4829999999999999E-2</c:v>
                </c:pt>
                <c:pt idx="27">
                  <c:v>1.482E-2</c:v>
                </c:pt>
                <c:pt idx="28">
                  <c:v>1.506E-2</c:v>
                </c:pt>
                <c:pt idx="29">
                  <c:v>1.521E-2</c:v>
                </c:pt>
                <c:pt idx="30">
                  <c:v>1.537E-2</c:v>
                </c:pt>
                <c:pt idx="31">
                  <c:v>1.5650000000000001E-2</c:v>
                </c:pt>
                <c:pt idx="32">
                  <c:v>1.5779999999999999E-2</c:v>
                </c:pt>
                <c:pt idx="33">
                  <c:v>1.6140000000000002E-2</c:v>
                </c:pt>
                <c:pt idx="34">
                  <c:v>1.626E-2</c:v>
                </c:pt>
                <c:pt idx="35">
                  <c:v>1.67E-2</c:v>
                </c:pt>
                <c:pt idx="36">
                  <c:v>1.6820000000000002E-2</c:v>
                </c:pt>
                <c:pt idx="37">
                  <c:v>1.7299999999999999E-2</c:v>
                </c:pt>
                <c:pt idx="38">
                  <c:v>1.7440000000000001E-2</c:v>
                </c:pt>
                <c:pt idx="39">
                  <c:v>1.7979999999999999E-2</c:v>
                </c:pt>
                <c:pt idx="40">
                  <c:v>1.8120000000000001E-2</c:v>
                </c:pt>
                <c:pt idx="41">
                  <c:v>1.8710000000000001E-2</c:v>
                </c:pt>
                <c:pt idx="42">
                  <c:v>1.8849999999999999E-2</c:v>
                </c:pt>
                <c:pt idx="43">
                  <c:v>1.9480000000000001E-2</c:v>
                </c:pt>
                <c:pt idx="44">
                  <c:v>1.9609999999999999E-2</c:v>
                </c:pt>
                <c:pt idx="45">
                  <c:v>2.027E-2</c:v>
                </c:pt>
                <c:pt idx="46">
                  <c:v>2.036E-2</c:v>
                </c:pt>
                <c:pt idx="47">
                  <c:v>2.1010000000000001E-2</c:v>
                </c:pt>
                <c:pt idx="48">
                  <c:v>2.1010000000000001E-2</c:v>
                </c:pt>
                <c:pt idx="49">
                  <c:v>2.1649999999999999E-2</c:v>
                </c:pt>
                <c:pt idx="50">
                  <c:v>2.1940000000000001E-2</c:v>
                </c:pt>
                <c:pt idx="51">
                  <c:v>2.2079999999999999E-2</c:v>
                </c:pt>
                <c:pt idx="52">
                  <c:v>2.248E-2</c:v>
                </c:pt>
                <c:pt idx="53">
                  <c:v>2.23E-2</c:v>
                </c:pt>
                <c:pt idx="54">
                  <c:v>2.2509999999999999E-2</c:v>
                </c:pt>
                <c:pt idx="55">
                  <c:v>2.2669999999999999E-2</c:v>
                </c:pt>
                <c:pt idx="56">
                  <c:v>2.2599999999999999E-2</c:v>
                </c:pt>
                <c:pt idx="57">
                  <c:v>2.2339999999999999E-2</c:v>
                </c:pt>
                <c:pt idx="58">
                  <c:v>2.197E-2</c:v>
                </c:pt>
                <c:pt idx="59">
                  <c:v>2.171E-2</c:v>
                </c:pt>
                <c:pt idx="60">
                  <c:v>2.155E-2</c:v>
                </c:pt>
                <c:pt idx="61">
                  <c:v>2.1299999999999999E-2</c:v>
                </c:pt>
                <c:pt idx="62">
                  <c:v>2.0840000000000001E-2</c:v>
                </c:pt>
                <c:pt idx="63">
                  <c:v>2.0539999999999999E-2</c:v>
                </c:pt>
                <c:pt idx="64">
                  <c:v>2.0219999999999998E-2</c:v>
                </c:pt>
                <c:pt idx="65">
                  <c:v>2.01E-2</c:v>
                </c:pt>
                <c:pt idx="66">
                  <c:v>2.0639999999999999E-2</c:v>
                </c:pt>
                <c:pt idx="67">
                  <c:v>2.2009999999999998E-2</c:v>
                </c:pt>
                <c:pt idx="68">
                  <c:v>2.3810000000000001E-2</c:v>
                </c:pt>
                <c:pt idx="69">
                  <c:v>2.58E-2</c:v>
                </c:pt>
                <c:pt idx="70">
                  <c:v>2.8129999999999999E-2</c:v>
                </c:pt>
                <c:pt idx="71">
                  <c:v>3.0859999999999999E-2</c:v>
                </c:pt>
                <c:pt idx="72">
                  <c:v>3.354E-2</c:v>
                </c:pt>
                <c:pt idx="73">
                  <c:v>3.576E-2</c:v>
                </c:pt>
                <c:pt idx="74">
                  <c:v>3.789E-2</c:v>
                </c:pt>
                <c:pt idx="75">
                  <c:v>3.977E-2</c:v>
                </c:pt>
                <c:pt idx="76">
                  <c:v>4.2000000000000003E-2</c:v>
                </c:pt>
                <c:pt idx="77">
                  <c:v>4.4229999999999998E-2</c:v>
                </c:pt>
                <c:pt idx="78">
                  <c:v>4.7050000000000002E-2</c:v>
                </c:pt>
                <c:pt idx="79">
                  <c:v>5.0139999999999997E-2</c:v>
                </c:pt>
                <c:pt idx="80">
                  <c:v>5.3260000000000002E-2</c:v>
                </c:pt>
                <c:pt idx="81">
                  <c:v>5.6059999999999999E-2</c:v>
                </c:pt>
                <c:pt idx="82">
                  <c:v>5.9369999999999999E-2</c:v>
                </c:pt>
                <c:pt idx="83">
                  <c:v>6.3270000000000007E-2</c:v>
                </c:pt>
                <c:pt idx="84">
                  <c:v>6.6909999999999997E-2</c:v>
                </c:pt>
                <c:pt idx="85">
                  <c:v>7.0599999999999996E-2</c:v>
                </c:pt>
                <c:pt idx="86">
                  <c:v>7.4679999999999996E-2</c:v>
                </c:pt>
                <c:pt idx="87">
                  <c:v>7.9640000000000002E-2</c:v>
                </c:pt>
                <c:pt idx="88">
                  <c:v>8.5860000000000006E-2</c:v>
                </c:pt>
                <c:pt idx="89">
                  <c:v>9.2969999999999997E-2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'E193'!$R$8:$R$18</c:f>
              <c:numCache>
                <c:formatCode>General</c:formatCode>
                <c:ptCount val="11"/>
                <c:pt idx="0">
                  <c:v>1.482E-2</c:v>
                </c:pt>
                <c:pt idx="1">
                  <c:v>1.5053923592866631E-2</c:v>
                </c:pt>
                <c:pt idx="2">
                  <c:v>1.5755694371466525E-2</c:v>
                </c:pt>
                <c:pt idx="3">
                  <c:v>1.6925312335799685E-2</c:v>
                </c:pt>
                <c:pt idx="4">
                  <c:v>1.8562777485866103E-2</c:v>
                </c:pt>
                <c:pt idx="5">
                  <c:v>2.0668089821665785E-2</c:v>
                </c:pt>
                <c:pt idx="6">
                  <c:v>2.3241249343198728E-2</c:v>
                </c:pt>
                <c:pt idx="7">
                  <c:v>2.6282256050464942E-2</c:v>
                </c:pt>
                <c:pt idx="8">
                  <c:v>2.9791109943464407E-2</c:v>
                </c:pt>
                <c:pt idx="9">
                  <c:v>3.3767811022197142E-2</c:v>
                </c:pt>
                <c:pt idx="10">
                  <c:v>3.8212359286663146E-2</c:v>
                </c:pt>
              </c:numCache>
            </c:numRef>
          </c:xVal>
          <c:yVal>
            <c:numRef>
              <c:f>'E193'!$S$8:$S$18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0.37160000000000004</c:v>
                </c:pt>
                <c:pt idx="2">
                  <c:v>0.47160000000000002</c:v>
                </c:pt>
                <c:pt idx="3">
                  <c:v>0.5716</c:v>
                </c:pt>
                <c:pt idx="4">
                  <c:v>0.67159999999999997</c:v>
                </c:pt>
                <c:pt idx="5">
                  <c:v>0.77159999999999995</c:v>
                </c:pt>
                <c:pt idx="6">
                  <c:v>0.87159999999999993</c:v>
                </c:pt>
                <c:pt idx="7">
                  <c:v>0.97159999999999991</c:v>
                </c:pt>
                <c:pt idx="8">
                  <c:v>1.0715999999999999</c:v>
                </c:pt>
                <c:pt idx="9">
                  <c:v>1.1716</c:v>
                </c:pt>
                <c:pt idx="10">
                  <c:v>1.2716000000000001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'E193'!$T$8:$T$18</c:f>
              <c:numCache>
                <c:formatCode>General</c:formatCode>
                <c:ptCount val="11"/>
                <c:pt idx="0">
                  <c:v>1.482E-2</c:v>
                </c:pt>
                <c:pt idx="1">
                  <c:v>1.5604284990827643E-2</c:v>
                </c:pt>
                <c:pt idx="2">
                  <c:v>1.7957139963310574E-2</c:v>
                </c:pt>
                <c:pt idx="3">
                  <c:v>2.1878564917448794E-2</c:v>
                </c:pt>
                <c:pt idx="4">
                  <c:v>2.73685598532423E-2</c:v>
                </c:pt>
                <c:pt idx="5">
                  <c:v>3.4427124770691091E-2</c:v>
                </c:pt>
                <c:pt idx="6">
                  <c:v>4.3054259669795175E-2</c:v>
                </c:pt>
                <c:pt idx="7">
                  <c:v>5.3249964550554536E-2</c:v>
                </c:pt>
                <c:pt idx="8">
                  <c:v>6.5014239412969202E-2</c:v>
                </c:pt>
                <c:pt idx="9">
                  <c:v>7.8347084257039123E-2</c:v>
                </c:pt>
                <c:pt idx="10">
                  <c:v>9.3248499082764363E-2</c:v>
                </c:pt>
              </c:numCache>
            </c:numRef>
          </c:xVal>
          <c:yVal>
            <c:numRef>
              <c:f>'E193'!$U$8:$U$18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0.1716</c:v>
                </c:pt>
                <c:pt idx="2">
                  <c:v>7.1599999999999997E-2</c:v>
                </c:pt>
                <c:pt idx="3">
                  <c:v>-2.8400000000000009E-2</c:v>
                </c:pt>
                <c:pt idx="4">
                  <c:v>-0.12840000000000001</c:v>
                </c:pt>
                <c:pt idx="5">
                  <c:v>-0.22840000000000002</c:v>
                </c:pt>
                <c:pt idx="6">
                  <c:v>-0.32840000000000003</c:v>
                </c:pt>
                <c:pt idx="7">
                  <c:v>-0.4284</c:v>
                </c:pt>
                <c:pt idx="8">
                  <c:v>-0.52839999999999998</c:v>
                </c:pt>
                <c:pt idx="9">
                  <c:v>-0.62839999999999996</c:v>
                </c:pt>
                <c:pt idx="10">
                  <c:v>-0.72839999999999994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7824"/>
        <c:axId val="10438368"/>
      </c:scatterChart>
      <c:valAx>
        <c:axId val="1043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38368"/>
        <c:crosses val="autoZero"/>
        <c:crossBetween val="midCat"/>
      </c:valAx>
      <c:valAx>
        <c:axId val="104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3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'E193'!$I$9:$I$98</c:f>
              <c:numCache>
                <c:formatCode>General</c:formatCode>
                <c:ptCount val="90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Cut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7999034435163"/>
                  <c:y val="0.3106796116504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'E193'!$I$17:$I$72</c:f>
              <c:numCache>
                <c:formatCode>General</c:formatCode>
                <c:ptCount val="56"/>
                <c:pt idx="0">
                  <c:v>-0.1090830782496456</c:v>
                </c:pt>
                <c:pt idx="1">
                  <c:v>-0.10471975511965977</c:v>
                </c:pt>
                <c:pt idx="2">
                  <c:v>-0.10035643198967394</c:v>
                </c:pt>
                <c:pt idx="3">
                  <c:v>-9.599310885968812E-2</c:v>
                </c:pt>
                <c:pt idx="4">
                  <c:v>-9.1629785729702304E-2</c:v>
                </c:pt>
                <c:pt idx="5">
                  <c:v>-8.7266462599716474E-2</c:v>
                </c:pt>
                <c:pt idx="6">
                  <c:v>-8.2903139469730644E-2</c:v>
                </c:pt>
                <c:pt idx="7">
                  <c:v>-7.8539816339744828E-2</c:v>
                </c:pt>
                <c:pt idx="8">
                  <c:v>-7.4176493209759012E-2</c:v>
                </c:pt>
                <c:pt idx="9">
                  <c:v>-6.9813170079773182E-2</c:v>
                </c:pt>
                <c:pt idx="10">
                  <c:v>-6.5449846949787352E-2</c:v>
                </c:pt>
                <c:pt idx="11">
                  <c:v>-6.1086523819801536E-2</c:v>
                </c:pt>
                <c:pt idx="12">
                  <c:v>-5.6723200689815713E-2</c:v>
                </c:pt>
                <c:pt idx="13">
                  <c:v>-5.2359877559829883E-2</c:v>
                </c:pt>
                <c:pt idx="14">
                  <c:v>-4.799655442984406E-2</c:v>
                </c:pt>
                <c:pt idx="15">
                  <c:v>-4.3633231299858237E-2</c:v>
                </c:pt>
                <c:pt idx="16">
                  <c:v>-3.9269908169872414E-2</c:v>
                </c:pt>
                <c:pt idx="17">
                  <c:v>-3.4906585039886591E-2</c:v>
                </c:pt>
                <c:pt idx="18">
                  <c:v>-3.0543261909900768E-2</c:v>
                </c:pt>
                <c:pt idx="19">
                  <c:v>-2.6179938779914941E-2</c:v>
                </c:pt>
                <c:pt idx="20">
                  <c:v>-2.1816615649929118E-2</c:v>
                </c:pt>
                <c:pt idx="21">
                  <c:v>-1.7453292519943295E-2</c:v>
                </c:pt>
                <c:pt idx="22">
                  <c:v>-1.3089969389957471E-2</c:v>
                </c:pt>
                <c:pt idx="23">
                  <c:v>-8.7266462599716477E-3</c:v>
                </c:pt>
                <c:pt idx="24">
                  <c:v>-4.3633231299858239E-3</c:v>
                </c:pt>
                <c:pt idx="25">
                  <c:v>0</c:v>
                </c:pt>
                <c:pt idx="26">
                  <c:v>4.3633231299858239E-3</c:v>
                </c:pt>
                <c:pt idx="27">
                  <c:v>8.7266462599716477E-3</c:v>
                </c:pt>
                <c:pt idx="28">
                  <c:v>1.3089969389957471E-2</c:v>
                </c:pt>
                <c:pt idx="29">
                  <c:v>1.7453292519943295E-2</c:v>
                </c:pt>
                <c:pt idx="30">
                  <c:v>2.1816615649929118E-2</c:v>
                </c:pt>
                <c:pt idx="31">
                  <c:v>2.6179938779914941E-2</c:v>
                </c:pt>
                <c:pt idx="32">
                  <c:v>3.0543261909900768E-2</c:v>
                </c:pt>
                <c:pt idx="33">
                  <c:v>3.4906585039886591E-2</c:v>
                </c:pt>
                <c:pt idx="34">
                  <c:v>3.9269908169872414E-2</c:v>
                </c:pt>
                <c:pt idx="35">
                  <c:v>4.3633231299858237E-2</c:v>
                </c:pt>
                <c:pt idx="36">
                  <c:v>4.799655442984406E-2</c:v>
                </c:pt>
                <c:pt idx="37">
                  <c:v>5.2359877559829883E-2</c:v>
                </c:pt>
                <c:pt idx="38">
                  <c:v>5.6723200689815713E-2</c:v>
                </c:pt>
                <c:pt idx="39">
                  <c:v>6.1086523819801536E-2</c:v>
                </c:pt>
                <c:pt idx="40">
                  <c:v>6.5449846949787352E-2</c:v>
                </c:pt>
                <c:pt idx="41">
                  <c:v>6.9813170079773182E-2</c:v>
                </c:pt>
                <c:pt idx="42">
                  <c:v>7.4176493209759012E-2</c:v>
                </c:pt>
                <c:pt idx="43">
                  <c:v>7.8539816339744828E-2</c:v>
                </c:pt>
                <c:pt idx="44">
                  <c:v>8.2903139469730644E-2</c:v>
                </c:pt>
                <c:pt idx="45">
                  <c:v>8.7266462599716474E-2</c:v>
                </c:pt>
                <c:pt idx="46">
                  <c:v>9.1629785729702304E-2</c:v>
                </c:pt>
                <c:pt idx="47">
                  <c:v>9.599310885968812E-2</c:v>
                </c:pt>
                <c:pt idx="48">
                  <c:v>0.10035643198967394</c:v>
                </c:pt>
                <c:pt idx="49">
                  <c:v>0.10471975511965977</c:v>
                </c:pt>
                <c:pt idx="50">
                  <c:v>0.1090830782496456</c:v>
                </c:pt>
                <c:pt idx="51">
                  <c:v>0.11344640137963143</c:v>
                </c:pt>
                <c:pt idx="52">
                  <c:v>0.11780972450961724</c:v>
                </c:pt>
                <c:pt idx="53">
                  <c:v>0.12217304763960307</c:v>
                </c:pt>
                <c:pt idx="54">
                  <c:v>0.1265363707695889</c:v>
                </c:pt>
                <c:pt idx="55">
                  <c:v>0.1308996938995747</c:v>
                </c:pt>
              </c:numCache>
            </c:numRef>
          </c:xVal>
          <c:yVal>
            <c:numRef>
              <c:f>'E193'!$C$17:$C$72</c:f>
              <c:numCache>
                <c:formatCode>General</c:formatCode>
                <c:ptCount val="56"/>
                <c:pt idx="0">
                  <c:v>-0.43669999999999998</c:v>
                </c:pt>
                <c:pt idx="1">
                  <c:v>-0.40870000000000001</c:v>
                </c:pt>
                <c:pt idx="2">
                  <c:v>-0.3765</c:v>
                </c:pt>
                <c:pt idx="3">
                  <c:v>-0.3422</c:v>
                </c:pt>
                <c:pt idx="4">
                  <c:v>-0.31230000000000002</c:v>
                </c:pt>
                <c:pt idx="5">
                  <c:v>-0.28139999999999998</c:v>
                </c:pt>
                <c:pt idx="6">
                  <c:v>-0.23250000000000001</c:v>
                </c:pt>
                <c:pt idx="7">
                  <c:v>-0.20100000000000001</c:v>
                </c:pt>
                <c:pt idx="8">
                  <c:v>-0.16009999999999999</c:v>
                </c:pt>
                <c:pt idx="9">
                  <c:v>-0.12570000000000001</c:v>
                </c:pt>
                <c:pt idx="10">
                  <c:v>-8.3799999999999999E-2</c:v>
                </c:pt>
                <c:pt idx="11">
                  <c:v>-4.7600000000000003E-2</c:v>
                </c:pt>
                <c:pt idx="12">
                  <c:v>-9.7999999999999997E-3</c:v>
                </c:pt>
                <c:pt idx="13">
                  <c:v>2.1700000000000001E-2</c:v>
                </c:pt>
                <c:pt idx="14">
                  <c:v>5.3499999999999999E-2</c:v>
                </c:pt>
                <c:pt idx="15">
                  <c:v>7.8700000000000006E-2</c:v>
                </c:pt>
                <c:pt idx="16">
                  <c:v>0.106</c:v>
                </c:pt>
                <c:pt idx="17">
                  <c:v>0.18149999999999999</c:v>
                </c:pt>
                <c:pt idx="18">
                  <c:v>0.24229999999999999</c:v>
                </c:pt>
                <c:pt idx="19">
                  <c:v>0.27160000000000001</c:v>
                </c:pt>
                <c:pt idx="20">
                  <c:v>0.29189999999999999</c:v>
                </c:pt>
                <c:pt idx="21">
                  <c:v>0.31709999999999999</c:v>
                </c:pt>
                <c:pt idx="22">
                  <c:v>0.34160000000000001</c:v>
                </c:pt>
                <c:pt idx="23">
                  <c:v>0.36359999999999998</c:v>
                </c:pt>
                <c:pt idx="24">
                  <c:v>0.39050000000000001</c:v>
                </c:pt>
                <c:pt idx="25">
                  <c:v>0.41139999999999999</c:v>
                </c:pt>
                <c:pt idx="26">
                  <c:v>0.43919999999999998</c:v>
                </c:pt>
                <c:pt idx="27">
                  <c:v>0.45939999999999998</c:v>
                </c:pt>
                <c:pt idx="28">
                  <c:v>0.48759999999999998</c:v>
                </c:pt>
                <c:pt idx="29">
                  <c:v>0.50760000000000005</c:v>
                </c:pt>
                <c:pt idx="30">
                  <c:v>0.53600000000000003</c:v>
                </c:pt>
                <c:pt idx="31">
                  <c:v>0.55589999999999995</c:v>
                </c:pt>
                <c:pt idx="32">
                  <c:v>0.58430000000000004</c:v>
                </c:pt>
                <c:pt idx="33">
                  <c:v>0.60409999999999997</c:v>
                </c:pt>
                <c:pt idx="34">
                  <c:v>0.63260000000000005</c:v>
                </c:pt>
                <c:pt idx="35">
                  <c:v>0.6522</c:v>
                </c:pt>
                <c:pt idx="36">
                  <c:v>0.68100000000000005</c:v>
                </c:pt>
                <c:pt idx="37">
                  <c:v>0.70040000000000002</c:v>
                </c:pt>
                <c:pt idx="38">
                  <c:v>0.72970000000000002</c:v>
                </c:pt>
                <c:pt idx="39">
                  <c:v>0.74890000000000001</c:v>
                </c:pt>
                <c:pt idx="40">
                  <c:v>0.77939999999999998</c:v>
                </c:pt>
                <c:pt idx="41">
                  <c:v>0.7984</c:v>
                </c:pt>
                <c:pt idx="42">
                  <c:v>0.82330000000000003</c:v>
                </c:pt>
                <c:pt idx="43">
                  <c:v>0.84970000000000001</c:v>
                </c:pt>
                <c:pt idx="44">
                  <c:v>0.87150000000000005</c:v>
                </c:pt>
                <c:pt idx="45">
                  <c:v>0.9022</c:v>
                </c:pt>
                <c:pt idx="46">
                  <c:v>0.92510000000000003</c:v>
                </c:pt>
                <c:pt idx="47">
                  <c:v>0.94850000000000001</c:v>
                </c:pt>
                <c:pt idx="48">
                  <c:v>0.97440000000000004</c:v>
                </c:pt>
                <c:pt idx="49">
                  <c:v>1.0025999999999999</c:v>
                </c:pt>
                <c:pt idx="50">
                  <c:v>1.0313000000000001</c:v>
                </c:pt>
                <c:pt idx="51">
                  <c:v>1.0570999999999999</c:v>
                </c:pt>
                <c:pt idx="52">
                  <c:v>1.0798000000000001</c:v>
                </c:pt>
                <c:pt idx="53">
                  <c:v>1.1024</c:v>
                </c:pt>
                <c:pt idx="54">
                  <c:v>1.1267</c:v>
                </c:pt>
                <c:pt idx="55">
                  <c:v>1.1473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902528"/>
        <c:axId val="1968915584"/>
      </c:scatterChart>
      <c:valAx>
        <c:axId val="19689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8915584"/>
        <c:crosses val="autoZero"/>
        <c:crossBetween val="midCat"/>
      </c:valAx>
      <c:valAx>
        <c:axId val="19689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890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BE50_50!$B$9:$B$115</c:f>
              <c:numCache>
                <c:formatCode>General</c:formatCode>
                <c:ptCount val="107"/>
                <c:pt idx="0">
                  <c:v>9.6430000000000002E-2</c:v>
                </c:pt>
                <c:pt idx="1">
                  <c:v>9.3670000000000003E-2</c:v>
                </c:pt>
                <c:pt idx="2">
                  <c:v>9.1370000000000007E-2</c:v>
                </c:pt>
                <c:pt idx="3">
                  <c:v>8.1089999999999995E-2</c:v>
                </c:pt>
                <c:pt idx="4">
                  <c:v>7.7840000000000006E-2</c:v>
                </c:pt>
                <c:pt idx="5">
                  <c:v>7.4319999999999997E-2</c:v>
                </c:pt>
                <c:pt idx="6">
                  <c:v>7.0559999999999998E-2</c:v>
                </c:pt>
                <c:pt idx="7">
                  <c:v>5.7419999999999999E-2</c:v>
                </c:pt>
                <c:pt idx="8">
                  <c:v>5.3589999999999999E-2</c:v>
                </c:pt>
                <c:pt idx="9">
                  <c:v>4.9209999999999997E-2</c:v>
                </c:pt>
                <c:pt idx="10">
                  <c:v>4.453E-2</c:v>
                </c:pt>
                <c:pt idx="11">
                  <c:v>3.9669999999999997E-2</c:v>
                </c:pt>
                <c:pt idx="12">
                  <c:v>3.6979999999999999E-2</c:v>
                </c:pt>
                <c:pt idx="13">
                  <c:v>3.4270000000000002E-2</c:v>
                </c:pt>
                <c:pt idx="14">
                  <c:v>3.1179999999999999E-2</c:v>
                </c:pt>
                <c:pt idx="15">
                  <c:v>2.8680000000000001E-2</c:v>
                </c:pt>
                <c:pt idx="16">
                  <c:v>2.7199999999999998E-2</c:v>
                </c:pt>
                <c:pt idx="17">
                  <c:v>2.5680000000000001E-2</c:v>
                </c:pt>
                <c:pt idx="18">
                  <c:v>2.4539999999999999E-2</c:v>
                </c:pt>
                <c:pt idx="19">
                  <c:v>2.368E-2</c:v>
                </c:pt>
                <c:pt idx="20">
                  <c:v>2.2939999999999999E-2</c:v>
                </c:pt>
                <c:pt idx="21">
                  <c:v>2.24E-2</c:v>
                </c:pt>
                <c:pt idx="22">
                  <c:v>2.1850000000000001E-2</c:v>
                </c:pt>
                <c:pt idx="23">
                  <c:v>2.0979999999999999E-2</c:v>
                </c:pt>
                <c:pt idx="24">
                  <c:v>2.001E-2</c:v>
                </c:pt>
                <c:pt idx="25">
                  <c:v>1.8859999999999998E-2</c:v>
                </c:pt>
                <c:pt idx="26">
                  <c:v>1.9050000000000001E-2</c:v>
                </c:pt>
                <c:pt idx="27">
                  <c:v>1.917E-2</c:v>
                </c:pt>
                <c:pt idx="28">
                  <c:v>1.9269999999999999E-2</c:v>
                </c:pt>
                <c:pt idx="29">
                  <c:v>1.933E-2</c:v>
                </c:pt>
                <c:pt idx="30">
                  <c:v>1.9359999999999999E-2</c:v>
                </c:pt>
                <c:pt idx="31">
                  <c:v>1.9349999999999999E-2</c:v>
                </c:pt>
                <c:pt idx="32">
                  <c:v>1.932E-2</c:v>
                </c:pt>
                <c:pt idx="33">
                  <c:v>1.925E-2</c:v>
                </c:pt>
                <c:pt idx="34">
                  <c:v>1.9259999999999999E-2</c:v>
                </c:pt>
                <c:pt idx="35">
                  <c:v>1.9199999999999998E-2</c:v>
                </c:pt>
                <c:pt idx="36">
                  <c:v>1.9210000000000001E-2</c:v>
                </c:pt>
                <c:pt idx="37">
                  <c:v>1.9210000000000001E-2</c:v>
                </c:pt>
                <c:pt idx="38">
                  <c:v>1.924E-2</c:v>
                </c:pt>
                <c:pt idx="39">
                  <c:v>1.934E-2</c:v>
                </c:pt>
                <c:pt idx="40">
                  <c:v>1.951E-2</c:v>
                </c:pt>
                <c:pt idx="41">
                  <c:v>1.975E-2</c:v>
                </c:pt>
                <c:pt idx="42">
                  <c:v>2.0070000000000001E-2</c:v>
                </c:pt>
                <c:pt idx="43">
                  <c:v>2.0449999999999999E-2</c:v>
                </c:pt>
                <c:pt idx="44">
                  <c:v>2.0889999999999999E-2</c:v>
                </c:pt>
                <c:pt idx="45">
                  <c:v>2.1399999999999999E-2</c:v>
                </c:pt>
                <c:pt idx="46">
                  <c:v>2.1940000000000001E-2</c:v>
                </c:pt>
                <c:pt idx="47">
                  <c:v>2.2530000000000001E-2</c:v>
                </c:pt>
                <c:pt idx="48">
                  <c:v>2.316E-2</c:v>
                </c:pt>
                <c:pt idx="49">
                  <c:v>2.3820000000000001E-2</c:v>
                </c:pt>
                <c:pt idx="50">
                  <c:v>2.4510000000000001E-2</c:v>
                </c:pt>
                <c:pt idx="51">
                  <c:v>2.5239999999999999E-2</c:v>
                </c:pt>
                <c:pt idx="52">
                  <c:v>2.6009999999999998E-2</c:v>
                </c:pt>
                <c:pt idx="53">
                  <c:v>2.681E-2</c:v>
                </c:pt>
                <c:pt idx="54">
                  <c:v>2.7640000000000001E-2</c:v>
                </c:pt>
                <c:pt idx="55">
                  <c:v>2.8500000000000001E-2</c:v>
                </c:pt>
                <c:pt idx="56">
                  <c:v>2.937E-2</c:v>
                </c:pt>
                <c:pt idx="57">
                  <c:v>3.023E-2</c:v>
                </c:pt>
                <c:pt idx="58">
                  <c:v>3.1040000000000002E-2</c:v>
                </c:pt>
                <c:pt idx="59">
                  <c:v>3.1660000000000001E-2</c:v>
                </c:pt>
                <c:pt idx="60">
                  <c:v>3.2329999999999998E-2</c:v>
                </c:pt>
                <c:pt idx="61">
                  <c:v>3.322E-2</c:v>
                </c:pt>
                <c:pt idx="62">
                  <c:v>3.4529999999999998E-2</c:v>
                </c:pt>
                <c:pt idx="63">
                  <c:v>3.6589999999999998E-2</c:v>
                </c:pt>
                <c:pt idx="64">
                  <c:v>3.9210000000000002E-2</c:v>
                </c:pt>
                <c:pt idx="65">
                  <c:v>4.1889999999999997E-2</c:v>
                </c:pt>
                <c:pt idx="66">
                  <c:v>4.4450000000000003E-2</c:v>
                </c:pt>
                <c:pt idx="67">
                  <c:v>4.7140000000000001E-2</c:v>
                </c:pt>
                <c:pt idx="68">
                  <c:v>4.9779999999999998E-2</c:v>
                </c:pt>
                <c:pt idx="69">
                  <c:v>5.2650000000000002E-2</c:v>
                </c:pt>
                <c:pt idx="70">
                  <c:v>5.5780000000000003E-2</c:v>
                </c:pt>
                <c:pt idx="71">
                  <c:v>5.8819999999999997E-2</c:v>
                </c:pt>
                <c:pt idx="72">
                  <c:v>6.2120000000000002E-2</c:v>
                </c:pt>
                <c:pt idx="73">
                  <c:v>6.5640000000000004E-2</c:v>
                </c:pt>
                <c:pt idx="74">
                  <c:v>6.9339999999999999E-2</c:v>
                </c:pt>
                <c:pt idx="75">
                  <c:v>7.3150000000000007E-2</c:v>
                </c:pt>
                <c:pt idx="76">
                  <c:v>7.757E-2</c:v>
                </c:pt>
                <c:pt idx="77">
                  <c:v>8.2589999999999997E-2</c:v>
                </c:pt>
                <c:pt idx="78">
                  <c:v>8.8190000000000004E-2</c:v>
                </c:pt>
                <c:pt idx="79">
                  <c:v>9.443E-2</c:v>
                </c:pt>
                <c:pt idx="80">
                  <c:v>0.10131</c:v>
                </c:pt>
                <c:pt idx="81">
                  <c:v>0.10882</c:v>
                </c:pt>
                <c:pt idx="82">
                  <c:v>0.11703</c:v>
                </c:pt>
                <c:pt idx="83">
                  <c:v>0.12586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BE50_50!$R$8:$R$18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1.8929438808177546E-2</c:v>
                </c:pt>
                <c:pt idx="2">
                  <c:v>1.9137755232710187E-2</c:v>
                </c:pt>
                <c:pt idx="3">
                  <c:v>1.948494927359792E-2</c:v>
                </c:pt>
                <c:pt idx="4">
                  <c:v>1.9971020930840751E-2</c:v>
                </c:pt>
                <c:pt idx="5">
                  <c:v>2.0595970204438672E-2</c:v>
                </c:pt>
                <c:pt idx="6">
                  <c:v>2.1359797094391689E-2</c:v>
                </c:pt>
                <c:pt idx="7">
                  <c:v>2.2262501600699799E-2</c:v>
                </c:pt>
                <c:pt idx="8">
                  <c:v>2.3304083723363005E-2</c:v>
                </c:pt>
                <c:pt idx="9">
                  <c:v>2.4484543462381304E-2</c:v>
                </c:pt>
                <c:pt idx="10">
                  <c:v>2.5803880817754699E-2</c:v>
                </c:pt>
              </c:numCache>
            </c:numRef>
          </c:xVal>
          <c:yVal>
            <c:numRef>
              <c:f>BE50_50!$S$8:$S$18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0.37790000000000001</c:v>
                </c:pt>
                <c:pt idx="2">
                  <c:v>0.47789999999999999</c:v>
                </c:pt>
                <c:pt idx="3">
                  <c:v>0.57789999999999997</c:v>
                </c:pt>
                <c:pt idx="4">
                  <c:v>0.67789999999999995</c:v>
                </c:pt>
                <c:pt idx="5">
                  <c:v>0.77789999999999992</c:v>
                </c:pt>
                <c:pt idx="6">
                  <c:v>0.8778999999999999</c:v>
                </c:pt>
                <c:pt idx="7">
                  <c:v>0.97789999999999988</c:v>
                </c:pt>
                <c:pt idx="8">
                  <c:v>1.0778999999999999</c:v>
                </c:pt>
                <c:pt idx="9">
                  <c:v>1.1778999999999999</c:v>
                </c:pt>
                <c:pt idx="10">
                  <c:v>1.2779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BE50_50!$T$8:$T$18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1.9840931177389116E-2</c:v>
                </c:pt>
                <c:pt idx="2">
                  <c:v>2.2783724709556467E-2</c:v>
                </c:pt>
                <c:pt idx="3">
                  <c:v>2.7688380596502055E-2</c:v>
                </c:pt>
                <c:pt idx="4">
                  <c:v>3.4554898838225878E-2</c:v>
                </c:pt>
                <c:pt idx="5">
                  <c:v>4.3383279434727931E-2</c:v>
                </c:pt>
                <c:pt idx="6">
                  <c:v>5.4173522386008227E-2</c:v>
                </c:pt>
                <c:pt idx="7">
                  <c:v>6.6925627692066739E-2</c:v>
                </c:pt>
                <c:pt idx="8">
                  <c:v>8.1639595352903521E-2</c:v>
                </c:pt>
                <c:pt idx="9">
                  <c:v>9.8315425368518491E-2</c:v>
                </c:pt>
                <c:pt idx="10">
                  <c:v>0.11695311773891173</c:v>
                </c:pt>
              </c:numCache>
            </c:numRef>
          </c:xVal>
          <c:yVal>
            <c:numRef>
              <c:f>BE50_50!$U$8:$U$18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0.17789999999999997</c:v>
                </c:pt>
                <c:pt idx="2">
                  <c:v>7.7899999999999969E-2</c:v>
                </c:pt>
                <c:pt idx="3">
                  <c:v>-2.2100000000000036E-2</c:v>
                </c:pt>
                <c:pt idx="4">
                  <c:v>-0.12210000000000004</c:v>
                </c:pt>
                <c:pt idx="5">
                  <c:v>-0.22210000000000005</c:v>
                </c:pt>
                <c:pt idx="6">
                  <c:v>-0.32210000000000005</c:v>
                </c:pt>
                <c:pt idx="7">
                  <c:v>-0.42210000000000003</c:v>
                </c:pt>
                <c:pt idx="8">
                  <c:v>-0.52210000000000001</c:v>
                </c:pt>
                <c:pt idx="9">
                  <c:v>-0.62209999999999999</c:v>
                </c:pt>
                <c:pt idx="10">
                  <c:v>-0.72209999999999996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320192"/>
        <c:axId val="161806752"/>
      </c:scatterChart>
      <c:valAx>
        <c:axId val="20863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806752"/>
        <c:crosses val="autoZero"/>
        <c:crossBetween val="midCat"/>
      </c:valAx>
      <c:valAx>
        <c:axId val="1618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632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-0.1090830782496456</c:v>
                </c:pt>
                <c:pt idx="4">
                  <c:v>-0.10471975511965977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-8.7266462599716474E-2</c:v>
                </c:pt>
                <c:pt idx="8">
                  <c:v>-8.2903139469730644E-2</c:v>
                </c:pt>
                <c:pt idx="9">
                  <c:v>-7.8539816339744828E-2</c:v>
                </c:pt>
                <c:pt idx="10">
                  <c:v>-7.4176493209759012E-2</c:v>
                </c:pt>
                <c:pt idx="11">
                  <c:v>-6.9813170079773182E-2</c:v>
                </c:pt>
                <c:pt idx="12">
                  <c:v>-6.5449846949787352E-2</c:v>
                </c:pt>
                <c:pt idx="13">
                  <c:v>-6.1086523819801536E-2</c:v>
                </c:pt>
                <c:pt idx="14">
                  <c:v>-5.6723200689815713E-2</c:v>
                </c:pt>
                <c:pt idx="15">
                  <c:v>-5.2359877559829883E-2</c:v>
                </c:pt>
                <c:pt idx="16">
                  <c:v>-4.799655442984406E-2</c:v>
                </c:pt>
                <c:pt idx="17">
                  <c:v>-4.3633231299858237E-2</c:v>
                </c:pt>
                <c:pt idx="18">
                  <c:v>-3.9269908169872414E-2</c:v>
                </c:pt>
                <c:pt idx="19">
                  <c:v>-3.4906585039886591E-2</c:v>
                </c:pt>
                <c:pt idx="20">
                  <c:v>-3.0543261909900768E-2</c:v>
                </c:pt>
                <c:pt idx="21">
                  <c:v>-2.6179938779914941E-2</c:v>
                </c:pt>
                <c:pt idx="22">
                  <c:v>-2.1816615649929118E-2</c:v>
                </c:pt>
                <c:pt idx="23">
                  <c:v>-1.7453292519943295E-2</c:v>
                </c:pt>
                <c:pt idx="24">
                  <c:v>-1.3089969389957471E-2</c:v>
                </c:pt>
                <c:pt idx="25">
                  <c:v>-8.7266462599716477E-3</c:v>
                </c:pt>
                <c:pt idx="26">
                  <c:v>-4.3633231299858239E-3</c:v>
                </c:pt>
                <c:pt idx="27">
                  <c:v>0</c:v>
                </c:pt>
                <c:pt idx="28">
                  <c:v>4.3633231299858239E-3</c:v>
                </c:pt>
                <c:pt idx="29">
                  <c:v>8.7266462599716477E-3</c:v>
                </c:pt>
                <c:pt idx="30">
                  <c:v>1.3089969389957471E-2</c:v>
                </c:pt>
                <c:pt idx="31">
                  <c:v>1.7453292519943295E-2</c:v>
                </c:pt>
                <c:pt idx="32">
                  <c:v>2.1816615649929118E-2</c:v>
                </c:pt>
                <c:pt idx="33">
                  <c:v>2.6179938779914941E-2</c:v>
                </c:pt>
                <c:pt idx="34">
                  <c:v>3.0543261909900768E-2</c:v>
                </c:pt>
                <c:pt idx="35">
                  <c:v>3.4906585039886591E-2</c:v>
                </c:pt>
                <c:pt idx="36">
                  <c:v>3.9269908169872414E-2</c:v>
                </c:pt>
                <c:pt idx="37">
                  <c:v>4.3633231299858237E-2</c:v>
                </c:pt>
                <c:pt idx="38">
                  <c:v>4.799655442984406E-2</c:v>
                </c:pt>
                <c:pt idx="39">
                  <c:v>5.2359877559829883E-2</c:v>
                </c:pt>
                <c:pt idx="40">
                  <c:v>5.6723200689815713E-2</c:v>
                </c:pt>
                <c:pt idx="41">
                  <c:v>6.1086523819801536E-2</c:v>
                </c:pt>
                <c:pt idx="42">
                  <c:v>6.5449846949787352E-2</c:v>
                </c:pt>
                <c:pt idx="43">
                  <c:v>6.9813170079773182E-2</c:v>
                </c:pt>
                <c:pt idx="44">
                  <c:v>7.4176493209759012E-2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  <c:pt idx="71">
                  <c:v>0.19198621771937624</c:v>
                </c:pt>
                <c:pt idx="72">
                  <c:v>0.19634954084936207</c:v>
                </c:pt>
                <c:pt idx="73">
                  <c:v>0.20071286397934787</c:v>
                </c:pt>
                <c:pt idx="74">
                  <c:v>0.20507618710933373</c:v>
                </c:pt>
                <c:pt idx="75">
                  <c:v>0.20943951023931953</c:v>
                </c:pt>
                <c:pt idx="76">
                  <c:v>0.21380283336930536</c:v>
                </c:pt>
                <c:pt idx="77">
                  <c:v>0.21816615649929119</c:v>
                </c:pt>
                <c:pt idx="78">
                  <c:v>0.22252947962927699</c:v>
                </c:pt>
                <c:pt idx="79">
                  <c:v>0.22689280275926285</c:v>
                </c:pt>
                <c:pt idx="80">
                  <c:v>0.23125612588924865</c:v>
                </c:pt>
                <c:pt idx="81">
                  <c:v>0.23561944901923448</c:v>
                </c:pt>
                <c:pt idx="82">
                  <c:v>0.23998277214922031</c:v>
                </c:pt>
                <c:pt idx="83">
                  <c:v>0.24434609527920614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97328"/>
        <c:axId val="1968694608"/>
      </c:scatterChart>
      <c:valAx>
        <c:axId val="196869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8694608"/>
        <c:crosses val="autoZero"/>
        <c:crossBetween val="midCat"/>
      </c:valAx>
      <c:valAx>
        <c:axId val="19686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869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BE50_100!$B$9:$B$115</c:f>
              <c:numCache>
                <c:formatCode>General</c:formatCode>
                <c:ptCount val="107"/>
                <c:pt idx="0">
                  <c:v>9.3280000000000002E-2</c:v>
                </c:pt>
                <c:pt idx="1">
                  <c:v>9.0999999999999998E-2</c:v>
                </c:pt>
                <c:pt idx="2">
                  <c:v>8.8760000000000006E-2</c:v>
                </c:pt>
                <c:pt idx="3">
                  <c:v>8.5580000000000003E-2</c:v>
                </c:pt>
                <c:pt idx="4">
                  <c:v>8.1869999999999998E-2</c:v>
                </c:pt>
                <c:pt idx="5">
                  <c:v>7.7899999999999997E-2</c:v>
                </c:pt>
                <c:pt idx="6">
                  <c:v>7.3870000000000005E-2</c:v>
                </c:pt>
                <c:pt idx="7">
                  <c:v>6.0749999999999998E-2</c:v>
                </c:pt>
                <c:pt idx="8">
                  <c:v>5.6779999999999997E-2</c:v>
                </c:pt>
                <c:pt idx="9">
                  <c:v>5.2069999999999998E-2</c:v>
                </c:pt>
                <c:pt idx="10">
                  <c:v>4.6510000000000003E-2</c:v>
                </c:pt>
                <c:pt idx="11">
                  <c:v>4.0329999999999998E-2</c:v>
                </c:pt>
                <c:pt idx="12">
                  <c:v>3.3480000000000003E-2</c:v>
                </c:pt>
                <c:pt idx="13">
                  <c:v>2.8250000000000001E-2</c:v>
                </c:pt>
                <c:pt idx="14">
                  <c:v>2.5749999999999999E-2</c:v>
                </c:pt>
                <c:pt idx="15">
                  <c:v>2.3310000000000001E-2</c:v>
                </c:pt>
                <c:pt idx="16">
                  <c:v>2.1489999999999999E-2</c:v>
                </c:pt>
                <c:pt idx="17">
                  <c:v>1.9980000000000001E-2</c:v>
                </c:pt>
                <c:pt idx="18">
                  <c:v>1.8880000000000001E-2</c:v>
                </c:pt>
                <c:pt idx="19">
                  <c:v>1.7989999999999999E-2</c:v>
                </c:pt>
                <c:pt idx="20">
                  <c:v>1.721E-2</c:v>
                </c:pt>
                <c:pt idx="21">
                  <c:v>1.6590000000000001E-2</c:v>
                </c:pt>
                <c:pt idx="22">
                  <c:v>1.5959999999999998E-2</c:v>
                </c:pt>
                <c:pt idx="23">
                  <c:v>1.528E-2</c:v>
                </c:pt>
                <c:pt idx="24">
                  <c:v>1.461E-2</c:v>
                </c:pt>
                <c:pt idx="25">
                  <c:v>1.397E-2</c:v>
                </c:pt>
                <c:pt idx="26">
                  <c:v>1.3469999999999999E-2</c:v>
                </c:pt>
                <c:pt idx="27">
                  <c:v>1.259E-2</c:v>
                </c:pt>
                <c:pt idx="28">
                  <c:v>1.2189999999999999E-2</c:v>
                </c:pt>
                <c:pt idx="29">
                  <c:v>1.2160000000000001E-2</c:v>
                </c:pt>
                <c:pt idx="30">
                  <c:v>1.2149999999999999E-2</c:v>
                </c:pt>
                <c:pt idx="31">
                  <c:v>1.214E-2</c:v>
                </c:pt>
                <c:pt idx="32">
                  <c:v>1.214E-2</c:v>
                </c:pt>
                <c:pt idx="33">
                  <c:v>1.217E-2</c:v>
                </c:pt>
                <c:pt idx="34">
                  <c:v>1.222E-2</c:v>
                </c:pt>
                <c:pt idx="35">
                  <c:v>1.23E-2</c:v>
                </c:pt>
                <c:pt idx="36">
                  <c:v>1.2409999999999999E-2</c:v>
                </c:pt>
                <c:pt idx="37">
                  <c:v>1.255E-2</c:v>
                </c:pt>
                <c:pt idx="38">
                  <c:v>1.274E-2</c:v>
                </c:pt>
                <c:pt idx="39">
                  <c:v>1.2959999999999999E-2</c:v>
                </c:pt>
                <c:pt idx="40">
                  <c:v>1.3220000000000001E-2</c:v>
                </c:pt>
                <c:pt idx="41">
                  <c:v>1.3520000000000001E-2</c:v>
                </c:pt>
                <c:pt idx="42">
                  <c:v>1.3849999999999999E-2</c:v>
                </c:pt>
                <c:pt idx="43">
                  <c:v>1.422E-2</c:v>
                </c:pt>
                <c:pt idx="44">
                  <c:v>1.4619999999999999E-2</c:v>
                </c:pt>
                <c:pt idx="45">
                  <c:v>1.504E-2</c:v>
                </c:pt>
                <c:pt idx="46">
                  <c:v>1.5480000000000001E-2</c:v>
                </c:pt>
                <c:pt idx="47">
                  <c:v>1.5939999999999999E-2</c:v>
                </c:pt>
                <c:pt idx="48">
                  <c:v>1.6400000000000001E-2</c:v>
                </c:pt>
                <c:pt idx="49">
                  <c:v>1.687E-2</c:v>
                </c:pt>
                <c:pt idx="50">
                  <c:v>1.7350000000000001E-2</c:v>
                </c:pt>
                <c:pt idx="51">
                  <c:v>1.7850000000000001E-2</c:v>
                </c:pt>
                <c:pt idx="52">
                  <c:v>1.8350000000000002E-2</c:v>
                </c:pt>
                <c:pt idx="53">
                  <c:v>1.8859999999999998E-2</c:v>
                </c:pt>
                <c:pt idx="54">
                  <c:v>1.9390000000000001E-2</c:v>
                </c:pt>
                <c:pt idx="55">
                  <c:v>1.992E-2</c:v>
                </c:pt>
                <c:pt idx="56">
                  <c:v>2.0469999999999999E-2</c:v>
                </c:pt>
                <c:pt idx="57">
                  <c:v>2.0990000000000002E-2</c:v>
                </c:pt>
                <c:pt idx="58">
                  <c:v>2.1489999999999999E-2</c:v>
                </c:pt>
                <c:pt idx="59">
                  <c:v>2.2040000000000001E-2</c:v>
                </c:pt>
                <c:pt idx="60">
                  <c:v>2.2720000000000001E-2</c:v>
                </c:pt>
                <c:pt idx="61">
                  <c:v>2.3640000000000001E-2</c:v>
                </c:pt>
                <c:pt idx="62">
                  <c:v>2.5159999999999998E-2</c:v>
                </c:pt>
                <c:pt idx="63">
                  <c:v>2.717E-2</c:v>
                </c:pt>
                <c:pt idx="64">
                  <c:v>2.8979999999999999E-2</c:v>
                </c:pt>
                <c:pt idx="65">
                  <c:v>3.083E-2</c:v>
                </c:pt>
                <c:pt idx="66">
                  <c:v>3.2399999999999998E-2</c:v>
                </c:pt>
                <c:pt idx="67">
                  <c:v>3.4410000000000003E-2</c:v>
                </c:pt>
                <c:pt idx="68">
                  <c:v>3.6249999999999998E-2</c:v>
                </c:pt>
                <c:pt idx="69">
                  <c:v>3.8089999999999999E-2</c:v>
                </c:pt>
                <c:pt idx="70">
                  <c:v>4.002E-2</c:v>
                </c:pt>
                <c:pt idx="71">
                  <c:v>4.2040000000000001E-2</c:v>
                </c:pt>
                <c:pt idx="72">
                  <c:v>4.4209999999999999E-2</c:v>
                </c:pt>
                <c:pt idx="73">
                  <c:v>4.6850000000000003E-2</c:v>
                </c:pt>
                <c:pt idx="74">
                  <c:v>4.9639999999999997E-2</c:v>
                </c:pt>
                <c:pt idx="75">
                  <c:v>5.2330000000000002E-2</c:v>
                </c:pt>
                <c:pt idx="76">
                  <c:v>5.5309999999999998E-2</c:v>
                </c:pt>
                <c:pt idx="77">
                  <c:v>5.8569999999999997E-2</c:v>
                </c:pt>
                <c:pt idx="78">
                  <c:v>6.2129999999999998E-2</c:v>
                </c:pt>
                <c:pt idx="79">
                  <c:v>6.608E-2</c:v>
                </c:pt>
                <c:pt idx="80">
                  <c:v>7.0400000000000004E-2</c:v>
                </c:pt>
                <c:pt idx="81">
                  <c:v>7.5139999999999998E-2</c:v>
                </c:pt>
                <c:pt idx="82">
                  <c:v>8.0350000000000005E-2</c:v>
                </c:pt>
                <c:pt idx="83">
                  <c:v>8.6080000000000004E-2</c:v>
                </c:pt>
                <c:pt idx="84">
                  <c:v>9.2380000000000004E-2</c:v>
                </c:pt>
                <c:pt idx="85">
                  <c:v>9.9360000000000004E-2</c:v>
                </c:pt>
                <c:pt idx="86">
                  <c:v>0.1071</c:v>
                </c:pt>
                <c:pt idx="87">
                  <c:v>0.11577999999999999</c:v>
                </c:pt>
                <c:pt idx="88">
                  <c:v>0.12545000000000001</c:v>
                </c:pt>
                <c:pt idx="89">
                  <c:v>0.1361</c:v>
                </c:pt>
                <c:pt idx="90">
                  <c:v>0.14784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BE50_100!$R$8:$R$18</c:f>
              <c:numCache>
                <c:formatCode>General</c:formatCode>
                <c:ptCount val="11"/>
                <c:pt idx="0">
                  <c:v>1.214E-2</c:v>
                </c:pt>
                <c:pt idx="1">
                  <c:v>1.2336387313589582E-2</c:v>
                </c:pt>
                <c:pt idx="2">
                  <c:v>1.2925549254358328E-2</c:v>
                </c:pt>
                <c:pt idx="3">
                  <c:v>1.3907485822306238E-2</c:v>
                </c:pt>
                <c:pt idx="4">
                  <c:v>1.5282197017433311E-2</c:v>
                </c:pt>
                <c:pt idx="5">
                  <c:v>1.7049682839739552E-2</c:v>
                </c:pt>
                <c:pt idx="6">
                  <c:v>1.9209943289224957E-2</c:v>
                </c:pt>
                <c:pt idx="7">
                  <c:v>2.1762978365889522E-2</c:v>
                </c:pt>
                <c:pt idx="8">
                  <c:v>2.4708788069733256E-2</c:v>
                </c:pt>
                <c:pt idx="9">
                  <c:v>2.8047372400756158E-2</c:v>
                </c:pt>
                <c:pt idx="10">
                  <c:v>3.1778731358958222E-2</c:v>
                </c:pt>
              </c:numCache>
            </c:numRef>
          </c:xVal>
          <c:yVal>
            <c:numRef>
              <c:f>BE50_100!$S$8:$S$18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0.61580000000000001</c:v>
                </c:pt>
                <c:pt idx="2">
                  <c:v>0.71579999999999999</c:v>
                </c:pt>
                <c:pt idx="3">
                  <c:v>0.81579999999999997</c:v>
                </c:pt>
                <c:pt idx="4">
                  <c:v>0.91579999999999995</c:v>
                </c:pt>
                <c:pt idx="5">
                  <c:v>1.0158</c:v>
                </c:pt>
                <c:pt idx="6">
                  <c:v>1.1158000000000001</c:v>
                </c:pt>
                <c:pt idx="7">
                  <c:v>1.2158000000000002</c:v>
                </c:pt>
                <c:pt idx="8">
                  <c:v>1.3158000000000003</c:v>
                </c:pt>
                <c:pt idx="9">
                  <c:v>1.4158000000000004</c:v>
                </c:pt>
                <c:pt idx="10">
                  <c:v>1.5158000000000005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BE50_100!$T$8:$T$18</c:f>
              <c:numCache>
                <c:formatCode>General</c:formatCode>
                <c:ptCount val="11"/>
                <c:pt idx="0">
                  <c:v>1.214E-2</c:v>
                </c:pt>
                <c:pt idx="1">
                  <c:v>1.2532696718569179E-2</c:v>
                </c:pt>
                <c:pt idx="2">
                  <c:v>1.3710786874276718E-2</c:v>
                </c:pt>
                <c:pt idx="3">
                  <c:v>1.5674270467122615E-2</c:v>
                </c:pt>
                <c:pt idx="4">
                  <c:v>1.8423147497106877E-2</c:v>
                </c:pt>
                <c:pt idx="5">
                  <c:v>2.1957417964229495E-2</c:v>
                </c:pt>
                <c:pt idx="6">
                  <c:v>2.6277081868490471E-2</c:v>
                </c:pt>
                <c:pt idx="7">
                  <c:v>3.138213920988981E-2</c:v>
                </c:pt>
                <c:pt idx="8">
                  <c:v>3.7272589988427515E-2</c:v>
                </c:pt>
                <c:pt idx="9">
                  <c:v>4.3948434204103562E-2</c:v>
                </c:pt>
                <c:pt idx="10">
                  <c:v>5.1409671856917978E-2</c:v>
                </c:pt>
              </c:numCache>
            </c:numRef>
          </c:xVal>
          <c:yVal>
            <c:numRef>
              <c:f>BE50_100!$U$8:$U$18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0.41580000000000006</c:v>
                </c:pt>
                <c:pt idx="2">
                  <c:v>0.31580000000000008</c:v>
                </c:pt>
                <c:pt idx="3">
                  <c:v>0.21580000000000008</c:v>
                </c:pt>
                <c:pt idx="4">
                  <c:v>0.11580000000000007</c:v>
                </c:pt>
                <c:pt idx="5">
                  <c:v>1.5800000000000064E-2</c:v>
                </c:pt>
                <c:pt idx="6">
                  <c:v>-8.4199999999999942E-2</c:v>
                </c:pt>
                <c:pt idx="7">
                  <c:v>-0.18419999999999995</c:v>
                </c:pt>
                <c:pt idx="8">
                  <c:v>-0.28419999999999995</c:v>
                </c:pt>
                <c:pt idx="9">
                  <c:v>-0.38419999999999999</c:v>
                </c:pt>
                <c:pt idx="10">
                  <c:v>-0.48419999999999996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73888"/>
        <c:axId val="161471712"/>
      </c:scatterChart>
      <c:valAx>
        <c:axId val="16147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71712"/>
        <c:crosses val="autoZero"/>
        <c:crossBetween val="midCat"/>
      </c:valAx>
      <c:valAx>
        <c:axId val="161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BE50_100!$I$9:$I$115</c:f>
              <c:numCache>
                <c:formatCode>General</c:formatCode>
                <c:ptCount val="107"/>
                <c:pt idx="0">
                  <c:v>-0.1308996938995747</c:v>
                </c:pt>
                <c:pt idx="1">
                  <c:v>-0.1265363707695889</c:v>
                </c:pt>
                <c:pt idx="2">
                  <c:v>-0.12217304763960307</c:v>
                </c:pt>
                <c:pt idx="3">
                  <c:v>-0.11780972450961724</c:v>
                </c:pt>
                <c:pt idx="4">
                  <c:v>-0.11344640137963143</c:v>
                </c:pt>
                <c:pt idx="5">
                  <c:v>-0.1090830782496456</c:v>
                </c:pt>
                <c:pt idx="6">
                  <c:v>-0.10471975511965977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  <c:pt idx="76">
                  <c:v>0.20507618710933373</c:v>
                </c:pt>
                <c:pt idx="77">
                  <c:v>0.20943951023931953</c:v>
                </c:pt>
                <c:pt idx="78">
                  <c:v>0.21380283336930536</c:v>
                </c:pt>
                <c:pt idx="79">
                  <c:v>0.21816615649929119</c:v>
                </c:pt>
                <c:pt idx="80">
                  <c:v>0.22252947962927699</c:v>
                </c:pt>
                <c:pt idx="81">
                  <c:v>0.22689280275926285</c:v>
                </c:pt>
                <c:pt idx="82">
                  <c:v>0.23125612588924865</c:v>
                </c:pt>
                <c:pt idx="83">
                  <c:v>0.23561944901923448</c:v>
                </c:pt>
                <c:pt idx="84">
                  <c:v>0.23998277214922031</c:v>
                </c:pt>
                <c:pt idx="85">
                  <c:v>0.24434609527920614</c:v>
                </c:pt>
                <c:pt idx="86">
                  <c:v>0.24870941840919195</c:v>
                </c:pt>
                <c:pt idx="87">
                  <c:v>0.2530727415391778</c:v>
                </c:pt>
                <c:pt idx="88">
                  <c:v>0.25743606466916358</c:v>
                </c:pt>
                <c:pt idx="89">
                  <c:v>0.26179938779914941</c:v>
                </c:pt>
                <c:pt idx="90">
                  <c:v>0.26616271092913524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60832"/>
        <c:axId val="161470080"/>
      </c:scatterChart>
      <c:valAx>
        <c:axId val="16146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70080"/>
        <c:crosses val="autoZero"/>
        <c:crossBetween val="midCat"/>
      </c:valAx>
      <c:valAx>
        <c:axId val="1614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CR001_100!$B$9:$B$102</c:f>
              <c:numCache>
                <c:formatCode>General</c:formatCode>
                <c:ptCount val="94"/>
                <c:pt idx="0">
                  <c:v>0.10378999999999999</c:v>
                </c:pt>
                <c:pt idx="1">
                  <c:v>0.10218000000000001</c:v>
                </c:pt>
                <c:pt idx="2">
                  <c:v>0.10057000000000001</c:v>
                </c:pt>
                <c:pt idx="3">
                  <c:v>9.8350000000000007E-2</c:v>
                </c:pt>
                <c:pt idx="4">
                  <c:v>9.5750000000000002E-2</c:v>
                </c:pt>
                <c:pt idx="5">
                  <c:v>9.0520000000000003E-2</c:v>
                </c:pt>
                <c:pt idx="6">
                  <c:v>8.8230000000000003E-2</c:v>
                </c:pt>
                <c:pt idx="7">
                  <c:v>8.5949999999999999E-2</c:v>
                </c:pt>
                <c:pt idx="8">
                  <c:v>8.3529999999999993E-2</c:v>
                </c:pt>
                <c:pt idx="9">
                  <c:v>8.0909999999999996E-2</c:v>
                </c:pt>
                <c:pt idx="10">
                  <c:v>7.8E-2</c:v>
                </c:pt>
                <c:pt idx="11">
                  <c:v>7.1499999999999994E-2</c:v>
                </c:pt>
                <c:pt idx="12">
                  <c:v>6.1449999999999998E-2</c:v>
                </c:pt>
                <c:pt idx="13">
                  <c:v>5.7250000000000002E-2</c:v>
                </c:pt>
                <c:pt idx="14">
                  <c:v>4.6260000000000003E-2</c:v>
                </c:pt>
                <c:pt idx="15">
                  <c:v>4.1489999999999999E-2</c:v>
                </c:pt>
                <c:pt idx="16">
                  <c:v>3.7010000000000001E-2</c:v>
                </c:pt>
                <c:pt idx="17">
                  <c:v>3.2779999999999997E-2</c:v>
                </c:pt>
                <c:pt idx="18">
                  <c:v>2.9610000000000001E-2</c:v>
                </c:pt>
                <c:pt idx="19">
                  <c:v>2.7369999999999998E-2</c:v>
                </c:pt>
                <c:pt idx="20">
                  <c:v>2.4799999999999999E-2</c:v>
                </c:pt>
                <c:pt idx="21">
                  <c:v>2.257E-2</c:v>
                </c:pt>
                <c:pt idx="22">
                  <c:v>2.1190000000000001E-2</c:v>
                </c:pt>
                <c:pt idx="23">
                  <c:v>2.0250000000000001E-2</c:v>
                </c:pt>
                <c:pt idx="24">
                  <c:v>1.9230000000000001E-2</c:v>
                </c:pt>
                <c:pt idx="25">
                  <c:v>1.8249999999999999E-2</c:v>
                </c:pt>
                <c:pt idx="26">
                  <c:v>1.7469999999999999E-2</c:v>
                </c:pt>
                <c:pt idx="27">
                  <c:v>1.6899999999999998E-2</c:v>
                </c:pt>
                <c:pt idx="28">
                  <c:v>1.6129999999999999E-2</c:v>
                </c:pt>
                <c:pt idx="29">
                  <c:v>1.4930000000000001E-2</c:v>
                </c:pt>
                <c:pt idx="30">
                  <c:v>1.333E-2</c:v>
                </c:pt>
                <c:pt idx="31">
                  <c:v>1.332E-2</c:v>
                </c:pt>
                <c:pt idx="32">
                  <c:v>1.325E-2</c:v>
                </c:pt>
                <c:pt idx="33">
                  <c:v>1.325E-2</c:v>
                </c:pt>
                <c:pt idx="34">
                  <c:v>1.323E-2</c:v>
                </c:pt>
                <c:pt idx="35">
                  <c:v>1.315E-2</c:v>
                </c:pt>
                <c:pt idx="36">
                  <c:v>1.3169999999999999E-2</c:v>
                </c:pt>
                <c:pt idx="37">
                  <c:v>1.3169999999999999E-2</c:v>
                </c:pt>
                <c:pt idx="38">
                  <c:v>1.3180000000000001E-2</c:v>
                </c:pt>
                <c:pt idx="39">
                  <c:v>1.319E-2</c:v>
                </c:pt>
                <c:pt idx="40">
                  <c:v>1.32E-2</c:v>
                </c:pt>
                <c:pt idx="41">
                  <c:v>1.3220000000000001E-2</c:v>
                </c:pt>
                <c:pt idx="42">
                  <c:v>1.3270000000000001E-2</c:v>
                </c:pt>
                <c:pt idx="43">
                  <c:v>1.3350000000000001E-2</c:v>
                </c:pt>
                <c:pt idx="44">
                  <c:v>1.345E-2</c:v>
                </c:pt>
                <c:pt idx="45">
                  <c:v>1.3610000000000001E-2</c:v>
                </c:pt>
                <c:pt idx="46">
                  <c:v>1.3780000000000001E-2</c:v>
                </c:pt>
                <c:pt idx="47">
                  <c:v>1.3990000000000001E-2</c:v>
                </c:pt>
                <c:pt idx="48">
                  <c:v>1.422E-2</c:v>
                </c:pt>
                <c:pt idx="49">
                  <c:v>1.4489999999999999E-2</c:v>
                </c:pt>
                <c:pt idx="50">
                  <c:v>1.4789999999999999E-2</c:v>
                </c:pt>
                <c:pt idx="51">
                  <c:v>1.512E-2</c:v>
                </c:pt>
                <c:pt idx="52">
                  <c:v>1.549E-2</c:v>
                </c:pt>
                <c:pt idx="53">
                  <c:v>1.5900000000000001E-2</c:v>
                </c:pt>
                <c:pt idx="54">
                  <c:v>1.635E-2</c:v>
                </c:pt>
                <c:pt idx="55">
                  <c:v>1.686E-2</c:v>
                </c:pt>
                <c:pt idx="56">
                  <c:v>1.7440000000000001E-2</c:v>
                </c:pt>
                <c:pt idx="57">
                  <c:v>1.8079999999999999E-2</c:v>
                </c:pt>
                <c:pt idx="58">
                  <c:v>1.8790000000000001E-2</c:v>
                </c:pt>
                <c:pt idx="59">
                  <c:v>1.9570000000000001E-2</c:v>
                </c:pt>
                <c:pt idx="60">
                  <c:v>2.0400000000000001E-2</c:v>
                </c:pt>
                <c:pt idx="61">
                  <c:v>2.1260000000000001E-2</c:v>
                </c:pt>
                <c:pt idx="62">
                  <c:v>2.2169999999999999E-2</c:v>
                </c:pt>
                <c:pt idx="63">
                  <c:v>2.3120000000000002E-2</c:v>
                </c:pt>
                <c:pt idx="64">
                  <c:v>2.418E-2</c:v>
                </c:pt>
                <c:pt idx="65">
                  <c:v>2.537E-2</c:v>
                </c:pt>
                <c:pt idx="66">
                  <c:v>2.6679999999999999E-2</c:v>
                </c:pt>
                <c:pt idx="67">
                  <c:v>2.8160000000000001E-2</c:v>
                </c:pt>
                <c:pt idx="68">
                  <c:v>2.963E-2</c:v>
                </c:pt>
                <c:pt idx="69">
                  <c:v>3.116E-2</c:v>
                </c:pt>
                <c:pt idx="70">
                  <c:v>3.2649999999999998E-2</c:v>
                </c:pt>
                <c:pt idx="71">
                  <c:v>3.4520000000000002E-2</c:v>
                </c:pt>
                <c:pt idx="72">
                  <c:v>3.6260000000000001E-2</c:v>
                </c:pt>
                <c:pt idx="73">
                  <c:v>3.805E-2</c:v>
                </c:pt>
                <c:pt idx="74">
                  <c:v>3.9879999999999999E-2</c:v>
                </c:pt>
                <c:pt idx="75">
                  <c:v>4.2299999999999997E-2</c:v>
                </c:pt>
                <c:pt idx="76">
                  <c:v>4.444E-2</c:v>
                </c:pt>
                <c:pt idx="77">
                  <c:v>4.6920000000000003E-2</c:v>
                </c:pt>
                <c:pt idx="78">
                  <c:v>4.9599999999999998E-2</c:v>
                </c:pt>
                <c:pt idx="79">
                  <c:v>5.2440000000000001E-2</c:v>
                </c:pt>
                <c:pt idx="80">
                  <c:v>5.5320000000000001E-2</c:v>
                </c:pt>
                <c:pt idx="81">
                  <c:v>5.8299999999999998E-2</c:v>
                </c:pt>
                <c:pt idx="82">
                  <c:v>6.157E-2</c:v>
                </c:pt>
                <c:pt idx="83">
                  <c:v>6.5479999999999997E-2</c:v>
                </c:pt>
                <c:pt idx="84">
                  <c:v>7.0129999999999998E-2</c:v>
                </c:pt>
                <c:pt idx="85">
                  <c:v>7.4810000000000001E-2</c:v>
                </c:pt>
                <c:pt idx="86">
                  <c:v>8.004E-2</c:v>
                </c:pt>
                <c:pt idx="87">
                  <c:v>8.5889999999999994E-2</c:v>
                </c:pt>
                <c:pt idx="88">
                  <c:v>9.2359999999999998E-2</c:v>
                </c:pt>
                <c:pt idx="89">
                  <c:v>9.9430000000000004E-2</c:v>
                </c:pt>
                <c:pt idx="90">
                  <c:v>0.10711</c:v>
                </c:pt>
                <c:pt idx="91">
                  <c:v>0.11551</c:v>
                </c:pt>
                <c:pt idx="92">
                  <c:v>0.1245</c:v>
                </c:pt>
                <c:pt idx="93">
                  <c:v>0.13391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CR001_100!$R$8:$R$18</c:f>
              <c:numCache>
                <c:formatCode>General</c:formatCode>
                <c:ptCount val="11"/>
                <c:pt idx="0">
                  <c:v>1.315E-2</c:v>
                </c:pt>
                <c:pt idx="1">
                  <c:v>1.3338119835396961E-2</c:v>
                </c:pt>
                <c:pt idx="2">
                  <c:v>1.3902479341587842E-2</c:v>
                </c:pt>
                <c:pt idx="3">
                  <c:v>1.4843078518572642E-2</c:v>
                </c:pt>
                <c:pt idx="4">
                  <c:v>1.6159917366351365E-2</c:v>
                </c:pt>
                <c:pt idx="5">
                  <c:v>1.7852995884924009E-2</c:v>
                </c:pt>
                <c:pt idx="6">
                  <c:v>1.9922314074290577E-2</c:v>
                </c:pt>
                <c:pt idx="7">
                  <c:v>2.2367871934451063E-2</c:v>
                </c:pt>
                <c:pt idx="8">
                  <c:v>2.5189669465405472E-2</c:v>
                </c:pt>
                <c:pt idx="9">
                  <c:v>2.8387706667153803E-2</c:v>
                </c:pt>
                <c:pt idx="10">
                  <c:v>3.1961983539696058E-2</c:v>
                </c:pt>
              </c:numCache>
            </c:numRef>
          </c:xVal>
          <c:yVal>
            <c:numRef>
              <c:f>CR001_100!$S$8:$S$18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0.63119999999999998</c:v>
                </c:pt>
                <c:pt idx="2">
                  <c:v>0.73119999999999996</c:v>
                </c:pt>
                <c:pt idx="3">
                  <c:v>0.83119999999999994</c:v>
                </c:pt>
                <c:pt idx="4">
                  <c:v>0.93119999999999992</c:v>
                </c:pt>
                <c:pt idx="5">
                  <c:v>1.0311999999999999</c:v>
                </c:pt>
                <c:pt idx="6">
                  <c:v>1.1312</c:v>
                </c:pt>
                <c:pt idx="7">
                  <c:v>1.2312000000000001</c:v>
                </c:pt>
                <c:pt idx="8">
                  <c:v>1.3312000000000002</c:v>
                </c:pt>
                <c:pt idx="9">
                  <c:v>1.4312000000000002</c:v>
                </c:pt>
                <c:pt idx="10">
                  <c:v>1.5312000000000003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CR001_100!$T$8:$T$18</c:f>
              <c:numCache>
                <c:formatCode>General</c:formatCode>
                <c:ptCount val="11"/>
                <c:pt idx="0">
                  <c:v>1.315E-2</c:v>
                </c:pt>
                <c:pt idx="1">
                  <c:v>1.3666983772872253E-2</c:v>
                </c:pt>
                <c:pt idx="2">
                  <c:v>1.5217935091489007E-2</c:v>
                </c:pt>
                <c:pt idx="3">
                  <c:v>1.7802853955850267E-2</c:v>
                </c:pt>
                <c:pt idx="4">
                  <c:v>2.1421740365956034E-2</c:v>
                </c:pt>
                <c:pt idx="5">
                  <c:v>2.6074594321806303E-2</c:v>
                </c:pt>
                <c:pt idx="6">
                  <c:v>3.1761415823401078E-2</c:v>
                </c:pt>
                <c:pt idx="7">
                  <c:v>3.8482204870740354E-2</c:v>
                </c:pt>
                <c:pt idx="8">
                  <c:v>4.6236961463824146E-2</c:v>
                </c:pt>
                <c:pt idx="9">
                  <c:v>5.5025685602652433E-2</c:v>
                </c:pt>
                <c:pt idx="10">
                  <c:v>6.4848377287225215E-2</c:v>
                </c:pt>
              </c:numCache>
            </c:numRef>
          </c:xVal>
          <c:yVal>
            <c:numRef>
              <c:f>CR001_100!$U$8:$U$18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0.43120000000000003</c:v>
                </c:pt>
                <c:pt idx="2">
                  <c:v>0.33120000000000005</c:v>
                </c:pt>
                <c:pt idx="3">
                  <c:v>0.23120000000000004</c:v>
                </c:pt>
                <c:pt idx="4">
                  <c:v>0.13120000000000004</c:v>
                </c:pt>
                <c:pt idx="5">
                  <c:v>3.1200000000000033E-2</c:v>
                </c:pt>
                <c:pt idx="6">
                  <c:v>-6.8799999999999972E-2</c:v>
                </c:pt>
                <c:pt idx="7">
                  <c:v>-0.16879999999999998</c:v>
                </c:pt>
                <c:pt idx="8">
                  <c:v>-0.26879999999999998</c:v>
                </c:pt>
                <c:pt idx="9">
                  <c:v>-0.36880000000000002</c:v>
                </c:pt>
                <c:pt idx="10">
                  <c:v>-0.46879999999999999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64096"/>
        <c:axId val="161465728"/>
      </c:scatterChart>
      <c:valAx>
        <c:axId val="1614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5728"/>
        <c:crosses val="autoZero"/>
        <c:crossBetween val="midCat"/>
      </c:valAx>
      <c:valAx>
        <c:axId val="1614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CR001_100!$I$9:$I$102</c:f>
              <c:numCache>
                <c:formatCode>General</c:formatCode>
                <c:ptCount val="94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  <c:pt idx="71">
                  <c:v>0.17016960206944712</c:v>
                </c:pt>
                <c:pt idx="72">
                  <c:v>0.17453292519943295</c:v>
                </c:pt>
                <c:pt idx="73">
                  <c:v>0.17889624832941875</c:v>
                </c:pt>
                <c:pt idx="74">
                  <c:v>0.18325957145940461</c:v>
                </c:pt>
                <c:pt idx="75">
                  <c:v>0.18762289458939041</c:v>
                </c:pt>
                <c:pt idx="76">
                  <c:v>0.19198621771937624</c:v>
                </c:pt>
                <c:pt idx="77">
                  <c:v>0.19634954084936207</c:v>
                </c:pt>
                <c:pt idx="78">
                  <c:v>0.20071286397934787</c:v>
                </c:pt>
                <c:pt idx="79">
                  <c:v>0.20507618710933373</c:v>
                </c:pt>
                <c:pt idx="80">
                  <c:v>0.20943951023931953</c:v>
                </c:pt>
                <c:pt idx="81">
                  <c:v>0.21380283336930536</c:v>
                </c:pt>
                <c:pt idx="82">
                  <c:v>0.21816615649929119</c:v>
                </c:pt>
                <c:pt idx="83">
                  <c:v>0.22252947962927699</c:v>
                </c:pt>
                <c:pt idx="84">
                  <c:v>0.22689280275926285</c:v>
                </c:pt>
                <c:pt idx="85">
                  <c:v>0.23125612588924865</c:v>
                </c:pt>
                <c:pt idx="86">
                  <c:v>0.23561944901923448</c:v>
                </c:pt>
                <c:pt idx="87">
                  <c:v>0.23998277214922031</c:v>
                </c:pt>
                <c:pt idx="88">
                  <c:v>0.24434609527920614</c:v>
                </c:pt>
                <c:pt idx="89">
                  <c:v>0.24870941840919195</c:v>
                </c:pt>
                <c:pt idx="90">
                  <c:v>0.2530727415391778</c:v>
                </c:pt>
                <c:pt idx="91">
                  <c:v>0.25743606466916358</c:v>
                </c:pt>
                <c:pt idx="92">
                  <c:v>0.26179938779914941</c:v>
                </c:pt>
                <c:pt idx="93">
                  <c:v>0.26616271092913524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68448"/>
        <c:axId val="161460288"/>
      </c:scatterChart>
      <c:valAx>
        <c:axId val="1614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0288"/>
        <c:crosses val="autoZero"/>
        <c:crossBetween val="midCat"/>
      </c:valAx>
      <c:valAx>
        <c:axId val="1614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HS1_712_100!$B$9:$B$115</c:f>
              <c:numCache>
                <c:formatCode>General</c:formatCode>
                <c:ptCount val="107"/>
                <c:pt idx="0">
                  <c:v>0.12181</c:v>
                </c:pt>
                <c:pt idx="1">
                  <c:v>0.11902</c:v>
                </c:pt>
                <c:pt idx="2">
                  <c:v>0.10752</c:v>
                </c:pt>
                <c:pt idx="3">
                  <c:v>0.10439</c:v>
                </c:pt>
                <c:pt idx="4">
                  <c:v>0.10012</c:v>
                </c:pt>
                <c:pt idx="5">
                  <c:v>9.4579999999999997E-2</c:v>
                </c:pt>
                <c:pt idx="6">
                  <c:v>8.6870000000000003E-2</c:v>
                </c:pt>
                <c:pt idx="7">
                  <c:v>6.8159999999999998E-2</c:v>
                </c:pt>
                <c:pt idx="8">
                  <c:v>5.0479999999999997E-2</c:v>
                </c:pt>
                <c:pt idx="9">
                  <c:v>4.5159999999999999E-2</c:v>
                </c:pt>
                <c:pt idx="10">
                  <c:v>3.8460000000000001E-2</c:v>
                </c:pt>
                <c:pt idx="11">
                  <c:v>3.6170000000000001E-2</c:v>
                </c:pt>
                <c:pt idx="12">
                  <c:v>3.347E-2</c:v>
                </c:pt>
                <c:pt idx="13">
                  <c:v>3.1980000000000001E-2</c:v>
                </c:pt>
                <c:pt idx="14">
                  <c:v>3.0669999999999999E-2</c:v>
                </c:pt>
                <c:pt idx="15">
                  <c:v>2.9700000000000001E-2</c:v>
                </c:pt>
                <c:pt idx="16">
                  <c:v>2.8709999999999999E-2</c:v>
                </c:pt>
                <c:pt idx="17">
                  <c:v>2.7890000000000002E-2</c:v>
                </c:pt>
                <c:pt idx="18">
                  <c:v>2.7320000000000001E-2</c:v>
                </c:pt>
                <c:pt idx="19">
                  <c:v>2.6700000000000002E-2</c:v>
                </c:pt>
                <c:pt idx="20">
                  <c:v>2.6079999999999999E-2</c:v>
                </c:pt>
                <c:pt idx="21">
                  <c:v>2.5649999999999999E-2</c:v>
                </c:pt>
                <c:pt idx="22">
                  <c:v>2.5170000000000001E-2</c:v>
                </c:pt>
                <c:pt idx="23">
                  <c:v>2.46E-2</c:v>
                </c:pt>
                <c:pt idx="24">
                  <c:v>2.4199999999999999E-2</c:v>
                </c:pt>
                <c:pt idx="25">
                  <c:v>2.375E-2</c:v>
                </c:pt>
                <c:pt idx="26">
                  <c:v>2.3290000000000002E-2</c:v>
                </c:pt>
                <c:pt idx="27">
                  <c:v>2.317E-2</c:v>
                </c:pt>
                <c:pt idx="28">
                  <c:v>2.2859999999999998E-2</c:v>
                </c:pt>
                <c:pt idx="29">
                  <c:v>2.256E-2</c:v>
                </c:pt>
                <c:pt idx="30">
                  <c:v>2.2290000000000001E-2</c:v>
                </c:pt>
                <c:pt idx="31">
                  <c:v>2.1749999999999999E-2</c:v>
                </c:pt>
                <c:pt idx="32">
                  <c:v>2.155E-2</c:v>
                </c:pt>
                <c:pt idx="33">
                  <c:v>2.0809999999999999E-2</c:v>
                </c:pt>
                <c:pt idx="34">
                  <c:v>1.949E-2</c:v>
                </c:pt>
                <c:pt idx="35">
                  <c:v>1.8890000000000001E-2</c:v>
                </c:pt>
                <c:pt idx="36">
                  <c:v>1.873E-2</c:v>
                </c:pt>
                <c:pt idx="37">
                  <c:v>1.8290000000000001E-2</c:v>
                </c:pt>
                <c:pt idx="38">
                  <c:v>1.821E-2</c:v>
                </c:pt>
                <c:pt idx="39">
                  <c:v>1.7950000000000001E-2</c:v>
                </c:pt>
                <c:pt idx="40">
                  <c:v>1.754E-2</c:v>
                </c:pt>
                <c:pt idx="41">
                  <c:v>1.7520000000000001E-2</c:v>
                </c:pt>
                <c:pt idx="42">
                  <c:v>1.7930000000000001E-2</c:v>
                </c:pt>
                <c:pt idx="43">
                  <c:v>1.7639999999999999E-2</c:v>
                </c:pt>
                <c:pt idx="44">
                  <c:v>1.736E-2</c:v>
                </c:pt>
                <c:pt idx="45">
                  <c:v>1.719E-2</c:v>
                </c:pt>
                <c:pt idx="46">
                  <c:v>1.7180000000000001E-2</c:v>
                </c:pt>
                <c:pt idx="47">
                  <c:v>1.7350000000000001E-2</c:v>
                </c:pt>
                <c:pt idx="48">
                  <c:v>1.7559999999999999E-2</c:v>
                </c:pt>
                <c:pt idx="49">
                  <c:v>1.78E-2</c:v>
                </c:pt>
                <c:pt idx="50">
                  <c:v>1.8069999999999999E-2</c:v>
                </c:pt>
                <c:pt idx="51">
                  <c:v>1.8360000000000001E-2</c:v>
                </c:pt>
                <c:pt idx="52">
                  <c:v>1.8689999999999998E-2</c:v>
                </c:pt>
                <c:pt idx="53">
                  <c:v>1.907E-2</c:v>
                </c:pt>
                <c:pt idx="54">
                  <c:v>1.951E-2</c:v>
                </c:pt>
                <c:pt idx="55">
                  <c:v>2.001E-2</c:v>
                </c:pt>
                <c:pt idx="56">
                  <c:v>2.1160000000000002E-2</c:v>
                </c:pt>
                <c:pt idx="57">
                  <c:v>2.1749999999999999E-2</c:v>
                </c:pt>
                <c:pt idx="58">
                  <c:v>2.2349999999999998E-2</c:v>
                </c:pt>
                <c:pt idx="59">
                  <c:v>2.2960000000000001E-2</c:v>
                </c:pt>
                <c:pt idx="60">
                  <c:v>2.358E-2</c:v>
                </c:pt>
                <c:pt idx="61">
                  <c:v>2.4199999999999999E-2</c:v>
                </c:pt>
                <c:pt idx="62">
                  <c:v>2.4889999999999999E-2</c:v>
                </c:pt>
                <c:pt idx="63">
                  <c:v>2.5510000000000001E-2</c:v>
                </c:pt>
                <c:pt idx="64">
                  <c:v>2.615E-2</c:v>
                </c:pt>
                <c:pt idx="65">
                  <c:v>2.682E-2</c:v>
                </c:pt>
                <c:pt idx="66">
                  <c:v>2.7400000000000001E-2</c:v>
                </c:pt>
                <c:pt idx="67">
                  <c:v>2.8070000000000001E-2</c:v>
                </c:pt>
                <c:pt idx="68">
                  <c:v>2.8760000000000001E-2</c:v>
                </c:pt>
                <c:pt idx="69">
                  <c:v>2.947E-2</c:v>
                </c:pt>
                <c:pt idx="70">
                  <c:v>3.0259999999999999E-2</c:v>
                </c:pt>
                <c:pt idx="71">
                  <c:v>3.1029999999999999E-2</c:v>
                </c:pt>
                <c:pt idx="72">
                  <c:v>3.1949999999999999E-2</c:v>
                </c:pt>
                <c:pt idx="73">
                  <c:v>3.2820000000000002E-2</c:v>
                </c:pt>
                <c:pt idx="74">
                  <c:v>3.3820000000000003E-2</c:v>
                </c:pt>
                <c:pt idx="75">
                  <c:v>3.492E-2</c:v>
                </c:pt>
                <c:pt idx="76">
                  <c:v>3.6040000000000003E-2</c:v>
                </c:pt>
                <c:pt idx="77">
                  <c:v>3.7319999999999999E-2</c:v>
                </c:pt>
                <c:pt idx="78">
                  <c:v>3.8690000000000002E-2</c:v>
                </c:pt>
                <c:pt idx="79">
                  <c:v>4.0079999999999998E-2</c:v>
                </c:pt>
                <c:pt idx="80">
                  <c:v>4.1730000000000003E-2</c:v>
                </c:pt>
                <c:pt idx="81">
                  <c:v>4.3299999999999998E-2</c:v>
                </c:pt>
                <c:pt idx="82">
                  <c:v>4.514E-2</c:v>
                </c:pt>
                <c:pt idx="83">
                  <c:v>4.6940000000000003E-2</c:v>
                </c:pt>
                <c:pt idx="84">
                  <c:v>5.1040000000000002E-2</c:v>
                </c:pt>
                <c:pt idx="85">
                  <c:v>5.3289999999999997E-2</c:v>
                </c:pt>
                <c:pt idx="86">
                  <c:v>5.5710000000000003E-2</c:v>
                </c:pt>
                <c:pt idx="87">
                  <c:v>5.8000000000000003E-2</c:v>
                </c:pt>
                <c:pt idx="88">
                  <c:v>6.0589999999999998E-2</c:v>
                </c:pt>
                <c:pt idx="89">
                  <c:v>6.3469999999999999E-2</c:v>
                </c:pt>
                <c:pt idx="90">
                  <c:v>6.6220000000000001E-2</c:v>
                </c:pt>
                <c:pt idx="91">
                  <c:v>6.93E-2</c:v>
                </c:pt>
                <c:pt idx="92">
                  <c:v>7.2620000000000004E-2</c:v>
                </c:pt>
                <c:pt idx="93">
                  <c:v>7.5850000000000001E-2</c:v>
                </c:pt>
                <c:pt idx="94">
                  <c:v>7.9390000000000002E-2</c:v>
                </c:pt>
                <c:pt idx="95">
                  <c:v>8.3150000000000002E-2</c:v>
                </c:pt>
                <c:pt idx="96">
                  <c:v>8.7069999999999995E-2</c:v>
                </c:pt>
                <c:pt idx="97">
                  <c:v>9.1240000000000002E-2</c:v>
                </c:pt>
                <c:pt idx="98">
                  <c:v>9.5479999999999995E-2</c:v>
                </c:pt>
                <c:pt idx="99">
                  <c:v>9.9900000000000003E-2</c:v>
                </c:pt>
                <c:pt idx="100">
                  <c:v>0.10425</c:v>
                </c:pt>
                <c:pt idx="101">
                  <c:v>0.10811</c:v>
                </c:pt>
                <c:pt idx="102">
                  <c:v>0.11323</c:v>
                </c:pt>
                <c:pt idx="103">
                  <c:v>0.11738</c:v>
                </c:pt>
                <c:pt idx="104">
                  <c:v>0.12257</c:v>
                </c:pt>
                <c:pt idx="105">
                  <c:v>0.12837000000000001</c:v>
                </c:pt>
                <c:pt idx="106">
                  <c:v>0.13285</c:v>
                </c:pt>
              </c:numCache>
            </c:numRef>
          </c:xVal>
          <c:yVal>
            <c:numRef>
              <c:f>HS1_712_100!$C$9:$C$115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HS1_712_100!$R$8:$R$18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1.7744166666666669E-2</c:v>
                </c:pt>
                <c:pt idx="2">
                  <c:v>1.9436666666666672E-2</c:v>
                </c:pt>
                <c:pt idx="3">
                  <c:v>2.225750000000001E-2</c:v>
                </c:pt>
                <c:pt idx="4">
                  <c:v>2.6206666666666684E-2</c:v>
                </c:pt>
                <c:pt idx="5">
                  <c:v>3.1284166666666689E-2</c:v>
                </c:pt>
                <c:pt idx="6">
                  <c:v>3.7490000000000037E-2</c:v>
                </c:pt>
                <c:pt idx="7">
                  <c:v>4.4824166666666714E-2</c:v>
                </c:pt>
                <c:pt idx="8">
                  <c:v>5.3286666666666725E-2</c:v>
                </c:pt>
                <c:pt idx="9">
                  <c:v>6.2877500000000072E-2</c:v>
                </c:pt>
                <c:pt idx="10">
                  <c:v>7.3596666666666755E-2</c:v>
                </c:pt>
              </c:numCache>
            </c:numRef>
          </c:xVal>
          <c:yVal>
            <c:numRef>
              <c:f>HS1_712_100!$S$8:$S$18</c:f>
              <c:numCache>
                <c:formatCode>General</c:formatCode>
                <c:ptCount val="11"/>
                <c:pt idx="0">
                  <c:v>0.9335</c:v>
                </c:pt>
                <c:pt idx="1">
                  <c:v>1.0335000000000001</c:v>
                </c:pt>
                <c:pt idx="2">
                  <c:v>1.1335000000000002</c:v>
                </c:pt>
                <c:pt idx="3">
                  <c:v>1.2335000000000003</c:v>
                </c:pt>
                <c:pt idx="4">
                  <c:v>1.3335000000000004</c:v>
                </c:pt>
                <c:pt idx="5">
                  <c:v>1.4335000000000004</c:v>
                </c:pt>
                <c:pt idx="6">
                  <c:v>1.5335000000000005</c:v>
                </c:pt>
                <c:pt idx="7">
                  <c:v>1.6335000000000006</c:v>
                </c:pt>
                <c:pt idx="8">
                  <c:v>1.7335000000000007</c:v>
                </c:pt>
                <c:pt idx="9">
                  <c:v>1.8335000000000008</c:v>
                </c:pt>
                <c:pt idx="10">
                  <c:v>1.9335000000000009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HS1_712_100!$T$8:$T$18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1.7296811543892763E-2</c:v>
                </c:pt>
                <c:pt idx="2">
                  <c:v>1.7647246175571046E-2</c:v>
                </c:pt>
                <c:pt idx="3">
                  <c:v>1.8231303895034853E-2</c:v>
                </c:pt>
                <c:pt idx="4">
                  <c:v>1.904898470228418E-2</c:v>
                </c:pt>
                <c:pt idx="5">
                  <c:v>2.0100288597319032E-2</c:v>
                </c:pt>
                <c:pt idx="6">
                  <c:v>2.1385215580139404E-2</c:v>
                </c:pt>
                <c:pt idx="7">
                  <c:v>2.2903765650745301E-2</c:v>
                </c:pt>
                <c:pt idx="8">
                  <c:v>2.4655938809136718E-2</c:v>
                </c:pt>
                <c:pt idx="9">
                  <c:v>2.6641735055313663E-2</c:v>
                </c:pt>
                <c:pt idx="10">
                  <c:v>2.8861154389276129E-2</c:v>
                </c:pt>
              </c:numCache>
            </c:numRef>
          </c:xVal>
          <c:yVal>
            <c:numRef>
              <c:f>HS1_712_100!$U$8:$U$18</c:f>
              <c:numCache>
                <c:formatCode>General</c:formatCode>
                <c:ptCount val="11"/>
                <c:pt idx="0">
                  <c:v>0.9335</c:v>
                </c:pt>
                <c:pt idx="1">
                  <c:v>0.83350000000000002</c:v>
                </c:pt>
                <c:pt idx="2">
                  <c:v>0.73350000000000004</c:v>
                </c:pt>
                <c:pt idx="3">
                  <c:v>0.63350000000000006</c:v>
                </c:pt>
                <c:pt idx="4">
                  <c:v>0.53350000000000009</c:v>
                </c:pt>
                <c:pt idx="5">
                  <c:v>0.43350000000000011</c:v>
                </c:pt>
                <c:pt idx="6">
                  <c:v>0.33350000000000013</c:v>
                </c:pt>
                <c:pt idx="7">
                  <c:v>0.23350000000000012</c:v>
                </c:pt>
                <c:pt idx="8">
                  <c:v>0.13350000000000012</c:v>
                </c:pt>
                <c:pt idx="9">
                  <c:v>3.3500000000000113E-2</c:v>
                </c:pt>
                <c:pt idx="10">
                  <c:v>-6.6499999999999893E-2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69536"/>
        <c:axId val="161461920"/>
      </c:scatterChart>
      <c:valAx>
        <c:axId val="1614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1920"/>
        <c:crosses val="autoZero"/>
        <c:crossBetween val="midCat"/>
      </c:valAx>
      <c:valAx>
        <c:axId val="1614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HS1_712_100!$I$9:$I$115</c:f>
              <c:numCache>
                <c:formatCode>General</c:formatCode>
                <c:ptCount val="107"/>
                <c:pt idx="0">
                  <c:v>-0.16144295580947549</c:v>
                </c:pt>
                <c:pt idx="1">
                  <c:v>-0.15707963267948966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-7.4176493209759012E-2</c:v>
                </c:pt>
                <c:pt idx="19">
                  <c:v>-6.9813170079773182E-2</c:v>
                </c:pt>
                <c:pt idx="20">
                  <c:v>-6.5449846949787352E-2</c:v>
                </c:pt>
                <c:pt idx="21">
                  <c:v>-6.1086523819801536E-2</c:v>
                </c:pt>
                <c:pt idx="22">
                  <c:v>-5.6723200689815713E-2</c:v>
                </c:pt>
                <c:pt idx="23">
                  <c:v>-5.2359877559829883E-2</c:v>
                </c:pt>
                <c:pt idx="24">
                  <c:v>-4.799655442984406E-2</c:v>
                </c:pt>
                <c:pt idx="25">
                  <c:v>-4.3633231299858237E-2</c:v>
                </c:pt>
                <c:pt idx="26">
                  <c:v>-3.9269908169872414E-2</c:v>
                </c:pt>
                <c:pt idx="27">
                  <c:v>-3.4906585039886591E-2</c:v>
                </c:pt>
                <c:pt idx="28">
                  <c:v>-3.0543261909900768E-2</c:v>
                </c:pt>
                <c:pt idx="29">
                  <c:v>-2.6179938779914941E-2</c:v>
                </c:pt>
                <c:pt idx="30">
                  <c:v>-2.1816615649929118E-2</c:v>
                </c:pt>
                <c:pt idx="31">
                  <c:v>-1.7453292519943295E-2</c:v>
                </c:pt>
                <c:pt idx="32">
                  <c:v>-1.3089969389957471E-2</c:v>
                </c:pt>
                <c:pt idx="33">
                  <c:v>-8.7266462599716477E-3</c:v>
                </c:pt>
                <c:pt idx="34">
                  <c:v>-4.3633231299858239E-3</c:v>
                </c:pt>
                <c:pt idx="35">
                  <c:v>0</c:v>
                </c:pt>
                <c:pt idx="36">
                  <c:v>4.3633231299858239E-3</c:v>
                </c:pt>
                <c:pt idx="37">
                  <c:v>8.7266462599716477E-3</c:v>
                </c:pt>
                <c:pt idx="38">
                  <c:v>1.3089969389957471E-2</c:v>
                </c:pt>
                <c:pt idx="39">
                  <c:v>1.7453292519943295E-2</c:v>
                </c:pt>
                <c:pt idx="40">
                  <c:v>2.1816615649929118E-2</c:v>
                </c:pt>
                <c:pt idx="41">
                  <c:v>2.6179938779914941E-2</c:v>
                </c:pt>
                <c:pt idx="42">
                  <c:v>3.0543261909900768E-2</c:v>
                </c:pt>
                <c:pt idx="43">
                  <c:v>3.4906585039886591E-2</c:v>
                </c:pt>
                <c:pt idx="44">
                  <c:v>3.9269908169872414E-2</c:v>
                </c:pt>
                <c:pt idx="45">
                  <c:v>4.3633231299858237E-2</c:v>
                </c:pt>
                <c:pt idx="46">
                  <c:v>4.799655442984406E-2</c:v>
                </c:pt>
                <c:pt idx="47">
                  <c:v>5.2359877559829883E-2</c:v>
                </c:pt>
                <c:pt idx="48">
                  <c:v>5.6723200689815713E-2</c:v>
                </c:pt>
                <c:pt idx="49">
                  <c:v>6.1086523819801536E-2</c:v>
                </c:pt>
                <c:pt idx="50">
                  <c:v>6.5449846949787352E-2</c:v>
                </c:pt>
                <c:pt idx="51">
                  <c:v>6.9813170079773182E-2</c:v>
                </c:pt>
                <c:pt idx="52">
                  <c:v>7.4176493209759012E-2</c:v>
                </c:pt>
                <c:pt idx="53">
                  <c:v>7.8539816339744828E-2</c:v>
                </c:pt>
                <c:pt idx="54">
                  <c:v>8.2903139469730644E-2</c:v>
                </c:pt>
                <c:pt idx="55">
                  <c:v>8.7266462599716474E-2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  <c:pt idx="71">
                  <c:v>0.16144295580947549</c:v>
                </c:pt>
                <c:pt idx="72">
                  <c:v>0.16580627893946129</c:v>
                </c:pt>
                <c:pt idx="73">
                  <c:v>0.17016960206944712</c:v>
                </c:pt>
                <c:pt idx="74">
                  <c:v>0.17453292519943295</c:v>
                </c:pt>
                <c:pt idx="75">
                  <c:v>0.17889624832941875</c:v>
                </c:pt>
                <c:pt idx="76">
                  <c:v>0.18325957145940461</c:v>
                </c:pt>
                <c:pt idx="77">
                  <c:v>0.18762289458939041</c:v>
                </c:pt>
                <c:pt idx="78">
                  <c:v>0.19198621771937624</c:v>
                </c:pt>
                <c:pt idx="79">
                  <c:v>0.19634954084936207</c:v>
                </c:pt>
                <c:pt idx="80">
                  <c:v>0.20071286397934787</c:v>
                </c:pt>
                <c:pt idx="81">
                  <c:v>0.20507618710933373</c:v>
                </c:pt>
                <c:pt idx="82">
                  <c:v>0.20943951023931953</c:v>
                </c:pt>
                <c:pt idx="83">
                  <c:v>0.21380283336930536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  <c:pt idx="102">
                  <c:v>0.30106929596902182</c:v>
                </c:pt>
                <c:pt idx="103">
                  <c:v>0.30543261909900765</c:v>
                </c:pt>
                <c:pt idx="104">
                  <c:v>0.30979594222899348</c:v>
                </c:pt>
                <c:pt idx="105">
                  <c:v>0.31415926535897931</c:v>
                </c:pt>
                <c:pt idx="106">
                  <c:v>0.31852258848896514</c:v>
                </c:pt>
              </c:numCache>
            </c:numRef>
          </c:xVal>
          <c:yVal>
            <c:numRef>
              <c:f>HS1_712_100!$C$9:$C$115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61376"/>
        <c:axId val="161465184"/>
      </c:scatterChart>
      <c:valAx>
        <c:axId val="1614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5184"/>
        <c:crosses val="autoZero"/>
        <c:crossBetween val="midCat"/>
      </c:valAx>
      <c:valAx>
        <c:axId val="1614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18</xdr:row>
      <xdr:rowOff>145678</xdr:rowOff>
    </xdr:from>
    <xdr:to>
      <xdr:col>16</xdr:col>
      <xdr:colOff>390525</xdr:colOff>
      <xdr:row>30</xdr:row>
      <xdr:rowOff>95250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7</xdr:row>
      <xdr:rowOff>180975</xdr:rowOff>
    </xdr:from>
    <xdr:to>
      <xdr:col>16</xdr:col>
      <xdr:colOff>285751</xdr:colOff>
      <xdr:row>18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66675</xdr:colOff>
      <xdr:row>0</xdr:row>
      <xdr:rowOff>158017</xdr:rowOff>
    </xdr:from>
    <xdr:ext cx="4590100" cy="737180"/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8017"/>
          <a:ext cx="4590100" cy="7371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191621</xdr:colOff>
      <xdr:row>17</xdr:row>
      <xdr:rowOff>155203</xdr:rowOff>
    </xdr:from>
    <xdr:to>
      <xdr:col>16</xdr:col>
      <xdr:colOff>447675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7</xdr:row>
      <xdr:rowOff>0</xdr:rowOff>
    </xdr:from>
    <xdr:to>
      <xdr:col>16</xdr:col>
      <xdr:colOff>342901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irfoiltools.com/airfoil/details?airfoil=be50sm-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irfoiltools.com/airfoil/details?airfoil=be50sm-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airfoiltools.com/airfoil/details?airfoil=cr001sm-i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irfoiltools.com/airfoil/details?airfoil=hs1712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H37"/>
  <sheetViews>
    <sheetView tabSelected="1" zoomScaleNormal="100" workbookViewId="0">
      <selection activeCell="C21" sqref="C21"/>
    </sheetView>
  </sheetViews>
  <sheetFormatPr defaultRowHeight="15" x14ac:dyDescent="0.25"/>
  <cols>
    <col min="1" max="1" width="4.28515625" style="1" customWidth="1"/>
    <col min="2" max="2" width="12.28515625" style="1" customWidth="1"/>
    <col min="3" max="3" width="10.7109375" style="1" customWidth="1"/>
    <col min="4" max="4" width="4.7109375" style="1" customWidth="1"/>
    <col min="5" max="6" width="9.140625" style="1"/>
    <col min="7" max="7" width="10.140625" style="1" customWidth="1"/>
    <col min="8" max="14" width="9.140625" style="1"/>
    <col min="15" max="17" width="9.5703125" style="1" bestFit="1" customWidth="1"/>
    <col min="18" max="21" width="9.140625" style="1" customWidth="1"/>
    <col min="22" max="22" width="12" style="1" customWidth="1"/>
    <col min="23" max="23" width="12.140625" style="1" customWidth="1"/>
    <col min="24" max="24" width="6.28515625" style="1" customWidth="1"/>
    <col min="25" max="25" width="7.5703125" style="1" customWidth="1"/>
    <col min="26" max="26" width="6" style="1" customWidth="1"/>
    <col min="27" max="27" width="6.5703125" style="1" customWidth="1"/>
    <col min="28" max="28" width="6.7109375" style="1" customWidth="1"/>
    <col min="29" max="31" width="9.140625" style="1" customWidth="1"/>
    <col min="32" max="16384" width="9.140625" style="1"/>
  </cols>
  <sheetData>
    <row r="1" spans="2:34" s="49" customFormat="1" ht="18" customHeight="1" thickBot="1" x14ac:dyDescent="0.3">
      <c r="B1" s="82" t="str">
        <f>CONCATENATE(B19,": ",C16*1000,"mm, ",C9,"m/s, ",C8,"W @ ",M4,"rpm")</f>
        <v>Nemo_BE: 400mm, 4m/s, 250W @ 375,417rpm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2:34" ht="15.75" thickBot="1" x14ac:dyDescent="0.3">
      <c r="B2" s="77" t="s">
        <v>26</v>
      </c>
      <c r="C2" s="79"/>
      <c r="E2" s="77" t="s">
        <v>28</v>
      </c>
      <c r="F2" s="78"/>
      <c r="G2" s="78"/>
      <c r="H2" s="78"/>
      <c r="I2" s="78"/>
      <c r="J2" s="79"/>
      <c r="L2" s="77" t="s">
        <v>30</v>
      </c>
      <c r="M2" s="79"/>
      <c r="O2" s="77" t="s">
        <v>29</v>
      </c>
      <c r="P2" s="78"/>
      <c r="Q2" s="78"/>
      <c r="R2" s="78"/>
      <c r="S2" s="78"/>
      <c r="T2" s="79"/>
      <c r="V2" s="61" t="s">
        <v>91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</row>
    <row r="3" spans="2:34" x14ac:dyDescent="0.25">
      <c r="B3" s="3" t="s">
        <v>1</v>
      </c>
      <c r="C3" s="37">
        <v>1025</v>
      </c>
      <c r="E3" s="13" t="s">
        <v>3</v>
      </c>
      <c r="F3" s="14" t="s">
        <v>44</v>
      </c>
      <c r="G3" s="14" t="s">
        <v>49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6.0653560629533275E-2</v>
      </c>
      <c r="O3" s="13" t="s">
        <v>122</v>
      </c>
      <c r="P3" s="33" t="s">
        <v>123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Nemo_BE: 400mm, 4m/s, 250W @ 375,417rpm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</row>
    <row r="4" spans="2:34" x14ac:dyDescent="0.25">
      <c r="B4" s="3" t="s">
        <v>33</v>
      </c>
      <c r="C4" s="38">
        <v>1.0020000000000001E-3</v>
      </c>
      <c r="E4" s="7">
        <v>0</v>
      </c>
      <c r="F4" s="10">
        <v>3.3750000000000002E-2</v>
      </c>
      <c r="G4" s="74" t="s">
        <v>134</v>
      </c>
      <c r="H4" s="73">
        <v>4</v>
      </c>
      <c r="I4" s="8">
        <f t="shared" ref="I4:I14" ca="1" si="0">VLOOKUP(H4,INDIRECT(G4&amp;"!A14:C999"),3,FALSE)</f>
        <v>0.86909999999999998</v>
      </c>
      <c r="J4" s="9">
        <f t="shared" ref="J4:J14" ca="1" si="1">VLOOKUP(H4,INDIRECT(G4&amp;"!A14:C999"),2,FALSE)</f>
        <v>2.0449999999999999E-2</v>
      </c>
      <c r="L4" s="3" t="s">
        <v>48</v>
      </c>
      <c r="M4" s="5">
        <f>ROUND($C$10*$C$11,3)</f>
        <v>375.41699999999997</v>
      </c>
      <c r="O4" s="16">
        <f ca="1">ATAN((($C$9/($M$5*($C$16/2)))/$E20)*(1+$M$7/2)  )</f>
        <v>1.2635092145641902</v>
      </c>
      <c r="P4" s="10">
        <f ca="1">(180/PI())*$O4+$H4</f>
        <v>76.393745370417662</v>
      </c>
      <c r="Q4" s="10">
        <f ca="1">$T20*(($C$16)/2)*1000</f>
        <v>5.6271365141363354</v>
      </c>
      <c r="R4" s="10">
        <f t="shared" ref="R4:R14" ca="1" si="2">Q4/0.0254/1000</f>
        <v>0.22154080764316283</v>
      </c>
      <c r="S4" s="19">
        <f t="shared" ref="S4:S14" ca="1" si="3">($C$3*$C$9*$F4/$C$4)*$T20*$S20</f>
        <v>4093.3426785211259</v>
      </c>
      <c r="T4" s="17">
        <f t="shared" ref="T4:T14" ca="1" si="4">($C$9/$C$5)*$S20</f>
        <v>2.8453498222264354E-3</v>
      </c>
      <c r="U4" s="68">
        <f>F4/1000</f>
        <v>3.375E-5</v>
      </c>
      <c r="V4" s="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2:34" ht="15.75" thickBot="1" x14ac:dyDescent="0.3">
      <c r="B5" s="4" t="s">
        <v>22</v>
      </c>
      <c r="C5" s="39">
        <v>1481</v>
      </c>
      <c r="E5" s="7">
        <v>1</v>
      </c>
      <c r="F5" s="10">
        <v>5.1249999999999997E-2</v>
      </c>
      <c r="G5" s="74" t="s">
        <v>134</v>
      </c>
      <c r="H5" s="36">
        <v>4</v>
      </c>
      <c r="I5" s="8">
        <f t="shared" ca="1" si="0"/>
        <v>0.86909999999999998</v>
      </c>
      <c r="J5" s="9">
        <f t="shared" ca="1" si="1"/>
        <v>2.0449999999999999E-2</v>
      </c>
      <c r="L5" s="3" t="s">
        <v>38</v>
      </c>
      <c r="M5" s="5">
        <f>$M$4*PI()/30</f>
        <v>39.313576307757309</v>
      </c>
      <c r="O5" s="16">
        <f t="shared" ref="O5:O14" ca="1" si="5">ATAN((($C$9/($M$5*($C$16/2)))/$E21)*(1+$M$7/2)  )</f>
        <v>1.1217455352531482</v>
      </c>
      <c r="P5" s="10">
        <f t="shared" ref="P5:P14" ca="1" si="6">(180/PI())*$O5+$H5</f>
        <v>68.271284857648894</v>
      </c>
      <c r="Q5" s="10">
        <f t="shared" ref="Q5:Q14" ca="1" si="7">$T21*(($C$16)/2)*1000</f>
        <v>10.545753637177935</v>
      </c>
      <c r="R5" s="10">
        <f t="shared" ca="1" si="2"/>
        <v>0.41518715106999748</v>
      </c>
      <c r="S5" s="19">
        <f t="shared" ca="1" si="3"/>
        <v>12379.148876994723</v>
      </c>
      <c r="T5" s="17">
        <f t="shared" ca="1" si="4"/>
        <v>3.0236957404308493E-3</v>
      </c>
      <c r="U5" s="68">
        <f t="shared" ref="U5:U14" si="8">F5/1000</f>
        <v>5.1249999999999999E-5</v>
      </c>
      <c r="V5" s="3">
        <f>C14</f>
        <v>2</v>
      </c>
      <c r="W5" s="52">
        <f>C16/2</f>
        <v>0.2</v>
      </c>
      <c r="X5" s="52"/>
      <c r="Y5" s="52"/>
      <c r="Z5" s="54" t="s">
        <v>73</v>
      </c>
      <c r="AA5" s="52"/>
      <c r="AB5" s="52"/>
      <c r="AC5" s="52"/>
      <c r="AD5" s="52"/>
      <c r="AE5" s="52"/>
      <c r="AF5" s="52"/>
      <c r="AG5" s="52"/>
      <c r="AH5" s="53"/>
    </row>
    <row r="6" spans="2:34" ht="15.75" thickBot="1" x14ac:dyDescent="0.3">
      <c r="E6" s="7">
        <v>2</v>
      </c>
      <c r="F6" s="10">
        <v>6.8750000000000006E-2</v>
      </c>
      <c r="G6" s="74" t="s">
        <v>134</v>
      </c>
      <c r="H6" s="36">
        <v>4</v>
      </c>
      <c r="I6" s="8">
        <f t="shared" ca="1" si="0"/>
        <v>0.86909999999999998</v>
      </c>
      <c r="J6" s="9">
        <f t="shared" ca="1" si="1"/>
        <v>2.0449999999999999E-2</v>
      </c>
      <c r="L6" s="3" t="s">
        <v>14</v>
      </c>
      <c r="M6" s="22">
        <f>$C$9/($M$5*($C$16/2))</f>
        <v>0.50873011001173207</v>
      </c>
      <c r="O6" s="16">
        <f t="shared" ca="1" si="5"/>
        <v>0.99693418537185474</v>
      </c>
      <c r="P6" s="10">
        <f t="shared" ca="1" si="6"/>
        <v>61.12012127412013</v>
      </c>
      <c r="Q6" s="10">
        <f t="shared" ca="1" si="7"/>
        <v>14.689519985280446</v>
      </c>
      <c r="R6" s="10">
        <f t="shared" ca="1" si="2"/>
        <v>0.57832755847560813</v>
      </c>
      <c r="S6" s="19">
        <f t="shared" ca="1" si="3"/>
        <v>24931.161704931015</v>
      </c>
      <c r="T6" s="17">
        <f t="shared" ca="1" si="4"/>
        <v>3.2589747972574337E-3</v>
      </c>
      <c r="U6" s="68">
        <f t="shared" si="8"/>
        <v>6.8750000000000004E-5</v>
      </c>
      <c r="V6" s="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</row>
    <row r="7" spans="2:34" ht="15.75" thickBot="1" x14ac:dyDescent="0.3">
      <c r="B7" s="77" t="s">
        <v>31</v>
      </c>
      <c r="C7" s="79"/>
      <c r="E7" s="7">
        <v>3</v>
      </c>
      <c r="F7" s="10">
        <v>8.6249999999999993E-2</v>
      </c>
      <c r="G7" s="47" t="s">
        <v>116</v>
      </c>
      <c r="H7" s="36">
        <v>4</v>
      </c>
      <c r="I7" s="8">
        <f t="shared" ca="1" si="0"/>
        <v>0.89049999999999996</v>
      </c>
      <c r="J7" s="9">
        <f t="shared" ca="1" si="1"/>
        <v>1.504E-2</v>
      </c>
      <c r="L7" s="3" t="s">
        <v>36</v>
      </c>
      <c r="M7" s="21">
        <f ca="1">($P$30/(2*$R$30)) *(SQRT( 1 + ((4*$M$3*$R$30)/($P$30^2)) ) - 1 )</f>
        <v>9.0562262256609863E-2</v>
      </c>
      <c r="O7" s="16">
        <f t="shared" ca="1" si="5"/>
        <v>0.88939782030240422</v>
      </c>
      <c r="P7" s="10">
        <f t="shared" ca="1" si="6"/>
        <v>54.958741411462562</v>
      </c>
      <c r="Q7" s="10">
        <f t="shared" ca="1" si="7"/>
        <v>16.921547832618142</v>
      </c>
      <c r="R7" s="10">
        <f t="shared" ca="1" si="2"/>
        <v>0.66620267057551741</v>
      </c>
      <c r="S7" s="19">
        <f t="shared" ca="1" si="3"/>
        <v>39135.340032726577</v>
      </c>
      <c r="T7" s="17">
        <f t="shared" ca="1" si="4"/>
        <v>3.5398814287827011E-3</v>
      </c>
      <c r="U7" s="68">
        <f t="shared" si="8"/>
        <v>8.6249999999999996E-5</v>
      </c>
      <c r="V7" s="3">
        <f ca="1">INDIRECT(G4&amp;"!H3")</f>
        <v>0.36112771507863073</v>
      </c>
      <c r="W7" s="52">
        <f ca="1">INDIRECT(G4&amp;"!I3")</f>
        <v>6.730109608754705</v>
      </c>
      <c r="X7" s="52"/>
      <c r="Y7" s="52"/>
      <c r="Z7" s="54" t="s">
        <v>72</v>
      </c>
      <c r="AA7" s="52"/>
      <c r="AB7" s="52"/>
      <c r="AC7" s="52"/>
      <c r="AD7" s="52"/>
      <c r="AE7" s="52"/>
      <c r="AF7" s="52"/>
      <c r="AG7" s="52"/>
      <c r="AH7" s="53"/>
    </row>
    <row r="8" spans="2:34" x14ac:dyDescent="0.25">
      <c r="B8" s="3" t="s">
        <v>0</v>
      </c>
      <c r="C8" s="37">
        <v>250</v>
      </c>
      <c r="E8" s="7">
        <v>4</v>
      </c>
      <c r="F8" s="10">
        <v>0.10375</v>
      </c>
      <c r="G8" s="47" t="s">
        <v>116</v>
      </c>
      <c r="H8" s="73">
        <v>4</v>
      </c>
      <c r="I8" s="8">
        <f t="shared" ca="1" si="0"/>
        <v>0.89049999999999996</v>
      </c>
      <c r="J8" s="9">
        <f t="shared" ca="1" si="1"/>
        <v>1.504E-2</v>
      </c>
      <c r="L8" s="3" t="s">
        <v>16</v>
      </c>
      <c r="M8" s="23">
        <f ca="1">($L$30*$M$7-$N$30*$M$7^2)/$M$3</f>
        <v>0.91490055683263327</v>
      </c>
      <c r="O8" s="16">
        <f t="shared" ca="1" si="5"/>
        <v>0.79778761680406596</v>
      </c>
      <c r="P8" s="10">
        <f t="shared" ca="1" si="6"/>
        <v>49.709863390673171</v>
      </c>
      <c r="Q8" s="10">
        <f t="shared" ca="1" si="7"/>
        <v>17.990179112907093</v>
      </c>
      <c r="R8" s="10">
        <f t="shared" ca="1" si="2"/>
        <v>0.70827476822468871</v>
      </c>
      <c r="S8" s="19">
        <f t="shared" ca="1" si="3"/>
        <v>54524.903394117653</v>
      </c>
      <c r="T8" s="17">
        <f t="shared" ca="1" si="4"/>
        <v>3.8564713154004013E-3</v>
      </c>
      <c r="U8" s="68">
        <f t="shared" si="8"/>
        <v>1.0375E-4</v>
      </c>
      <c r="V8" s="3">
        <f ca="1">INDIRECT(G4&amp;"!j3")</f>
        <v>-1.0699999999999999E-2</v>
      </c>
      <c r="W8" s="52">
        <f ca="1">INDIRECT(G4&amp;"!k3")</f>
        <v>1.2633000000000001</v>
      </c>
      <c r="X8" s="52"/>
      <c r="Y8" s="52"/>
      <c r="Z8" s="54" t="s">
        <v>71</v>
      </c>
      <c r="AA8" s="52"/>
      <c r="AB8" s="52"/>
      <c r="AC8" s="52"/>
      <c r="AD8" s="52"/>
      <c r="AE8" s="52"/>
      <c r="AF8" s="52"/>
      <c r="AG8" s="52"/>
      <c r="AH8" s="53"/>
    </row>
    <row r="9" spans="2:34" x14ac:dyDescent="0.25">
      <c r="B9" s="3" t="s">
        <v>23</v>
      </c>
      <c r="C9" s="37">
        <v>4</v>
      </c>
      <c r="E9" s="7">
        <v>5</v>
      </c>
      <c r="F9" s="10">
        <v>0.12125</v>
      </c>
      <c r="G9" s="47" t="s">
        <v>116</v>
      </c>
      <c r="H9" s="36">
        <v>4</v>
      </c>
      <c r="I9" s="8">
        <f t="shared" ca="1" si="0"/>
        <v>0.89049999999999996</v>
      </c>
      <c r="J9" s="9">
        <f t="shared" ca="1" si="1"/>
        <v>1.504E-2</v>
      </c>
      <c r="L9" s="3" t="s">
        <v>19</v>
      </c>
      <c r="M9" s="21">
        <f ca="1">$L$30*$M$7+$N$30*$M$7^2</f>
        <v>5.8183558382451359E-2</v>
      </c>
      <c r="O9" s="16">
        <f t="shared" ca="1" si="5"/>
        <v>0.72004061971854971</v>
      </c>
      <c r="P9" s="10">
        <f t="shared" ca="1" si="6"/>
        <v>45.25528858785718</v>
      </c>
      <c r="Q9" s="10">
        <f t="shared" ca="1" si="7"/>
        <v>17.767064716664454</v>
      </c>
      <c r="R9" s="10">
        <f t="shared" ca="1" si="2"/>
        <v>0.69949073687655339</v>
      </c>
      <c r="S9" s="19">
        <f t="shared" ca="1" si="3"/>
        <v>68548.675820228222</v>
      </c>
      <c r="T9" s="17">
        <f t="shared" ca="1" si="4"/>
        <v>4.200688052011496E-3</v>
      </c>
      <c r="U9" s="68">
        <f t="shared" si="8"/>
        <v>1.2124999999999999E-4</v>
      </c>
      <c r="V9" s="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2:34" x14ac:dyDescent="0.25">
      <c r="B10" s="3" t="s">
        <v>6</v>
      </c>
      <c r="C10" s="37">
        <v>85</v>
      </c>
      <c r="E10" s="7">
        <v>6</v>
      </c>
      <c r="F10" s="10">
        <v>0.13875000000000001</v>
      </c>
      <c r="G10" s="47" t="s">
        <v>116</v>
      </c>
      <c r="H10" s="36">
        <v>4</v>
      </c>
      <c r="I10" s="8">
        <f t="shared" ca="1" si="0"/>
        <v>0.89049999999999996</v>
      </c>
      <c r="J10" s="9">
        <f t="shared" ca="1" si="1"/>
        <v>1.504E-2</v>
      </c>
      <c r="L10" s="3" t="s">
        <v>40</v>
      </c>
      <c r="M10" s="22">
        <f ca="1">($M$9*$C$3*$C$9^2*PI()*($C$16/2)^2)/2</f>
        <v>59.954804980279235</v>
      </c>
      <c r="O10" s="16">
        <f t="shared" ca="1" si="5"/>
        <v>0.65398374903736534</v>
      </c>
      <c r="P10" s="10">
        <f t="shared" ca="1" si="6"/>
        <v>41.470508689983845</v>
      </c>
      <c r="Q10" s="10">
        <f t="shared" ca="1" si="7"/>
        <v>16.506705719827682</v>
      </c>
      <c r="R10" s="10">
        <f t="shared" ca="1" si="2"/>
        <v>0.64987030393022371</v>
      </c>
      <c r="S10" s="19">
        <f t="shared" ca="1" si="3"/>
        <v>79220.549456756475</v>
      </c>
      <c r="T10" s="17">
        <f t="shared" ca="1" si="4"/>
        <v>4.5662874067662566E-3</v>
      </c>
      <c r="U10" s="68">
        <f t="shared" si="8"/>
        <v>1.3875000000000001E-4</v>
      </c>
      <c r="V10" s="3">
        <f ca="1">INDIRECT(G4&amp;"!l3")</f>
        <v>1.8859999999999998E-2</v>
      </c>
      <c r="W10" s="52">
        <f ca="1">INDIRECT(G4&amp;"!m3")</f>
        <v>6.9438808177546994E-3</v>
      </c>
      <c r="X10" s="52">
        <f ca="1">INDIRECT(G4&amp;"!n3")</f>
        <v>9.8093117738911731E-2</v>
      </c>
      <c r="Y10" s="52">
        <f ca="1">INDIRECT(G4&amp;"!o3")</f>
        <v>0.27789999999999998</v>
      </c>
      <c r="Z10" s="54" t="s">
        <v>70</v>
      </c>
      <c r="AA10" s="52"/>
      <c r="AB10" s="52"/>
      <c r="AC10" s="52"/>
      <c r="AD10" s="52"/>
      <c r="AE10" s="52"/>
      <c r="AF10" s="52"/>
      <c r="AG10" s="52"/>
      <c r="AH10" s="53"/>
    </row>
    <row r="11" spans="2:34" ht="15.75" thickBot="1" x14ac:dyDescent="0.3">
      <c r="B11" s="4" t="s">
        <v>27</v>
      </c>
      <c r="C11" s="64">
        <f>53/12</f>
        <v>4.416666666666667</v>
      </c>
      <c r="E11" s="7">
        <v>7</v>
      </c>
      <c r="F11" s="10">
        <v>0.15625</v>
      </c>
      <c r="G11" s="47" t="s">
        <v>116</v>
      </c>
      <c r="H11" s="36">
        <v>4</v>
      </c>
      <c r="I11" s="8">
        <f t="shared" ca="1" si="0"/>
        <v>0.89049999999999996</v>
      </c>
      <c r="J11" s="9">
        <f t="shared" ca="1" si="1"/>
        <v>1.504E-2</v>
      </c>
      <c r="L11" s="4" t="s">
        <v>39</v>
      </c>
      <c r="M11" s="6">
        <f ca="1">($C$9*$M$10)/($M$5*$M$8)</f>
        <v>6.6675693452286406</v>
      </c>
      <c r="O11" s="16">
        <f t="shared" ca="1" si="5"/>
        <v>0.59762814726831448</v>
      </c>
      <c r="P11" s="10">
        <f t="shared" ca="1" si="6"/>
        <v>38.241570556697241</v>
      </c>
      <c r="Q11" s="10">
        <f t="shared" ca="1" si="7"/>
        <v>14.364756823606356</v>
      </c>
      <c r="R11" s="10">
        <f t="shared" ca="1" si="2"/>
        <v>0.5655416072285967</v>
      </c>
      <c r="S11" s="19">
        <f t="shared" ca="1" si="3"/>
        <v>84134.810167774122</v>
      </c>
      <c r="T11" s="17">
        <f t="shared" ca="1" si="4"/>
        <v>4.9485300068801688E-3</v>
      </c>
      <c r="U11" s="68">
        <f t="shared" si="8"/>
        <v>1.5625E-4</v>
      </c>
      <c r="V11" s="3">
        <f ca="1">INDIRECT(G4&amp;"!i1")</f>
        <v>50000</v>
      </c>
      <c r="W11" s="52">
        <v>-0.5</v>
      </c>
      <c r="X11" s="52"/>
      <c r="Y11" s="52"/>
      <c r="Z11" s="54" t="s">
        <v>69</v>
      </c>
      <c r="AA11" s="52"/>
      <c r="AB11" s="52"/>
      <c r="AC11" s="52"/>
      <c r="AD11" s="52"/>
      <c r="AE11" s="52"/>
      <c r="AF11" s="52"/>
      <c r="AG11" s="52"/>
      <c r="AH11" s="53"/>
    </row>
    <row r="12" spans="2:34" ht="15.75" thickBot="1" x14ac:dyDescent="0.3">
      <c r="E12" s="7">
        <v>8</v>
      </c>
      <c r="F12" s="10">
        <v>0.17374999999999999</v>
      </c>
      <c r="G12" s="47" t="s">
        <v>116</v>
      </c>
      <c r="H12" s="36">
        <v>4</v>
      </c>
      <c r="I12" s="8">
        <f t="shared" ca="1" si="0"/>
        <v>0.89049999999999996</v>
      </c>
      <c r="J12" s="9">
        <f t="shared" ca="1" si="1"/>
        <v>1.504E-2</v>
      </c>
      <c r="O12" s="16">
        <f t="shared" ca="1" si="5"/>
        <v>0.54927252703289065</v>
      </c>
      <c r="P12" s="10">
        <f t="shared" ca="1" si="6"/>
        <v>35.470997601470053</v>
      </c>
      <c r="Q12" s="10">
        <f t="shared" ca="1" si="7"/>
        <v>11.289662547282859</v>
      </c>
      <c r="R12" s="10">
        <f t="shared" ca="1" si="2"/>
        <v>0.444474903436333</v>
      </c>
      <c r="S12" s="19">
        <f t="shared" ca="1" si="3"/>
        <v>79403.687908210341</v>
      </c>
      <c r="T12" s="17">
        <f t="shared" ca="1" si="4"/>
        <v>5.3438430321645341E-3</v>
      </c>
      <c r="U12" s="68">
        <f t="shared" si="8"/>
        <v>1.7374999999999999E-4</v>
      </c>
      <c r="V12" s="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3"/>
    </row>
    <row r="13" spans="2:34" ht="15.75" thickBot="1" x14ac:dyDescent="0.3">
      <c r="B13" s="77" t="s">
        <v>32</v>
      </c>
      <c r="C13" s="79"/>
      <c r="E13" s="7">
        <v>9</v>
      </c>
      <c r="F13" s="10">
        <v>0.19125</v>
      </c>
      <c r="G13" s="47" t="s">
        <v>116</v>
      </c>
      <c r="H13" s="36">
        <v>4</v>
      </c>
      <c r="I13" s="8">
        <f t="shared" ca="1" si="0"/>
        <v>0.89049999999999996</v>
      </c>
      <c r="J13" s="9">
        <f t="shared" ca="1" si="1"/>
        <v>1.504E-2</v>
      </c>
      <c r="O13" s="16">
        <f t="shared" ca="1" si="5"/>
        <v>0.50751073965893256</v>
      </c>
      <c r="P13" s="10">
        <f t="shared" ca="1" si="6"/>
        <v>33.078223440019528</v>
      </c>
      <c r="Q13" s="10">
        <f t="shared" ca="1" si="7"/>
        <v>6.5504545722007883</v>
      </c>
      <c r="R13" s="10">
        <f t="shared" ca="1" si="2"/>
        <v>0.25789191229136965</v>
      </c>
      <c r="S13" s="19">
        <f t="shared" ca="1" si="3"/>
        <v>54561.506046039154</v>
      </c>
      <c r="T13" s="17">
        <f t="shared" ca="1" si="4"/>
        <v>5.7495288808674608E-3</v>
      </c>
      <c r="U13" s="68">
        <f t="shared" si="8"/>
        <v>1.9125000000000001E-4</v>
      </c>
      <c r="V13" s="3">
        <v>1</v>
      </c>
      <c r="W13" s="52" t="s">
        <v>88</v>
      </c>
      <c r="X13" s="52">
        <v>1</v>
      </c>
      <c r="Y13" s="52"/>
      <c r="Z13" s="54" t="s">
        <v>74</v>
      </c>
      <c r="AA13" s="52"/>
      <c r="AB13" s="52"/>
      <c r="AC13" s="52"/>
      <c r="AD13" s="52"/>
      <c r="AE13" s="52"/>
      <c r="AF13" s="52"/>
      <c r="AG13" s="52"/>
      <c r="AH13" s="53"/>
    </row>
    <row r="14" spans="2:34" ht="15.75" thickBot="1" x14ac:dyDescent="0.3">
      <c r="B14" s="3" t="s">
        <v>47</v>
      </c>
      <c r="C14" s="41">
        <v>2</v>
      </c>
      <c r="E14" s="11">
        <v>10</v>
      </c>
      <c r="F14" s="12">
        <v>0.2</v>
      </c>
      <c r="G14" s="48" t="s">
        <v>116</v>
      </c>
      <c r="H14" s="71">
        <v>4</v>
      </c>
      <c r="I14" s="44">
        <f t="shared" ca="1" si="0"/>
        <v>0.89049999999999996</v>
      </c>
      <c r="J14" s="45">
        <f t="shared" ca="1" si="1"/>
        <v>1.504E-2</v>
      </c>
      <c r="O14" s="16">
        <f t="shared" ca="1" si="5"/>
        <v>0.48873627817600951</v>
      </c>
      <c r="P14" s="10">
        <f t="shared" ca="1" si="6"/>
        <v>32.002526034417109</v>
      </c>
      <c r="Q14" s="10">
        <f t="shared" ca="1" si="7"/>
        <v>0</v>
      </c>
      <c r="R14" s="12">
        <f t="shared" ca="1" si="2"/>
        <v>0</v>
      </c>
      <c r="S14" s="20">
        <f t="shared" ca="1" si="3"/>
        <v>0</v>
      </c>
      <c r="T14" s="18">
        <f t="shared" ca="1" si="4"/>
        <v>5.9556007581083184E-3</v>
      </c>
      <c r="U14" s="68">
        <f t="shared" si="8"/>
        <v>2.0000000000000001E-4</v>
      </c>
      <c r="V14" s="3">
        <v>0</v>
      </c>
      <c r="W14" s="52">
        <v>0</v>
      </c>
      <c r="X14" s="52">
        <v>0</v>
      </c>
      <c r="Y14" s="52"/>
      <c r="Z14" s="54" t="s">
        <v>75</v>
      </c>
      <c r="AA14" s="52"/>
      <c r="AB14" s="52"/>
      <c r="AC14" s="52"/>
      <c r="AD14" s="52"/>
      <c r="AE14" s="52"/>
      <c r="AF14" s="52"/>
      <c r="AG14" s="52"/>
      <c r="AH14" s="53"/>
    </row>
    <row r="15" spans="2:34" x14ac:dyDescent="0.25">
      <c r="B15" s="3" t="s">
        <v>45</v>
      </c>
      <c r="C15" s="41">
        <v>0.05</v>
      </c>
      <c r="H15" s="75"/>
      <c r="K15" s="2"/>
      <c r="L15" s="2"/>
      <c r="M15" s="2"/>
      <c r="N15" s="2"/>
      <c r="V15" s="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2:34" ht="15.75" thickBot="1" x14ac:dyDescent="0.3">
      <c r="B16" s="4" t="s">
        <v>46</v>
      </c>
      <c r="C16" s="72">
        <v>0.4</v>
      </c>
      <c r="V16" s="3" t="s">
        <v>76</v>
      </c>
      <c r="W16" s="52" t="s">
        <v>77</v>
      </c>
      <c r="X16" s="52" t="s">
        <v>89</v>
      </c>
      <c r="Y16" s="52" t="s">
        <v>78</v>
      </c>
      <c r="Z16" s="52" t="s">
        <v>79</v>
      </c>
      <c r="AA16" s="52" t="s">
        <v>80</v>
      </c>
      <c r="AB16" s="52" t="s">
        <v>81</v>
      </c>
      <c r="AC16" s="52" t="s">
        <v>82</v>
      </c>
      <c r="AD16" s="52" t="s">
        <v>83</v>
      </c>
      <c r="AE16" s="52" t="s">
        <v>84</v>
      </c>
      <c r="AF16" s="52" t="s">
        <v>85</v>
      </c>
      <c r="AG16" s="52" t="s">
        <v>86</v>
      </c>
      <c r="AH16" s="53" t="s">
        <v>87</v>
      </c>
    </row>
    <row r="17" spans="1:34" ht="15.75" thickBot="1" x14ac:dyDescent="0.3">
      <c r="C17" s="69"/>
      <c r="V17" s="55">
        <f>F5</f>
        <v>5.1249999999999997E-2</v>
      </c>
      <c r="W17" s="56">
        <f t="shared" ref="W17:W25" ca="1" si="9">Q5</f>
        <v>10.545753637177935</v>
      </c>
      <c r="X17" s="56">
        <f ca="1">P5</f>
        <v>68.271284857648894</v>
      </c>
      <c r="Y17" s="56">
        <f t="shared" ref="Y17:Y25" ca="1" si="10">INDIRECT(G5&amp;"!H3")</f>
        <v>0.36112771507863073</v>
      </c>
      <c r="Z17" s="52">
        <f t="shared" ref="Z17:Z25" ca="1" si="11">INDIRECT(G5&amp;"!I3")</f>
        <v>6.730109608754705</v>
      </c>
      <c r="AA17" s="52">
        <f t="shared" ref="AA17:AA25" ca="1" si="12">INDIRECT(G5&amp;"!j3")</f>
        <v>-1.0699999999999999E-2</v>
      </c>
      <c r="AB17" s="52">
        <f t="shared" ref="AB17:AB25" ca="1" si="13">INDIRECT(G5&amp;"!k3")</f>
        <v>1.2633000000000001</v>
      </c>
      <c r="AC17" s="52">
        <f t="shared" ref="AC17:AC25" ca="1" si="14">INDIRECT(G5&amp;"!l3")</f>
        <v>1.8859999999999998E-2</v>
      </c>
      <c r="AD17" s="52">
        <f t="shared" ref="AD17:AD25" ca="1" si="15">INDIRECT(G5&amp;"!m3")</f>
        <v>6.9438808177546994E-3</v>
      </c>
      <c r="AE17" s="52">
        <f t="shared" ref="AE17:AE25" ca="1" si="16">INDIRECT(G5&amp;"!n3")</f>
        <v>9.8093117738911731E-2</v>
      </c>
      <c r="AF17" s="52">
        <f t="shared" ref="AF17:AF25" ca="1" si="17">INDIRECT(G5&amp;"!o3")</f>
        <v>0.27789999999999998</v>
      </c>
      <c r="AG17" s="52">
        <f t="shared" ref="AG17:AG25" ca="1" si="18">INDIRECT(G5&amp;"!i1")</f>
        <v>50000</v>
      </c>
      <c r="AH17" s="53"/>
    </row>
    <row r="18" spans="1:34" ht="15.75" thickBot="1" x14ac:dyDescent="0.3">
      <c r="B18" s="77" t="s">
        <v>92</v>
      </c>
      <c r="C18" s="79"/>
      <c r="E18" s="1" t="s">
        <v>37</v>
      </c>
      <c r="V18" s="55">
        <f t="shared" ref="V18:V25" si="19">F6</f>
        <v>6.8750000000000006E-2</v>
      </c>
      <c r="W18" s="56">
        <f t="shared" ca="1" si="9"/>
        <v>14.689519985280446</v>
      </c>
      <c r="X18" s="56">
        <f t="shared" ref="X18:X25" ca="1" si="20">P6</f>
        <v>61.12012127412013</v>
      </c>
      <c r="Y18" s="56">
        <f t="shared" ca="1" si="10"/>
        <v>0.36112771507863073</v>
      </c>
      <c r="Z18" s="52">
        <f t="shared" ca="1" si="11"/>
        <v>6.730109608754705</v>
      </c>
      <c r="AA18" s="52">
        <f t="shared" ca="1" si="12"/>
        <v>-1.0699999999999999E-2</v>
      </c>
      <c r="AB18" s="52">
        <f t="shared" ca="1" si="13"/>
        <v>1.2633000000000001</v>
      </c>
      <c r="AC18" s="52">
        <f t="shared" ca="1" si="14"/>
        <v>1.8859999999999998E-2</v>
      </c>
      <c r="AD18" s="52">
        <f t="shared" ca="1" si="15"/>
        <v>6.9438808177546994E-3</v>
      </c>
      <c r="AE18" s="52">
        <f t="shared" ca="1" si="16"/>
        <v>9.8093117738911731E-2</v>
      </c>
      <c r="AF18" s="52">
        <f t="shared" ca="1" si="17"/>
        <v>0.27789999999999998</v>
      </c>
      <c r="AG18" s="52">
        <f t="shared" ca="1" si="18"/>
        <v>50000</v>
      </c>
      <c r="AH18" s="53"/>
    </row>
    <row r="19" spans="1:34" ht="15.75" thickBot="1" x14ac:dyDescent="0.3">
      <c r="A19" s="2"/>
      <c r="B19" s="80" t="s">
        <v>117</v>
      </c>
      <c r="C19" s="81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5">
        <f t="shared" si="19"/>
        <v>8.6249999999999993E-2</v>
      </c>
      <c r="W19" s="56">
        <f t="shared" ca="1" si="9"/>
        <v>16.921547832618142</v>
      </c>
      <c r="X19" s="56">
        <f t="shared" ca="1" si="20"/>
        <v>54.958741411462562</v>
      </c>
      <c r="Y19" s="56">
        <f t="shared" ca="1" si="10"/>
        <v>0.43207171754548263</v>
      </c>
      <c r="Z19" s="52">
        <f t="shared" ca="1" si="11"/>
        <v>6.3526733520306085</v>
      </c>
      <c r="AA19" s="52">
        <f t="shared" ca="1" si="12"/>
        <v>-5.4999999999999997E-3</v>
      </c>
      <c r="AB19" s="52">
        <f t="shared" ca="1" si="13"/>
        <v>1.2666999999999999</v>
      </c>
      <c r="AC19" s="52">
        <f t="shared" ca="1" si="14"/>
        <v>1.214E-2</v>
      </c>
      <c r="AD19" s="52">
        <f t="shared" ca="1" si="15"/>
        <v>1.9638731358958203E-2</v>
      </c>
      <c r="AE19" s="52">
        <f t="shared" ca="1" si="16"/>
        <v>3.926967185691798E-2</v>
      </c>
      <c r="AF19" s="52">
        <f t="shared" ca="1" si="17"/>
        <v>0.51580000000000004</v>
      </c>
      <c r="AG19" s="52">
        <f t="shared" ca="1" si="18"/>
        <v>100000</v>
      </c>
      <c r="AH19" s="53"/>
    </row>
    <row r="20" spans="1:34" x14ac:dyDescent="0.25">
      <c r="A20" s="2"/>
      <c r="E20" s="24">
        <f t="shared" ref="E20:E30" si="21">F4/($C$16/2)</f>
        <v>0.16875000000000001</v>
      </c>
      <c r="F20" s="25">
        <f t="shared" ref="F20:F30" ca="1" si="22">J4/I4</f>
        <v>2.353008859739961E-2</v>
      </c>
      <c r="G20" s="25">
        <f t="shared" ref="G20:G29" si="23">($C$14/2)*(SQRT($M$6^2 + 1)/$M$6)*(1-$E20)</f>
        <v>1.8332583580447328</v>
      </c>
      <c r="H20" s="25">
        <f t="shared" ref="H20:H29" si="24">(2/PI())*ACOS(EXP(-$G20))</f>
        <v>0.89777097657544003</v>
      </c>
      <c r="I20" s="25">
        <f t="shared" ref="I20:I30" si="25">$M$5*$F4/$C$9</f>
        <v>0.33170830009670232</v>
      </c>
      <c r="J20" s="25">
        <f t="shared" ref="J20:J30" si="26">$H20*$I20^2/(1+$I20^2)</f>
        <v>8.8990442704451347E-2</v>
      </c>
      <c r="K20" s="25">
        <f t="shared" ref="K20:K30" ca="1" si="27">4*$J20*(1-$F20/$I20)*$E20</f>
        <v>5.5807521062951546E-2</v>
      </c>
      <c r="L20" s="25">
        <v>0</v>
      </c>
      <c r="M20" s="25">
        <f ca="1">2*$J20*(1-$F20/$I20)*(1/$I20^2+1)*$E20</f>
        <v>0.28150423327669488</v>
      </c>
      <c r="N20" s="25">
        <v>0</v>
      </c>
      <c r="O20" s="25">
        <f ca="1">4*$J20*( 1+ ($F20*$I20))*$E20</f>
        <v>6.0537391399089709E-2</v>
      </c>
      <c r="P20" s="25">
        <v>0</v>
      </c>
      <c r="Q20" s="25">
        <f t="shared" ref="Q20:Q30" ca="1" si="28">2*$J20*(1+$F20*$I20)*($I20^2/(1+$I20^2))*$E20</f>
        <v>3.0003471939621931E-3</v>
      </c>
      <c r="R20" s="25">
        <v>0</v>
      </c>
      <c r="S20" s="25">
        <f ca="1">SQRT($I20^2 + 1 - ((($M$7/2)*COS($O4))^2) )</f>
        <v>1.0534907716793376</v>
      </c>
      <c r="T20" s="26">
        <f ca="1">(4*PI()*$M$6/$C$14)*($J20/$S20)*($M$7/$I4)</f>
        <v>2.8135682570681674E-2</v>
      </c>
      <c r="V20" s="55">
        <f t="shared" si="19"/>
        <v>0.10375</v>
      </c>
      <c r="W20" s="56">
        <f t="shared" ca="1" si="9"/>
        <v>17.990179112907093</v>
      </c>
      <c r="X20" s="56">
        <f t="shared" ca="1" si="20"/>
        <v>49.709863390673171</v>
      </c>
      <c r="Y20" s="56">
        <f t="shared" ca="1" si="10"/>
        <v>0.43207171754548263</v>
      </c>
      <c r="Z20" s="52">
        <f t="shared" ca="1" si="11"/>
        <v>6.3526733520306085</v>
      </c>
      <c r="AA20" s="52">
        <f t="shared" ca="1" si="12"/>
        <v>-5.4999999999999997E-3</v>
      </c>
      <c r="AB20" s="52">
        <f t="shared" ca="1" si="13"/>
        <v>1.2666999999999999</v>
      </c>
      <c r="AC20" s="52">
        <f t="shared" ca="1" si="14"/>
        <v>1.214E-2</v>
      </c>
      <c r="AD20" s="52">
        <f t="shared" ca="1" si="15"/>
        <v>1.9638731358958203E-2</v>
      </c>
      <c r="AE20" s="52">
        <f t="shared" ca="1" si="16"/>
        <v>3.926967185691798E-2</v>
      </c>
      <c r="AF20" s="52">
        <f t="shared" ca="1" si="17"/>
        <v>0.51580000000000004</v>
      </c>
      <c r="AG20" s="52">
        <f t="shared" ca="1" si="18"/>
        <v>100000</v>
      </c>
      <c r="AH20" s="53"/>
    </row>
    <row r="21" spans="1:34" x14ac:dyDescent="0.25">
      <c r="A21" s="2"/>
      <c r="E21" s="24">
        <f t="shared" si="21"/>
        <v>0.25624999999999998</v>
      </c>
      <c r="F21" s="25">
        <f t="shared" ca="1" si="22"/>
        <v>2.353008859739961E-2</v>
      </c>
      <c r="G21" s="25">
        <f t="shared" si="23"/>
        <v>1.6402837940400241</v>
      </c>
      <c r="H21" s="25">
        <f t="shared" si="24"/>
        <v>0.87575631206747795</v>
      </c>
      <c r="I21" s="25">
        <f t="shared" si="25"/>
        <v>0.50370519644314049</v>
      </c>
      <c r="J21" s="25">
        <f t="shared" si="26"/>
        <v>0.17722947749752854</v>
      </c>
      <c r="K21" s="25">
        <f t="shared" ca="1" si="27"/>
        <v>0.17317413771695558</v>
      </c>
      <c r="L21" s="25">
        <f t="shared" ref="L21:L30" ca="1" si="29">L20+($E21-$E20)*(K20+K21)/2</f>
        <v>1.0017947571620932E-2</v>
      </c>
      <c r="M21" s="25">
        <f ca="1">2*$J21*(1-$F21/$I21)*(1/$I21^2+1)*$E21</f>
        <v>0.42785869013968464</v>
      </c>
      <c r="N21" s="25">
        <f t="shared" ref="N21:N30" ca="1" si="30">N20+($E21-$E20)*(M20+M21)/2</f>
        <v>3.1034627899466594E-2</v>
      </c>
      <c r="O21" s="25">
        <f ca="1">4*$J21*( 1+ ($F21*$I21))*$E21</f>
        <v>0.18381329269668162</v>
      </c>
      <c r="P21" s="25">
        <f t="shared" ref="P21:P30" ca="1" si="31">P20+($E21-$E20)*(O20+O21)/2</f>
        <v>1.0690342429189991E-2</v>
      </c>
      <c r="Q21" s="25">
        <f t="shared" ca="1" si="28"/>
        <v>1.8599428501306112E-2</v>
      </c>
      <c r="R21" s="25">
        <f t="shared" ref="R21:R30" ca="1" si="32">R20+($E21-$E20)*(Q20+Q21)/2</f>
        <v>9.4499018666798808E-4</v>
      </c>
      <c r="S21" s="25">
        <f t="shared" ref="S21:S30" ca="1" si="33">SQRT($I21^2 + 1 - ((($M$7/2)*COS($O5))^2) )</f>
        <v>1.1195233478945219</v>
      </c>
      <c r="T21" s="26">
        <f t="shared" ref="T21:T30" ca="1" si="34">(4*PI()*$M$6/$C$14)*($J21/$S21)*($M$7/$I5)</f>
        <v>5.2728768185889674E-2</v>
      </c>
      <c r="V21" s="55">
        <f t="shared" si="19"/>
        <v>0.12125</v>
      </c>
      <c r="W21" s="56">
        <f t="shared" ca="1" si="9"/>
        <v>17.767064716664454</v>
      </c>
      <c r="X21" s="56">
        <f t="shared" ca="1" si="20"/>
        <v>45.25528858785718</v>
      </c>
      <c r="Y21" s="56">
        <f t="shared" ca="1" si="10"/>
        <v>0.43207171754548263</v>
      </c>
      <c r="Z21" s="52">
        <f t="shared" ca="1" si="11"/>
        <v>6.3526733520306085</v>
      </c>
      <c r="AA21" s="52">
        <f t="shared" ca="1" si="12"/>
        <v>-5.4999999999999997E-3</v>
      </c>
      <c r="AB21" s="52">
        <f t="shared" ca="1" si="13"/>
        <v>1.2666999999999999</v>
      </c>
      <c r="AC21" s="52">
        <f t="shared" ca="1" si="14"/>
        <v>1.214E-2</v>
      </c>
      <c r="AD21" s="52">
        <f t="shared" ca="1" si="15"/>
        <v>1.9638731358958203E-2</v>
      </c>
      <c r="AE21" s="52">
        <f t="shared" ca="1" si="16"/>
        <v>3.926967185691798E-2</v>
      </c>
      <c r="AF21" s="52">
        <f t="shared" ca="1" si="17"/>
        <v>0.51580000000000004</v>
      </c>
      <c r="AG21" s="52">
        <f t="shared" ca="1" si="18"/>
        <v>100000</v>
      </c>
      <c r="AH21" s="53"/>
    </row>
    <row r="22" spans="1:34" x14ac:dyDescent="0.25">
      <c r="A22" s="2"/>
      <c r="E22" s="24">
        <f t="shared" si="21"/>
        <v>0.34375</v>
      </c>
      <c r="F22" s="25">
        <f t="shared" ca="1" si="22"/>
        <v>2.353008859739961E-2</v>
      </c>
      <c r="G22" s="25">
        <f t="shared" si="23"/>
        <v>1.4473092300353154</v>
      </c>
      <c r="H22" s="25">
        <f t="shared" si="24"/>
        <v>0.84884945875692575</v>
      </c>
      <c r="I22" s="25">
        <f t="shared" si="25"/>
        <v>0.67570209278957882</v>
      </c>
      <c r="J22" s="25">
        <f t="shared" si="26"/>
        <v>0.26607793043743938</v>
      </c>
      <c r="K22" s="25">
        <f t="shared" ca="1" si="27"/>
        <v>0.35311684860469256</v>
      </c>
      <c r="L22" s="25">
        <f t="shared" ca="1" si="29"/>
        <v>3.3043178223193047E-2</v>
      </c>
      <c r="M22" s="25">
        <f t="shared" ref="M22:M30" ca="1" si="35">2*$J22*(1-$F22/$I22)*(1/(1+$I22^2))*$E22</f>
        <v>0.1212149241622158</v>
      </c>
      <c r="N22" s="25">
        <f t="shared" ca="1" si="30"/>
        <v>5.5056598525174742E-2</v>
      </c>
      <c r="O22" s="25">
        <f t="shared" ref="O22:O30" ca="1" si="36">4*$J22*(1+ ($F22*$I22))*$E22</f>
        <v>0.37167403802117477</v>
      </c>
      <c r="P22" s="25">
        <f t="shared" ca="1" si="31"/>
        <v>3.4992913148096216E-2</v>
      </c>
      <c r="Q22" s="25">
        <f t="shared" ca="1" si="28"/>
        <v>5.8251941974978301E-2</v>
      </c>
      <c r="R22" s="25">
        <f t="shared" ca="1" si="32"/>
        <v>4.3072376450054321E-3</v>
      </c>
      <c r="S22" s="25">
        <f t="shared" ca="1" si="33"/>
        <v>1.2066354186845647</v>
      </c>
      <c r="T22" s="26">
        <f t="shared" ca="1" si="34"/>
        <v>7.3447599926402221E-2</v>
      </c>
      <c r="V22" s="55">
        <f t="shared" si="19"/>
        <v>0.13875000000000001</v>
      </c>
      <c r="W22" s="56">
        <f t="shared" ca="1" si="9"/>
        <v>16.506705719827682</v>
      </c>
      <c r="X22" s="56">
        <f t="shared" ca="1" si="20"/>
        <v>41.470508689983845</v>
      </c>
      <c r="Y22" s="56">
        <f t="shared" ca="1" si="10"/>
        <v>0.43207171754548263</v>
      </c>
      <c r="Z22" s="52">
        <f t="shared" ca="1" si="11"/>
        <v>6.3526733520306085</v>
      </c>
      <c r="AA22" s="52">
        <f t="shared" ca="1" si="12"/>
        <v>-5.4999999999999997E-3</v>
      </c>
      <c r="AB22" s="52">
        <f t="shared" ca="1" si="13"/>
        <v>1.2666999999999999</v>
      </c>
      <c r="AC22" s="52">
        <f t="shared" ca="1" si="14"/>
        <v>1.214E-2</v>
      </c>
      <c r="AD22" s="52">
        <f t="shared" ca="1" si="15"/>
        <v>1.9638731358958203E-2</v>
      </c>
      <c r="AE22" s="52">
        <f t="shared" ca="1" si="16"/>
        <v>3.926967185691798E-2</v>
      </c>
      <c r="AF22" s="52">
        <f t="shared" ca="1" si="17"/>
        <v>0.51580000000000004</v>
      </c>
      <c r="AG22" s="52">
        <f t="shared" ca="1" si="18"/>
        <v>100000</v>
      </c>
      <c r="AH22" s="53"/>
    </row>
    <row r="23" spans="1:34" x14ac:dyDescent="0.25">
      <c r="A23" s="2"/>
      <c r="E23" s="24">
        <f t="shared" si="21"/>
        <v>0.43124999999999997</v>
      </c>
      <c r="F23" s="25">
        <f t="shared" ca="1" si="22"/>
        <v>1.6889387984278494E-2</v>
      </c>
      <c r="G23" s="25">
        <f t="shared" si="23"/>
        <v>1.2543346660306069</v>
      </c>
      <c r="H23" s="25">
        <f t="shared" si="24"/>
        <v>0.81583639613991066</v>
      </c>
      <c r="I23" s="25">
        <f t="shared" si="25"/>
        <v>0.84769898913601693</v>
      </c>
      <c r="J23" s="25">
        <f t="shared" si="26"/>
        <v>0.34112474386418595</v>
      </c>
      <c r="K23" s="25">
        <f t="shared" ca="1" si="27"/>
        <v>0.57671621665591621</v>
      </c>
      <c r="L23" s="25">
        <f t="shared" ca="1" si="29"/>
        <v>7.3723374828344665E-2</v>
      </c>
      <c r="M23" s="25">
        <f t="shared" ca="1" si="35"/>
        <v>0.16778726065561828</v>
      </c>
      <c r="N23" s="25">
        <f t="shared" ca="1" si="30"/>
        <v>6.770044411095498E-2</v>
      </c>
      <c r="O23" s="25">
        <f t="shared" ca="1" si="36"/>
        <v>0.59686495018704178</v>
      </c>
      <c r="P23" s="25">
        <f t="shared" ca="1" si="31"/>
        <v>7.7366493882205678E-2</v>
      </c>
      <c r="Q23" s="25">
        <f t="shared" ca="1" si="28"/>
        <v>0.1247832311830004</v>
      </c>
      <c r="R23" s="25">
        <f t="shared" ca="1" si="32"/>
        <v>1.2315026470666998E-2</v>
      </c>
      <c r="S23" s="25">
        <f t="shared" ca="1" si="33"/>
        <v>1.3106410990067949</v>
      </c>
      <c r="T23" s="26">
        <f t="shared" ca="1" si="34"/>
        <v>8.4607739163090709E-2</v>
      </c>
      <c r="V23" s="55">
        <f t="shared" si="19"/>
        <v>0.15625</v>
      </c>
      <c r="W23" s="56">
        <f t="shared" ca="1" si="9"/>
        <v>14.364756823606356</v>
      </c>
      <c r="X23" s="56">
        <f t="shared" ca="1" si="20"/>
        <v>38.241570556697241</v>
      </c>
      <c r="Y23" s="56">
        <f t="shared" ca="1" si="10"/>
        <v>0.43207171754548263</v>
      </c>
      <c r="Z23" s="52">
        <f t="shared" ca="1" si="11"/>
        <v>6.3526733520306085</v>
      </c>
      <c r="AA23" s="52">
        <f t="shared" ca="1" si="12"/>
        <v>-5.4999999999999997E-3</v>
      </c>
      <c r="AB23" s="52">
        <f t="shared" ca="1" si="13"/>
        <v>1.2666999999999999</v>
      </c>
      <c r="AC23" s="52">
        <f t="shared" ca="1" si="14"/>
        <v>1.214E-2</v>
      </c>
      <c r="AD23" s="52">
        <f t="shared" ca="1" si="15"/>
        <v>1.9638731358958203E-2</v>
      </c>
      <c r="AE23" s="52">
        <f t="shared" ca="1" si="16"/>
        <v>3.926967185691798E-2</v>
      </c>
      <c r="AF23" s="52">
        <f t="shared" ca="1" si="17"/>
        <v>0.51580000000000004</v>
      </c>
      <c r="AG23" s="52">
        <f t="shared" ca="1" si="18"/>
        <v>100000</v>
      </c>
      <c r="AH23" s="53"/>
    </row>
    <row r="24" spans="1:34" x14ac:dyDescent="0.25">
      <c r="A24" s="2"/>
      <c r="E24" s="24">
        <f t="shared" si="21"/>
        <v>0.51874999999999993</v>
      </c>
      <c r="F24" s="25">
        <f t="shared" ca="1" si="22"/>
        <v>1.6889387984278494E-2</v>
      </c>
      <c r="G24" s="25">
        <f t="shared" si="23"/>
        <v>1.061360102025898</v>
      </c>
      <c r="H24" s="25">
        <f t="shared" si="24"/>
        <v>0.77508966383008637</v>
      </c>
      <c r="I24" s="25">
        <f t="shared" si="25"/>
        <v>1.0196958854824552</v>
      </c>
      <c r="J24" s="25">
        <f t="shared" si="26"/>
        <v>0.39510271511227663</v>
      </c>
      <c r="K24" s="25">
        <f t="shared" ca="1" si="27"/>
        <v>0.80625902215989853</v>
      </c>
      <c r="L24" s="25">
        <f t="shared" ca="1" si="29"/>
        <v>0.13422854152653654</v>
      </c>
      <c r="M24" s="25">
        <f t="shared" ca="1" si="35"/>
        <v>0.1976338480588396</v>
      </c>
      <c r="N24" s="25">
        <f t="shared" ca="1" si="30"/>
        <v>8.3687617617212509E-2</v>
      </c>
      <c r="O24" s="25">
        <f t="shared" ca="1" si="36"/>
        <v>0.83395741853031868</v>
      </c>
      <c r="P24" s="25">
        <f t="shared" ca="1" si="31"/>
        <v>0.13996497251359019</v>
      </c>
      <c r="Q24" s="25">
        <f t="shared" ca="1" si="28"/>
        <v>0.21255530535728198</v>
      </c>
      <c r="R24" s="25">
        <f t="shared" ca="1" si="32"/>
        <v>2.7073587444304346E-2</v>
      </c>
      <c r="S24" s="25">
        <f t="shared" ca="1" si="33"/>
        <v>1.4278585045269985</v>
      </c>
      <c r="T24" s="26">
        <f t="shared" ca="1" si="34"/>
        <v>8.9950895564535463E-2</v>
      </c>
      <c r="V24" s="55">
        <f t="shared" si="19"/>
        <v>0.17374999999999999</v>
      </c>
      <c r="W24" s="56">
        <f t="shared" ca="1" si="9"/>
        <v>11.289662547282859</v>
      </c>
      <c r="X24" s="56">
        <f t="shared" ca="1" si="20"/>
        <v>35.470997601470053</v>
      </c>
      <c r="Y24" s="56">
        <f t="shared" ca="1" si="10"/>
        <v>0.43207171754548263</v>
      </c>
      <c r="Z24" s="52">
        <f t="shared" ca="1" si="11"/>
        <v>6.3526733520306085</v>
      </c>
      <c r="AA24" s="52">
        <f t="shared" ca="1" si="12"/>
        <v>-5.4999999999999997E-3</v>
      </c>
      <c r="AB24" s="52">
        <f t="shared" ca="1" si="13"/>
        <v>1.2666999999999999</v>
      </c>
      <c r="AC24" s="52">
        <f t="shared" ca="1" si="14"/>
        <v>1.214E-2</v>
      </c>
      <c r="AD24" s="52">
        <f t="shared" ca="1" si="15"/>
        <v>1.9638731358958203E-2</v>
      </c>
      <c r="AE24" s="52">
        <f t="shared" ca="1" si="16"/>
        <v>3.926967185691798E-2</v>
      </c>
      <c r="AF24" s="52">
        <f t="shared" ca="1" si="17"/>
        <v>0.51580000000000004</v>
      </c>
      <c r="AG24" s="52">
        <f t="shared" ca="1" si="18"/>
        <v>100000</v>
      </c>
      <c r="AH24" s="53"/>
    </row>
    <row r="25" spans="1:34" ht="15.75" thickBot="1" x14ac:dyDescent="0.3">
      <c r="A25" s="2"/>
      <c r="E25" s="24">
        <f t="shared" si="21"/>
        <v>0.60624999999999996</v>
      </c>
      <c r="F25" s="25">
        <f t="shared" ca="1" si="22"/>
        <v>1.6889387984278494E-2</v>
      </c>
      <c r="G25" s="25">
        <f t="shared" si="23"/>
        <v>0.86838553802118934</v>
      </c>
      <c r="H25" s="25">
        <f t="shared" si="24"/>
        <v>0.72432073435856326</v>
      </c>
      <c r="I25" s="25">
        <f t="shared" si="25"/>
        <v>1.1916927818288934</v>
      </c>
      <c r="J25" s="25">
        <f t="shared" si="26"/>
        <v>0.42503093187802826</v>
      </c>
      <c r="K25" s="25">
        <f t="shared" ca="1" si="27"/>
        <v>1.0160923083677231</v>
      </c>
      <c r="L25" s="25">
        <f t="shared" ca="1" si="29"/>
        <v>0.21395641223712</v>
      </c>
      <c r="M25" s="25">
        <f t="shared" ca="1" si="35"/>
        <v>0.20992500410931486</v>
      </c>
      <c r="N25" s="25">
        <f t="shared" ca="1" si="30"/>
        <v>0.10151831739956926</v>
      </c>
      <c r="O25" s="25">
        <f t="shared" ca="1" si="36"/>
        <v>1.0514448694776564</v>
      </c>
      <c r="P25" s="25">
        <f t="shared" ca="1" si="31"/>
        <v>0.22245132261393913</v>
      </c>
      <c r="Q25" s="25">
        <f t="shared" ca="1" si="28"/>
        <v>0.30849357991126564</v>
      </c>
      <c r="R25" s="25">
        <f t="shared" ca="1" si="32"/>
        <v>4.9869476174803307E-2</v>
      </c>
      <c r="S25" s="25">
        <f t="shared" ca="1" si="33"/>
        <v>1.5553047512572564</v>
      </c>
      <c r="T25" s="26">
        <f t="shared" ca="1" si="34"/>
        <v>8.8835323583322259E-2</v>
      </c>
      <c r="V25" s="57">
        <f t="shared" si="19"/>
        <v>0.19125</v>
      </c>
      <c r="W25" s="58">
        <f t="shared" ca="1" si="9"/>
        <v>6.5504545722007883</v>
      </c>
      <c r="X25" s="58">
        <f t="shared" ca="1" si="20"/>
        <v>33.078223440019528</v>
      </c>
      <c r="Y25" s="58">
        <f t="shared" ca="1" si="10"/>
        <v>0.43207171754548263</v>
      </c>
      <c r="Z25" s="59">
        <f t="shared" ca="1" si="11"/>
        <v>6.3526733520306085</v>
      </c>
      <c r="AA25" s="59">
        <f t="shared" ca="1" si="12"/>
        <v>-5.4999999999999997E-3</v>
      </c>
      <c r="AB25" s="59">
        <f t="shared" ca="1" si="13"/>
        <v>1.2666999999999999</v>
      </c>
      <c r="AC25" s="59">
        <f t="shared" ca="1" si="14"/>
        <v>1.214E-2</v>
      </c>
      <c r="AD25" s="59">
        <f t="shared" ca="1" si="15"/>
        <v>1.9638731358958203E-2</v>
      </c>
      <c r="AE25" s="59">
        <f t="shared" ca="1" si="16"/>
        <v>3.926967185691798E-2</v>
      </c>
      <c r="AF25" s="59">
        <f t="shared" ca="1" si="17"/>
        <v>0.51580000000000004</v>
      </c>
      <c r="AG25" s="59">
        <f t="shared" ca="1" si="18"/>
        <v>100000</v>
      </c>
      <c r="AH25" s="60"/>
    </row>
    <row r="26" spans="1:34" x14ac:dyDescent="0.25">
      <c r="A26" s="2"/>
      <c r="E26" s="24">
        <f t="shared" si="21"/>
        <v>0.69374999999999998</v>
      </c>
      <c r="F26" s="25">
        <f t="shared" ca="1" si="22"/>
        <v>1.6889387984278494E-2</v>
      </c>
      <c r="G26" s="25">
        <f t="shared" si="23"/>
        <v>0.67541097401648054</v>
      </c>
      <c r="H26" s="25">
        <f t="shared" si="24"/>
        <v>0.66006967133808903</v>
      </c>
      <c r="I26" s="25">
        <f t="shared" si="25"/>
        <v>1.3636896781753318</v>
      </c>
      <c r="J26" s="25">
        <f t="shared" si="26"/>
        <v>0.42924779527134937</v>
      </c>
      <c r="K26" s="25">
        <f t="shared" ca="1" si="27"/>
        <v>1.1764100029154578</v>
      </c>
      <c r="L26" s="25">
        <f t="shared" ca="1" si="29"/>
        <v>0.3098783883557592</v>
      </c>
      <c r="M26" s="25">
        <f t="shared" ca="1" si="35"/>
        <v>0.20569128963777272</v>
      </c>
      <c r="N26" s="25">
        <f t="shared" ca="1" si="30"/>
        <v>0.11970153025100436</v>
      </c>
      <c r="O26" s="25">
        <f t="shared" ca="1" si="36"/>
        <v>1.218597351517801</v>
      </c>
      <c r="P26" s="25">
        <f t="shared" ca="1" si="31"/>
        <v>0.32176566978249044</v>
      </c>
      <c r="Q26" s="25">
        <f t="shared" ca="1" si="28"/>
        <v>0.39623107163985938</v>
      </c>
      <c r="R26" s="25">
        <f t="shared" ca="1" si="32"/>
        <v>8.0701179680165033E-2</v>
      </c>
      <c r="S26" s="25">
        <f t="shared" ca="1" si="33"/>
        <v>1.6906679123552064</v>
      </c>
      <c r="T26" s="26">
        <f t="shared" ca="1" si="34"/>
        <v>8.2533528599138414E-2</v>
      </c>
    </row>
    <row r="27" spans="1:34" x14ac:dyDescent="0.25">
      <c r="A27" s="2"/>
      <c r="E27" s="24">
        <f t="shared" si="21"/>
        <v>0.78125</v>
      </c>
      <c r="F27" s="25">
        <f t="shared" ca="1" si="22"/>
        <v>1.6889387984278494E-2</v>
      </c>
      <c r="G27" s="25">
        <f t="shared" si="23"/>
        <v>0.48243641001177179</v>
      </c>
      <c r="H27" s="25">
        <f t="shared" si="24"/>
        <v>0.57647107734280612</v>
      </c>
      <c r="I27" s="25">
        <f t="shared" si="25"/>
        <v>1.5356865745217698</v>
      </c>
      <c r="J27" s="25">
        <f t="shared" si="26"/>
        <v>0.40481715453571959</v>
      </c>
      <c r="K27" s="25">
        <f t="shared" ca="1" si="27"/>
        <v>1.2511406249238033</v>
      </c>
      <c r="L27" s="25">
        <f t="shared" ca="1" si="29"/>
        <v>0.41608372832372692</v>
      </c>
      <c r="M27" s="25">
        <f t="shared" ca="1" si="35"/>
        <v>0.18627404278581766</v>
      </c>
      <c r="N27" s="25">
        <f t="shared" ca="1" si="30"/>
        <v>0.13685001354453644</v>
      </c>
      <c r="O27" s="25">
        <f t="shared" ca="1" si="36"/>
        <v>1.2978650584123443</v>
      </c>
      <c r="P27" s="25">
        <f t="shared" ca="1" si="31"/>
        <v>0.43186090021693435</v>
      </c>
      <c r="Q27" s="25">
        <f t="shared" ca="1" si="28"/>
        <v>0.45570199492019436</v>
      </c>
      <c r="R27" s="25">
        <f t="shared" ca="1" si="32"/>
        <v>0.11797325134216739</v>
      </c>
      <c r="S27" s="25">
        <f t="shared" ca="1" si="33"/>
        <v>1.8321932350473824</v>
      </c>
      <c r="T27" s="26">
        <f t="shared" ca="1" si="34"/>
        <v>7.182378411803178E-2</v>
      </c>
      <c r="V27" s="76"/>
      <c r="W27" s="76"/>
    </row>
    <row r="28" spans="1:34" x14ac:dyDescent="0.25">
      <c r="A28" s="2"/>
      <c r="E28" s="24">
        <f t="shared" si="21"/>
        <v>0.86874999999999991</v>
      </c>
      <c r="F28" s="25">
        <f t="shared" ca="1" si="22"/>
        <v>1.6889387984278494E-2</v>
      </c>
      <c r="G28" s="25">
        <f t="shared" si="23"/>
        <v>0.28946184600706326</v>
      </c>
      <c r="H28" s="25">
        <f t="shared" si="24"/>
        <v>0.46138905212602921</v>
      </c>
      <c r="I28" s="25">
        <f t="shared" si="25"/>
        <v>1.707683470868208</v>
      </c>
      <c r="J28" s="25">
        <f t="shared" si="26"/>
        <v>0.34357303807148831</v>
      </c>
      <c r="K28" s="25">
        <f t="shared" ca="1" si="27"/>
        <v>1.182108196440226</v>
      </c>
      <c r="L28" s="25">
        <f t="shared" ca="1" si="29"/>
        <v>0.52253836425840305</v>
      </c>
      <c r="M28" s="25">
        <f t="shared" ca="1" si="35"/>
        <v>0.15092607339082192</v>
      </c>
      <c r="N28" s="25">
        <f t="shared" ca="1" si="30"/>
        <v>0.1516025186272644</v>
      </c>
      <c r="O28" s="25">
        <f t="shared" ca="1" si="36"/>
        <v>1.2283509175166654</v>
      </c>
      <c r="P28" s="25">
        <f t="shared" ca="1" si="31"/>
        <v>0.5423828491638284</v>
      </c>
      <c r="Q28" s="25">
        <f t="shared" ca="1" si="28"/>
        <v>0.45734532993841293</v>
      </c>
      <c r="R28" s="25">
        <f t="shared" ca="1" si="32"/>
        <v>0.15791907180473141</v>
      </c>
      <c r="S28" s="25">
        <f t="shared" ca="1" si="33"/>
        <v>1.9785578826589187</v>
      </c>
      <c r="T28" s="26">
        <f t="shared" ca="1" si="34"/>
        <v>5.6448312736414291E-2</v>
      </c>
      <c r="V28" s="76"/>
      <c r="W28" s="76"/>
    </row>
    <row r="29" spans="1:34" x14ac:dyDescent="0.25">
      <c r="A29" s="2"/>
      <c r="E29" s="24">
        <f t="shared" si="21"/>
        <v>0.95624999999999993</v>
      </c>
      <c r="F29" s="25">
        <f t="shared" ca="1" si="22"/>
        <v>1.6889387984278494E-2</v>
      </c>
      <c r="G29" s="25">
        <f t="shared" si="23"/>
        <v>9.6487282002354499E-2</v>
      </c>
      <c r="H29" s="25">
        <f t="shared" si="24"/>
        <v>0.27518504307170305</v>
      </c>
      <c r="I29" s="25">
        <f t="shared" si="25"/>
        <v>1.8796803672146463</v>
      </c>
      <c r="J29" s="25">
        <f t="shared" si="26"/>
        <v>0.21448065162467053</v>
      </c>
      <c r="K29" s="25">
        <f t="shared" ca="1" si="27"/>
        <v>0.81301710114233905</v>
      </c>
      <c r="L29" s="25">
        <f t="shared" ca="1" si="29"/>
        <v>0.60982509602764035</v>
      </c>
      <c r="M29" s="25">
        <f t="shared" ca="1" si="35"/>
        <v>8.9673675229537161E-2</v>
      </c>
      <c r="N29" s="25">
        <f t="shared" ca="1" si="30"/>
        <v>0.16212875762940512</v>
      </c>
      <c r="O29" s="25">
        <f t="shared" ca="1" si="36"/>
        <v>0.84643307962587211</v>
      </c>
      <c r="P29" s="25">
        <f t="shared" ca="1" si="31"/>
        <v>0.63315464903881447</v>
      </c>
      <c r="Q29" s="25">
        <f t="shared" ca="1" si="28"/>
        <v>0.32985716892238609</v>
      </c>
      <c r="R29" s="25">
        <f t="shared" ca="1" si="32"/>
        <v>0.19235918112989137</v>
      </c>
      <c r="S29" s="25">
        <f t="shared" ca="1" si="33"/>
        <v>2.1287630681411773</v>
      </c>
      <c r="T29" s="26">
        <f t="shared" ca="1" si="34"/>
        <v>3.2752272861003941E-2</v>
      </c>
      <c r="V29" s="76"/>
      <c r="W29" s="76"/>
    </row>
    <row r="30" spans="1:34" ht="15.75" thickBot="1" x14ac:dyDescent="0.3">
      <c r="A30" s="2"/>
      <c r="E30" s="24">
        <f t="shared" si="21"/>
        <v>1</v>
      </c>
      <c r="F30" s="27">
        <f t="shared" ca="1" si="22"/>
        <v>1.6889387984278494E-2</v>
      </c>
      <c r="G30" s="27">
        <v>0</v>
      </c>
      <c r="H30" s="27">
        <v>0</v>
      </c>
      <c r="I30" s="27">
        <f t="shared" si="25"/>
        <v>1.9656788153878655</v>
      </c>
      <c r="J30" s="27">
        <f t="shared" si="26"/>
        <v>0</v>
      </c>
      <c r="K30" s="27">
        <f t="shared" ca="1" si="27"/>
        <v>0</v>
      </c>
      <c r="L30" s="28">
        <f t="shared" ca="1" si="29"/>
        <v>0.62760984511512907</v>
      </c>
      <c r="M30" s="27">
        <f t="shared" ca="1" si="35"/>
        <v>0</v>
      </c>
      <c r="N30" s="28">
        <f t="shared" ca="1" si="30"/>
        <v>0.16409036927505125</v>
      </c>
      <c r="O30" s="27">
        <f t="shared" ca="1" si="36"/>
        <v>0</v>
      </c>
      <c r="P30" s="28">
        <f t="shared" ca="1" si="31"/>
        <v>0.65167037265563044</v>
      </c>
      <c r="Q30" s="27">
        <f t="shared" ca="1" si="28"/>
        <v>0</v>
      </c>
      <c r="R30" s="28">
        <f t="shared" ca="1" si="32"/>
        <v>0.19957480670006858</v>
      </c>
      <c r="S30" s="25">
        <f t="shared" ca="1" si="33"/>
        <v>2.2050611806896048</v>
      </c>
      <c r="T30" s="26">
        <f t="shared" ca="1" si="34"/>
        <v>0</v>
      </c>
      <c r="V30" s="76"/>
      <c r="W30" s="76"/>
    </row>
    <row r="31" spans="1:34" x14ac:dyDescent="0.25">
      <c r="W31" s="76"/>
    </row>
    <row r="32" spans="1:34" x14ac:dyDescent="0.25">
      <c r="W32" s="76"/>
    </row>
    <row r="33" spans="23:23" x14ac:dyDescent="0.25">
      <c r="W33" s="76"/>
    </row>
    <row r="34" spans="23:23" x14ac:dyDescent="0.25">
      <c r="W34" s="76"/>
    </row>
    <row r="35" spans="23:23" x14ac:dyDescent="0.25">
      <c r="W35" s="76"/>
    </row>
    <row r="36" spans="23:23" x14ac:dyDescent="0.25">
      <c r="W36" s="76"/>
    </row>
    <row r="37" spans="23:23" x14ac:dyDescent="0.25">
      <c r="W37" s="76"/>
    </row>
  </sheetData>
  <mergeCells count="9">
    <mergeCell ref="B1:M1"/>
    <mergeCell ref="B2:C2"/>
    <mergeCell ref="E2:J2"/>
    <mergeCell ref="L2:M2"/>
    <mergeCell ref="O2:T2"/>
    <mergeCell ref="B7:C7"/>
    <mergeCell ref="B13:C13"/>
    <mergeCell ref="B18:C18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H30"/>
  <sheetViews>
    <sheetView zoomScaleNormal="100" workbookViewId="0">
      <selection activeCell="C16" sqref="C16"/>
    </sheetView>
  </sheetViews>
  <sheetFormatPr defaultRowHeight="15" x14ac:dyDescent="0.25"/>
  <cols>
    <col min="1" max="1" width="4.28515625" style="1" customWidth="1"/>
    <col min="2" max="2" width="12.28515625" style="1" customWidth="1"/>
    <col min="3" max="3" width="10.7109375" style="1" customWidth="1"/>
    <col min="4" max="4" width="4.7109375" style="1" customWidth="1"/>
    <col min="5" max="6" width="9.140625" style="1"/>
    <col min="7" max="7" width="10.140625" style="1" customWidth="1"/>
    <col min="8" max="14" width="9.140625" style="1"/>
    <col min="15" max="17" width="9.5703125" style="1" bestFit="1" customWidth="1"/>
    <col min="18" max="21" width="9.140625" style="1" customWidth="1"/>
    <col min="22" max="22" width="7.85546875" style="1" customWidth="1"/>
    <col min="23" max="23" width="6.7109375" style="1" customWidth="1"/>
    <col min="24" max="24" width="6.28515625" style="1" customWidth="1"/>
    <col min="25" max="25" width="7.5703125" style="1" customWidth="1"/>
    <col min="26" max="26" width="6" style="1" customWidth="1"/>
    <col min="27" max="27" width="6.5703125" style="1" customWidth="1"/>
    <col min="28" max="28" width="6.7109375" style="1" customWidth="1"/>
    <col min="29" max="31" width="9.140625" style="1" customWidth="1"/>
    <col min="32" max="16384" width="9.140625" style="1"/>
  </cols>
  <sheetData>
    <row r="1" spans="2:34" s="49" customFormat="1" ht="18" customHeight="1" thickBot="1" x14ac:dyDescent="0.3">
      <c r="B1" s="82" t="str">
        <f>CONCATENATE(B19,": ",C16*1000,"mm, ",C9,"m/s, ",C8,"W @ ",M4,"rpm")</f>
        <v>Nemo_CR: 400mm, 4m/s, 250W @ 375,417rpm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2:34" ht="15.75" thickBot="1" x14ac:dyDescent="0.3">
      <c r="B2" s="77" t="s">
        <v>26</v>
      </c>
      <c r="C2" s="79"/>
      <c r="E2" s="77" t="s">
        <v>28</v>
      </c>
      <c r="F2" s="78"/>
      <c r="G2" s="78"/>
      <c r="H2" s="78"/>
      <c r="I2" s="78"/>
      <c r="J2" s="79"/>
      <c r="L2" s="77" t="s">
        <v>30</v>
      </c>
      <c r="M2" s="79"/>
      <c r="O2" s="77" t="s">
        <v>29</v>
      </c>
      <c r="P2" s="78"/>
      <c r="Q2" s="78"/>
      <c r="R2" s="78"/>
      <c r="S2" s="78"/>
      <c r="T2" s="79"/>
      <c r="V2" s="61" t="s">
        <v>91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</row>
    <row r="3" spans="2:34" x14ac:dyDescent="0.25">
      <c r="B3" s="3" t="s">
        <v>1</v>
      </c>
      <c r="C3" s="37">
        <v>1025</v>
      </c>
      <c r="E3" s="13" t="s">
        <v>3</v>
      </c>
      <c r="F3" s="14" t="s">
        <v>44</v>
      </c>
      <c r="G3" s="14" t="s">
        <v>49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6.0653560629533275E-2</v>
      </c>
      <c r="O3" s="13" t="s">
        <v>43</v>
      </c>
      <c r="P3" s="33" t="s">
        <v>50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Nemo_CR: 400mm, 4m/s, 250W @ 375,417rpm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</row>
    <row r="4" spans="2:34" x14ac:dyDescent="0.25">
      <c r="B4" s="3" t="s">
        <v>33</v>
      </c>
      <c r="C4" s="38">
        <v>1.0020000000000001E-3</v>
      </c>
      <c r="E4" s="7">
        <v>0</v>
      </c>
      <c r="F4" s="8">
        <v>0</v>
      </c>
      <c r="G4" s="47" t="s">
        <v>109</v>
      </c>
      <c r="H4" s="36">
        <v>4.75</v>
      </c>
      <c r="I4" s="8">
        <f t="shared" ref="I4:I14" ca="1" si="0">VLOOKUP(H4,INDIRECT(G4&amp;"!A14:C999"),3,FALSE)</f>
        <v>0.97160000000000002</v>
      </c>
      <c r="J4" s="9">
        <f t="shared" ref="J4:J14" ca="1" si="1">VLOOKUP(H4,INDIRECT(G4&amp;"!A14:C999"),2,FALSE)</f>
        <v>1.512E-2</v>
      </c>
      <c r="L4" s="3" t="s">
        <v>48</v>
      </c>
      <c r="M4" s="5">
        <f>ROUND($C$10*$C$11,3)</f>
        <v>375.41699999999997</v>
      </c>
      <c r="O4" s="16">
        <f ca="1">(180/PI())*ATAN((($C$9/($M$5*($C$16/2)))/0.000000000001)*(1+$M$7/2)  )</f>
        <v>89.999999999892339</v>
      </c>
      <c r="P4" s="10">
        <f ca="1">$O4+$H4</f>
        <v>94.749999999892339</v>
      </c>
      <c r="Q4" s="10">
        <f>$T20*($C$16/2)/1000</f>
        <v>0</v>
      </c>
      <c r="R4" s="10">
        <f t="shared" ref="R4" si="2">Q4/0.0254/1000</f>
        <v>0</v>
      </c>
      <c r="S4" s="19">
        <f t="shared" ref="S4:S14" si="3">($C$3*$C$9*$F4/$C$4)*$T20*$S20</f>
        <v>0</v>
      </c>
      <c r="T4" s="17">
        <f t="shared" ref="T4:T14" si="4">($C$9/$C$5)*$S20</f>
        <v>2.7008777852802163E-3</v>
      </c>
      <c r="U4" s="68">
        <f>F4/1000</f>
        <v>0</v>
      </c>
      <c r="V4" s="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2:34" ht="15.75" thickBot="1" x14ac:dyDescent="0.3">
      <c r="B5" s="4" t="s">
        <v>22</v>
      </c>
      <c r="C5" s="39">
        <v>1481</v>
      </c>
      <c r="E5" s="7">
        <v>1</v>
      </c>
      <c r="F5" s="10">
        <f>$C$15/2</f>
        <v>2.5000000000000001E-2</v>
      </c>
      <c r="G5" s="47" t="s">
        <v>109</v>
      </c>
      <c r="H5" s="36">
        <v>4.75</v>
      </c>
      <c r="I5" s="8">
        <f t="shared" ca="1" si="0"/>
        <v>0.97160000000000002</v>
      </c>
      <c r="J5" s="9">
        <f t="shared" ca="1" si="1"/>
        <v>1.512E-2</v>
      </c>
      <c r="L5" s="3" t="s">
        <v>38</v>
      </c>
      <c r="M5" s="5">
        <f>$M$4*PI()/30</f>
        <v>39.313576307757309</v>
      </c>
      <c r="O5" s="16">
        <f t="shared" ref="O5:O14" ca="1" si="5">(180/PI())*ATAN((($C$9/($M$5*($C$16/2)))/$E21)*(1+$M$7/2)  )</f>
        <v>76.782862423982635</v>
      </c>
      <c r="P5" s="10">
        <f t="shared" ref="P5:P14" ca="1" si="6">$O5+$H5</f>
        <v>81.532862423982635</v>
      </c>
      <c r="Q5" s="10">
        <f t="shared" ref="Q5:Q14" ca="1" si="7">$T21*($C$16/2)*1000</f>
        <v>3.0486361302140583</v>
      </c>
      <c r="R5" s="10">
        <f t="shared" ref="R5:R14" ca="1" si="8">Q5/0.0254/1000</f>
        <v>0.12002504449661647</v>
      </c>
      <c r="S5" s="19">
        <f t="shared" ca="1" si="3"/>
        <v>1605.6325982002897</v>
      </c>
      <c r="T5" s="17">
        <f t="shared" ca="1" si="4"/>
        <v>2.7811177003527442E-3</v>
      </c>
      <c r="U5" s="68">
        <f t="shared" ref="U5:U14" si="9">F5/1000</f>
        <v>2.5000000000000001E-5</v>
      </c>
      <c r="V5" s="3">
        <f>C14</f>
        <v>2</v>
      </c>
      <c r="W5" s="52">
        <f>C16/2</f>
        <v>0.2</v>
      </c>
      <c r="X5" s="52"/>
      <c r="Y5" s="52"/>
      <c r="Z5" s="54" t="s">
        <v>73</v>
      </c>
      <c r="AA5" s="52"/>
      <c r="AB5" s="52"/>
      <c r="AC5" s="52"/>
      <c r="AD5" s="52"/>
      <c r="AE5" s="52"/>
      <c r="AF5" s="52"/>
      <c r="AG5" s="52"/>
      <c r="AH5" s="53"/>
    </row>
    <row r="6" spans="2:34" ht="15.75" thickBot="1" x14ac:dyDescent="0.3">
      <c r="E6" s="7">
        <v>2</v>
      </c>
      <c r="F6" s="10">
        <f>F5+($C$16/2-$C$15/2)/($E$14-1)</f>
        <v>4.4444444444444446E-2</v>
      </c>
      <c r="G6" s="47" t="s">
        <v>109</v>
      </c>
      <c r="H6" s="36">
        <v>4.75</v>
      </c>
      <c r="I6" s="8">
        <f t="shared" ca="1" si="0"/>
        <v>0.97160000000000002</v>
      </c>
      <c r="J6" s="9">
        <f t="shared" ca="1" si="1"/>
        <v>1.512E-2</v>
      </c>
      <c r="L6" s="3" t="s">
        <v>14</v>
      </c>
      <c r="M6" s="22">
        <f>$C$9/($M$5*($C$16/2))</f>
        <v>0.50873011001173207</v>
      </c>
      <c r="O6" s="16">
        <f t="shared" ca="1" si="5"/>
        <v>67.337753515846828</v>
      </c>
      <c r="P6" s="10">
        <f t="shared" ca="1" si="6"/>
        <v>72.087753515846828</v>
      </c>
      <c r="Q6" s="10">
        <f t="shared" ca="1" si="7"/>
        <v>7.8963831449946467</v>
      </c>
      <c r="R6" s="10">
        <f t="shared" ca="1" si="8"/>
        <v>0.31088122618089159</v>
      </c>
      <c r="S6" s="19">
        <f t="shared" ca="1" si="3"/>
        <v>7834.957383292226</v>
      </c>
      <c r="T6" s="17">
        <f t="shared" ca="1" si="4"/>
        <v>2.9472008727083202E-3</v>
      </c>
      <c r="U6" s="68">
        <f t="shared" si="9"/>
        <v>4.4444444444444447E-5</v>
      </c>
      <c r="V6" s="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</row>
    <row r="7" spans="2:34" ht="15.75" thickBot="1" x14ac:dyDescent="0.3">
      <c r="B7" s="77" t="s">
        <v>31</v>
      </c>
      <c r="C7" s="79"/>
      <c r="E7" s="7">
        <v>3</v>
      </c>
      <c r="F7" s="10">
        <f t="shared" ref="F7:F14" si="10">F6+($C$16/2-$C$15/2)/($E$14-1)</f>
        <v>6.3888888888888884E-2</v>
      </c>
      <c r="G7" s="47" t="s">
        <v>109</v>
      </c>
      <c r="H7" s="36">
        <v>4.75</v>
      </c>
      <c r="I7" s="8">
        <f t="shared" ca="1" si="0"/>
        <v>0.97160000000000002</v>
      </c>
      <c r="J7" s="9">
        <f t="shared" ca="1" si="1"/>
        <v>1.512E-2</v>
      </c>
      <c r="L7" s="3" t="s">
        <v>36</v>
      </c>
      <c r="M7" s="21">
        <f ca="1">($P$30/(2*$R$30)) *(SQRT( 1 + ((4*$M$3*$R$30)/($P$30^2)) ) - 1 )</f>
        <v>9.2363325994308562E-2</v>
      </c>
      <c r="O7" s="16">
        <f t="shared" ca="1" si="5"/>
        <v>59.027538819945448</v>
      </c>
      <c r="P7" s="10">
        <f t="shared" ca="1" si="6"/>
        <v>63.777538819945448</v>
      </c>
      <c r="Q7" s="10">
        <f t="shared" ca="1" si="7"/>
        <v>12.477310974863626</v>
      </c>
      <c r="R7" s="10">
        <f t="shared" ca="1" si="8"/>
        <v>0.49123271554581205</v>
      </c>
      <c r="S7" s="19">
        <f t="shared" ca="1" si="3"/>
        <v>19248.749432434004</v>
      </c>
      <c r="T7" s="17">
        <f t="shared" ca="1" si="4"/>
        <v>3.1876819110227971E-3</v>
      </c>
      <c r="U7" s="68">
        <f t="shared" si="9"/>
        <v>6.3888888888888882E-5</v>
      </c>
      <c r="V7" s="3">
        <f ca="1">INDIRECT(G4&amp;"!H3")</f>
        <v>0.41333477801268476</v>
      </c>
      <c r="W7" s="52">
        <f ca="1">INDIRECT(G4&amp;"!I3")</f>
        <v>6.5946190514719945</v>
      </c>
      <c r="X7" s="52"/>
      <c r="Y7" s="52"/>
      <c r="Z7" s="54" t="s">
        <v>72</v>
      </c>
      <c r="AA7" s="52"/>
      <c r="AB7" s="52"/>
      <c r="AC7" s="52"/>
      <c r="AD7" s="52"/>
      <c r="AE7" s="52"/>
      <c r="AF7" s="52"/>
      <c r="AG7" s="52"/>
      <c r="AH7" s="53"/>
    </row>
    <row r="8" spans="2:34" x14ac:dyDescent="0.25">
      <c r="B8" s="3" t="s">
        <v>0</v>
      </c>
      <c r="C8" s="37">
        <v>250</v>
      </c>
      <c r="E8" s="7">
        <v>4</v>
      </c>
      <c r="F8" s="10">
        <f t="shared" si="10"/>
        <v>8.3333333333333329E-2</v>
      </c>
      <c r="G8" s="47" t="s">
        <v>109</v>
      </c>
      <c r="H8" s="36">
        <v>4.75</v>
      </c>
      <c r="I8" s="8">
        <f t="shared" ca="1" si="0"/>
        <v>0.97160000000000002</v>
      </c>
      <c r="J8" s="9">
        <f t="shared" ca="1" si="1"/>
        <v>1.512E-2</v>
      </c>
      <c r="L8" s="3" t="s">
        <v>16</v>
      </c>
      <c r="M8" s="23">
        <f ca="1">($L$30*$M$7-$N$30*$M$7^2)/$M$3</f>
        <v>0.92039553534386964</v>
      </c>
      <c r="O8" s="16">
        <f t="shared" ca="1" si="5"/>
        <v>51.943381714580696</v>
      </c>
      <c r="P8" s="10">
        <f t="shared" ca="1" si="6"/>
        <v>56.693381714580696</v>
      </c>
      <c r="Q8" s="10">
        <f t="shared" ca="1" si="7"/>
        <v>15.513227845903707</v>
      </c>
      <c r="R8" s="10">
        <f t="shared" ca="1" si="8"/>
        <v>0.61075700180723258</v>
      </c>
      <c r="S8" s="19">
        <f t="shared" ca="1" si="3"/>
        <v>34187.55583426317</v>
      </c>
      <c r="T8" s="17">
        <f t="shared" ca="1" si="4"/>
        <v>3.4911291972650441E-3</v>
      </c>
      <c r="U8" s="68">
        <f t="shared" si="9"/>
        <v>8.3333333333333331E-5</v>
      </c>
      <c r="V8" s="3">
        <f ca="1">INDIRECT(G4&amp;"!j3")</f>
        <v>-4.3400000000000001E-2</v>
      </c>
      <c r="W8" s="52">
        <f ca="1">INDIRECT(G4&amp;"!k3")</f>
        <v>1.1694</v>
      </c>
      <c r="X8" s="52"/>
      <c r="Y8" s="52"/>
      <c r="Z8" s="54" t="s">
        <v>71</v>
      </c>
      <c r="AA8" s="52"/>
      <c r="AB8" s="52"/>
      <c r="AC8" s="52"/>
      <c r="AD8" s="52"/>
      <c r="AE8" s="52"/>
      <c r="AF8" s="52"/>
      <c r="AG8" s="52"/>
      <c r="AH8" s="53"/>
    </row>
    <row r="9" spans="2:34" x14ac:dyDescent="0.25">
      <c r="B9" s="3" t="s">
        <v>23</v>
      </c>
      <c r="C9" s="37">
        <v>4</v>
      </c>
      <c r="E9" s="7">
        <v>5</v>
      </c>
      <c r="F9" s="10">
        <f t="shared" si="10"/>
        <v>0.10277777777777777</v>
      </c>
      <c r="G9" s="47" t="s">
        <v>109</v>
      </c>
      <c r="H9" s="36">
        <v>4.75</v>
      </c>
      <c r="I9" s="8">
        <f t="shared" ca="1" si="0"/>
        <v>0.97160000000000002</v>
      </c>
      <c r="J9" s="9">
        <f t="shared" ca="1" si="1"/>
        <v>1.512E-2</v>
      </c>
      <c r="L9" s="3" t="s">
        <v>19</v>
      </c>
      <c r="M9" s="21">
        <f ca="1">$L$30*$M$7+$N$30*$M$7^2</f>
        <v>5.8287399607565439E-2</v>
      </c>
      <c r="O9" s="16">
        <f t="shared" ca="1" si="5"/>
        <v>46.004120372641708</v>
      </c>
      <c r="P9" s="10">
        <f t="shared" ca="1" si="6"/>
        <v>50.754120372641708</v>
      </c>
      <c r="Q9" s="10">
        <f t="shared" ca="1" si="7"/>
        <v>16.792564130086209</v>
      </c>
      <c r="R9" s="10">
        <f t="shared" ca="1" si="8"/>
        <v>0.66112457205063824</v>
      </c>
      <c r="S9" s="19">
        <f t="shared" ca="1" si="3"/>
        <v>50185.212097526732</v>
      </c>
      <c r="T9" s="17">
        <f t="shared" ca="1" si="4"/>
        <v>3.8386482546349642E-3</v>
      </c>
      <c r="U9" s="68">
        <f t="shared" si="9"/>
        <v>1.0277777777777778E-4</v>
      </c>
      <c r="V9" s="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2:34" x14ac:dyDescent="0.25">
      <c r="B10" s="3" t="s">
        <v>6</v>
      </c>
      <c r="C10" s="37">
        <v>85</v>
      </c>
      <c r="E10" s="7">
        <v>6</v>
      </c>
      <c r="F10" s="10">
        <f t="shared" si="10"/>
        <v>0.12222222222222222</v>
      </c>
      <c r="G10" s="47" t="s">
        <v>109</v>
      </c>
      <c r="H10" s="36">
        <v>4.75</v>
      </c>
      <c r="I10" s="8">
        <f t="shared" ca="1" si="0"/>
        <v>0.97160000000000002</v>
      </c>
      <c r="J10" s="9">
        <f t="shared" ca="1" si="1"/>
        <v>1.512E-2</v>
      </c>
      <c r="L10" s="3" t="s">
        <v>40</v>
      </c>
      <c r="M10" s="22">
        <f ca="1">($M$9*$C$3*$C$9^2*PI()*($C$16/2)^2)/2</f>
        <v>60.061807380505506</v>
      </c>
      <c r="O10" s="16">
        <f t="shared" ca="1" si="5"/>
        <v>41.053003612723117</v>
      </c>
      <c r="P10" s="10">
        <f t="shared" ca="1" si="6"/>
        <v>45.803003612723117</v>
      </c>
      <c r="Q10" s="10">
        <f t="shared" ca="1" si="7"/>
        <v>16.568917314716963</v>
      </c>
      <c r="R10" s="10">
        <f t="shared" ca="1" si="8"/>
        <v>0.65231957931956552</v>
      </c>
      <c r="S10" s="19">
        <f t="shared" ca="1" si="3"/>
        <v>64730.758636284932</v>
      </c>
      <c r="T10" s="17">
        <f t="shared" ca="1" si="4"/>
        <v>4.2197350561305642E-3</v>
      </c>
      <c r="U10" s="68">
        <f t="shared" si="9"/>
        <v>1.2222222222222221E-4</v>
      </c>
      <c r="V10" s="3">
        <f ca="1">INDIRECT(G4&amp;"!l3")</f>
        <v>1.315E-2</v>
      </c>
      <c r="W10" s="52">
        <f ca="1">INDIRECT(G4&amp;"!m3")</f>
        <v>1.8811983539696042E-2</v>
      </c>
      <c r="X10" s="52">
        <f ca="1">INDIRECT(G4&amp;"!n3")</f>
        <v>5.169837728722522E-2</v>
      </c>
      <c r="Y10" s="52">
        <f ca="1">INDIRECT(G4&amp;"!o3")</f>
        <v>0.53120000000000001</v>
      </c>
      <c r="Z10" s="54" t="s">
        <v>70</v>
      </c>
      <c r="AA10" s="52"/>
      <c r="AB10" s="52"/>
      <c r="AC10" s="52"/>
      <c r="AD10" s="52"/>
      <c r="AE10" s="52"/>
      <c r="AF10" s="52"/>
      <c r="AG10" s="52"/>
      <c r="AH10" s="53"/>
    </row>
    <row r="11" spans="2:34" ht="15.75" thickBot="1" x14ac:dyDescent="0.3">
      <c r="B11" s="4" t="s">
        <v>27</v>
      </c>
      <c r="C11" s="64">
        <f>53/12</f>
        <v>4.416666666666667</v>
      </c>
      <c r="E11" s="7">
        <v>7</v>
      </c>
      <c r="F11" s="10">
        <f t="shared" si="10"/>
        <v>0.14166666666666666</v>
      </c>
      <c r="G11" s="47" t="s">
        <v>109</v>
      </c>
      <c r="H11" s="36">
        <v>4.75</v>
      </c>
      <c r="I11" s="8">
        <f t="shared" ca="1" si="0"/>
        <v>0.97160000000000002</v>
      </c>
      <c r="J11" s="9">
        <f t="shared" ca="1" si="1"/>
        <v>1.512E-2</v>
      </c>
      <c r="L11" s="4" t="s">
        <v>39</v>
      </c>
      <c r="M11" s="6">
        <f ca="1">($C$9*$M$10)/($M$5*$M$8)</f>
        <v>6.6395910677190013</v>
      </c>
      <c r="O11" s="16">
        <f t="shared" ca="1" si="5"/>
        <v>36.920292634274496</v>
      </c>
      <c r="P11" s="10">
        <f t="shared" ca="1" si="6"/>
        <v>41.670292634274496</v>
      </c>
      <c r="Q11" s="10">
        <f t="shared" ca="1" si="7"/>
        <v>15.150863517953814</v>
      </c>
      <c r="R11" s="10">
        <f t="shared" ca="1" si="8"/>
        <v>0.59649068968322105</v>
      </c>
      <c r="S11" s="19">
        <f t="shared" ca="1" si="3"/>
        <v>75263.71207603463</v>
      </c>
      <c r="T11" s="17">
        <f t="shared" ca="1" si="4"/>
        <v>4.6291298828681788E-3</v>
      </c>
      <c r="U11" s="68">
        <f t="shared" si="9"/>
        <v>1.4166666666666665E-4</v>
      </c>
      <c r="V11" s="3">
        <f ca="1">INDIRECT(G4&amp;"!i1")</f>
        <v>100000</v>
      </c>
      <c r="W11" s="52">
        <v>-0.5</v>
      </c>
      <c r="X11" s="52"/>
      <c r="Y11" s="52"/>
      <c r="Z11" s="54" t="s">
        <v>69</v>
      </c>
      <c r="AA11" s="52"/>
      <c r="AB11" s="52"/>
      <c r="AC11" s="52"/>
      <c r="AD11" s="52"/>
      <c r="AE11" s="52"/>
      <c r="AF11" s="52"/>
      <c r="AG11" s="52"/>
      <c r="AH11" s="53"/>
    </row>
    <row r="12" spans="2:34" ht="15.75" thickBot="1" x14ac:dyDescent="0.3">
      <c r="E12" s="7">
        <v>8</v>
      </c>
      <c r="F12" s="10">
        <f t="shared" si="10"/>
        <v>0.16111111111111109</v>
      </c>
      <c r="G12" s="47" t="s">
        <v>109</v>
      </c>
      <c r="H12" s="36">
        <v>4.75</v>
      </c>
      <c r="I12" s="8">
        <f t="shared" ca="1" si="0"/>
        <v>0.97160000000000002</v>
      </c>
      <c r="J12" s="9">
        <f t="shared" ca="1" si="1"/>
        <v>1.512E-2</v>
      </c>
      <c r="O12" s="16">
        <f t="shared" ca="1" si="5"/>
        <v>33.452420660127942</v>
      </c>
      <c r="P12" s="10">
        <f t="shared" ca="1" si="6"/>
        <v>38.202420660127942</v>
      </c>
      <c r="Q12" s="10">
        <f t="shared" ca="1" si="7"/>
        <v>12.724423789146798</v>
      </c>
      <c r="R12" s="10">
        <f t="shared" ca="1" si="8"/>
        <v>0.50096156650184243</v>
      </c>
      <c r="S12" s="19">
        <f t="shared" ca="1" si="3"/>
        <v>78544.014262599638</v>
      </c>
      <c r="T12" s="17">
        <f t="shared" ca="1" si="4"/>
        <v>5.0578770632440321E-3</v>
      </c>
      <c r="U12" s="68">
        <f t="shared" si="9"/>
        <v>1.6111111111111108E-4</v>
      </c>
      <c r="V12" s="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3"/>
    </row>
    <row r="13" spans="2:34" ht="15.75" thickBot="1" x14ac:dyDescent="0.3">
      <c r="B13" s="77" t="s">
        <v>32</v>
      </c>
      <c r="C13" s="79"/>
      <c r="E13" s="7">
        <v>9</v>
      </c>
      <c r="F13" s="10">
        <f t="shared" si="10"/>
        <v>0.18055555555555552</v>
      </c>
      <c r="G13" s="47" t="s">
        <v>109</v>
      </c>
      <c r="H13" s="36">
        <v>4.75</v>
      </c>
      <c r="I13" s="8">
        <f t="shared" ca="1" si="0"/>
        <v>0.97160000000000002</v>
      </c>
      <c r="J13" s="9">
        <f t="shared" ca="1" si="1"/>
        <v>1.512E-2</v>
      </c>
      <c r="O13" s="16">
        <f t="shared" ca="1" si="5"/>
        <v>30.521074006216999</v>
      </c>
      <c r="P13" s="10">
        <f t="shared" ca="1" si="6"/>
        <v>35.271074006216999</v>
      </c>
      <c r="Q13" s="10">
        <f t="shared" ca="1" si="7"/>
        <v>9.1078102692624512</v>
      </c>
      <c r="R13" s="10">
        <f t="shared" ca="1" si="8"/>
        <v>0.35857520745127763</v>
      </c>
      <c r="S13" s="19">
        <f t="shared" ca="1" si="3"/>
        <v>68524.262891541279</v>
      </c>
      <c r="T13" s="17">
        <f t="shared" ca="1" si="4"/>
        <v>5.5009580748221782E-3</v>
      </c>
      <c r="U13" s="68">
        <f t="shared" si="9"/>
        <v>1.8055555555555552E-4</v>
      </c>
      <c r="V13" s="3">
        <v>1</v>
      </c>
      <c r="W13" s="52" t="s">
        <v>88</v>
      </c>
      <c r="X13" s="52">
        <v>1</v>
      </c>
      <c r="Y13" s="52"/>
      <c r="Z13" s="54" t="s">
        <v>74</v>
      </c>
      <c r="AA13" s="52"/>
      <c r="AB13" s="52"/>
      <c r="AC13" s="52"/>
      <c r="AD13" s="52"/>
      <c r="AE13" s="52"/>
      <c r="AF13" s="52"/>
      <c r="AG13" s="52"/>
      <c r="AH13" s="53"/>
    </row>
    <row r="14" spans="2:34" ht="15.75" thickBot="1" x14ac:dyDescent="0.3">
      <c r="B14" s="3" t="s">
        <v>47</v>
      </c>
      <c r="C14" s="41">
        <v>2</v>
      </c>
      <c r="E14" s="11">
        <v>10</v>
      </c>
      <c r="F14" s="12">
        <f t="shared" si="10"/>
        <v>0.19999999999999996</v>
      </c>
      <c r="G14" s="48" t="s">
        <v>109</v>
      </c>
      <c r="H14" s="43">
        <v>4.75</v>
      </c>
      <c r="I14" s="44">
        <f t="shared" ca="1" si="0"/>
        <v>0.97160000000000002</v>
      </c>
      <c r="J14" s="45">
        <f t="shared" ca="1" si="1"/>
        <v>1.512E-2</v>
      </c>
      <c r="O14" s="46">
        <f t="shared" ca="1" si="5"/>
        <v>28.022984646330301</v>
      </c>
      <c r="P14" s="12">
        <f t="shared" ca="1" si="6"/>
        <v>32.772984646330301</v>
      </c>
      <c r="Q14" s="12">
        <f t="shared" ca="1" si="7"/>
        <v>0</v>
      </c>
      <c r="R14" s="12">
        <f t="shared" ca="1" si="8"/>
        <v>0</v>
      </c>
      <c r="S14" s="20">
        <f t="shared" ca="1" si="3"/>
        <v>0</v>
      </c>
      <c r="T14" s="18">
        <f t="shared" ca="1" si="4"/>
        <v>5.9553542966791634E-3</v>
      </c>
      <c r="U14" s="68">
        <f t="shared" si="9"/>
        <v>1.9999999999999996E-4</v>
      </c>
      <c r="V14" s="3">
        <v>0</v>
      </c>
      <c r="W14" s="52">
        <v>0</v>
      </c>
      <c r="X14" s="52">
        <v>0</v>
      </c>
      <c r="Y14" s="52"/>
      <c r="Z14" s="54" t="s">
        <v>75</v>
      </c>
      <c r="AA14" s="52"/>
      <c r="AB14" s="52"/>
      <c r="AC14" s="52"/>
      <c r="AD14" s="52"/>
      <c r="AE14" s="52"/>
      <c r="AF14" s="52"/>
      <c r="AG14" s="52"/>
      <c r="AH14" s="53"/>
    </row>
    <row r="15" spans="2:34" x14ac:dyDescent="0.25">
      <c r="B15" s="3" t="s">
        <v>45</v>
      </c>
      <c r="C15" s="41">
        <v>0.05</v>
      </c>
      <c r="K15" s="2"/>
      <c r="L15" s="2"/>
      <c r="M15" s="2"/>
      <c r="N15" s="2"/>
      <c r="V15" s="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2:34" ht="15.75" thickBot="1" x14ac:dyDescent="0.3">
      <c r="B16" s="4" t="s">
        <v>46</v>
      </c>
      <c r="C16" s="42">
        <v>0.4</v>
      </c>
      <c r="V16" s="3" t="s">
        <v>76</v>
      </c>
      <c r="W16" s="52" t="s">
        <v>77</v>
      </c>
      <c r="X16" s="52" t="s">
        <v>89</v>
      </c>
      <c r="Y16" s="52" t="s">
        <v>78</v>
      </c>
      <c r="Z16" s="52" t="s">
        <v>79</v>
      </c>
      <c r="AA16" s="52" t="s">
        <v>80</v>
      </c>
      <c r="AB16" s="52" t="s">
        <v>81</v>
      </c>
      <c r="AC16" s="52" t="s">
        <v>82</v>
      </c>
      <c r="AD16" s="52" t="s">
        <v>83</v>
      </c>
      <c r="AE16" s="52" t="s">
        <v>84</v>
      </c>
      <c r="AF16" s="52" t="s">
        <v>85</v>
      </c>
      <c r="AG16" s="52" t="s">
        <v>86</v>
      </c>
      <c r="AH16" s="53" t="s">
        <v>87</v>
      </c>
    </row>
    <row r="17" spans="1:34" ht="15.75" thickBot="1" x14ac:dyDescent="0.3">
      <c r="C17" s="69"/>
      <c r="V17" s="55">
        <f>F5</f>
        <v>2.5000000000000001E-2</v>
      </c>
      <c r="W17" s="56">
        <f t="shared" ref="W17:W25" ca="1" si="11">Q5</f>
        <v>3.0486361302140583</v>
      </c>
      <c r="X17" s="56">
        <f ca="1">P5</f>
        <v>81.532862423982635</v>
      </c>
      <c r="Y17" s="56">
        <f t="shared" ref="Y17:Y25" ca="1" si="12">INDIRECT(G5&amp;"!H3")</f>
        <v>0.41333477801268476</v>
      </c>
      <c r="Z17" s="52">
        <f t="shared" ref="Z17:Z25" ca="1" si="13">INDIRECT(G5&amp;"!I3")</f>
        <v>6.5946190514719945</v>
      </c>
      <c r="AA17" s="52">
        <f t="shared" ref="AA17:AA25" ca="1" si="14">INDIRECT(G5&amp;"!j3")</f>
        <v>-4.3400000000000001E-2</v>
      </c>
      <c r="AB17" s="52">
        <f t="shared" ref="AB17:AB25" ca="1" si="15">INDIRECT(G5&amp;"!k3")</f>
        <v>1.1694</v>
      </c>
      <c r="AC17" s="52">
        <f t="shared" ref="AC17:AC25" ca="1" si="16">INDIRECT(G5&amp;"!l3")</f>
        <v>1.315E-2</v>
      </c>
      <c r="AD17" s="52">
        <f t="shared" ref="AD17:AD25" ca="1" si="17">INDIRECT(G5&amp;"!m3")</f>
        <v>1.8811983539696042E-2</v>
      </c>
      <c r="AE17" s="52">
        <f t="shared" ref="AE17:AE25" ca="1" si="18">INDIRECT(G5&amp;"!n3")</f>
        <v>5.169837728722522E-2</v>
      </c>
      <c r="AF17" s="52">
        <f t="shared" ref="AF17:AF25" ca="1" si="19">INDIRECT(G5&amp;"!o3")</f>
        <v>0.53120000000000001</v>
      </c>
      <c r="AG17" s="52">
        <f t="shared" ref="AG17:AG25" ca="1" si="20">INDIRECT(G5&amp;"!i1")</f>
        <v>100000</v>
      </c>
      <c r="AH17" s="53"/>
    </row>
    <row r="18" spans="1:34" ht="15.75" thickBot="1" x14ac:dyDescent="0.3">
      <c r="B18" s="77" t="s">
        <v>92</v>
      </c>
      <c r="C18" s="79"/>
      <c r="E18" s="1" t="s">
        <v>37</v>
      </c>
      <c r="V18" s="55">
        <f t="shared" ref="V18:V25" si="21">F6</f>
        <v>4.4444444444444446E-2</v>
      </c>
      <c r="W18" s="56">
        <f t="shared" ca="1" si="11"/>
        <v>7.8963831449946467</v>
      </c>
      <c r="X18" s="56">
        <f t="shared" ref="X18:X25" ca="1" si="22">P6</f>
        <v>72.087753515846828</v>
      </c>
      <c r="Y18" s="56">
        <f t="shared" ca="1" si="12"/>
        <v>0.41333477801268476</v>
      </c>
      <c r="Z18" s="52">
        <f t="shared" ca="1" si="13"/>
        <v>6.5946190514719945</v>
      </c>
      <c r="AA18" s="52">
        <f t="shared" ca="1" si="14"/>
        <v>-4.3400000000000001E-2</v>
      </c>
      <c r="AB18" s="52">
        <f t="shared" ca="1" si="15"/>
        <v>1.1694</v>
      </c>
      <c r="AC18" s="52">
        <f t="shared" ca="1" si="16"/>
        <v>1.315E-2</v>
      </c>
      <c r="AD18" s="52">
        <f t="shared" ca="1" si="17"/>
        <v>1.8811983539696042E-2</v>
      </c>
      <c r="AE18" s="52">
        <f t="shared" ca="1" si="18"/>
        <v>5.169837728722522E-2</v>
      </c>
      <c r="AF18" s="52">
        <f t="shared" ca="1" si="19"/>
        <v>0.53120000000000001</v>
      </c>
      <c r="AG18" s="52">
        <f t="shared" ca="1" si="20"/>
        <v>100000</v>
      </c>
      <c r="AH18" s="53"/>
    </row>
    <row r="19" spans="1:34" ht="15.75" thickBot="1" x14ac:dyDescent="0.3">
      <c r="A19" s="2"/>
      <c r="B19" s="80" t="s">
        <v>108</v>
      </c>
      <c r="C19" s="81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5">
        <f t="shared" si="21"/>
        <v>6.3888888888888884E-2</v>
      </c>
      <c r="W19" s="56">
        <f t="shared" ca="1" si="11"/>
        <v>12.477310974863626</v>
      </c>
      <c r="X19" s="56">
        <f t="shared" ca="1" si="22"/>
        <v>63.777538819945448</v>
      </c>
      <c r="Y19" s="56">
        <f t="shared" ca="1" si="12"/>
        <v>0.41333477801268476</v>
      </c>
      <c r="Z19" s="52">
        <f t="shared" ca="1" si="13"/>
        <v>6.5946190514719945</v>
      </c>
      <c r="AA19" s="52">
        <f t="shared" ca="1" si="14"/>
        <v>-4.3400000000000001E-2</v>
      </c>
      <c r="AB19" s="52">
        <f t="shared" ca="1" si="15"/>
        <v>1.1694</v>
      </c>
      <c r="AC19" s="52">
        <f t="shared" ca="1" si="16"/>
        <v>1.315E-2</v>
      </c>
      <c r="AD19" s="52">
        <f t="shared" ca="1" si="17"/>
        <v>1.8811983539696042E-2</v>
      </c>
      <c r="AE19" s="52">
        <f t="shared" ca="1" si="18"/>
        <v>5.169837728722522E-2</v>
      </c>
      <c r="AF19" s="52">
        <f t="shared" ca="1" si="19"/>
        <v>0.53120000000000001</v>
      </c>
      <c r="AG19" s="52">
        <f t="shared" ca="1" si="20"/>
        <v>100000</v>
      </c>
      <c r="AH19" s="53"/>
    </row>
    <row r="20" spans="1:34" x14ac:dyDescent="0.25">
      <c r="A20" s="2"/>
      <c r="E20" s="24">
        <v>0</v>
      </c>
      <c r="F20" s="25">
        <f t="shared" ref="F20:F30" ca="1" si="23">J4/I4</f>
        <v>1.5561959654178673E-2</v>
      </c>
      <c r="G20" s="25">
        <f t="shared" ref="G20:G29" si="24">($C$14/2)*(SQRT($M$6^2 + 1)/$M$6)*(1-$E20)</f>
        <v>2.2054235886252425</v>
      </c>
      <c r="H20" s="25">
        <f t="shared" ref="H20:H29" si="25">(2/PI())*ACOS(EXP(-$G20))</f>
        <v>0.92969926828741245</v>
      </c>
      <c r="I20" s="25">
        <f t="shared" ref="I20:I30" si="26">$M$5*$F4/$C$9</f>
        <v>0</v>
      </c>
      <c r="J20" s="25">
        <f t="shared" ref="J20:J30" si="27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5">
        <f t="shared" si="21"/>
        <v>8.3333333333333329E-2</v>
      </c>
      <c r="W20" s="56">
        <f t="shared" ca="1" si="11"/>
        <v>15.513227845903707</v>
      </c>
      <c r="X20" s="56">
        <f t="shared" ca="1" si="22"/>
        <v>56.693381714580696</v>
      </c>
      <c r="Y20" s="56">
        <f t="shared" ca="1" si="12"/>
        <v>0.41333477801268476</v>
      </c>
      <c r="Z20" s="52">
        <f t="shared" ca="1" si="13"/>
        <v>6.5946190514719945</v>
      </c>
      <c r="AA20" s="52">
        <f t="shared" ca="1" si="14"/>
        <v>-4.3400000000000001E-2</v>
      </c>
      <c r="AB20" s="52">
        <f t="shared" ca="1" si="15"/>
        <v>1.1694</v>
      </c>
      <c r="AC20" s="52">
        <f t="shared" ca="1" si="16"/>
        <v>1.315E-2</v>
      </c>
      <c r="AD20" s="52">
        <f t="shared" ca="1" si="17"/>
        <v>1.8811983539696042E-2</v>
      </c>
      <c r="AE20" s="52">
        <f t="shared" ca="1" si="18"/>
        <v>5.169837728722522E-2</v>
      </c>
      <c r="AF20" s="52">
        <f t="shared" ca="1" si="19"/>
        <v>0.53120000000000001</v>
      </c>
      <c r="AG20" s="52">
        <f t="shared" ca="1" si="20"/>
        <v>100000</v>
      </c>
      <c r="AH20" s="53"/>
    </row>
    <row r="21" spans="1:34" x14ac:dyDescent="0.25">
      <c r="A21" s="2"/>
      <c r="E21" s="24">
        <f>F5/($C$16/2)</f>
        <v>0.125</v>
      </c>
      <c r="F21" s="25">
        <f t="shared" ca="1" si="23"/>
        <v>1.5561959654178673E-2</v>
      </c>
      <c r="G21" s="25">
        <f t="shared" si="24"/>
        <v>1.9297456400470872</v>
      </c>
      <c r="H21" s="25">
        <f t="shared" si="25"/>
        <v>0.90724445111350371</v>
      </c>
      <c r="I21" s="25">
        <f t="shared" si="26"/>
        <v>0.24570985192348319</v>
      </c>
      <c r="J21" s="25">
        <f t="shared" si="27"/>
        <v>5.1654797633973237E-2</v>
      </c>
      <c r="K21" s="25">
        <f t="shared" ref="K21:K30" ca="1" si="28">4*$J21*(1-$F21/$I21)*$E21</f>
        <v>2.4191628272110414E-2</v>
      </c>
      <c r="L21" s="25">
        <f t="shared" ref="L21:L30" ca="1" si="29">L20+($E21-$E20)*(K20+K21)/2</f>
        <v>1.5119767670069009E-3</v>
      </c>
      <c r="M21" s="25">
        <f ca="1">2*$J21*(1-$F21/$I21)*(1/$I21^2+1)*$E21</f>
        <v>0.21244609909029791</v>
      </c>
      <c r="N21" s="25">
        <f t="shared" ref="N21:N30" ca="1" si="30">N20+($E21-$E20)*(M20+M21)/2</f>
        <v>1.3277881193143619E-2</v>
      </c>
      <c r="O21" s="25">
        <f ca="1">4*$J21*( 1+ ($F21*$I21))*$E21</f>
        <v>2.592615573407598E-2</v>
      </c>
      <c r="P21" s="25">
        <f t="shared" ref="P21:P30" ca="1" si="31">P20+($E21-$E20)*(O20+O21)/2</f>
        <v>1.6203847333797487E-3</v>
      </c>
      <c r="Q21" s="25">
        <f t="shared" ref="Q21:Q30" ca="1" si="32">2*$J21*(1+$F21*$I21)*($I21^2/(1+$I21^2))*$E21</f>
        <v>7.3806476646227708E-4</v>
      </c>
      <c r="R21" s="25">
        <f t="shared" ref="R21:R30" ca="1" si="33">R20+($E21-$E20)*(Q20+Q21)/2</f>
        <v>4.6129047903892318E-5</v>
      </c>
      <c r="S21" s="25">
        <f t="shared" ref="S21:S30" ca="1" si="34">SQRT($I21^2 + 1 - ($M$7*COS($O5)/2)^2)</f>
        <v>1.0297088285556035</v>
      </c>
      <c r="T21" s="26">
        <f t="shared" ref="T21:T30" ca="1" si="35">(4*PI()*$M$6/$C$14)*($J21/$S21)*($M$7/$I5)</f>
        <v>1.524318065107029E-2</v>
      </c>
      <c r="V21" s="55">
        <f t="shared" si="21"/>
        <v>0.10277777777777777</v>
      </c>
      <c r="W21" s="56">
        <f t="shared" ca="1" si="11"/>
        <v>16.792564130086209</v>
      </c>
      <c r="X21" s="56">
        <f t="shared" ca="1" si="22"/>
        <v>50.754120372641708</v>
      </c>
      <c r="Y21" s="56">
        <f t="shared" ca="1" si="12"/>
        <v>0.41333477801268476</v>
      </c>
      <c r="Z21" s="52">
        <f t="shared" ca="1" si="13"/>
        <v>6.5946190514719945</v>
      </c>
      <c r="AA21" s="52">
        <f t="shared" ca="1" si="14"/>
        <v>-4.3400000000000001E-2</v>
      </c>
      <c r="AB21" s="52">
        <f t="shared" ca="1" si="15"/>
        <v>1.1694</v>
      </c>
      <c r="AC21" s="52">
        <f t="shared" ca="1" si="16"/>
        <v>1.315E-2</v>
      </c>
      <c r="AD21" s="52">
        <f t="shared" ca="1" si="17"/>
        <v>1.8811983539696042E-2</v>
      </c>
      <c r="AE21" s="52">
        <f t="shared" ca="1" si="18"/>
        <v>5.169837728722522E-2</v>
      </c>
      <c r="AF21" s="52">
        <f t="shared" ca="1" si="19"/>
        <v>0.53120000000000001</v>
      </c>
      <c r="AG21" s="52">
        <f t="shared" ca="1" si="20"/>
        <v>100000</v>
      </c>
      <c r="AH21" s="53"/>
    </row>
    <row r="22" spans="1:34" x14ac:dyDescent="0.25">
      <c r="A22" s="2"/>
      <c r="E22" s="24">
        <f t="shared" ref="E22:E30" si="36">F6/($C$16/2)</f>
        <v>0.22222222222222221</v>
      </c>
      <c r="F22" s="25">
        <f t="shared" ca="1" si="23"/>
        <v>1.5561959654178673E-2</v>
      </c>
      <c r="G22" s="25">
        <f t="shared" si="24"/>
        <v>1.715329457819633</v>
      </c>
      <c r="H22" s="25">
        <f t="shared" si="25"/>
        <v>0.88484229157340999</v>
      </c>
      <c r="I22" s="25">
        <f t="shared" si="26"/>
        <v>0.43681751453063677</v>
      </c>
      <c r="J22" s="25">
        <f t="shared" si="27"/>
        <v>0.1417828340300876</v>
      </c>
      <c r="K22" s="25">
        <f t="shared" ca="1" si="28"/>
        <v>0.12153929920543216</v>
      </c>
      <c r="L22" s="25">
        <f t="shared" ca="1" si="29"/>
        <v>8.5961190749429973E-3</v>
      </c>
      <c r="M22" s="25">
        <f t="shared" ref="M22:M30" ca="1" si="37">2*$J22*(1-$F22/$I22)*(1/(1+$I22^2))*$E22</f>
        <v>5.1032215908890829E-2</v>
      </c>
      <c r="N22" s="25">
        <f t="shared" ca="1" si="30"/>
        <v>2.6085854838937515E-2</v>
      </c>
      <c r="O22" s="25">
        <f t="shared" ref="O22:O30" ca="1" si="38">4*$J22*(1+ ($F22*$I22))*$E22</f>
        <v>0.12688589900563998</v>
      </c>
      <c r="P22" s="25">
        <f t="shared" ca="1" si="31"/>
        <v>9.0487485054492733E-3</v>
      </c>
      <c r="Q22" s="25">
        <f t="shared" ca="1" si="32"/>
        <v>1.0165790294384098E-2</v>
      </c>
      <c r="R22" s="25">
        <f t="shared" ca="1" si="33"/>
        <v>5.7617755780614663E-4</v>
      </c>
      <c r="S22" s="25">
        <f t="shared" ca="1" si="34"/>
        <v>1.0912011231202554</v>
      </c>
      <c r="T22" s="26">
        <f t="shared" ca="1" si="35"/>
        <v>3.9481915724973227E-2</v>
      </c>
      <c r="V22" s="55">
        <f t="shared" si="21"/>
        <v>0.12222222222222222</v>
      </c>
      <c r="W22" s="56">
        <f t="shared" ca="1" si="11"/>
        <v>16.568917314716963</v>
      </c>
      <c r="X22" s="56">
        <f t="shared" ca="1" si="22"/>
        <v>45.803003612723117</v>
      </c>
      <c r="Y22" s="56">
        <f t="shared" ca="1" si="12"/>
        <v>0.41333477801268476</v>
      </c>
      <c r="Z22" s="52">
        <f t="shared" ca="1" si="13"/>
        <v>6.5946190514719945</v>
      </c>
      <c r="AA22" s="52">
        <f t="shared" ca="1" si="14"/>
        <v>-4.3400000000000001E-2</v>
      </c>
      <c r="AB22" s="52">
        <f t="shared" ca="1" si="15"/>
        <v>1.1694</v>
      </c>
      <c r="AC22" s="52">
        <f t="shared" ca="1" si="16"/>
        <v>1.315E-2</v>
      </c>
      <c r="AD22" s="52">
        <f t="shared" ca="1" si="17"/>
        <v>1.8811983539696042E-2</v>
      </c>
      <c r="AE22" s="52">
        <f t="shared" ca="1" si="18"/>
        <v>5.169837728722522E-2</v>
      </c>
      <c r="AF22" s="52">
        <f t="shared" ca="1" si="19"/>
        <v>0.53120000000000001</v>
      </c>
      <c r="AG22" s="52">
        <f t="shared" ca="1" si="20"/>
        <v>100000</v>
      </c>
      <c r="AH22" s="53"/>
    </row>
    <row r="23" spans="1:34" x14ac:dyDescent="0.25">
      <c r="A23" s="2"/>
      <c r="E23" s="24">
        <f t="shared" si="36"/>
        <v>0.31944444444444442</v>
      </c>
      <c r="F23" s="25">
        <f t="shared" ca="1" si="23"/>
        <v>1.5561959654178673E-2</v>
      </c>
      <c r="G23" s="25">
        <f t="shared" si="24"/>
        <v>1.500913275592179</v>
      </c>
      <c r="H23" s="25">
        <f t="shared" si="25"/>
        <v>0.85687803040807198</v>
      </c>
      <c r="I23" s="25">
        <f t="shared" si="26"/>
        <v>0.62792517713779028</v>
      </c>
      <c r="J23" s="25">
        <f t="shared" si="27"/>
        <v>0.24231577065651586</v>
      </c>
      <c r="K23" s="25">
        <f t="shared" ca="1" si="28"/>
        <v>0.30195220868159128</v>
      </c>
      <c r="L23" s="25">
        <f t="shared" ca="1" si="29"/>
        <v>2.9182511819451078E-2</v>
      </c>
      <c r="M23" s="25">
        <f t="shared" ca="1" si="37"/>
        <v>0.10828170703358957</v>
      </c>
      <c r="N23" s="25">
        <f t="shared" ca="1" si="30"/>
        <v>3.3830281648641422E-2</v>
      </c>
      <c r="O23" s="25">
        <f t="shared" ca="1" si="38"/>
        <v>0.31265129079773929</v>
      </c>
      <c r="P23" s="25">
        <f t="shared" ca="1" si="31"/>
        <v>3.0415139676446878E-2</v>
      </c>
      <c r="Q23" s="25">
        <f t="shared" ca="1" si="32"/>
        <v>4.4207189231079476E-2</v>
      </c>
      <c r="R23" s="25">
        <f t="shared" ca="1" si="33"/>
        <v>3.2193085069606255E-3</v>
      </c>
      <c r="S23" s="25">
        <f t="shared" ca="1" si="34"/>
        <v>1.1802392275561906</v>
      </c>
      <c r="T23" s="26">
        <f t="shared" ca="1" si="35"/>
        <v>6.2386554874318122E-2</v>
      </c>
      <c r="V23" s="55">
        <f t="shared" si="21"/>
        <v>0.14166666666666666</v>
      </c>
      <c r="W23" s="56">
        <f t="shared" ca="1" si="11"/>
        <v>15.150863517953814</v>
      </c>
      <c r="X23" s="56">
        <f t="shared" ca="1" si="22"/>
        <v>41.670292634274496</v>
      </c>
      <c r="Y23" s="56">
        <f t="shared" ca="1" si="12"/>
        <v>0.41333477801268476</v>
      </c>
      <c r="Z23" s="52">
        <f t="shared" ca="1" si="13"/>
        <v>6.5946190514719945</v>
      </c>
      <c r="AA23" s="52">
        <f t="shared" ca="1" si="14"/>
        <v>-4.3400000000000001E-2</v>
      </c>
      <c r="AB23" s="52">
        <f t="shared" ca="1" si="15"/>
        <v>1.1694</v>
      </c>
      <c r="AC23" s="52">
        <f t="shared" ca="1" si="16"/>
        <v>1.315E-2</v>
      </c>
      <c r="AD23" s="52">
        <f t="shared" ca="1" si="17"/>
        <v>1.8811983539696042E-2</v>
      </c>
      <c r="AE23" s="52">
        <f t="shared" ca="1" si="18"/>
        <v>5.169837728722522E-2</v>
      </c>
      <c r="AF23" s="52">
        <f t="shared" ca="1" si="19"/>
        <v>0.53120000000000001</v>
      </c>
      <c r="AG23" s="52">
        <f t="shared" ca="1" si="20"/>
        <v>100000</v>
      </c>
      <c r="AH23" s="53"/>
    </row>
    <row r="24" spans="1:34" x14ac:dyDescent="0.25">
      <c r="A24" s="2"/>
      <c r="E24" s="24">
        <f t="shared" si="36"/>
        <v>0.41666666666666663</v>
      </c>
      <c r="F24" s="25">
        <f t="shared" ca="1" si="23"/>
        <v>1.5561959654178673E-2</v>
      </c>
      <c r="G24" s="25">
        <f t="shared" si="24"/>
        <v>1.2864970933647248</v>
      </c>
      <c r="H24" s="25">
        <f t="shared" si="25"/>
        <v>0.82182524151701131</v>
      </c>
      <c r="I24" s="25">
        <f t="shared" si="26"/>
        <v>0.8190328397449439</v>
      </c>
      <c r="J24" s="25">
        <f t="shared" si="27"/>
        <v>0.32995430216073696</v>
      </c>
      <c r="K24" s="25">
        <f t="shared" ca="1" si="28"/>
        <v>0.53947505863415568</v>
      </c>
      <c r="L24" s="25">
        <f t="shared" ca="1" si="29"/>
        <v>7.0085226202855441E-2</v>
      </c>
      <c r="M24" s="25">
        <f t="shared" ca="1" si="37"/>
        <v>0.16144071175025515</v>
      </c>
      <c r="N24" s="25">
        <f t="shared" ca="1" si="30"/>
        <v>4.6941788117300542E-2</v>
      </c>
      <c r="O24" s="25">
        <f t="shared" ca="1" si="38"/>
        <v>0.5569330319828697</v>
      </c>
      <c r="P24" s="25">
        <f t="shared" ca="1" si="31"/>
        <v>7.2686599811615377E-2</v>
      </c>
      <c r="Q24" s="25">
        <f t="shared" ca="1" si="32"/>
        <v>0.11180141509097673</v>
      </c>
      <c r="R24" s="25">
        <f t="shared" ca="1" si="33"/>
        <v>1.0803060105949468E-2</v>
      </c>
      <c r="S24" s="25">
        <f t="shared" ca="1" si="34"/>
        <v>1.2925905852873825</v>
      </c>
      <c r="T24" s="26">
        <f t="shared" ca="1" si="35"/>
        <v>7.7566139229518535E-2</v>
      </c>
      <c r="V24" s="55">
        <f t="shared" si="21"/>
        <v>0.16111111111111109</v>
      </c>
      <c r="W24" s="56">
        <f t="shared" ca="1" si="11"/>
        <v>12.724423789146798</v>
      </c>
      <c r="X24" s="56">
        <f t="shared" ca="1" si="22"/>
        <v>38.202420660127942</v>
      </c>
      <c r="Y24" s="56">
        <f t="shared" ca="1" si="12"/>
        <v>0.41333477801268476</v>
      </c>
      <c r="Z24" s="52">
        <f t="shared" ca="1" si="13"/>
        <v>6.5946190514719945</v>
      </c>
      <c r="AA24" s="52">
        <f t="shared" ca="1" si="14"/>
        <v>-4.3400000000000001E-2</v>
      </c>
      <c r="AB24" s="52">
        <f t="shared" ca="1" si="15"/>
        <v>1.1694</v>
      </c>
      <c r="AC24" s="52">
        <f t="shared" ca="1" si="16"/>
        <v>1.315E-2</v>
      </c>
      <c r="AD24" s="52">
        <f t="shared" ca="1" si="17"/>
        <v>1.8811983539696042E-2</v>
      </c>
      <c r="AE24" s="52">
        <f t="shared" ca="1" si="18"/>
        <v>5.169837728722522E-2</v>
      </c>
      <c r="AF24" s="52">
        <f t="shared" ca="1" si="19"/>
        <v>0.53120000000000001</v>
      </c>
      <c r="AG24" s="52">
        <f t="shared" ca="1" si="20"/>
        <v>100000</v>
      </c>
      <c r="AH24" s="53"/>
    </row>
    <row r="25" spans="1:34" ht="15.75" thickBot="1" x14ac:dyDescent="0.3">
      <c r="A25" s="2"/>
      <c r="E25" s="24">
        <f t="shared" si="36"/>
        <v>0.51388888888888884</v>
      </c>
      <c r="F25" s="25">
        <f t="shared" ca="1" si="23"/>
        <v>1.5561959654178673E-2</v>
      </c>
      <c r="G25" s="25">
        <f t="shared" si="24"/>
        <v>1.0720809111372707</v>
      </c>
      <c r="H25" s="25">
        <f t="shared" si="25"/>
        <v>0.77759122736514352</v>
      </c>
      <c r="I25" s="25">
        <f t="shared" si="26"/>
        <v>1.0101405023520975</v>
      </c>
      <c r="J25" s="25">
        <f t="shared" si="27"/>
        <v>0.39271820764975751</v>
      </c>
      <c r="K25" s="25">
        <f t="shared" ca="1" si="28"/>
        <v>0.79481774865272459</v>
      </c>
      <c r="L25" s="25">
        <f t="shared" ca="1" si="29"/>
        <v>0.13494668211263433</v>
      </c>
      <c r="M25" s="25">
        <f t="shared" ca="1" si="37"/>
        <v>0.19669969019835115</v>
      </c>
      <c r="N25" s="25">
        <f t="shared" ca="1" si="30"/>
        <v>6.4351390989802235E-2</v>
      </c>
      <c r="O25" s="25">
        <f t="shared" ca="1" si="38"/>
        <v>0.8199439387469345</v>
      </c>
      <c r="P25" s="25">
        <f t="shared" ca="1" si="31"/>
        <v>0.13961811922209197</v>
      </c>
      <c r="Q25" s="25">
        <f t="shared" ca="1" si="32"/>
        <v>0.2070541067503387</v>
      </c>
      <c r="R25" s="25">
        <f t="shared" ca="1" si="33"/>
        <v>2.6302981306568968E-2</v>
      </c>
      <c r="S25" s="25">
        <f t="shared" ca="1" si="34"/>
        <v>1.4212595162785955</v>
      </c>
      <c r="T25" s="26">
        <f t="shared" ca="1" si="35"/>
        <v>8.3962820650431036E-2</v>
      </c>
      <c r="V25" s="57">
        <f t="shared" si="21"/>
        <v>0.18055555555555552</v>
      </c>
      <c r="W25" s="58">
        <f t="shared" ca="1" si="11"/>
        <v>9.1078102692624512</v>
      </c>
      <c r="X25" s="58">
        <f t="shared" ca="1" si="22"/>
        <v>35.271074006216999</v>
      </c>
      <c r="Y25" s="58">
        <f t="shared" ca="1" si="12"/>
        <v>0.41333477801268476</v>
      </c>
      <c r="Z25" s="59">
        <f t="shared" ca="1" si="13"/>
        <v>6.5946190514719945</v>
      </c>
      <c r="AA25" s="59">
        <f t="shared" ca="1" si="14"/>
        <v>-4.3400000000000001E-2</v>
      </c>
      <c r="AB25" s="59">
        <f t="shared" ca="1" si="15"/>
        <v>1.1694</v>
      </c>
      <c r="AC25" s="59">
        <f t="shared" ca="1" si="16"/>
        <v>1.315E-2</v>
      </c>
      <c r="AD25" s="59">
        <f t="shared" ca="1" si="17"/>
        <v>1.8811983539696042E-2</v>
      </c>
      <c r="AE25" s="59">
        <f t="shared" ca="1" si="18"/>
        <v>5.169837728722522E-2</v>
      </c>
      <c r="AF25" s="59">
        <f t="shared" ca="1" si="19"/>
        <v>0.53120000000000001</v>
      </c>
      <c r="AG25" s="59">
        <f t="shared" ca="1" si="20"/>
        <v>100000</v>
      </c>
      <c r="AH25" s="60"/>
    </row>
    <row r="26" spans="1:34" x14ac:dyDescent="0.25">
      <c r="A26" s="2"/>
      <c r="E26" s="24">
        <f t="shared" si="36"/>
        <v>0.61111111111111105</v>
      </c>
      <c r="F26" s="25">
        <f t="shared" ca="1" si="23"/>
        <v>1.5561959654178673E-2</v>
      </c>
      <c r="G26" s="25">
        <f t="shared" si="24"/>
        <v>0.8576647289098166</v>
      </c>
      <c r="H26" s="25">
        <f t="shared" si="25"/>
        <v>0.72114484616234809</v>
      </c>
      <c r="I26" s="25">
        <f t="shared" si="26"/>
        <v>1.201248164959251</v>
      </c>
      <c r="J26" s="25">
        <f t="shared" si="27"/>
        <v>0.42595627214566223</v>
      </c>
      <c r="K26" s="25">
        <f t="shared" ca="1" si="28"/>
        <v>1.0277375367585246</v>
      </c>
      <c r="L26" s="25">
        <f t="shared" ca="1" si="29"/>
        <v>0.22354311959790338</v>
      </c>
      <c r="M26" s="25">
        <f t="shared" ca="1" si="37"/>
        <v>0.21034358045656223</v>
      </c>
      <c r="N26" s="25">
        <f t="shared" ca="1" si="30"/>
        <v>8.41382166466383E-2</v>
      </c>
      <c r="O26" s="25">
        <f t="shared" ca="1" si="38"/>
        <v>1.0606908963700952</v>
      </c>
      <c r="P26" s="25">
        <f t="shared" ca="1" si="31"/>
        <v>0.23103786815139199</v>
      </c>
      <c r="Q26" s="25">
        <f t="shared" ca="1" si="32"/>
        <v>0.31325741459638273</v>
      </c>
      <c r="R26" s="25">
        <f t="shared" ca="1" si="33"/>
        <v>5.1595902483145703E-2</v>
      </c>
      <c r="S26" s="25">
        <f t="shared" ca="1" si="34"/>
        <v>1.5623569045323413</v>
      </c>
      <c r="T26" s="26">
        <f t="shared" ca="1" si="35"/>
        <v>8.2844586573584816E-2</v>
      </c>
    </row>
    <row r="27" spans="1:34" x14ac:dyDescent="0.25">
      <c r="A27" s="2"/>
      <c r="E27" s="24">
        <f t="shared" si="36"/>
        <v>0.70833333333333326</v>
      </c>
      <c r="F27" s="25">
        <f t="shared" ca="1" si="23"/>
        <v>1.5561959654178673E-2</v>
      </c>
      <c r="G27" s="25">
        <f t="shared" si="24"/>
        <v>0.64324854668236253</v>
      </c>
      <c r="H27" s="25">
        <f t="shared" si="25"/>
        <v>0.64769500435504201</v>
      </c>
      <c r="I27" s="25">
        <f t="shared" si="26"/>
        <v>1.3923558275664047</v>
      </c>
      <c r="J27" s="25">
        <f t="shared" si="27"/>
        <v>0.4272897307406347</v>
      </c>
      <c r="K27" s="25">
        <f t="shared" ca="1" si="28"/>
        <v>1.1971231037345058</v>
      </c>
      <c r="L27" s="25">
        <f t="shared" ca="1" si="29"/>
        <v>0.33169606739964791</v>
      </c>
      <c r="M27" s="25">
        <f t="shared" ca="1" si="37"/>
        <v>0.20368556454397044</v>
      </c>
      <c r="N27" s="25">
        <f t="shared" ca="1" si="30"/>
        <v>0.10426463341749753</v>
      </c>
      <c r="O27" s="25">
        <f t="shared" ca="1" si="38"/>
        <v>1.2368864330749398</v>
      </c>
      <c r="P27" s="25">
        <f t="shared" ca="1" si="31"/>
        <v>0.34272565499941454</v>
      </c>
      <c r="Q27" s="25">
        <f t="shared" ca="1" si="32"/>
        <v>0.40799208531151987</v>
      </c>
      <c r="R27" s="25">
        <f t="shared" ca="1" si="33"/>
        <v>8.6656642062002076E-2</v>
      </c>
      <c r="S27" s="25">
        <f t="shared" ca="1" si="34"/>
        <v>1.713935339131943</v>
      </c>
      <c r="T27" s="26">
        <f t="shared" ca="1" si="35"/>
        <v>7.5754317589769068E-2</v>
      </c>
    </row>
    <row r="28" spans="1:34" x14ac:dyDescent="0.25">
      <c r="A28" s="2"/>
      <c r="E28" s="24">
        <f t="shared" si="36"/>
        <v>0.80555555555555547</v>
      </c>
      <c r="F28" s="25">
        <f t="shared" ca="1" si="23"/>
        <v>1.5561959654178673E-2</v>
      </c>
      <c r="G28" s="25">
        <f t="shared" si="24"/>
        <v>0.42883236445490847</v>
      </c>
      <c r="H28" s="25">
        <f t="shared" si="25"/>
        <v>0.54847383621961232</v>
      </c>
      <c r="I28" s="25">
        <f t="shared" si="26"/>
        <v>1.583463490173558</v>
      </c>
      <c r="J28" s="25">
        <f t="shared" si="27"/>
        <v>0.39209571591239911</v>
      </c>
      <c r="K28" s="25">
        <f t="shared" ca="1" si="28"/>
        <v>1.2510028968650959</v>
      </c>
      <c r="L28" s="25">
        <f t="shared" ca="1" si="29"/>
        <v>0.45070219242879517</v>
      </c>
      <c r="M28" s="25">
        <f t="shared" ca="1" si="37"/>
        <v>0.17833984831348543</v>
      </c>
      <c r="N28" s="25">
        <f t="shared" ca="1" si="30"/>
        <v>0.12283531320917941</v>
      </c>
      <c r="O28" s="25">
        <f t="shared" ca="1" si="38"/>
        <v>1.2945524540191704</v>
      </c>
      <c r="P28" s="25">
        <f t="shared" ca="1" si="31"/>
        <v>0.46578171201093377</v>
      </c>
      <c r="Q28" s="25">
        <f t="shared" ca="1" si="32"/>
        <v>0.46272806260311578</v>
      </c>
      <c r="R28" s="25">
        <f t="shared" ca="1" si="33"/>
        <v>0.12898331591896353</v>
      </c>
      <c r="S28" s="25">
        <f t="shared" ca="1" si="34"/>
        <v>1.8726789826661028</v>
      </c>
      <c r="T28" s="26">
        <f t="shared" ca="1" si="35"/>
        <v>6.3622118945733983E-2</v>
      </c>
    </row>
    <row r="29" spans="1:34" x14ac:dyDescent="0.25">
      <c r="A29" s="2"/>
      <c r="E29" s="24">
        <f t="shared" si="36"/>
        <v>0.90277777777777757</v>
      </c>
      <c r="F29" s="25">
        <f t="shared" ca="1" si="23"/>
        <v>1.5561959654178673E-2</v>
      </c>
      <c r="G29" s="25">
        <f t="shared" si="24"/>
        <v>0.21441618222745459</v>
      </c>
      <c r="H29" s="25">
        <f t="shared" si="25"/>
        <v>0.40216601796214752</v>
      </c>
      <c r="I29" s="25">
        <f t="shared" si="26"/>
        <v>1.7745711527807115</v>
      </c>
      <c r="J29" s="25">
        <f t="shared" si="27"/>
        <v>0.30523758797454925</v>
      </c>
      <c r="K29" s="25">
        <f t="shared" ca="1" si="28"/>
        <v>1.0925807799969749</v>
      </c>
      <c r="L29" s="25">
        <f t="shared" ca="1" si="29"/>
        <v>0.56462639894292344</v>
      </c>
      <c r="M29" s="25">
        <f t="shared" ca="1" si="37"/>
        <v>0.13166470426362575</v>
      </c>
      <c r="N29" s="25">
        <f t="shared" ca="1" si="30"/>
        <v>0.13790497895945564</v>
      </c>
      <c r="O29" s="25">
        <f t="shared" ca="1" si="38"/>
        <v>1.1326862790604741</v>
      </c>
      <c r="P29" s="25">
        <f t="shared" ca="1" si="31"/>
        <v>0.58377248375786084</v>
      </c>
      <c r="Q29" s="25">
        <f t="shared" ca="1" si="32"/>
        <v>0.42984540253327386</v>
      </c>
      <c r="R29" s="25">
        <f t="shared" ca="1" si="33"/>
        <v>0.17237230380753799</v>
      </c>
      <c r="S29" s="25">
        <f t="shared" ca="1" si="34"/>
        <v>2.0367297272029115</v>
      </c>
      <c r="T29" s="26">
        <f t="shared" ca="1" si="35"/>
        <v>4.5539051346312261E-2</v>
      </c>
    </row>
    <row r="30" spans="1:34" ht="15.75" thickBot="1" x14ac:dyDescent="0.3">
      <c r="A30" s="2"/>
      <c r="E30" s="24">
        <f t="shared" si="36"/>
        <v>0.99999999999999978</v>
      </c>
      <c r="F30" s="27">
        <f t="shared" ca="1" si="23"/>
        <v>1.5561959654178673E-2</v>
      </c>
      <c r="G30" s="27">
        <v>0</v>
      </c>
      <c r="H30" s="27">
        <v>0</v>
      </c>
      <c r="I30" s="27">
        <f t="shared" si="26"/>
        <v>1.965678815387865</v>
      </c>
      <c r="J30" s="27">
        <f t="shared" si="27"/>
        <v>0</v>
      </c>
      <c r="K30" s="27">
        <f t="shared" ca="1" si="28"/>
        <v>0</v>
      </c>
      <c r="L30" s="28">
        <f t="shared" ca="1" si="29"/>
        <v>0.61773796463722086</v>
      </c>
      <c r="M30" s="27">
        <f t="shared" ca="1" si="37"/>
        <v>0</v>
      </c>
      <c r="N30" s="28">
        <f t="shared" ca="1" si="30"/>
        <v>0.14430534652782634</v>
      </c>
      <c r="O30" s="27">
        <f t="shared" ca="1" si="38"/>
        <v>0</v>
      </c>
      <c r="P30" s="28">
        <f t="shared" ca="1" si="31"/>
        <v>0.63883362232330054</v>
      </c>
      <c r="Q30" s="27">
        <f t="shared" ca="1" si="32"/>
        <v>0</v>
      </c>
      <c r="R30" s="28">
        <f t="shared" ca="1" si="33"/>
        <v>0.19326756643068324</v>
      </c>
      <c r="S30" s="27">
        <f t="shared" ca="1" si="34"/>
        <v>2.2049699283454602</v>
      </c>
      <c r="T30" s="29">
        <f t="shared" ca="1" si="35"/>
        <v>0</v>
      </c>
    </row>
  </sheetData>
  <mergeCells count="9">
    <mergeCell ref="B1:M1"/>
    <mergeCell ref="B19:C19"/>
    <mergeCell ref="B18:C18"/>
    <mergeCell ref="B13:C13"/>
    <mergeCell ref="O2:T2"/>
    <mergeCell ref="B2:C2"/>
    <mergeCell ref="E2:J2"/>
    <mergeCell ref="L2:M2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H30"/>
  <sheetViews>
    <sheetView topLeftCell="G1" zoomScaleNormal="100" workbookViewId="0">
      <selection activeCell="T21" sqref="T21"/>
    </sheetView>
  </sheetViews>
  <sheetFormatPr defaultRowHeight="15" x14ac:dyDescent="0.25"/>
  <cols>
    <col min="1" max="1" width="4.28515625" style="1" customWidth="1"/>
    <col min="2" max="2" width="12.28515625" style="1" customWidth="1"/>
    <col min="3" max="3" width="10.7109375" style="1" customWidth="1"/>
    <col min="4" max="4" width="4.7109375" style="1" customWidth="1"/>
    <col min="5" max="14" width="9.140625" style="1"/>
    <col min="15" max="17" width="9.5703125" style="1" bestFit="1" customWidth="1"/>
    <col min="18" max="21" width="9.140625" style="1" customWidth="1"/>
    <col min="22" max="22" width="7.85546875" style="1" customWidth="1"/>
    <col min="23" max="23" width="6.7109375" style="1" customWidth="1"/>
    <col min="24" max="24" width="6.28515625" style="1" customWidth="1"/>
    <col min="25" max="25" width="7.5703125" style="1" customWidth="1"/>
    <col min="26" max="26" width="6" style="1" customWidth="1"/>
    <col min="27" max="27" width="6.5703125" style="1" customWidth="1"/>
    <col min="28" max="28" width="6.7109375" style="1" customWidth="1"/>
    <col min="29" max="31" width="9.140625" style="1" customWidth="1"/>
    <col min="32" max="16384" width="9.140625" style="1"/>
  </cols>
  <sheetData>
    <row r="1" spans="2:34" s="49" customFormat="1" ht="18" customHeight="1" thickBot="1" x14ac:dyDescent="0.3">
      <c r="E1" s="83" t="str">
        <f>CONCATENATE(B19,": ",C16*1000,"mm, ",C8,"W @ ",M4,"rpm")</f>
        <v>Larrabee Prop: 355,6mm, 200W @ 650rpm</v>
      </c>
      <c r="F1" s="83"/>
      <c r="G1" s="83"/>
      <c r="H1" s="83"/>
      <c r="I1" s="83"/>
      <c r="J1" s="83"/>
    </row>
    <row r="2" spans="2:34" ht="15.75" thickBot="1" x14ac:dyDescent="0.3">
      <c r="B2" s="77" t="s">
        <v>26</v>
      </c>
      <c r="C2" s="79"/>
      <c r="E2" s="77" t="s">
        <v>28</v>
      </c>
      <c r="F2" s="78"/>
      <c r="G2" s="78"/>
      <c r="H2" s="78"/>
      <c r="I2" s="78"/>
      <c r="J2" s="79"/>
      <c r="L2" s="77" t="s">
        <v>30</v>
      </c>
      <c r="M2" s="79"/>
      <c r="O2" s="77" t="s">
        <v>29</v>
      </c>
      <c r="P2" s="78"/>
      <c r="Q2" s="78"/>
      <c r="R2" s="78"/>
      <c r="S2" s="78"/>
      <c r="T2" s="79"/>
      <c r="V2" s="61" t="s">
        <v>91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</row>
    <row r="3" spans="2:34" x14ac:dyDescent="0.25">
      <c r="B3" s="3" t="s">
        <v>1</v>
      </c>
      <c r="C3" s="37">
        <v>1025</v>
      </c>
      <c r="E3" s="13" t="s">
        <v>3</v>
      </c>
      <c r="F3" s="14" t="s">
        <v>44</v>
      </c>
      <c r="G3" s="14" t="s">
        <v>49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0.14553216019689064</v>
      </c>
      <c r="O3" s="13" t="s">
        <v>122</v>
      </c>
      <c r="P3" s="33" t="s">
        <v>50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E1</f>
        <v>Larrabee Prop: 355,6mm, 200W @ 650rpm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</row>
    <row r="4" spans="2:34" x14ac:dyDescent="0.25">
      <c r="B4" s="3" t="s">
        <v>33</v>
      </c>
      <c r="C4" s="38">
        <v>1.0020000000000001E-3</v>
      </c>
      <c r="E4" s="7">
        <v>0</v>
      </c>
      <c r="F4" s="8">
        <v>0</v>
      </c>
      <c r="G4" s="47" t="s">
        <v>68</v>
      </c>
      <c r="H4" s="36">
        <v>1.25</v>
      </c>
      <c r="I4" s="8">
        <f ca="1">VLOOKUP(H4,INDIRECT(G4&amp;"!A14:C999"),3,FALSE)</f>
        <v>0.53600000000000003</v>
      </c>
      <c r="J4" s="9">
        <f ca="1">VLOOKUP(H4,INDIRECT(G4&amp;"!A14:C999"),2,FALSE)</f>
        <v>1.7440000000000001E-2</v>
      </c>
      <c r="L4" s="3" t="s">
        <v>48</v>
      </c>
      <c r="M4" s="5">
        <f>$C$10*$C$11</f>
        <v>650</v>
      </c>
      <c r="O4" s="16">
        <f ca="1">ATAN((($C$9/($M$5*($C$16/2)))/0.000000000001)*(1+$M$7/2)  )</f>
        <v>1.5707963267910783</v>
      </c>
      <c r="P4" s="10">
        <f ca="1">$O4*(180/PI())+$H4</f>
        <v>91.249999999781224</v>
      </c>
      <c r="Q4" s="10">
        <f>$T20*($C$16/2)/1000</f>
        <v>0</v>
      </c>
      <c r="R4" s="10">
        <f t="shared" ref="R4:R14" si="0">Q4/0.0254/1000</f>
        <v>0</v>
      </c>
      <c r="S4" s="19">
        <f t="shared" ref="S4:S14" si="1">($C$3*$C$9*$F4/$C$4)*$T20*$S20</f>
        <v>0</v>
      </c>
      <c r="T4" s="17">
        <f t="shared" ref="T4:T14" si="2">($C$9/$C$5)*$S20</f>
        <v>2.0256583389601621E-3</v>
      </c>
      <c r="V4" s="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2:34" ht="15.75" thickBot="1" x14ac:dyDescent="0.3">
      <c r="B5" s="4" t="s">
        <v>22</v>
      </c>
      <c r="C5" s="39">
        <v>1481</v>
      </c>
      <c r="E5" s="7">
        <v>1</v>
      </c>
      <c r="F5" s="10">
        <f>$C$15/2</f>
        <v>1.823E-2</v>
      </c>
      <c r="G5" s="47" t="s">
        <v>68</v>
      </c>
      <c r="H5" s="36">
        <v>1.25</v>
      </c>
      <c r="I5" s="8">
        <f t="shared" ref="I5:I14" ca="1" si="3">VLOOKUP(H5,INDIRECT(G5&amp;"!A14:C999"),3,FALSE)</f>
        <v>0.53600000000000003</v>
      </c>
      <c r="J5" s="9">
        <f t="shared" ref="J5:J14" ca="1" si="4">VLOOKUP(H5,INDIRECT(G5&amp;"!A14:C999"),2,FALSE)</f>
        <v>1.7440000000000001E-2</v>
      </c>
      <c r="L5" s="3" t="s">
        <v>38</v>
      </c>
      <c r="M5" s="5">
        <f>$M$4*PI()/30</f>
        <v>68.067840827778852</v>
      </c>
      <c r="O5" s="16">
        <f ca="1">ATAN((($C$9/($M$5*($C$16/2)))/$E21)*(1+$M$7/2)  )</f>
        <v>1.197635343357232</v>
      </c>
      <c r="P5" s="10">
        <f ca="1">(180/PI())*$O5+$H5</f>
        <v>69.869450570070612</v>
      </c>
      <c r="Q5" s="10">
        <f t="shared" ref="Q5:Q14" ca="1" si="5">$T21*($C$16/2)*1000</f>
        <v>7.7629476448053145</v>
      </c>
      <c r="R5" s="10">
        <f t="shared" ca="1" si="0"/>
        <v>0.30562786003170533</v>
      </c>
      <c r="S5" s="19">
        <f t="shared" ca="1" si="1"/>
        <v>2642.8632464124835</v>
      </c>
      <c r="T5" s="17">
        <f t="shared" ca="1" si="2"/>
        <v>2.1917040985822323E-3</v>
      </c>
      <c r="V5" s="3">
        <f>C14</f>
        <v>2</v>
      </c>
      <c r="W5" s="52">
        <f>C16/2</f>
        <v>0.17780000000000001</v>
      </c>
      <c r="X5" s="52"/>
      <c r="Y5" s="52"/>
      <c r="Z5" s="54" t="s">
        <v>73</v>
      </c>
      <c r="AA5" s="52"/>
      <c r="AB5" s="52"/>
      <c r="AC5" s="52"/>
      <c r="AD5" s="52"/>
      <c r="AE5" s="52"/>
      <c r="AF5" s="52"/>
      <c r="AG5" s="52"/>
      <c r="AH5" s="53"/>
    </row>
    <row r="6" spans="2:34" ht="15.75" thickBot="1" x14ac:dyDescent="0.3">
      <c r="E6" s="7">
        <v>2</v>
      </c>
      <c r="F6" s="10">
        <f>F5+($C$16/2-$C$15/2)/($E$14-1)</f>
        <v>3.5960000000000006E-2</v>
      </c>
      <c r="G6" s="47" t="s">
        <v>68</v>
      </c>
      <c r="H6" s="36">
        <v>1.25</v>
      </c>
      <c r="I6" s="8">
        <f t="shared" ca="1" si="3"/>
        <v>0.53600000000000003</v>
      </c>
      <c r="J6" s="9">
        <f t="shared" ca="1" si="4"/>
        <v>1.7440000000000001E-2</v>
      </c>
      <c r="L6" s="3" t="s">
        <v>14</v>
      </c>
      <c r="M6" s="22">
        <f>$C$9/($M$5*($C$16/2))</f>
        <v>0.24788344515480801</v>
      </c>
      <c r="O6" s="16">
        <f t="shared" ref="O6:O14" ca="1" si="6">ATAN((($C$9/($M$5*($C$16/2)))/$E22)*(1+$M$7/2)  )</f>
        <v>0.91319384958728178</v>
      </c>
      <c r="P6" s="10">
        <f t="shared" ref="P6:P14" ca="1" si="7">(180/PI())*$O6+$H6</f>
        <v>53.572153458655762</v>
      </c>
      <c r="Q6" s="10">
        <f t="shared" ca="1" si="5"/>
        <v>17.667767875431103</v>
      </c>
      <c r="R6" s="10">
        <f t="shared" ca="1" si="0"/>
        <v>0.69558141241854743</v>
      </c>
      <c r="S6" s="19">
        <f t="shared" ca="1" si="1"/>
        <v>14147.845378221129</v>
      </c>
      <c r="T6" s="17">
        <f t="shared" ca="1" si="2"/>
        <v>2.6134216902168918E-3</v>
      </c>
      <c r="V6" s="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</row>
    <row r="7" spans="2:34" ht="15.75" thickBot="1" x14ac:dyDescent="0.3">
      <c r="B7" s="77" t="s">
        <v>31</v>
      </c>
      <c r="C7" s="79"/>
      <c r="E7" s="7">
        <v>3</v>
      </c>
      <c r="F7" s="10">
        <f t="shared" ref="F7:F14" si="8">F6+($C$16/2-$C$15/2)/($E$14-1)</f>
        <v>5.3690000000000009E-2</v>
      </c>
      <c r="G7" s="47" t="s">
        <v>68</v>
      </c>
      <c r="H7" s="36">
        <v>1.25</v>
      </c>
      <c r="I7" s="8">
        <f t="shared" ca="1" si="3"/>
        <v>0.53600000000000003</v>
      </c>
      <c r="J7" s="9">
        <f t="shared" ca="1" si="4"/>
        <v>1.7440000000000001E-2</v>
      </c>
      <c r="L7" s="3" t="s">
        <v>36</v>
      </c>
      <c r="M7" s="21">
        <f ca="1">($P$30/(2*$R$30)) *(SQRT( 1 + ((4*$M$3*$R$30)/($P$30^2)) ) - 1 )</f>
        <v>0.11300736711007674</v>
      </c>
      <c r="O7" s="16">
        <f t="shared" ca="1" si="6"/>
        <v>0.7144380655544712</v>
      </c>
      <c r="P7" s="10">
        <f t="shared" ca="1" si="7"/>
        <v>42.184285879762037</v>
      </c>
      <c r="Q7" s="10">
        <f t="shared" ca="1" si="5"/>
        <v>21.364442007257345</v>
      </c>
      <c r="R7" s="10">
        <f t="shared" ca="1" si="0"/>
        <v>0.8411197640652498</v>
      </c>
      <c r="S7" s="19">
        <f t="shared" ca="1" si="1"/>
        <v>31192.153581888731</v>
      </c>
      <c r="T7" s="17">
        <f t="shared" ca="1" si="2"/>
        <v>3.1913979104383509E-3</v>
      </c>
      <c r="V7" s="3">
        <f ca="1">INDIRECT(G4&amp;"!H3")</f>
        <v>0.35383634654818863</v>
      </c>
      <c r="W7" s="52">
        <f ca="1">INDIRECT(G4&amp;"!I3")</f>
        <v>6.5102159111766529</v>
      </c>
      <c r="X7" s="52"/>
      <c r="Y7" s="52"/>
      <c r="Z7" s="54" t="s">
        <v>72</v>
      </c>
      <c r="AA7" s="52"/>
      <c r="AB7" s="52"/>
      <c r="AC7" s="52"/>
      <c r="AD7" s="52"/>
      <c r="AE7" s="52"/>
      <c r="AF7" s="52"/>
      <c r="AG7" s="52"/>
      <c r="AH7" s="53"/>
    </row>
    <row r="8" spans="2:34" x14ac:dyDescent="0.25">
      <c r="B8" s="3" t="s">
        <v>0</v>
      </c>
      <c r="C8" s="37">
        <v>200</v>
      </c>
      <c r="E8" s="7">
        <v>4</v>
      </c>
      <c r="F8" s="10">
        <f t="shared" si="8"/>
        <v>7.1420000000000011E-2</v>
      </c>
      <c r="G8" s="47" t="s">
        <v>68</v>
      </c>
      <c r="H8" s="36">
        <v>1.25</v>
      </c>
      <c r="I8" s="8">
        <f t="shared" ca="1" si="3"/>
        <v>0.53600000000000003</v>
      </c>
      <c r="J8" s="9">
        <f t="shared" ca="1" si="4"/>
        <v>1.7440000000000001E-2</v>
      </c>
      <c r="L8" s="3" t="s">
        <v>16</v>
      </c>
      <c r="M8" s="23">
        <f ca="1">($L$30*$M$7-$N$30*$M$7^2)/$M$3</f>
        <v>0.85856254451364022</v>
      </c>
      <c r="O8" s="16">
        <f t="shared" ca="1" si="6"/>
        <v>0.57776184901123862</v>
      </c>
      <c r="P8" s="10">
        <f t="shared" ca="1" si="7"/>
        <v>34.353315512018689</v>
      </c>
      <c r="Q8" s="10">
        <f t="shared" ca="1" si="5"/>
        <v>21.034499909875148</v>
      </c>
      <c r="R8" s="10">
        <f t="shared" ca="1" si="0"/>
        <v>0.82812991771162003</v>
      </c>
      <c r="S8" s="19">
        <f t="shared" ca="1" si="1"/>
        <v>49359.692664453076</v>
      </c>
      <c r="T8" s="17">
        <f t="shared" ca="1" si="2"/>
        <v>3.8560349723532621E-3</v>
      </c>
      <c r="V8" s="3">
        <f ca="1">INDIRECT(G4&amp;"!j3")</f>
        <v>-0.43669999999999998</v>
      </c>
      <c r="W8" s="52">
        <f ca="1">INDIRECT(G4&amp;"!k3")</f>
        <v>1.1473</v>
      </c>
      <c r="X8" s="52"/>
      <c r="Y8" s="52"/>
      <c r="Z8" s="54" t="s">
        <v>71</v>
      </c>
      <c r="AA8" s="52"/>
      <c r="AB8" s="52"/>
      <c r="AC8" s="52"/>
      <c r="AD8" s="52"/>
      <c r="AE8" s="52"/>
      <c r="AF8" s="52"/>
      <c r="AG8" s="52"/>
      <c r="AH8" s="53"/>
    </row>
    <row r="9" spans="2:34" x14ac:dyDescent="0.25">
      <c r="B9" s="3" t="s">
        <v>23</v>
      </c>
      <c r="C9" s="37">
        <v>3</v>
      </c>
      <c r="E9" s="7">
        <v>5</v>
      </c>
      <c r="F9" s="10">
        <f t="shared" si="8"/>
        <v>8.9150000000000007E-2</v>
      </c>
      <c r="G9" s="47" t="s">
        <v>68</v>
      </c>
      <c r="H9" s="36">
        <v>1.25</v>
      </c>
      <c r="I9" s="8">
        <f t="shared" ca="1" si="3"/>
        <v>0.53600000000000003</v>
      </c>
      <c r="J9" s="9">
        <f t="shared" ca="1" si="4"/>
        <v>1.7440000000000001E-2</v>
      </c>
      <c r="L9" s="3" t="s">
        <v>19</v>
      </c>
      <c r="M9" s="21">
        <f ca="1">$L$30*$M$7+$N$30*$M$7^2</f>
        <v>0.12775604483557934</v>
      </c>
      <c r="O9" s="16">
        <f t="shared" ca="1" si="6"/>
        <v>0.48133647118015133</v>
      </c>
      <c r="P9" s="10">
        <f t="shared" ca="1" si="7"/>
        <v>28.828548324343053</v>
      </c>
      <c r="Q9" s="10">
        <f t="shared" ca="1" si="5"/>
        <v>19.126624138239233</v>
      </c>
      <c r="R9" s="10">
        <f t="shared" ca="1" si="0"/>
        <v>0.75301669835587526</v>
      </c>
      <c r="S9" s="19">
        <f t="shared" ca="1" si="1"/>
        <v>66392.927159887782</v>
      </c>
      <c r="T9" s="17">
        <f t="shared" ca="1" si="2"/>
        <v>4.5696474948364449E-3</v>
      </c>
      <c r="V9" s="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2:34" x14ac:dyDescent="0.25">
      <c r="B10" s="3" t="s">
        <v>6</v>
      </c>
      <c r="C10" s="37">
        <v>87</v>
      </c>
      <c r="E10" s="7">
        <v>6</v>
      </c>
      <c r="F10" s="10">
        <f t="shared" si="8"/>
        <v>0.10688</v>
      </c>
      <c r="G10" s="47" t="s">
        <v>68</v>
      </c>
      <c r="H10" s="36">
        <v>1.25</v>
      </c>
      <c r="I10" s="8">
        <f t="shared" ca="1" si="3"/>
        <v>0.53600000000000003</v>
      </c>
      <c r="J10" s="9">
        <f t="shared" ca="1" si="4"/>
        <v>1.7440000000000001E-2</v>
      </c>
      <c r="L10" s="3" t="s">
        <v>40</v>
      </c>
      <c r="M10" s="22">
        <f ca="1">($M$9*$C$3*$C$9^2*PI()*($C$16/2)^2)/2</f>
        <v>58.523625597136295</v>
      </c>
      <c r="O10" s="16">
        <f t="shared" ca="1" si="6"/>
        <v>0.4108702016982419</v>
      </c>
      <c r="P10" s="10">
        <f t="shared" ca="1" si="7"/>
        <v>24.791128484998129</v>
      </c>
      <c r="Q10" s="10">
        <f t="shared" ca="1" si="5"/>
        <v>16.704407335052242</v>
      </c>
      <c r="R10" s="10">
        <f t="shared" ca="1" si="0"/>
        <v>0.6576538320886709</v>
      </c>
      <c r="S10" s="19">
        <f t="shared" ca="1" si="1"/>
        <v>80817.802621027498</v>
      </c>
      <c r="T10" s="17">
        <f t="shared" ca="1" si="2"/>
        <v>5.3125138532715529E-3</v>
      </c>
      <c r="V10" s="3">
        <f ca="1">INDIRECT(G4&amp;"!l3")</f>
        <v>1.482E-2</v>
      </c>
      <c r="W10" s="52">
        <f ca="1">INDIRECT(G4&amp;"!m3")</f>
        <v>2.3392359286663146E-2</v>
      </c>
      <c r="X10" s="52">
        <f ca="1">INDIRECT(G4&amp;"!n3")</f>
        <v>7.8428499082764364E-2</v>
      </c>
      <c r="Y10" s="52">
        <f ca="1">INDIRECT(G4&amp;"!o3")</f>
        <v>0.27160000000000001</v>
      </c>
      <c r="Z10" s="54" t="s">
        <v>70</v>
      </c>
      <c r="AA10" s="52"/>
      <c r="AB10" s="52"/>
      <c r="AC10" s="52"/>
      <c r="AD10" s="52"/>
      <c r="AE10" s="52"/>
      <c r="AF10" s="52"/>
      <c r="AG10" s="52"/>
      <c r="AH10" s="53"/>
    </row>
    <row r="11" spans="2:34" ht="15.75" thickBot="1" x14ac:dyDescent="0.3">
      <c r="B11" s="4" t="s">
        <v>27</v>
      </c>
      <c r="C11" s="40">
        <f>650/C10</f>
        <v>7.4712643678160919</v>
      </c>
      <c r="E11" s="7">
        <v>7</v>
      </c>
      <c r="F11" s="10">
        <f t="shared" si="8"/>
        <v>0.12461</v>
      </c>
      <c r="G11" s="47" t="s">
        <v>68</v>
      </c>
      <c r="H11" s="36">
        <v>1.25</v>
      </c>
      <c r="I11" s="8">
        <f t="shared" ca="1" si="3"/>
        <v>0.53600000000000003</v>
      </c>
      <c r="J11" s="9">
        <f t="shared" ca="1" si="4"/>
        <v>1.7440000000000001E-2</v>
      </c>
      <c r="L11" s="4" t="s">
        <v>39</v>
      </c>
      <c r="M11" s="6">
        <f ca="1">($C$9*$M$10)/($M$5*$M$8)</f>
        <v>3.0042672621786801</v>
      </c>
      <c r="O11" s="16">
        <f t="shared" ca="1" si="6"/>
        <v>0.35761105483666067</v>
      </c>
      <c r="P11" s="10">
        <f t="shared" ca="1" si="7"/>
        <v>21.739604149362101</v>
      </c>
      <c r="Q11" s="10">
        <f t="shared" ca="1" si="5"/>
        <v>14.083094194584927</v>
      </c>
      <c r="R11" s="10">
        <f t="shared" ca="1" si="0"/>
        <v>0.55445252734586326</v>
      </c>
      <c r="S11" s="19">
        <f t="shared" ca="1" si="1"/>
        <v>90823.42956618045</v>
      </c>
      <c r="T11" s="17">
        <f t="shared" ca="1" si="2"/>
        <v>6.0738976767707765E-3</v>
      </c>
      <c r="V11" s="3">
        <f ca="1">INDIRECT(G4&amp;"!i1")</f>
        <v>100000</v>
      </c>
      <c r="W11" s="52">
        <v>-0.5</v>
      </c>
      <c r="X11" s="52"/>
      <c r="Y11" s="52"/>
      <c r="Z11" s="54" t="s">
        <v>69</v>
      </c>
      <c r="AA11" s="52"/>
      <c r="AB11" s="52"/>
      <c r="AC11" s="52"/>
      <c r="AD11" s="52"/>
      <c r="AE11" s="52"/>
      <c r="AF11" s="52"/>
      <c r="AG11" s="52"/>
      <c r="AH11" s="53"/>
    </row>
    <row r="12" spans="2:34" ht="15.75" thickBot="1" x14ac:dyDescent="0.3">
      <c r="E12" s="7">
        <v>8</v>
      </c>
      <c r="F12" s="10">
        <f t="shared" si="8"/>
        <v>0.14233999999999999</v>
      </c>
      <c r="G12" s="47" t="s">
        <v>68</v>
      </c>
      <c r="H12" s="36">
        <v>1.25</v>
      </c>
      <c r="I12" s="8">
        <f t="shared" ca="1" si="3"/>
        <v>0.53600000000000003</v>
      </c>
      <c r="J12" s="9">
        <f t="shared" ca="1" si="4"/>
        <v>1.7440000000000001E-2</v>
      </c>
      <c r="O12" s="16">
        <f t="shared" ca="1" si="6"/>
        <v>0.31615921783947171</v>
      </c>
      <c r="P12" s="10">
        <f t="shared" ca="1" si="7"/>
        <v>19.364588836358934</v>
      </c>
      <c r="Q12" s="10">
        <f t="shared" ca="1" si="5"/>
        <v>11.227994478300065</v>
      </c>
      <c r="R12" s="10">
        <f t="shared" ca="1" si="0"/>
        <v>0.44204702670472701</v>
      </c>
      <c r="S12" s="19">
        <f t="shared" ca="1" si="1"/>
        <v>93249.85306528135</v>
      </c>
      <c r="T12" s="17">
        <f t="shared" ca="1" si="2"/>
        <v>6.8476185308087127E-3</v>
      </c>
      <c r="V12" s="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3"/>
    </row>
    <row r="13" spans="2:34" ht="15.75" thickBot="1" x14ac:dyDescent="0.3">
      <c r="B13" s="77" t="s">
        <v>32</v>
      </c>
      <c r="C13" s="79"/>
      <c r="E13" s="7">
        <v>9</v>
      </c>
      <c r="F13" s="10">
        <f t="shared" si="8"/>
        <v>0.16006999999999999</v>
      </c>
      <c r="G13" s="47" t="s">
        <v>68</v>
      </c>
      <c r="H13" s="36">
        <v>1.25</v>
      </c>
      <c r="I13" s="8">
        <f t="shared" ca="1" si="3"/>
        <v>0.53600000000000003</v>
      </c>
      <c r="J13" s="9">
        <f t="shared" ca="1" si="4"/>
        <v>1.7440000000000001E-2</v>
      </c>
      <c r="O13" s="16">
        <f t="shared" ca="1" si="6"/>
        <v>0.2830853221991777</v>
      </c>
      <c r="P13" s="10">
        <f t="shared" ca="1" si="7"/>
        <v>17.469594204113953</v>
      </c>
      <c r="Q13" s="10">
        <f t="shared" ca="1" si="5"/>
        <v>7.7879323925715873</v>
      </c>
      <c r="R13" s="10">
        <f t="shared" ca="1" si="0"/>
        <v>0.30661151151856642</v>
      </c>
      <c r="S13" s="19">
        <f t="shared" ca="1" si="1"/>
        <v>81046.001574081456</v>
      </c>
      <c r="T13" s="17">
        <f t="shared" ca="1" si="2"/>
        <v>7.6299208059534933E-3</v>
      </c>
      <c r="V13" s="3">
        <v>1</v>
      </c>
      <c r="W13" s="52" t="s">
        <v>88</v>
      </c>
      <c r="X13" s="52">
        <v>1</v>
      </c>
      <c r="Y13" s="52"/>
      <c r="Z13" s="54" t="s">
        <v>74</v>
      </c>
      <c r="AA13" s="52"/>
      <c r="AB13" s="52"/>
      <c r="AC13" s="52"/>
      <c r="AD13" s="52"/>
      <c r="AE13" s="52"/>
      <c r="AF13" s="52"/>
      <c r="AG13" s="52"/>
      <c r="AH13" s="53"/>
    </row>
    <row r="14" spans="2:34" ht="15.75" thickBot="1" x14ac:dyDescent="0.3">
      <c r="B14" s="3" t="s">
        <v>47</v>
      </c>
      <c r="C14" s="41">
        <v>2</v>
      </c>
      <c r="E14" s="11">
        <v>10</v>
      </c>
      <c r="F14" s="12">
        <f t="shared" si="8"/>
        <v>0.17779999999999999</v>
      </c>
      <c r="G14" s="48" t="s">
        <v>68</v>
      </c>
      <c r="H14" s="43">
        <v>1.25</v>
      </c>
      <c r="I14" s="44">
        <f t="shared" ca="1" si="3"/>
        <v>0.53600000000000003</v>
      </c>
      <c r="J14" s="45">
        <f t="shared" ca="1" si="4"/>
        <v>1.7440000000000001E-2</v>
      </c>
      <c r="O14" s="16">
        <f t="shared" ca="1" si="6"/>
        <v>0.25613735566671103</v>
      </c>
      <c r="P14" s="10">
        <f t="shared" ca="1" si="7"/>
        <v>15.925589455343822</v>
      </c>
      <c r="Q14" s="12">
        <f t="shared" ca="1" si="5"/>
        <v>0</v>
      </c>
      <c r="R14" s="12">
        <f t="shared" ca="1" si="0"/>
        <v>0</v>
      </c>
      <c r="S14" s="20">
        <f t="shared" ca="1" si="1"/>
        <v>0</v>
      </c>
      <c r="T14" s="18">
        <f t="shared" ca="1" si="2"/>
        <v>8.4184106321005293E-3</v>
      </c>
      <c r="V14" s="3">
        <v>0</v>
      </c>
      <c r="W14" s="52">
        <v>0</v>
      </c>
      <c r="X14" s="52">
        <v>0</v>
      </c>
      <c r="Y14" s="52"/>
      <c r="Z14" s="54" t="s">
        <v>75</v>
      </c>
      <c r="AA14" s="52"/>
      <c r="AB14" s="52"/>
      <c r="AC14" s="52"/>
      <c r="AD14" s="52"/>
      <c r="AE14" s="52"/>
      <c r="AF14" s="52"/>
      <c r="AG14" s="52"/>
      <c r="AH14" s="53"/>
    </row>
    <row r="15" spans="2:34" x14ac:dyDescent="0.25">
      <c r="B15" s="3" t="s">
        <v>45</v>
      </c>
      <c r="C15" s="41">
        <f>2*0.01823</f>
        <v>3.6459999999999999E-2</v>
      </c>
      <c r="K15" s="2"/>
      <c r="L15" s="2"/>
      <c r="M15" s="2"/>
      <c r="N15" s="2"/>
      <c r="V15" s="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2:34" ht="15.75" thickBot="1" x14ac:dyDescent="0.3">
      <c r="B16" s="4" t="s">
        <v>46</v>
      </c>
      <c r="C16" s="42">
        <f>2*0.1778</f>
        <v>0.35560000000000003</v>
      </c>
      <c r="V16" s="3" t="s">
        <v>76</v>
      </c>
      <c r="W16" s="52" t="s">
        <v>77</v>
      </c>
      <c r="X16" s="52" t="s">
        <v>89</v>
      </c>
      <c r="Y16" s="52" t="s">
        <v>78</v>
      </c>
      <c r="Z16" s="52" t="s">
        <v>79</v>
      </c>
      <c r="AA16" s="52" t="s">
        <v>80</v>
      </c>
      <c r="AB16" s="52" t="s">
        <v>81</v>
      </c>
      <c r="AC16" s="52" t="s">
        <v>82</v>
      </c>
      <c r="AD16" s="52" t="s">
        <v>83</v>
      </c>
      <c r="AE16" s="52" t="s">
        <v>84</v>
      </c>
      <c r="AF16" s="52" t="s">
        <v>85</v>
      </c>
      <c r="AG16" s="52" t="s">
        <v>86</v>
      </c>
      <c r="AH16" s="53" t="s">
        <v>87</v>
      </c>
    </row>
    <row r="17" spans="1:34" ht="15.75" thickBot="1" x14ac:dyDescent="0.3">
      <c r="V17" s="55">
        <f>F5</f>
        <v>1.823E-2</v>
      </c>
      <c r="W17" s="56">
        <f ca="1">Q5</f>
        <v>7.7629476448053145</v>
      </c>
      <c r="X17" s="56">
        <f ca="1">O5</f>
        <v>1.197635343357232</v>
      </c>
      <c r="Y17" s="56">
        <f ca="1">INDIRECT(G5&amp;"!H3")</f>
        <v>0.35383634654818863</v>
      </c>
      <c r="Z17" s="52">
        <f ca="1">INDIRECT(G5&amp;"!I3")</f>
        <v>6.5102159111766529</v>
      </c>
      <c r="AA17" s="52">
        <f ca="1">INDIRECT(G5&amp;"!j3")</f>
        <v>-0.43669999999999998</v>
      </c>
      <c r="AB17" s="52">
        <f ca="1">INDIRECT(G5&amp;"!k3")</f>
        <v>1.1473</v>
      </c>
      <c r="AC17" s="52">
        <f ca="1">INDIRECT(G5&amp;"!l3")</f>
        <v>1.482E-2</v>
      </c>
      <c r="AD17" s="52">
        <f ca="1">INDIRECT(G5&amp;"!m3")</f>
        <v>2.3392359286663146E-2</v>
      </c>
      <c r="AE17" s="52">
        <f ca="1">INDIRECT(G5&amp;"!n3")</f>
        <v>7.8428499082764364E-2</v>
      </c>
      <c r="AF17" s="52">
        <f ca="1">INDIRECT(G5&amp;"!o3")</f>
        <v>0.27160000000000001</v>
      </c>
      <c r="AG17" s="52">
        <f ca="1">INDIRECT(G5&amp;"!i1")</f>
        <v>100000</v>
      </c>
      <c r="AH17" s="53"/>
    </row>
    <row r="18" spans="1:34" ht="15.75" thickBot="1" x14ac:dyDescent="0.3">
      <c r="B18" s="77" t="s">
        <v>92</v>
      </c>
      <c r="C18" s="79"/>
      <c r="E18" s="1" t="s">
        <v>37</v>
      </c>
      <c r="V18" s="55">
        <f t="shared" ref="V18:V25" si="9">F6</f>
        <v>3.5960000000000006E-2</v>
      </c>
      <c r="W18" s="56">
        <f t="shared" ref="W18:W25" ca="1" si="10">Q6</f>
        <v>17.667767875431103</v>
      </c>
      <c r="X18" s="56">
        <f t="shared" ref="X18:X25" ca="1" si="11">O6</f>
        <v>0.91319384958728178</v>
      </c>
      <c r="Y18" s="56">
        <f t="shared" ref="Y18:Y25" ca="1" si="12">INDIRECT(G6&amp;"!H3")</f>
        <v>0.35383634654818863</v>
      </c>
      <c r="Z18" s="52">
        <f t="shared" ref="Z18:Z25" ca="1" si="13">INDIRECT(G6&amp;"!I3")</f>
        <v>6.5102159111766529</v>
      </c>
      <c r="AA18" s="52">
        <f t="shared" ref="AA18:AA25" ca="1" si="14">INDIRECT(G6&amp;"!j3")</f>
        <v>-0.43669999999999998</v>
      </c>
      <c r="AB18" s="52">
        <f t="shared" ref="AB18:AB25" ca="1" si="15">INDIRECT(G6&amp;"!k3")</f>
        <v>1.1473</v>
      </c>
      <c r="AC18" s="52">
        <f t="shared" ref="AC18:AC25" ca="1" si="16">INDIRECT(G6&amp;"!l3")</f>
        <v>1.482E-2</v>
      </c>
      <c r="AD18" s="52">
        <f t="shared" ref="AD18:AD25" ca="1" si="17">INDIRECT(G6&amp;"!m3")</f>
        <v>2.3392359286663146E-2</v>
      </c>
      <c r="AE18" s="52">
        <f t="shared" ref="AE18:AE25" ca="1" si="18">INDIRECT(G6&amp;"!n3")</f>
        <v>7.8428499082764364E-2</v>
      </c>
      <c r="AF18" s="52">
        <f t="shared" ref="AF18:AF25" ca="1" si="19">INDIRECT(G6&amp;"!o3")</f>
        <v>0.27160000000000001</v>
      </c>
      <c r="AG18" s="52">
        <f t="shared" ref="AG18:AG25" ca="1" si="20">INDIRECT(G6&amp;"!i1")</f>
        <v>100000</v>
      </c>
      <c r="AH18" s="53"/>
    </row>
    <row r="19" spans="1:34" ht="15.75" thickBot="1" x14ac:dyDescent="0.3">
      <c r="A19" s="2"/>
      <c r="B19" s="80" t="s">
        <v>93</v>
      </c>
      <c r="C19" s="81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5">
        <f t="shared" si="9"/>
        <v>5.3690000000000009E-2</v>
      </c>
      <c r="W19" s="56">
        <f t="shared" ca="1" si="10"/>
        <v>21.364442007257345</v>
      </c>
      <c r="X19" s="56">
        <f t="shared" ca="1" si="11"/>
        <v>0.7144380655544712</v>
      </c>
      <c r="Y19" s="56">
        <f t="shared" ca="1" si="12"/>
        <v>0.35383634654818863</v>
      </c>
      <c r="Z19" s="52">
        <f t="shared" ca="1" si="13"/>
        <v>6.5102159111766529</v>
      </c>
      <c r="AA19" s="52">
        <f t="shared" ca="1" si="14"/>
        <v>-0.43669999999999998</v>
      </c>
      <c r="AB19" s="52">
        <f t="shared" ca="1" si="15"/>
        <v>1.1473</v>
      </c>
      <c r="AC19" s="52">
        <f t="shared" ca="1" si="16"/>
        <v>1.482E-2</v>
      </c>
      <c r="AD19" s="52">
        <f t="shared" ca="1" si="17"/>
        <v>2.3392359286663146E-2</v>
      </c>
      <c r="AE19" s="52">
        <f t="shared" ca="1" si="18"/>
        <v>7.8428499082764364E-2</v>
      </c>
      <c r="AF19" s="52">
        <f t="shared" ca="1" si="19"/>
        <v>0.27160000000000001</v>
      </c>
      <c r="AG19" s="52">
        <f t="shared" ca="1" si="20"/>
        <v>100000</v>
      </c>
      <c r="AH19" s="53"/>
    </row>
    <row r="20" spans="1:34" x14ac:dyDescent="0.25">
      <c r="A20" s="2"/>
      <c r="E20" s="24">
        <v>0</v>
      </c>
      <c r="F20" s="25">
        <f t="shared" ref="F20:F30" ca="1" si="21">J4/I4</f>
        <v>3.2537313432835821E-2</v>
      </c>
      <c r="G20" s="25">
        <f t="shared" ref="G20:G29" si="22">($C$14/2)*(SQRT($M$6^2 + 1)/$M$6)*(1-$E20)</f>
        <v>4.1562481593922884</v>
      </c>
      <c r="H20" s="25">
        <f t="shared" ref="H20:H29" si="23">(2/PI())*ACOS(EXP(-$G20))</f>
        <v>0.99002616341308736</v>
      </c>
      <c r="I20" s="25">
        <f t="shared" ref="I20:I30" si="24">$M$5*$F4/$C$9</f>
        <v>0</v>
      </c>
      <c r="J20" s="25">
        <f t="shared" ref="J20:J30" si="25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5">
        <f t="shared" si="9"/>
        <v>7.1420000000000011E-2</v>
      </c>
      <c r="W20" s="56">
        <f t="shared" ca="1" si="10"/>
        <v>21.034499909875148</v>
      </c>
      <c r="X20" s="56">
        <f t="shared" ca="1" si="11"/>
        <v>0.57776184901123862</v>
      </c>
      <c r="Y20" s="56">
        <f t="shared" ca="1" si="12"/>
        <v>0.35383634654818863</v>
      </c>
      <c r="Z20" s="52">
        <f t="shared" ca="1" si="13"/>
        <v>6.5102159111766529</v>
      </c>
      <c r="AA20" s="52">
        <f t="shared" ca="1" si="14"/>
        <v>-0.43669999999999998</v>
      </c>
      <c r="AB20" s="52">
        <f t="shared" ca="1" si="15"/>
        <v>1.1473</v>
      </c>
      <c r="AC20" s="52">
        <f t="shared" ca="1" si="16"/>
        <v>1.482E-2</v>
      </c>
      <c r="AD20" s="52">
        <f t="shared" ca="1" si="17"/>
        <v>2.3392359286663146E-2</v>
      </c>
      <c r="AE20" s="52">
        <f t="shared" ca="1" si="18"/>
        <v>7.8428499082764364E-2</v>
      </c>
      <c r="AF20" s="52">
        <f t="shared" ca="1" si="19"/>
        <v>0.27160000000000001</v>
      </c>
      <c r="AG20" s="52">
        <f t="shared" ca="1" si="20"/>
        <v>100000</v>
      </c>
      <c r="AH20" s="53"/>
    </row>
    <row r="21" spans="1:34" x14ac:dyDescent="0.25">
      <c r="A21" s="2"/>
      <c r="E21" s="24">
        <f>F5/($C$16/2)</f>
        <v>0.10253093363329582</v>
      </c>
      <c r="F21" s="25">
        <f t="shared" ca="1" si="21"/>
        <v>3.2537313432835821E-2</v>
      </c>
      <c r="G21" s="25">
        <f t="shared" si="22"/>
        <v>3.7301041551981298</v>
      </c>
      <c r="H21" s="25">
        <f t="shared" si="23"/>
        <v>0.98472581174696072</v>
      </c>
      <c r="I21" s="25">
        <f t="shared" si="24"/>
        <v>0.41362557943013617</v>
      </c>
      <c r="J21" s="25">
        <f t="shared" si="25"/>
        <v>0.14386040060067631</v>
      </c>
      <c r="K21" s="25">
        <f t="shared" ref="K21:K30" ca="1" si="26">4*$J21*(1-$F21/$I21)*$E21</f>
        <v>5.4359362742535611E-2</v>
      </c>
      <c r="L21" s="25">
        <f t="shared" ref="L21:L30" ca="1" si="27">L20+($E21-$E20)*(K20+K21)/2</f>
        <v>2.786758106851586E-3</v>
      </c>
      <c r="M21" s="25">
        <f ca="1">2*$J21*(1-$F21/$I21)*(1/$I21^2+1)*$E21</f>
        <v>0.18604517775282498</v>
      </c>
      <c r="N21" s="25">
        <f t="shared" ref="N21:N30" ca="1" si="28">N20+($E21-$E20)*(M20+M21)/2</f>
        <v>9.5376928864848113E-3</v>
      </c>
      <c r="O21" s="25">
        <f ca="1">4*$J21*( 1+ ($F21*$I21))*$E21</f>
        <v>5.9794609988471373E-2</v>
      </c>
      <c r="P21" s="25">
        <f t="shared" ref="P21:P30" ca="1" si="29">P20+($E21-$E20)*(O20+O21)/2</f>
        <v>3.0653985941783831E-3</v>
      </c>
      <c r="Q21" s="25">
        <f t="shared" ref="Q21:Q30" ca="1" si="30">2*$J21*(1+$F21*$I21)*($I21^2/(1+$I21^2))*$E21</f>
        <v>4.3677521418079368E-3</v>
      </c>
      <c r="R21" s="25">
        <f t="shared" ref="R21:R30" ca="1" si="31">R20+($E21-$E20)*(Q20+Q21)/2</f>
        <v>2.2391485248919764E-4</v>
      </c>
      <c r="S21" s="25">
        <f t="shared" ref="S21:S30" ca="1" si="32">SQRT($I21^2 + 1 - ($M$7*COS($O5)/2)^2)</f>
        <v>1.0819712566667621</v>
      </c>
      <c r="T21" s="26">
        <f t="shared" ref="T21:T30" ca="1" si="33">(4*PI()*$M$6/$C$14)*($J21/$S21)*($M$7/$I5)</f>
        <v>4.3661122861672182E-2</v>
      </c>
      <c r="V21" s="55">
        <f t="shared" si="9"/>
        <v>8.9150000000000007E-2</v>
      </c>
      <c r="W21" s="56">
        <f t="shared" ca="1" si="10"/>
        <v>19.126624138239233</v>
      </c>
      <c r="X21" s="56">
        <f t="shared" ca="1" si="11"/>
        <v>0.48133647118015133</v>
      </c>
      <c r="Y21" s="56">
        <f t="shared" ca="1" si="12"/>
        <v>0.35383634654818863</v>
      </c>
      <c r="Z21" s="52">
        <f t="shared" ca="1" si="13"/>
        <v>6.5102159111766529</v>
      </c>
      <c r="AA21" s="52">
        <f t="shared" ca="1" si="14"/>
        <v>-0.43669999999999998</v>
      </c>
      <c r="AB21" s="52">
        <f t="shared" ca="1" si="15"/>
        <v>1.1473</v>
      </c>
      <c r="AC21" s="52">
        <f t="shared" ca="1" si="16"/>
        <v>1.482E-2</v>
      </c>
      <c r="AD21" s="52">
        <f t="shared" ca="1" si="17"/>
        <v>2.3392359286663146E-2</v>
      </c>
      <c r="AE21" s="52">
        <f t="shared" ca="1" si="18"/>
        <v>7.8428499082764364E-2</v>
      </c>
      <c r="AF21" s="52">
        <f t="shared" ca="1" si="19"/>
        <v>0.27160000000000001</v>
      </c>
      <c r="AG21" s="52">
        <f t="shared" ca="1" si="20"/>
        <v>100000</v>
      </c>
      <c r="AH21" s="53"/>
    </row>
    <row r="22" spans="1:34" x14ac:dyDescent="0.25">
      <c r="A22" s="2"/>
      <c r="E22" s="24">
        <f t="shared" ref="E22:E30" si="34">F6/($C$16/2)</f>
        <v>0.20224971878515188</v>
      </c>
      <c r="F22" s="25">
        <f t="shared" ca="1" si="21"/>
        <v>3.2537313432835821E-2</v>
      </c>
      <c r="G22" s="25">
        <f t="shared" si="22"/>
        <v>3.3156481379538931</v>
      </c>
      <c r="H22" s="25">
        <f t="shared" si="23"/>
        <v>0.97687893089741273</v>
      </c>
      <c r="I22" s="25">
        <f t="shared" si="24"/>
        <v>0.81590651872230924</v>
      </c>
      <c r="J22" s="25">
        <f t="shared" si="25"/>
        <v>0.39041263494020029</v>
      </c>
      <c r="K22" s="25">
        <f t="shared" ca="1" si="26"/>
        <v>0.30324795043694708</v>
      </c>
      <c r="L22" s="25">
        <f t="shared" ca="1" si="27"/>
        <v>2.0616841522690256E-2</v>
      </c>
      <c r="M22" s="25">
        <f t="shared" ref="M22:M30" ca="1" si="35">2*$J22*(1-$F22/$I22)*(1/(1+$I22^2))*$E22</f>
        <v>9.1026992508680238E-2</v>
      </c>
      <c r="N22" s="25">
        <f t="shared" ca="1" si="28"/>
        <v>2.3352342995417573E-2</v>
      </c>
      <c r="O22" s="25">
        <f t="shared" ref="O22:O30" ca="1" si="36">4*$J22*(1+ ($F22*$I22))*$E22</f>
        <v>0.32422820505669026</v>
      </c>
      <c r="P22" s="25">
        <f t="shared" ca="1" si="29"/>
        <v>2.2212542887628098E-2</v>
      </c>
      <c r="Q22" s="25">
        <f t="shared" ca="1" si="30"/>
        <v>6.478939398448709E-2</v>
      </c>
      <c r="R22" s="25">
        <f t="shared" ca="1" si="31"/>
        <v>3.6720481506309624E-3</v>
      </c>
      <c r="S22" s="25">
        <f t="shared" ca="1" si="32"/>
        <v>1.2901591744037388</v>
      </c>
      <c r="T22" s="26">
        <f t="shared" ca="1" si="33"/>
        <v>9.9368773202649613E-2</v>
      </c>
      <c r="V22" s="55">
        <f t="shared" si="9"/>
        <v>0.10688</v>
      </c>
      <c r="W22" s="56">
        <f t="shared" ca="1" si="10"/>
        <v>16.704407335052242</v>
      </c>
      <c r="X22" s="56">
        <f t="shared" ca="1" si="11"/>
        <v>0.4108702016982419</v>
      </c>
      <c r="Y22" s="56">
        <f t="shared" ca="1" si="12"/>
        <v>0.35383634654818863</v>
      </c>
      <c r="Z22" s="52">
        <f t="shared" ca="1" si="13"/>
        <v>6.5102159111766529</v>
      </c>
      <c r="AA22" s="52">
        <f t="shared" ca="1" si="14"/>
        <v>-0.43669999999999998</v>
      </c>
      <c r="AB22" s="52">
        <f t="shared" ca="1" si="15"/>
        <v>1.1473</v>
      </c>
      <c r="AC22" s="52">
        <f t="shared" ca="1" si="16"/>
        <v>1.482E-2</v>
      </c>
      <c r="AD22" s="52">
        <f t="shared" ca="1" si="17"/>
        <v>2.3392359286663146E-2</v>
      </c>
      <c r="AE22" s="52">
        <f t="shared" ca="1" si="18"/>
        <v>7.8428499082764364E-2</v>
      </c>
      <c r="AF22" s="52">
        <f t="shared" ca="1" si="19"/>
        <v>0.27160000000000001</v>
      </c>
      <c r="AG22" s="52">
        <f t="shared" ca="1" si="20"/>
        <v>100000</v>
      </c>
      <c r="AH22" s="53"/>
    </row>
    <row r="23" spans="1:34" x14ac:dyDescent="0.25">
      <c r="A23" s="2"/>
      <c r="E23" s="24">
        <f t="shared" si="34"/>
        <v>0.30196850393700791</v>
      </c>
      <c r="F23" s="25">
        <f t="shared" ca="1" si="21"/>
        <v>3.2537313432835821E-2</v>
      </c>
      <c r="G23" s="25">
        <f t="shared" si="22"/>
        <v>2.9011921207096565</v>
      </c>
      <c r="H23" s="25">
        <f t="shared" si="23"/>
        <v>0.96499522774916313</v>
      </c>
      <c r="I23" s="25">
        <f t="shared" si="24"/>
        <v>1.2181874580144825</v>
      </c>
      <c r="J23" s="25">
        <f t="shared" si="25"/>
        <v>0.57650781542491825</v>
      </c>
      <c r="K23" s="25">
        <f t="shared" ca="1" si="26"/>
        <v>0.67774960411472152</v>
      </c>
      <c r="L23" s="25">
        <f t="shared" ca="1" si="27"/>
        <v>6.9528783711107267E-2</v>
      </c>
      <c r="M23" s="25">
        <f t="shared" ca="1" si="35"/>
        <v>0.13642408912241269</v>
      </c>
      <c r="N23" s="25">
        <f t="shared" ca="1" si="28"/>
        <v>3.4692915766281682E-2</v>
      </c>
      <c r="O23" s="25">
        <f t="shared" ca="1" si="36"/>
        <v>0.72394967256687115</v>
      </c>
      <c r="P23" s="25">
        <f t="shared" ca="1" si="29"/>
        <v>7.4474055177464277E-2</v>
      </c>
      <c r="Q23" s="25">
        <f t="shared" ca="1" si="30"/>
        <v>0.21625114415467311</v>
      </c>
      <c r="R23" s="25">
        <f t="shared" ca="1" si="31"/>
        <v>1.7684558671461421E-2</v>
      </c>
      <c r="S23" s="25">
        <f t="shared" ca="1" si="32"/>
        <v>1.5754867684530658</v>
      </c>
      <c r="T23" s="26">
        <f t="shared" ca="1" si="33"/>
        <v>0.12015996629503568</v>
      </c>
      <c r="V23" s="55">
        <f t="shared" si="9"/>
        <v>0.12461</v>
      </c>
      <c r="W23" s="56">
        <f t="shared" ca="1" si="10"/>
        <v>14.083094194584927</v>
      </c>
      <c r="X23" s="56">
        <f t="shared" ca="1" si="11"/>
        <v>0.35761105483666067</v>
      </c>
      <c r="Y23" s="56">
        <f t="shared" ca="1" si="12"/>
        <v>0.35383634654818863</v>
      </c>
      <c r="Z23" s="52">
        <f t="shared" ca="1" si="13"/>
        <v>6.5102159111766529</v>
      </c>
      <c r="AA23" s="52">
        <f t="shared" ca="1" si="14"/>
        <v>-0.43669999999999998</v>
      </c>
      <c r="AB23" s="52">
        <f t="shared" ca="1" si="15"/>
        <v>1.1473</v>
      </c>
      <c r="AC23" s="52">
        <f t="shared" ca="1" si="16"/>
        <v>1.482E-2</v>
      </c>
      <c r="AD23" s="52">
        <f t="shared" ca="1" si="17"/>
        <v>2.3392359286663146E-2</v>
      </c>
      <c r="AE23" s="52">
        <f t="shared" ca="1" si="18"/>
        <v>7.8428499082764364E-2</v>
      </c>
      <c r="AF23" s="52">
        <f t="shared" ca="1" si="19"/>
        <v>0.27160000000000001</v>
      </c>
      <c r="AG23" s="52">
        <f t="shared" ca="1" si="20"/>
        <v>100000</v>
      </c>
      <c r="AH23" s="53"/>
    </row>
    <row r="24" spans="1:34" x14ac:dyDescent="0.25">
      <c r="A24" s="2"/>
      <c r="E24" s="24">
        <f t="shared" si="34"/>
        <v>0.40168728908886392</v>
      </c>
      <c r="F24" s="25">
        <f t="shared" ca="1" si="21"/>
        <v>3.2537313432835821E-2</v>
      </c>
      <c r="G24" s="25">
        <f t="shared" si="22"/>
        <v>2.4867361034654198</v>
      </c>
      <c r="H24" s="25">
        <f t="shared" si="23"/>
        <v>0.94698406189276119</v>
      </c>
      <c r="I24" s="25">
        <f t="shared" si="24"/>
        <v>1.6204683973066556</v>
      </c>
      <c r="J24" s="25">
        <f t="shared" si="25"/>
        <v>0.68581320608145779</v>
      </c>
      <c r="K24" s="25">
        <f t="shared" ca="1" si="26"/>
        <v>1.0798041906614468</v>
      </c>
      <c r="L24" s="25">
        <f t="shared" ca="1" si="27"/>
        <v>0.15715934833816425</v>
      </c>
      <c r="M24" s="25">
        <f t="shared" ca="1" si="35"/>
        <v>0.14890080833040348</v>
      </c>
      <c r="N24" s="25">
        <f t="shared" ca="1" si="28"/>
        <v>4.8919041840068046E-2</v>
      </c>
      <c r="O24" s="25">
        <f t="shared" ca="1" si="36"/>
        <v>1.1600297967760667</v>
      </c>
      <c r="P24" s="25">
        <f t="shared" ca="1" si="29"/>
        <v>0.16840812714442233</v>
      </c>
      <c r="Q24" s="25">
        <f t="shared" ca="1" si="30"/>
        <v>0.420051290243947</v>
      </c>
      <c r="R24" s="25">
        <f t="shared" ca="1" si="31"/>
        <v>4.9410211545160898E-2</v>
      </c>
      <c r="S24" s="25">
        <f t="shared" ca="1" si="32"/>
        <v>1.903595931351727</v>
      </c>
      <c r="T24" s="26">
        <f t="shared" ca="1" si="33"/>
        <v>0.11830427395880286</v>
      </c>
      <c r="V24" s="55">
        <f t="shared" si="9"/>
        <v>0.14233999999999999</v>
      </c>
      <c r="W24" s="56">
        <f t="shared" ca="1" si="10"/>
        <v>11.227994478300065</v>
      </c>
      <c r="X24" s="56">
        <f t="shared" ca="1" si="11"/>
        <v>0.31615921783947171</v>
      </c>
      <c r="Y24" s="56">
        <f t="shared" ca="1" si="12"/>
        <v>0.35383634654818863</v>
      </c>
      <c r="Z24" s="52">
        <f t="shared" ca="1" si="13"/>
        <v>6.5102159111766529</v>
      </c>
      <c r="AA24" s="52">
        <f t="shared" ca="1" si="14"/>
        <v>-0.43669999999999998</v>
      </c>
      <c r="AB24" s="52">
        <f t="shared" ca="1" si="15"/>
        <v>1.1473</v>
      </c>
      <c r="AC24" s="52">
        <f t="shared" ca="1" si="16"/>
        <v>1.482E-2</v>
      </c>
      <c r="AD24" s="52">
        <f t="shared" ca="1" si="17"/>
        <v>2.3392359286663146E-2</v>
      </c>
      <c r="AE24" s="52">
        <f t="shared" ca="1" si="18"/>
        <v>7.8428499082764364E-2</v>
      </c>
      <c r="AF24" s="52">
        <f t="shared" ca="1" si="19"/>
        <v>0.27160000000000001</v>
      </c>
      <c r="AG24" s="52">
        <f t="shared" ca="1" si="20"/>
        <v>100000</v>
      </c>
      <c r="AH24" s="53"/>
    </row>
    <row r="25" spans="1:34" ht="15.75" thickBot="1" x14ac:dyDescent="0.3">
      <c r="A25" s="2"/>
      <c r="E25" s="24">
        <f t="shared" si="34"/>
        <v>0.50140607424071992</v>
      </c>
      <c r="F25" s="25">
        <f t="shared" ca="1" si="21"/>
        <v>3.2537313432835821E-2</v>
      </c>
      <c r="G25" s="25">
        <f t="shared" si="22"/>
        <v>2.0722800862211832</v>
      </c>
      <c r="H25" s="25">
        <f t="shared" si="23"/>
        <v>0.919637334361738</v>
      </c>
      <c r="I25" s="25">
        <f t="shared" si="24"/>
        <v>2.0227493365988285</v>
      </c>
      <c r="J25" s="25">
        <f t="shared" si="25"/>
        <v>0.73901577942786367</v>
      </c>
      <c r="K25" s="25">
        <f t="shared" ca="1" si="26"/>
        <v>1.4583459902359739</v>
      </c>
      <c r="L25" s="25">
        <f t="shared" ca="1" si="27"/>
        <v>0.28370997462419145</v>
      </c>
      <c r="M25" s="25">
        <f t="shared" ca="1" si="35"/>
        <v>0.14321336821912398</v>
      </c>
      <c r="N25" s="25">
        <f t="shared" ca="1" si="28"/>
        <v>6.3483677245644882E-2</v>
      </c>
      <c r="O25" s="25">
        <f t="shared" ca="1" si="36"/>
        <v>1.5797379532652929</v>
      </c>
      <c r="P25" s="25">
        <f t="shared" ca="1" si="29"/>
        <v>0.30501128296060143</v>
      </c>
      <c r="Q25" s="25">
        <f t="shared" ca="1" si="30"/>
        <v>0.63473460200176757</v>
      </c>
      <c r="R25" s="25">
        <f t="shared" ca="1" si="31"/>
        <v>0.10200119543019047</v>
      </c>
      <c r="S25" s="25">
        <f t="shared" ca="1" si="32"/>
        <v>2.2558826466175916</v>
      </c>
      <c r="T25" s="26">
        <f t="shared" ca="1" si="33"/>
        <v>0.10757381405083934</v>
      </c>
      <c r="V25" s="57">
        <f t="shared" si="9"/>
        <v>0.16006999999999999</v>
      </c>
      <c r="W25" s="58">
        <f t="shared" ca="1" si="10"/>
        <v>7.7879323925715873</v>
      </c>
      <c r="X25" s="58">
        <f t="shared" ca="1" si="11"/>
        <v>0.2830853221991777</v>
      </c>
      <c r="Y25" s="58">
        <f t="shared" ca="1" si="12"/>
        <v>0.35383634654818863</v>
      </c>
      <c r="Z25" s="59">
        <f t="shared" ca="1" si="13"/>
        <v>6.5102159111766529</v>
      </c>
      <c r="AA25" s="59">
        <f t="shared" ca="1" si="14"/>
        <v>-0.43669999999999998</v>
      </c>
      <c r="AB25" s="59">
        <f t="shared" ca="1" si="15"/>
        <v>1.1473</v>
      </c>
      <c r="AC25" s="59">
        <f t="shared" ca="1" si="16"/>
        <v>1.482E-2</v>
      </c>
      <c r="AD25" s="59">
        <f t="shared" ca="1" si="17"/>
        <v>2.3392359286663146E-2</v>
      </c>
      <c r="AE25" s="59">
        <f t="shared" ca="1" si="18"/>
        <v>7.8428499082764364E-2</v>
      </c>
      <c r="AF25" s="59">
        <f t="shared" ca="1" si="19"/>
        <v>0.27160000000000001</v>
      </c>
      <c r="AG25" s="59">
        <f t="shared" ca="1" si="20"/>
        <v>100000</v>
      </c>
      <c r="AH25" s="60"/>
    </row>
    <row r="26" spans="1:34" x14ac:dyDescent="0.25">
      <c r="A26" s="2"/>
      <c r="E26" s="24">
        <f t="shared" si="34"/>
        <v>0.60112485939257587</v>
      </c>
      <c r="F26" s="25">
        <f t="shared" ca="1" si="21"/>
        <v>3.2537313432835821E-2</v>
      </c>
      <c r="G26" s="25">
        <f t="shared" si="22"/>
        <v>1.6578240689769468</v>
      </c>
      <c r="H26" s="25">
        <f t="shared" si="23"/>
        <v>0.87794369191460919</v>
      </c>
      <c r="I26" s="25">
        <f t="shared" si="24"/>
        <v>2.4250302758910012</v>
      </c>
      <c r="J26" s="25">
        <f t="shared" si="25"/>
        <v>0.75034991138260776</v>
      </c>
      <c r="K26" s="25">
        <f t="shared" ca="1" si="26"/>
        <v>1.7800082670640387</v>
      </c>
      <c r="L26" s="25">
        <f t="shared" ca="1" si="27"/>
        <v>0.44517235083884044</v>
      </c>
      <c r="M26" s="25">
        <f t="shared" ca="1" si="35"/>
        <v>0.12934655506073578</v>
      </c>
      <c r="N26" s="25">
        <f t="shared" ca="1" si="28"/>
        <v>7.7073349460920218E-2</v>
      </c>
      <c r="O26" s="25">
        <f t="shared" ca="1" si="36"/>
        <v>1.9465757406039585</v>
      </c>
      <c r="P26" s="25">
        <f t="shared" ca="1" si="29"/>
        <v>0.48083114176909914</v>
      </c>
      <c r="Q26" s="25">
        <f t="shared" ca="1" si="30"/>
        <v>0.83183747882305914</v>
      </c>
      <c r="R26" s="25">
        <f t="shared" ca="1" si="31"/>
        <v>0.17512358854893106</v>
      </c>
      <c r="S26" s="25">
        <f t="shared" ca="1" si="32"/>
        <v>2.6226110055650564</v>
      </c>
      <c r="T26" s="26">
        <f t="shared" ca="1" si="33"/>
        <v>9.3950547441238694E-2</v>
      </c>
    </row>
    <row r="27" spans="1:34" x14ac:dyDescent="0.25">
      <c r="A27" s="2"/>
      <c r="E27" s="24">
        <f t="shared" si="34"/>
        <v>0.70084364454443193</v>
      </c>
      <c r="F27" s="25">
        <f t="shared" ca="1" si="21"/>
        <v>3.2537313432835821E-2</v>
      </c>
      <c r="G27" s="25">
        <f t="shared" si="22"/>
        <v>1.2433680517327099</v>
      </c>
      <c r="H27" s="25">
        <f t="shared" si="23"/>
        <v>0.81374599381605606</v>
      </c>
      <c r="I27" s="25">
        <f t="shared" si="24"/>
        <v>2.8273112151831743</v>
      </c>
      <c r="J27" s="25">
        <f t="shared" si="25"/>
        <v>0.72326632298450866</v>
      </c>
      <c r="K27" s="25">
        <f t="shared" ca="1" si="26"/>
        <v>2.0042525168122407</v>
      </c>
      <c r="L27" s="25">
        <f t="shared" ca="1" si="27"/>
        <v>0.63385329487181696</v>
      </c>
      <c r="M27" s="25">
        <f t="shared" ca="1" si="35"/>
        <v>0.11142549970296027</v>
      </c>
      <c r="N27" s="25">
        <f t="shared" ca="1" si="28"/>
        <v>8.9078097860696176E-2</v>
      </c>
      <c r="O27" s="25">
        <f t="shared" ca="1" si="36"/>
        <v>2.2141104063559705</v>
      </c>
      <c r="P27" s="25">
        <f t="shared" ca="1" si="29"/>
        <v>0.68828042575559967</v>
      </c>
      <c r="Q27" s="25">
        <f t="shared" ca="1" si="30"/>
        <v>0.98396275032771896</v>
      </c>
      <c r="R27" s="25">
        <f t="shared" ca="1" si="31"/>
        <v>0.26565828501361977</v>
      </c>
      <c r="S27" s="25">
        <f t="shared" ca="1" si="32"/>
        <v>2.9984808197658399</v>
      </c>
      <c r="T27" s="26">
        <f t="shared" ca="1" si="33"/>
        <v>7.9207503906551888E-2</v>
      </c>
    </row>
    <row r="28" spans="1:34" x14ac:dyDescent="0.25">
      <c r="A28" s="2"/>
      <c r="E28" s="24">
        <f t="shared" si="34"/>
        <v>0.80056242969628788</v>
      </c>
      <c r="F28" s="25">
        <f t="shared" ca="1" si="21"/>
        <v>3.2537313432835821E-2</v>
      </c>
      <c r="G28" s="25">
        <f t="shared" si="22"/>
        <v>0.82891203448847361</v>
      </c>
      <c r="H28" s="25">
        <f t="shared" si="23"/>
        <v>0.71241883378327453</v>
      </c>
      <c r="I28" s="25">
        <f t="shared" si="24"/>
        <v>3.229592154475347</v>
      </c>
      <c r="J28" s="25">
        <f t="shared" si="25"/>
        <v>0.65009142461110692</v>
      </c>
      <c r="K28" s="25">
        <f t="shared" ca="1" si="26"/>
        <v>2.0607819326093719</v>
      </c>
      <c r="L28" s="25">
        <f t="shared" ca="1" si="27"/>
        <v>0.83653344332020041</v>
      </c>
      <c r="M28" s="25">
        <f t="shared" ca="1" si="35"/>
        <v>9.0145847244283109E-2</v>
      </c>
      <c r="N28" s="25">
        <f t="shared" ca="1" si="28"/>
        <v>9.912832278019737E-2</v>
      </c>
      <c r="O28" s="25">
        <f t="shared" ca="1" si="36"/>
        <v>2.3005105941336637</v>
      </c>
      <c r="P28" s="25">
        <f t="shared" ca="1" si="29"/>
        <v>0.91337668655054105</v>
      </c>
      <c r="Q28" s="25">
        <f t="shared" ca="1" si="30"/>
        <v>1.049622875304457</v>
      </c>
      <c r="R28" s="25">
        <f t="shared" ca="1" si="31"/>
        <v>0.36705162905877853</v>
      </c>
      <c r="S28" s="25">
        <f t="shared" ca="1" si="32"/>
        <v>3.3804410147092345</v>
      </c>
      <c r="T28" s="26">
        <f t="shared" ca="1" si="33"/>
        <v>6.3149575243532416E-2</v>
      </c>
    </row>
    <row r="29" spans="1:34" x14ac:dyDescent="0.25">
      <c r="A29" s="2"/>
      <c r="E29" s="24">
        <f t="shared" si="34"/>
        <v>0.90028121484814383</v>
      </c>
      <c r="F29" s="25">
        <f t="shared" ca="1" si="21"/>
        <v>3.2537313432835821E-2</v>
      </c>
      <c r="G29" s="25">
        <f t="shared" si="22"/>
        <v>0.41445601724423725</v>
      </c>
      <c r="H29" s="25">
        <f t="shared" si="23"/>
        <v>0.54051944987839828</v>
      </c>
      <c r="I29" s="25">
        <f t="shared" si="24"/>
        <v>3.6318730937675201</v>
      </c>
      <c r="J29" s="25">
        <f t="shared" si="25"/>
        <v>0.50242922280734081</v>
      </c>
      <c r="K29" s="25">
        <f t="shared" ca="1" si="26"/>
        <v>1.7931010704265291</v>
      </c>
      <c r="L29" s="25">
        <f t="shared" ca="1" si="27"/>
        <v>1.0286857089102637</v>
      </c>
      <c r="M29" s="25">
        <f t="shared" ca="1" si="35"/>
        <v>6.3179620038898002E-2</v>
      </c>
      <c r="N29" s="25">
        <f t="shared" ca="1" si="28"/>
        <v>0.1067730374453571</v>
      </c>
      <c r="O29" s="25">
        <f t="shared" ca="1" si="36"/>
        <v>2.0231190908220422</v>
      </c>
      <c r="P29" s="25">
        <f t="shared" ca="1" si="29"/>
        <v>1.1289502363656834</v>
      </c>
      <c r="Q29" s="25">
        <f t="shared" ca="1" si="30"/>
        <v>0.94027527841698444</v>
      </c>
      <c r="R29" s="25">
        <f t="shared" ca="1" si="31"/>
        <v>0.46626674229129017</v>
      </c>
      <c r="S29" s="25">
        <f t="shared" ca="1" si="32"/>
        <v>3.7666375712057079</v>
      </c>
      <c r="T29" s="26">
        <f t="shared" ca="1" si="33"/>
        <v>4.3801644502652344E-2</v>
      </c>
    </row>
    <row r="30" spans="1:34" ht="15.75" thickBot="1" x14ac:dyDescent="0.3">
      <c r="A30" s="2"/>
      <c r="E30" s="24">
        <f t="shared" si="34"/>
        <v>0.99999999999999989</v>
      </c>
      <c r="F30" s="27">
        <f t="shared" ca="1" si="21"/>
        <v>3.2537313432835821E-2</v>
      </c>
      <c r="G30" s="27">
        <v>0</v>
      </c>
      <c r="H30" s="27">
        <v>0</v>
      </c>
      <c r="I30" s="27">
        <f t="shared" si="24"/>
        <v>4.0341540330596928</v>
      </c>
      <c r="J30" s="27">
        <f t="shared" si="25"/>
        <v>0</v>
      </c>
      <c r="K30" s="27">
        <f t="shared" ca="1" si="26"/>
        <v>0</v>
      </c>
      <c r="L30" s="28">
        <f t="shared" ca="1" si="27"/>
        <v>1.1180886391089768</v>
      </c>
      <c r="M30" s="27">
        <f t="shared" ca="1" si="35"/>
        <v>0</v>
      </c>
      <c r="N30" s="28">
        <f t="shared" ca="1" si="28"/>
        <v>0.10992313492367449</v>
      </c>
      <c r="O30" s="27">
        <f t="shared" ca="1" si="36"/>
        <v>0</v>
      </c>
      <c r="P30" s="28">
        <f t="shared" ca="1" si="29"/>
        <v>1.2298217253428341</v>
      </c>
      <c r="Q30" s="27">
        <f t="shared" ca="1" si="30"/>
        <v>0</v>
      </c>
      <c r="R30" s="28">
        <f t="shared" ca="1" si="31"/>
        <v>0.51314829652732263</v>
      </c>
      <c r="S30" s="27">
        <f t="shared" ca="1" si="32"/>
        <v>4.1558887153802946</v>
      </c>
      <c r="T30" s="29">
        <f t="shared" ca="1" si="33"/>
        <v>0</v>
      </c>
    </row>
  </sheetData>
  <mergeCells count="9">
    <mergeCell ref="E1:J1"/>
    <mergeCell ref="B2:C2"/>
    <mergeCell ref="E2:J2"/>
    <mergeCell ref="L2:M2"/>
    <mergeCell ref="O2:T2"/>
    <mergeCell ref="B7:C7"/>
    <mergeCell ref="B13:C13"/>
    <mergeCell ref="B18:C18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opLeftCell="B1" zoomScaleNormal="100" workbookViewId="0">
      <pane ySplit="7" topLeftCell="A8" activePane="bottomLeft" state="frozen"/>
      <selection pane="bottomLeft" activeCell="L8" sqref="L8"/>
    </sheetView>
  </sheetViews>
  <sheetFormatPr defaultRowHeight="15" x14ac:dyDescent="0.25"/>
  <cols>
    <col min="19" max="19" width="12" bestFit="1" customWidth="1"/>
  </cols>
  <sheetData>
    <row r="1" spans="1:21" x14ac:dyDescent="0.25">
      <c r="A1" t="s">
        <v>133</v>
      </c>
      <c r="H1" t="s">
        <v>25</v>
      </c>
      <c r="I1">
        <v>100000</v>
      </c>
    </row>
    <row r="2" spans="1:21" x14ac:dyDescent="0.25">
      <c r="A2" t="s">
        <v>132</v>
      </c>
      <c r="H2" t="s">
        <v>57</v>
      </c>
      <c r="I2" t="s">
        <v>58</v>
      </c>
      <c r="J2" t="s">
        <v>56</v>
      </c>
      <c r="K2" t="s">
        <v>55</v>
      </c>
      <c r="L2" t="s">
        <v>54</v>
      </c>
      <c r="M2" t="s">
        <v>53</v>
      </c>
      <c r="N2" t="s">
        <v>51</v>
      </c>
      <c r="O2" t="s">
        <v>52</v>
      </c>
    </row>
    <row r="3" spans="1:21" x14ac:dyDescent="0.25">
      <c r="A3" t="s">
        <v>131</v>
      </c>
      <c r="H3">
        <f>I4</f>
        <v>0.35383634654818863</v>
      </c>
      <c r="I3">
        <f>H4</f>
        <v>6.5102159111766529</v>
      </c>
      <c r="J3">
        <f>C17</f>
        <v>-0.43669999999999998</v>
      </c>
      <c r="K3">
        <f>C72</f>
        <v>1.1473</v>
      </c>
      <c r="L3">
        <f>SMALL(B9:B98,1)</f>
        <v>1.482E-2</v>
      </c>
      <c r="M3">
        <f>N6/(O6^2)</f>
        <v>2.3392359286663146E-2</v>
      </c>
      <c r="N3">
        <f>L6/(M6^2)</f>
        <v>7.8428499082764364E-2</v>
      </c>
      <c r="O3">
        <f>VLOOKUP(L3,B9:C98,2,FALSE)</f>
        <v>0.27160000000000001</v>
      </c>
    </row>
    <row r="4" spans="1:21" x14ac:dyDescent="0.25">
      <c r="A4" t="s">
        <v>130</v>
      </c>
      <c r="H4">
        <f t="array" ref="H4:I4">LINEST($C$17:$C$72,$I$17:$I$72)</f>
        <v>6.5102159111766529</v>
      </c>
      <c r="I4">
        <v>0.35383634654818863</v>
      </c>
    </row>
    <row r="5" spans="1:21" x14ac:dyDescent="0.25">
      <c r="A5" t="s">
        <v>129</v>
      </c>
      <c r="L5" t="s">
        <v>128</v>
      </c>
      <c r="M5" t="s">
        <v>127</v>
      </c>
      <c r="N5" t="s">
        <v>126</v>
      </c>
      <c r="O5" t="s">
        <v>125</v>
      </c>
    </row>
    <row r="6" spans="1:21" x14ac:dyDescent="0.25">
      <c r="A6" t="s">
        <v>124</v>
      </c>
      <c r="L6">
        <f>0.03475-L3</f>
        <v>1.9930000000000003E-2</v>
      </c>
      <c r="M6">
        <f>-0.2325-O3</f>
        <v>-0.50409999999999999</v>
      </c>
      <c r="N6">
        <f>0.02194-L3</f>
        <v>7.1200000000000013E-3</v>
      </c>
      <c r="O6">
        <f>0.8233-O3</f>
        <v>0.55170000000000008</v>
      </c>
    </row>
    <row r="7" spans="1:21" x14ac:dyDescent="0.25">
      <c r="A7" t="s">
        <v>67</v>
      </c>
      <c r="B7" t="s">
        <v>21</v>
      </c>
      <c r="C7" t="s">
        <v>20</v>
      </c>
      <c r="D7" t="s">
        <v>66</v>
      </c>
      <c r="E7" t="s">
        <v>65</v>
      </c>
      <c r="F7" t="s">
        <v>64</v>
      </c>
      <c r="G7" t="s">
        <v>63</v>
      </c>
      <c r="I7" t="s">
        <v>90</v>
      </c>
      <c r="J7" t="s">
        <v>62</v>
      </c>
      <c r="R7" t="s">
        <v>94</v>
      </c>
      <c r="S7" t="s">
        <v>95</v>
      </c>
      <c r="T7" t="s">
        <v>96</v>
      </c>
      <c r="U7" t="s">
        <v>97</v>
      </c>
    </row>
    <row r="8" spans="1:21" x14ac:dyDescent="0.25">
      <c r="A8" t="s">
        <v>61</v>
      </c>
      <c r="B8" t="s">
        <v>60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J8">
        <f>MAX((J9:J98))</f>
        <v>58.656716417910452</v>
      </c>
      <c r="R8">
        <f t="shared" ref="R8:R18" si="0">$L$3+$M$3*(S8-$O$3)^2</f>
        <v>1.482E-2</v>
      </c>
      <c r="S8">
        <f>O3</f>
        <v>0.27160000000000001</v>
      </c>
      <c r="T8">
        <f t="shared" ref="T8:T18" si="1">$L$3+$N$3*(U8-$O$3)^2</f>
        <v>1.482E-2</v>
      </c>
      <c r="U8">
        <f>O3</f>
        <v>0.27160000000000001</v>
      </c>
    </row>
    <row r="9" spans="1:21" x14ac:dyDescent="0.25">
      <c r="A9">
        <v>-8.25</v>
      </c>
      <c r="B9">
        <v>9.2999999999999999E-2</v>
      </c>
      <c r="C9">
        <v>-0.34110000000000001</v>
      </c>
      <c r="D9">
        <v>8.8340000000000002E-2</v>
      </c>
      <c r="E9">
        <v>-3.6299999999999999E-2</v>
      </c>
      <c r="F9">
        <v>1</v>
      </c>
      <c r="G9">
        <v>0.10100000000000001</v>
      </c>
      <c r="I9">
        <f t="shared" ref="I9:I40" si="2">A9*PI()/180</f>
        <v>-0.14398966328953219</v>
      </c>
      <c r="J9">
        <f t="shared" ref="J9:J40" si="3">C9/B9</f>
        <v>-3.6677419354838712</v>
      </c>
      <c r="R9">
        <f t="shared" si="0"/>
        <v>1.5053923592866631E-2</v>
      </c>
      <c r="S9">
        <f t="shared" ref="S9:S18" si="4">S8+0.1</f>
        <v>0.37160000000000004</v>
      </c>
      <c r="T9">
        <f t="shared" si="1"/>
        <v>1.5604284990827643E-2</v>
      </c>
      <c r="U9">
        <f t="shared" ref="U9:U18" si="5">U8-0.1</f>
        <v>0.1716</v>
      </c>
    </row>
    <row r="10" spans="1:21" x14ac:dyDescent="0.25">
      <c r="A10">
        <v>-8</v>
      </c>
      <c r="B10">
        <v>9.1189999999999993E-2</v>
      </c>
      <c r="C10">
        <v>-0.35859999999999997</v>
      </c>
      <c r="D10">
        <v>8.6699999999999999E-2</v>
      </c>
      <c r="E10">
        <v>-3.85E-2</v>
      </c>
      <c r="F10">
        <v>1</v>
      </c>
      <c r="G10">
        <v>0.10340000000000001</v>
      </c>
      <c r="I10">
        <f t="shared" si="2"/>
        <v>-0.13962634015954636</v>
      </c>
      <c r="J10">
        <f t="shared" si="3"/>
        <v>-3.9324487334137515</v>
      </c>
      <c r="R10">
        <f t="shared" si="0"/>
        <v>1.5755694371466525E-2</v>
      </c>
      <c r="S10">
        <f t="shared" si="4"/>
        <v>0.47160000000000002</v>
      </c>
      <c r="T10">
        <f t="shared" si="1"/>
        <v>1.7957139963310574E-2</v>
      </c>
      <c r="U10">
        <f t="shared" si="5"/>
        <v>7.1599999999999997E-2</v>
      </c>
    </row>
    <row r="11" spans="1:21" x14ac:dyDescent="0.25">
      <c r="A11">
        <v>-7.75</v>
      </c>
      <c r="B11">
        <v>8.9499999999999996E-2</v>
      </c>
      <c r="C11">
        <v>-0.38090000000000002</v>
      </c>
      <c r="D11">
        <v>8.5190000000000002E-2</v>
      </c>
      <c r="E11">
        <v>-4.0399999999999998E-2</v>
      </c>
      <c r="F11">
        <v>1</v>
      </c>
      <c r="G11">
        <v>0.104</v>
      </c>
      <c r="I11">
        <f t="shared" si="2"/>
        <v>-0.13526301702956053</v>
      </c>
      <c r="J11">
        <f t="shared" si="3"/>
        <v>-4.2558659217877102</v>
      </c>
      <c r="R11">
        <f t="shared" si="0"/>
        <v>1.6925312335799685E-2</v>
      </c>
      <c r="S11">
        <f t="shared" si="4"/>
        <v>0.5716</v>
      </c>
      <c r="T11">
        <f t="shared" si="1"/>
        <v>2.1878564917448794E-2</v>
      </c>
      <c r="U11">
        <f t="shared" si="5"/>
        <v>-2.8400000000000009E-2</v>
      </c>
    </row>
    <row r="12" spans="1:21" x14ac:dyDescent="0.25">
      <c r="A12">
        <v>-7.5</v>
      </c>
      <c r="B12">
        <v>8.5250000000000006E-2</v>
      </c>
      <c r="C12">
        <v>-0.36580000000000001</v>
      </c>
      <c r="D12">
        <v>8.0949999999999994E-2</v>
      </c>
      <c r="E12">
        <v>-3.6400000000000002E-2</v>
      </c>
      <c r="F12">
        <v>1</v>
      </c>
      <c r="G12">
        <v>0.10730000000000001</v>
      </c>
      <c r="I12">
        <f t="shared" si="2"/>
        <v>-0.1308996938995747</v>
      </c>
      <c r="J12">
        <f t="shared" si="3"/>
        <v>-4.290909090909091</v>
      </c>
      <c r="R12">
        <f t="shared" si="0"/>
        <v>1.8562777485866103E-2</v>
      </c>
      <c r="S12">
        <f t="shared" si="4"/>
        <v>0.67159999999999997</v>
      </c>
      <c r="T12">
        <f t="shared" si="1"/>
        <v>2.73685598532423E-2</v>
      </c>
      <c r="U12">
        <f t="shared" si="5"/>
        <v>-0.12840000000000001</v>
      </c>
    </row>
    <row r="13" spans="1:21" x14ac:dyDescent="0.25">
      <c r="A13">
        <v>-7.25</v>
      </c>
      <c r="B13">
        <v>8.3030000000000007E-2</v>
      </c>
      <c r="C13">
        <v>-0.36270000000000002</v>
      </c>
      <c r="D13">
        <v>7.8799999999999995E-2</v>
      </c>
      <c r="E13">
        <v>-3.4099999999999998E-2</v>
      </c>
      <c r="F13">
        <v>1</v>
      </c>
      <c r="G13">
        <v>0.11119999999999999</v>
      </c>
      <c r="I13">
        <f t="shared" si="2"/>
        <v>-0.1265363707695889</v>
      </c>
      <c r="J13">
        <f t="shared" si="3"/>
        <v>-4.3683006142358183</v>
      </c>
      <c r="R13">
        <f t="shared" si="0"/>
        <v>2.0668089821665785E-2</v>
      </c>
      <c r="S13">
        <f t="shared" si="4"/>
        <v>0.77159999999999995</v>
      </c>
      <c r="T13">
        <f t="shared" si="1"/>
        <v>3.4427124770691091E-2</v>
      </c>
      <c r="U13">
        <f t="shared" si="5"/>
        <v>-0.22840000000000002</v>
      </c>
    </row>
    <row r="14" spans="1:21" x14ac:dyDescent="0.25">
      <c r="A14">
        <v>-7</v>
      </c>
      <c r="B14">
        <v>8.1220000000000001E-2</v>
      </c>
      <c r="C14">
        <v>-0.37680000000000002</v>
      </c>
      <c r="D14">
        <v>7.7130000000000004E-2</v>
      </c>
      <c r="E14">
        <v>-3.3099999999999997E-2</v>
      </c>
      <c r="F14">
        <v>1</v>
      </c>
      <c r="G14">
        <v>0.11459999999999999</v>
      </c>
      <c r="I14">
        <f t="shared" si="2"/>
        <v>-0.12217304763960307</v>
      </c>
      <c r="J14">
        <f t="shared" si="3"/>
        <v>-4.6392514159074123</v>
      </c>
      <c r="R14">
        <f t="shared" si="0"/>
        <v>2.3241249343198728E-2</v>
      </c>
      <c r="S14">
        <f t="shared" si="4"/>
        <v>0.87159999999999993</v>
      </c>
      <c r="T14">
        <f t="shared" si="1"/>
        <v>4.3054259669795175E-2</v>
      </c>
      <c r="U14">
        <f t="shared" si="5"/>
        <v>-0.32840000000000003</v>
      </c>
    </row>
    <row r="15" spans="1:21" x14ac:dyDescent="0.25">
      <c r="A15">
        <v>-6.75</v>
      </c>
      <c r="B15">
        <v>7.0760000000000003E-2</v>
      </c>
      <c r="C15">
        <v>-0.36459999999999998</v>
      </c>
      <c r="D15">
        <v>6.7220000000000002E-2</v>
      </c>
      <c r="E15">
        <v>-3.6200000000000003E-2</v>
      </c>
      <c r="F15">
        <v>0.98939999999999995</v>
      </c>
      <c r="G15">
        <v>0.1197</v>
      </c>
      <c r="I15">
        <f t="shared" si="2"/>
        <v>-0.11780972450961724</v>
      </c>
      <c r="J15">
        <f t="shared" si="3"/>
        <v>-5.1526286037309212</v>
      </c>
      <c r="R15">
        <f t="shared" si="0"/>
        <v>2.6282256050464942E-2</v>
      </c>
      <c r="S15">
        <f t="shared" si="4"/>
        <v>0.97159999999999991</v>
      </c>
      <c r="T15">
        <f t="shared" si="1"/>
        <v>5.3249964550554536E-2</v>
      </c>
      <c r="U15">
        <f t="shared" si="5"/>
        <v>-0.4284</v>
      </c>
    </row>
    <row r="16" spans="1:21" x14ac:dyDescent="0.25">
      <c r="A16">
        <v>-6.5</v>
      </c>
      <c r="B16">
        <v>6.6769999999999996E-2</v>
      </c>
      <c r="C16">
        <v>-0.33069999999999999</v>
      </c>
      <c r="D16">
        <v>6.3229999999999995E-2</v>
      </c>
      <c r="E16">
        <v>-3.2300000000000002E-2</v>
      </c>
      <c r="F16">
        <v>0.98660000000000003</v>
      </c>
      <c r="G16">
        <v>0.12540000000000001</v>
      </c>
      <c r="I16">
        <f t="shared" si="2"/>
        <v>-0.11344640137963143</v>
      </c>
      <c r="J16">
        <f t="shared" si="3"/>
        <v>-4.9528231241575558</v>
      </c>
      <c r="R16">
        <f t="shared" si="0"/>
        <v>2.9791109943464407E-2</v>
      </c>
      <c r="S16">
        <f t="shared" si="4"/>
        <v>1.0715999999999999</v>
      </c>
      <c r="T16">
        <f t="shared" si="1"/>
        <v>6.5014239412969202E-2</v>
      </c>
      <c r="U16">
        <f t="shared" si="5"/>
        <v>-0.52839999999999998</v>
      </c>
    </row>
    <row r="17" spans="1:21" x14ac:dyDescent="0.25">
      <c r="A17">
        <v>-6.25</v>
      </c>
      <c r="B17">
        <v>7.5359999999999996E-2</v>
      </c>
      <c r="C17">
        <v>-0.43669999999999998</v>
      </c>
      <c r="D17">
        <v>7.1480000000000002E-2</v>
      </c>
      <c r="E17">
        <v>-3.5900000000000001E-2</v>
      </c>
      <c r="F17">
        <v>0.99690000000000001</v>
      </c>
      <c r="G17">
        <v>0.1198</v>
      </c>
      <c r="I17">
        <f t="shared" si="2"/>
        <v>-0.1090830782496456</v>
      </c>
      <c r="J17">
        <f t="shared" si="3"/>
        <v>-5.7948513800424628</v>
      </c>
      <c r="R17">
        <f t="shared" si="0"/>
        <v>3.3767811022197142E-2</v>
      </c>
      <c r="S17">
        <f t="shared" si="4"/>
        <v>1.1716</v>
      </c>
      <c r="T17">
        <f t="shared" si="1"/>
        <v>7.8347084257039123E-2</v>
      </c>
      <c r="U17">
        <f t="shared" si="5"/>
        <v>-0.62839999999999996</v>
      </c>
    </row>
    <row r="18" spans="1:21" x14ac:dyDescent="0.25">
      <c r="A18">
        <v>-6</v>
      </c>
      <c r="B18">
        <v>7.2309999999999999E-2</v>
      </c>
      <c r="C18">
        <v>-0.40870000000000001</v>
      </c>
      <c r="D18">
        <v>6.8500000000000005E-2</v>
      </c>
      <c r="E18">
        <v>-3.3700000000000001E-2</v>
      </c>
      <c r="F18">
        <v>0.99199999999999999</v>
      </c>
      <c r="G18">
        <v>0.12470000000000001</v>
      </c>
      <c r="I18">
        <f t="shared" si="2"/>
        <v>-0.10471975511965977</v>
      </c>
      <c r="J18">
        <f t="shared" si="3"/>
        <v>-5.6520536578619831</v>
      </c>
      <c r="R18">
        <f t="shared" si="0"/>
        <v>3.8212359286663146E-2</v>
      </c>
      <c r="S18">
        <f t="shared" si="4"/>
        <v>1.2716000000000001</v>
      </c>
      <c r="T18">
        <f t="shared" si="1"/>
        <v>9.3248499082764363E-2</v>
      </c>
      <c r="U18">
        <f t="shared" si="5"/>
        <v>-0.72839999999999994</v>
      </c>
    </row>
    <row r="19" spans="1:21" x14ac:dyDescent="0.25">
      <c r="A19">
        <v>-5.75</v>
      </c>
      <c r="B19">
        <v>6.6019999999999995E-2</v>
      </c>
      <c r="C19">
        <v>-0.3765</v>
      </c>
      <c r="D19">
        <v>6.2050000000000001E-2</v>
      </c>
      <c r="E19">
        <v>-4.5400000000000003E-2</v>
      </c>
      <c r="F19">
        <v>0.98150000000000004</v>
      </c>
      <c r="G19">
        <v>0.13619999999999999</v>
      </c>
      <c r="I19">
        <f t="shared" si="2"/>
        <v>-0.10035643198967394</v>
      </c>
      <c r="J19">
        <f t="shared" si="3"/>
        <v>-5.7028173280823999</v>
      </c>
    </row>
    <row r="20" spans="1:21" x14ac:dyDescent="0.25">
      <c r="A20">
        <v>-5.5</v>
      </c>
      <c r="B20">
        <v>6.0760000000000002E-2</v>
      </c>
      <c r="C20">
        <v>-0.3422</v>
      </c>
      <c r="D20">
        <v>5.6599999999999998E-2</v>
      </c>
      <c r="E20">
        <v>-5.4399999999999997E-2</v>
      </c>
      <c r="F20">
        <v>0.97250000000000003</v>
      </c>
      <c r="G20">
        <v>0.14979999999999999</v>
      </c>
      <c r="I20">
        <f t="shared" si="2"/>
        <v>-9.599310885968812E-2</v>
      </c>
      <c r="J20">
        <f t="shared" si="3"/>
        <v>-5.6319947333772218</v>
      </c>
    </row>
    <row r="21" spans="1:21" x14ac:dyDescent="0.25">
      <c r="A21">
        <v>-5.25</v>
      </c>
      <c r="B21">
        <v>5.6559999999999999E-2</v>
      </c>
      <c r="C21">
        <v>-0.31230000000000002</v>
      </c>
      <c r="D21">
        <v>5.2220000000000003E-2</v>
      </c>
      <c r="E21">
        <v>-6.0199999999999997E-2</v>
      </c>
      <c r="F21">
        <v>0.96189999999999998</v>
      </c>
      <c r="G21">
        <v>0.16400000000000001</v>
      </c>
      <c r="I21">
        <f t="shared" si="2"/>
        <v>-9.1629785729702304E-2</v>
      </c>
      <c r="J21">
        <f t="shared" si="3"/>
        <v>-5.5215700141442721</v>
      </c>
    </row>
    <row r="22" spans="1:21" x14ac:dyDescent="0.25">
      <c r="A22">
        <v>-5</v>
      </c>
      <c r="B22">
        <v>5.3069999999999999E-2</v>
      </c>
      <c r="C22">
        <v>-0.28139999999999998</v>
      </c>
      <c r="D22">
        <v>4.87E-2</v>
      </c>
      <c r="E22">
        <v>-6.2399999999999997E-2</v>
      </c>
      <c r="F22">
        <v>0.95420000000000005</v>
      </c>
      <c r="G22">
        <v>0.17269999999999999</v>
      </c>
      <c r="I22">
        <f t="shared" si="2"/>
        <v>-8.7266462599716474E-2</v>
      </c>
      <c r="J22">
        <f t="shared" si="3"/>
        <v>-5.3024307518371963</v>
      </c>
    </row>
    <row r="23" spans="1:21" x14ac:dyDescent="0.25">
      <c r="A23">
        <v>-4.75</v>
      </c>
      <c r="B23">
        <v>3.4750000000000003E-2</v>
      </c>
      <c r="C23">
        <v>-0.23250000000000001</v>
      </c>
      <c r="D23">
        <v>2.7830000000000001E-2</v>
      </c>
      <c r="E23">
        <v>-7.4300000000000005E-2</v>
      </c>
      <c r="F23">
        <v>0.94569999999999999</v>
      </c>
      <c r="G23">
        <v>6.3899999999999998E-2</v>
      </c>
      <c r="I23">
        <f t="shared" si="2"/>
        <v>-8.2903139469730644E-2</v>
      </c>
      <c r="J23">
        <f t="shared" si="3"/>
        <v>-6.6906474820143886</v>
      </c>
    </row>
    <row r="24" spans="1:21" x14ac:dyDescent="0.25">
      <c r="A24">
        <v>-4.5</v>
      </c>
      <c r="B24">
        <v>3.125E-2</v>
      </c>
      <c r="C24">
        <v>-0.20100000000000001</v>
      </c>
      <c r="D24">
        <v>2.401E-2</v>
      </c>
      <c r="E24">
        <v>-7.5800000000000006E-2</v>
      </c>
      <c r="F24">
        <v>0.93710000000000004</v>
      </c>
      <c r="G24">
        <v>6.1699999999999998E-2</v>
      </c>
      <c r="I24">
        <f t="shared" si="2"/>
        <v>-7.8539816339744828E-2</v>
      </c>
      <c r="J24">
        <f t="shared" si="3"/>
        <v>-6.4320000000000004</v>
      </c>
    </row>
    <row r="25" spans="1:21" x14ac:dyDescent="0.25">
      <c r="A25">
        <v>-4.25</v>
      </c>
      <c r="B25">
        <v>2.8139999999999998E-2</v>
      </c>
      <c r="C25">
        <v>-0.16009999999999999</v>
      </c>
      <c r="D25">
        <v>2.0299999999999999E-2</v>
      </c>
      <c r="E25">
        <v>-7.85E-2</v>
      </c>
      <c r="F25">
        <v>0.93130000000000002</v>
      </c>
      <c r="G25">
        <v>6.1400000000000003E-2</v>
      </c>
      <c r="I25">
        <f t="shared" si="2"/>
        <v>-7.4176493209759012E-2</v>
      </c>
      <c r="J25">
        <f t="shared" si="3"/>
        <v>-5.6894100923951667</v>
      </c>
    </row>
    <row r="26" spans="1:21" x14ac:dyDescent="0.25">
      <c r="A26">
        <v>-4</v>
      </c>
      <c r="B26">
        <v>2.622E-2</v>
      </c>
      <c r="C26">
        <v>-0.12570000000000001</v>
      </c>
      <c r="D26">
        <v>1.7829999999999999E-2</v>
      </c>
      <c r="E26">
        <v>-7.9600000000000004E-2</v>
      </c>
      <c r="F26">
        <v>0.92279999999999995</v>
      </c>
      <c r="G26">
        <v>6.4100000000000004E-2</v>
      </c>
      <c r="I26">
        <f t="shared" si="2"/>
        <v>-6.9813170079773182E-2</v>
      </c>
      <c r="J26">
        <f t="shared" si="3"/>
        <v>-4.7940503432494284</v>
      </c>
    </row>
    <row r="27" spans="1:21" x14ac:dyDescent="0.25">
      <c r="A27">
        <v>-3.75</v>
      </c>
      <c r="B27">
        <v>2.3810000000000001E-2</v>
      </c>
      <c r="C27">
        <v>-8.3799999999999999E-2</v>
      </c>
      <c r="D27">
        <v>1.525E-2</v>
      </c>
      <c r="E27">
        <v>-8.2199999999999995E-2</v>
      </c>
      <c r="F27">
        <v>0.91749999999999998</v>
      </c>
      <c r="G27">
        <v>6.7500000000000004E-2</v>
      </c>
      <c r="I27">
        <f t="shared" si="2"/>
        <v>-6.5449846949787352E-2</v>
      </c>
      <c r="J27">
        <f t="shared" si="3"/>
        <v>-3.5195296094078117</v>
      </c>
    </row>
    <row r="28" spans="1:21" x14ac:dyDescent="0.25">
      <c r="A28">
        <v>-3.5</v>
      </c>
      <c r="B28">
        <v>2.2329999999999999E-2</v>
      </c>
      <c r="C28">
        <v>-4.7600000000000003E-2</v>
      </c>
      <c r="D28">
        <v>1.359E-2</v>
      </c>
      <c r="E28">
        <v>-8.3500000000000005E-2</v>
      </c>
      <c r="F28">
        <v>0.91010000000000002</v>
      </c>
      <c r="G28">
        <v>7.2900000000000006E-2</v>
      </c>
      <c r="I28">
        <f t="shared" si="2"/>
        <v>-6.1086523819801536E-2</v>
      </c>
      <c r="J28">
        <f t="shared" si="3"/>
        <v>-2.1316614420062696</v>
      </c>
    </row>
    <row r="29" spans="1:21" x14ac:dyDescent="0.25">
      <c r="A29">
        <v>-3.25</v>
      </c>
      <c r="B29">
        <v>2.085E-2</v>
      </c>
      <c r="C29">
        <v>-9.7999999999999997E-3</v>
      </c>
      <c r="D29">
        <v>1.209E-2</v>
      </c>
      <c r="E29">
        <v>-8.5000000000000006E-2</v>
      </c>
      <c r="F29">
        <v>0.90349999999999997</v>
      </c>
      <c r="G29">
        <v>8.5900000000000004E-2</v>
      </c>
      <c r="I29">
        <f t="shared" si="2"/>
        <v>-5.6723200689815713E-2</v>
      </c>
      <c r="J29">
        <f t="shared" si="3"/>
        <v>-0.47002398081534769</v>
      </c>
    </row>
    <row r="30" spans="1:21" x14ac:dyDescent="0.25">
      <c r="A30">
        <v>-3</v>
      </c>
      <c r="B30">
        <v>1.9369999999999998E-2</v>
      </c>
      <c r="C30">
        <v>2.1700000000000001E-2</v>
      </c>
      <c r="D30">
        <v>1.082E-2</v>
      </c>
      <c r="E30">
        <v>-8.5500000000000007E-2</v>
      </c>
      <c r="F30">
        <v>0.89570000000000005</v>
      </c>
      <c r="G30">
        <v>0.12870000000000001</v>
      </c>
      <c r="I30">
        <f t="shared" si="2"/>
        <v>-5.2359877559829883E-2</v>
      </c>
      <c r="J30">
        <f t="shared" si="3"/>
        <v>1.1202891068662881</v>
      </c>
    </row>
    <row r="31" spans="1:21" x14ac:dyDescent="0.25">
      <c r="A31">
        <v>-2.75</v>
      </c>
      <c r="B31">
        <v>1.806E-2</v>
      </c>
      <c r="C31">
        <v>5.3499999999999999E-2</v>
      </c>
      <c r="D31">
        <v>1.013E-2</v>
      </c>
      <c r="E31">
        <v>-8.6499999999999994E-2</v>
      </c>
      <c r="F31">
        <v>0.88839999999999997</v>
      </c>
      <c r="G31">
        <v>0.25290000000000001</v>
      </c>
      <c r="I31">
        <f t="shared" si="2"/>
        <v>-4.799655442984406E-2</v>
      </c>
      <c r="J31">
        <f t="shared" si="3"/>
        <v>2.9623477297895904</v>
      </c>
    </row>
    <row r="32" spans="1:21" x14ac:dyDescent="0.25">
      <c r="A32">
        <v>-2.5</v>
      </c>
      <c r="B32">
        <v>1.703E-2</v>
      </c>
      <c r="C32">
        <v>7.8700000000000006E-2</v>
      </c>
      <c r="D32">
        <v>9.8099999999999993E-3</v>
      </c>
      <c r="E32">
        <v>-8.6099999999999996E-2</v>
      </c>
      <c r="F32">
        <v>0.87970000000000004</v>
      </c>
      <c r="G32">
        <v>0.40600000000000003</v>
      </c>
      <c r="I32">
        <f t="shared" si="2"/>
        <v>-4.3633231299858237E-2</v>
      </c>
      <c r="J32">
        <f t="shared" si="3"/>
        <v>4.6212566059894309</v>
      </c>
    </row>
    <row r="33" spans="1:10" x14ac:dyDescent="0.25">
      <c r="A33">
        <v>-2.25</v>
      </c>
      <c r="B33">
        <v>1.601E-2</v>
      </c>
      <c r="C33">
        <v>0.106</v>
      </c>
      <c r="D33">
        <v>9.5999999999999992E-3</v>
      </c>
      <c r="E33">
        <v>-8.5300000000000001E-2</v>
      </c>
      <c r="F33">
        <v>0.873</v>
      </c>
      <c r="G33">
        <v>0.61509999999999998</v>
      </c>
      <c r="I33">
        <f t="shared" si="2"/>
        <v>-3.9269908169872414E-2</v>
      </c>
      <c r="J33">
        <f t="shared" si="3"/>
        <v>6.6208619612742039</v>
      </c>
    </row>
    <row r="34" spans="1:10" x14ac:dyDescent="0.25">
      <c r="A34">
        <v>-2</v>
      </c>
      <c r="B34">
        <v>1.4970000000000001E-2</v>
      </c>
      <c r="C34">
        <v>0.18149999999999999</v>
      </c>
      <c r="D34">
        <v>9.1699999999999993E-3</v>
      </c>
      <c r="E34">
        <v>-9.1499999999999998E-2</v>
      </c>
      <c r="F34">
        <v>0.87190000000000001</v>
      </c>
      <c r="G34">
        <v>0.95389999999999997</v>
      </c>
      <c r="I34">
        <f t="shared" si="2"/>
        <v>-3.4906585039886591E-2</v>
      </c>
      <c r="J34">
        <f t="shared" si="3"/>
        <v>12.124248496993987</v>
      </c>
    </row>
    <row r="35" spans="1:10" x14ac:dyDescent="0.25">
      <c r="A35">
        <v>-1.75</v>
      </c>
      <c r="B35">
        <v>1.4829999999999999E-2</v>
      </c>
      <c r="C35">
        <v>0.24229999999999999</v>
      </c>
      <c r="D35">
        <v>8.6400000000000001E-3</v>
      </c>
      <c r="E35">
        <v>-9.8299999999999998E-2</v>
      </c>
      <c r="F35">
        <v>0.86480000000000001</v>
      </c>
      <c r="G35">
        <v>1</v>
      </c>
      <c r="I35">
        <f t="shared" si="2"/>
        <v>-3.0543261909900768E-2</v>
      </c>
      <c r="J35">
        <f t="shared" si="3"/>
        <v>16.338503034389749</v>
      </c>
    </row>
    <row r="36" spans="1:10" x14ac:dyDescent="0.25">
      <c r="A36">
        <v>-1.5</v>
      </c>
      <c r="B36">
        <v>1.482E-2</v>
      </c>
      <c r="C36">
        <v>0.27160000000000001</v>
      </c>
      <c r="D36">
        <v>8.3400000000000002E-3</v>
      </c>
      <c r="E36">
        <v>-9.8599999999999993E-2</v>
      </c>
      <c r="F36">
        <v>0.8569</v>
      </c>
      <c r="G36">
        <v>1</v>
      </c>
      <c r="I36">
        <f t="shared" si="2"/>
        <v>-2.6179938779914941E-2</v>
      </c>
      <c r="J36">
        <f t="shared" si="3"/>
        <v>18.326585695006749</v>
      </c>
    </row>
    <row r="37" spans="1:10" x14ac:dyDescent="0.25">
      <c r="A37">
        <v>-1.25</v>
      </c>
      <c r="B37">
        <v>1.506E-2</v>
      </c>
      <c r="C37">
        <v>0.29189999999999999</v>
      </c>
      <c r="D37">
        <v>8.3599999999999994E-3</v>
      </c>
      <c r="E37">
        <v>-9.7500000000000003E-2</v>
      </c>
      <c r="F37">
        <v>0.84609999999999996</v>
      </c>
      <c r="G37">
        <v>1</v>
      </c>
      <c r="I37">
        <f t="shared" si="2"/>
        <v>-2.1816615649929118E-2</v>
      </c>
      <c r="J37">
        <f t="shared" si="3"/>
        <v>19.382470119521912</v>
      </c>
    </row>
    <row r="38" spans="1:10" x14ac:dyDescent="0.25">
      <c r="A38">
        <v>-1</v>
      </c>
      <c r="B38">
        <v>1.521E-2</v>
      </c>
      <c r="C38">
        <v>0.31709999999999999</v>
      </c>
      <c r="D38">
        <v>8.3000000000000001E-3</v>
      </c>
      <c r="E38">
        <v>-9.7000000000000003E-2</v>
      </c>
      <c r="F38">
        <v>0.8377</v>
      </c>
      <c r="G38">
        <v>1</v>
      </c>
      <c r="I38">
        <f t="shared" si="2"/>
        <v>-1.7453292519943295E-2</v>
      </c>
      <c r="J38">
        <f t="shared" si="3"/>
        <v>20.848126232741617</v>
      </c>
    </row>
    <row r="39" spans="1:10" x14ac:dyDescent="0.25">
      <c r="A39">
        <v>-0.75</v>
      </c>
      <c r="B39">
        <v>1.537E-2</v>
      </c>
      <c r="C39">
        <v>0.34160000000000001</v>
      </c>
      <c r="D39">
        <v>8.2900000000000005E-3</v>
      </c>
      <c r="E39">
        <v>-9.6299999999999997E-2</v>
      </c>
      <c r="F39">
        <v>0.82909999999999995</v>
      </c>
      <c r="G39">
        <v>1</v>
      </c>
      <c r="I39">
        <f t="shared" si="2"/>
        <v>-1.3089969389957471E-2</v>
      </c>
      <c r="J39">
        <f t="shared" si="3"/>
        <v>22.225113858165258</v>
      </c>
    </row>
    <row r="40" spans="1:10" x14ac:dyDescent="0.25">
      <c r="A40">
        <v>-0.5</v>
      </c>
      <c r="B40">
        <v>1.5650000000000001E-2</v>
      </c>
      <c r="C40">
        <v>0.36359999999999998</v>
      </c>
      <c r="D40">
        <v>8.4200000000000004E-3</v>
      </c>
      <c r="E40">
        <v>-9.5399999999999999E-2</v>
      </c>
      <c r="F40">
        <v>0.82010000000000005</v>
      </c>
      <c r="G40">
        <v>1</v>
      </c>
      <c r="I40">
        <f t="shared" si="2"/>
        <v>-8.7266462599716477E-3</v>
      </c>
      <c r="J40">
        <f t="shared" si="3"/>
        <v>23.233226837060702</v>
      </c>
    </row>
    <row r="41" spans="1:10" x14ac:dyDescent="0.25">
      <c r="A41">
        <v>-0.25</v>
      </c>
      <c r="B41">
        <v>1.5779999999999999E-2</v>
      </c>
      <c r="C41">
        <v>0.39050000000000001</v>
      </c>
      <c r="D41">
        <v>8.3800000000000003E-3</v>
      </c>
      <c r="E41">
        <v>-9.5000000000000001E-2</v>
      </c>
      <c r="F41">
        <v>0.81299999999999994</v>
      </c>
      <c r="G41">
        <v>1</v>
      </c>
      <c r="I41">
        <f t="shared" ref="I41:I72" si="6">A41*PI()/180</f>
        <v>-4.3633231299858239E-3</v>
      </c>
      <c r="J41">
        <f t="shared" ref="J41:J72" si="7">C41/B41</f>
        <v>24.746514575411915</v>
      </c>
    </row>
    <row r="42" spans="1:10" x14ac:dyDescent="0.25">
      <c r="A42">
        <v>0</v>
      </c>
      <c r="B42">
        <v>1.6140000000000002E-2</v>
      </c>
      <c r="C42">
        <v>0.41139999999999999</v>
      </c>
      <c r="D42">
        <v>8.6400000000000001E-3</v>
      </c>
      <c r="E42">
        <v>-9.3899999999999997E-2</v>
      </c>
      <c r="F42">
        <v>0.80369999999999997</v>
      </c>
      <c r="G42">
        <v>1</v>
      </c>
      <c r="I42">
        <f t="shared" si="6"/>
        <v>0</v>
      </c>
      <c r="J42">
        <f t="shared" si="7"/>
        <v>25.489467162329614</v>
      </c>
    </row>
    <row r="43" spans="1:10" x14ac:dyDescent="0.25">
      <c r="A43">
        <v>0.25</v>
      </c>
      <c r="B43">
        <v>1.626E-2</v>
      </c>
      <c r="C43">
        <v>0.43919999999999998</v>
      </c>
      <c r="D43">
        <v>8.6099999999999996E-3</v>
      </c>
      <c r="E43">
        <v>-9.3600000000000003E-2</v>
      </c>
      <c r="F43">
        <v>0.79749999999999999</v>
      </c>
      <c r="G43">
        <v>1</v>
      </c>
      <c r="I43">
        <f t="shared" si="6"/>
        <v>4.3633231299858239E-3</v>
      </c>
      <c r="J43">
        <f t="shared" si="7"/>
        <v>27.011070110701105</v>
      </c>
    </row>
    <row r="44" spans="1:10" x14ac:dyDescent="0.25">
      <c r="A44">
        <v>0.5</v>
      </c>
      <c r="B44">
        <v>1.67E-2</v>
      </c>
      <c r="C44">
        <v>0.45939999999999998</v>
      </c>
      <c r="D44">
        <v>8.9800000000000001E-3</v>
      </c>
      <c r="E44">
        <v>-9.2499999999999999E-2</v>
      </c>
      <c r="F44">
        <v>0.78820000000000001</v>
      </c>
      <c r="G44">
        <v>1</v>
      </c>
      <c r="I44">
        <f t="shared" si="6"/>
        <v>8.7266462599716477E-3</v>
      </c>
      <c r="J44">
        <f t="shared" si="7"/>
        <v>27.508982035928142</v>
      </c>
    </row>
    <row r="45" spans="1:10" x14ac:dyDescent="0.25">
      <c r="A45">
        <v>0.75</v>
      </c>
      <c r="B45">
        <v>1.6820000000000002E-2</v>
      </c>
      <c r="C45">
        <v>0.48759999999999998</v>
      </c>
      <c r="D45">
        <v>8.9800000000000001E-3</v>
      </c>
      <c r="E45">
        <v>-9.2299999999999993E-2</v>
      </c>
      <c r="F45">
        <v>0.7823</v>
      </c>
      <c r="G45">
        <v>1</v>
      </c>
      <c r="I45">
        <f t="shared" si="6"/>
        <v>1.3089969389957471E-2</v>
      </c>
      <c r="J45">
        <f t="shared" si="7"/>
        <v>28.98929845422116</v>
      </c>
    </row>
    <row r="46" spans="1:10" x14ac:dyDescent="0.25">
      <c r="A46">
        <v>1</v>
      </c>
      <c r="B46">
        <v>1.7299999999999999E-2</v>
      </c>
      <c r="C46">
        <v>0.50760000000000005</v>
      </c>
      <c r="D46">
        <v>9.4299999999999991E-3</v>
      </c>
      <c r="E46">
        <v>-9.1200000000000003E-2</v>
      </c>
      <c r="F46">
        <v>0.77300000000000002</v>
      </c>
      <c r="G46">
        <v>1</v>
      </c>
      <c r="I46">
        <f t="shared" si="6"/>
        <v>1.7453292519943295E-2</v>
      </c>
      <c r="J46">
        <f t="shared" si="7"/>
        <v>29.341040462427749</v>
      </c>
    </row>
    <row r="47" spans="1:10" x14ac:dyDescent="0.25">
      <c r="A47">
        <v>1.25</v>
      </c>
      <c r="B47">
        <v>1.7440000000000001E-2</v>
      </c>
      <c r="C47">
        <v>0.53600000000000003</v>
      </c>
      <c r="D47">
        <v>9.4699999999999993E-3</v>
      </c>
      <c r="E47">
        <v>-9.0999999999999998E-2</v>
      </c>
      <c r="F47">
        <v>0.76749999999999996</v>
      </c>
      <c r="G47">
        <v>1</v>
      </c>
      <c r="I47">
        <f t="shared" si="6"/>
        <v>2.1816615649929118E-2</v>
      </c>
      <c r="J47">
        <f t="shared" si="7"/>
        <v>30.73394495412844</v>
      </c>
    </row>
    <row r="48" spans="1:10" x14ac:dyDescent="0.25">
      <c r="A48">
        <v>1.5</v>
      </c>
      <c r="B48">
        <v>1.7979999999999999E-2</v>
      </c>
      <c r="C48">
        <v>0.55589999999999995</v>
      </c>
      <c r="D48">
        <v>0.01</v>
      </c>
      <c r="E48">
        <v>-8.9899999999999994E-2</v>
      </c>
      <c r="F48">
        <v>0.75819999999999999</v>
      </c>
      <c r="G48">
        <v>1</v>
      </c>
      <c r="I48">
        <f t="shared" si="6"/>
        <v>2.6179938779914941E-2</v>
      </c>
      <c r="J48">
        <f t="shared" si="7"/>
        <v>30.917686318131256</v>
      </c>
    </row>
    <row r="49" spans="1:10" x14ac:dyDescent="0.25">
      <c r="A49">
        <v>1.75</v>
      </c>
      <c r="B49">
        <v>1.8120000000000001E-2</v>
      </c>
      <c r="C49">
        <v>0.58430000000000004</v>
      </c>
      <c r="D49">
        <v>1.0070000000000001E-2</v>
      </c>
      <c r="E49">
        <v>-8.9700000000000002E-2</v>
      </c>
      <c r="F49">
        <v>0.75280000000000002</v>
      </c>
      <c r="G49">
        <v>1</v>
      </c>
      <c r="I49">
        <f t="shared" si="6"/>
        <v>3.0543261909900768E-2</v>
      </c>
      <c r="J49">
        <f t="shared" si="7"/>
        <v>32.246136865342166</v>
      </c>
    </row>
    <row r="50" spans="1:10" x14ac:dyDescent="0.25">
      <c r="A50">
        <v>2</v>
      </c>
      <c r="B50">
        <v>1.8710000000000001E-2</v>
      </c>
      <c r="C50">
        <v>0.60409999999999997</v>
      </c>
      <c r="D50">
        <v>1.0670000000000001E-2</v>
      </c>
      <c r="E50">
        <v>-8.8700000000000001E-2</v>
      </c>
      <c r="F50">
        <v>0.74370000000000003</v>
      </c>
      <c r="G50">
        <v>1</v>
      </c>
      <c r="I50">
        <f t="shared" si="6"/>
        <v>3.4906585039886591E-2</v>
      </c>
      <c r="J50">
        <f t="shared" si="7"/>
        <v>32.287546766435057</v>
      </c>
    </row>
    <row r="51" spans="1:10" x14ac:dyDescent="0.25">
      <c r="A51">
        <v>2.25</v>
      </c>
      <c r="B51">
        <v>1.8849999999999999E-2</v>
      </c>
      <c r="C51">
        <v>0.63260000000000005</v>
      </c>
      <c r="D51">
        <v>1.076E-2</v>
      </c>
      <c r="E51">
        <v>-8.8400000000000006E-2</v>
      </c>
      <c r="F51">
        <v>0.73819999999999997</v>
      </c>
      <c r="G51">
        <v>1</v>
      </c>
      <c r="I51">
        <f t="shared" si="6"/>
        <v>3.9269908169872414E-2</v>
      </c>
      <c r="J51">
        <f t="shared" si="7"/>
        <v>33.559681697612739</v>
      </c>
    </row>
    <row r="52" spans="1:10" x14ac:dyDescent="0.25">
      <c r="A52">
        <v>2.5</v>
      </c>
      <c r="B52">
        <v>1.9480000000000001E-2</v>
      </c>
      <c r="C52">
        <v>0.6522</v>
      </c>
      <c r="D52">
        <v>1.1440000000000001E-2</v>
      </c>
      <c r="E52">
        <v>-8.7499999999999994E-2</v>
      </c>
      <c r="F52">
        <v>0.72909999999999997</v>
      </c>
      <c r="G52">
        <v>1</v>
      </c>
      <c r="I52">
        <f t="shared" si="6"/>
        <v>4.3633231299858237E-2</v>
      </c>
      <c r="J52">
        <f t="shared" si="7"/>
        <v>33.48049281314168</v>
      </c>
    </row>
    <row r="53" spans="1:10" x14ac:dyDescent="0.25">
      <c r="A53">
        <v>2.75</v>
      </c>
      <c r="B53">
        <v>1.9609999999999999E-2</v>
      </c>
      <c r="C53">
        <v>0.68100000000000005</v>
      </c>
      <c r="D53">
        <v>1.153E-2</v>
      </c>
      <c r="E53">
        <v>-8.72E-2</v>
      </c>
      <c r="F53">
        <v>0.72350000000000003</v>
      </c>
      <c r="G53">
        <v>1</v>
      </c>
      <c r="I53">
        <f t="shared" si="6"/>
        <v>4.799655442984406E-2</v>
      </c>
      <c r="J53">
        <f t="shared" si="7"/>
        <v>34.727180010198886</v>
      </c>
    </row>
    <row r="54" spans="1:10" x14ac:dyDescent="0.25">
      <c r="A54">
        <v>3</v>
      </c>
      <c r="B54">
        <v>2.027E-2</v>
      </c>
      <c r="C54">
        <v>0.70040000000000002</v>
      </c>
      <c r="D54">
        <v>1.2239999999999999E-2</v>
      </c>
      <c r="E54">
        <v>-8.6199999999999999E-2</v>
      </c>
      <c r="F54">
        <v>0.71419999999999995</v>
      </c>
      <c r="G54">
        <v>1</v>
      </c>
      <c r="I54">
        <f t="shared" si="6"/>
        <v>5.2359877559829883E-2</v>
      </c>
      <c r="J54">
        <f t="shared" si="7"/>
        <v>34.553527380365075</v>
      </c>
    </row>
    <row r="55" spans="1:10" x14ac:dyDescent="0.25">
      <c r="A55">
        <v>3.25</v>
      </c>
      <c r="B55">
        <v>2.036E-2</v>
      </c>
      <c r="C55">
        <v>0.72970000000000002</v>
      </c>
      <c r="D55">
        <v>1.231E-2</v>
      </c>
      <c r="E55">
        <v>-8.5999999999999993E-2</v>
      </c>
      <c r="F55">
        <v>0.70860000000000001</v>
      </c>
      <c r="G55">
        <v>1</v>
      </c>
      <c r="I55">
        <f t="shared" si="6"/>
        <v>5.6723200689815713E-2</v>
      </c>
      <c r="J55">
        <f t="shared" si="7"/>
        <v>35.83988212180747</v>
      </c>
    </row>
    <row r="56" spans="1:10" x14ac:dyDescent="0.25">
      <c r="A56">
        <v>3.5</v>
      </c>
      <c r="B56">
        <v>2.1010000000000001E-2</v>
      </c>
      <c r="C56">
        <v>0.74890000000000001</v>
      </c>
      <c r="D56">
        <v>1.306E-2</v>
      </c>
      <c r="E56">
        <v>-8.4900000000000003E-2</v>
      </c>
      <c r="F56">
        <v>0.69889999999999997</v>
      </c>
      <c r="G56">
        <v>1</v>
      </c>
      <c r="I56">
        <f t="shared" si="6"/>
        <v>6.1086523819801536E-2</v>
      </c>
      <c r="J56">
        <f t="shared" si="7"/>
        <v>35.644930985245118</v>
      </c>
    </row>
    <row r="57" spans="1:10" x14ac:dyDescent="0.25">
      <c r="A57">
        <v>3.75</v>
      </c>
      <c r="B57">
        <v>2.1010000000000001E-2</v>
      </c>
      <c r="C57">
        <v>0.77939999999999998</v>
      </c>
      <c r="D57">
        <v>1.3050000000000001E-2</v>
      </c>
      <c r="E57">
        <v>-8.4699999999999998E-2</v>
      </c>
      <c r="F57">
        <v>0.69330000000000003</v>
      </c>
      <c r="G57">
        <v>1</v>
      </c>
      <c r="I57">
        <f t="shared" si="6"/>
        <v>6.5449846949787352E-2</v>
      </c>
      <c r="J57">
        <f t="shared" si="7"/>
        <v>37.096620656830076</v>
      </c>
    </row>
    <row r="58" spans="1:10" x14ac:dyDescent="0.25">
      <c r="A58">
        <v>4</v>
      </c>
      <c r="B58">
        <v>2.1649999999999999E-2</v>
      </c>
      <c r="C58">
        <v>0.7984</v>
      </c>
      <c r="D58">
        <v>1.3780000000000001E-2</v>
      </c>
      <c r="E58">
        <v>-8.3500000000000005E-2</v>
      </c>
      <c r="F58">
        <v>0.68279999999999996</v>
      </c>
      <c r="G58">
        <v>1</v>
      </c>
      <c r="I58">
        <f t="shared" si="6"/>
        <v>6.9813170079773182E-2</v>
      </c>
      <c r="J58">
        <f t="shared" si="7"/>
        <v>36.877598152424945</v>
      </c>
    </row>
    <row r="59" spans="1:10" x14ac:dyDescent="0.25">
      <c r="A59">
        <v>4.25</v>
      </c>
      <c r="B59">
        <v>2.1940000000000001E-2</v>
      </c>
      <c r="C59">
        <v>0.82330000000000003</v>
      </c>
      <c r="D59">
        <v>1.413E-2</v>
      </c>
      <c r="E59">
        <v>-8.2799999999999999E-2</v>
      </c>
      <c r="F59">
        <v>0.67469999999999997</v>
      </c>
      <c r="G59">
        <v>1</v>
      </c>
      <c r="I59">
        <f t="shared" si="6"/>
        <v>7.4176493209759012E-2</v>
      </c>
      <c r="J59">
        <f t="shared" si="7"/>
        <v>37.525068368277118</v>
      </c>
    </row>
    <row r="60" spans="1:10" x14ac:dyDescent="0.25">
      <c r="A60">
        <v>4.5</v>
      </c>
      <c r="B60">
        <v>2.2079999999999999E-2</v>
      </c>
      <c r="C60">
        <v>0.84970000000000001</v>
      </c>
      <c r="D60">
        <v>1.4330000000000001E-2</v>
      </c>
      <c r="E60">
        <v>-8.2100000000000006E-2</v>
      </c>
      <c r="F60">
        <v>0.66610000000000003</v>
      </c>
      <c r="G60">
        <v>1</v>
      </c>
      <c r="I60">
        <f t="shared" si="6"/>
        <v>7.8539816339744828E-2</v>
      </c>
      <c r="J60">
        <f t="shared" si="7"/>
        <v>38.482789855072468</v>
      </c>
    </row>
    <row r="61" spans="1:10" x14ac:dyDescent="0.25">
      <c r="A61">
        <v>4.75</v>
      </c>
      <c r="B61">
        <v>2.248E-2</v>
      </c>
      <c r="C61">
        <v>0.87150000000000005</v>
      </c>
      <c r="D61">
        <v>1.4840000000000001E-2</v>
      </c>
      <c r="E61">
        <v>-8.1100000000000005E-2</v>
      </c>
      <c r="F61">
        <v>0.65580000000000005</v>
      </c>
      <c r="G61">
        <v>1</v>
      </c>
      <c r="I61">
        <f t="shared" si="6"/>
        <v>8.2903139469730644E-2</v>
      </c>
      <c r="J61">
        <f t="shared" si="7"/>
        <v>38.767793594306049</v>
      </c>
    </row>
    <row r="62" spans="1:10" x14ac:dyDescent="0.25">
      <c r="A62">
        <v>5</v>
      </c>
      <c r="B62">
        <v>2.23E-2</v>
      </c>
      <c r="C62">
        <v>0.9022</v>
      </c>
      <c r="D62">
        <v>1.4670000000000001E-2</v>
      </c>
      <c r="E62">
        <v>-8.0600000000000005E-2</v>
      </c>
      <c r="F62">
        <v>0.64810000000000001</v>
      </c>
      <c r="G62">
        <v>1</v>
      </c>
      <c r="I62">
        <f t="shared" si="6"/>
        <v>8.7266462599716474E-2</v>
      </c>
      <c r="J62">
        <f t="shared" si="7"/>
        <v>40.457399103139011</v>
      </c>
    </row>
    <row r="63" spans="1:10" x14ac:dyDescent="0.25">
      <c r="A63">
        <v>5.25</v>
      </c>
      <c r="B63">
        <v>2.2509999999999999E-2</v>
      </c>
      <c r="C63">
        <v>0.92510000000000003</v>
      </c>
      <c r="D63">
        <v>1.502E-2</v>
      </c>
      <c r="E63">
        <v>-7.9500000000000001E-2</v>
      </c>
      <c r="F63">
        <v>0.63680000000000003</v>
      </c>
      <c r="G63">
        <v>1</v>
      </c>
      <c r="I63">
        <f t="shared" si="6"/>
        <v>9.1629785729702304E-2</v>
      </c>
      <c r="J63">
        <f t="shared" si="7"/>
        <v>41.097290093291875</v>
      </c>
    </row>
    <row r="64" spans="1:10" x14ac:dyDescent="0.25">
      <c r="A64">
        <v>5.5</v>
      </c>
      <c r="B64">
        <v>2.2669999999999999E-2</v>
      </c>
      <c r="C64">
        <v>0.94850000000000001</v>
      </c>
      <c r="D64">
        <v>1.528E-2</v>
      </c>
      <c r="E64">
        <v>-7.8399999999999997E-2</v>
      </c>
      <c r="F64">
        <v>0.62509999999999999</v>
      </c>
      <c r="G64">
        <v>1</v>
      </c>
      <c r="I64">
        <f t="shared" si="6"/>
        <v>9.599310885968812E-2</v>
      </c>
      <c r="J64">
        <f t="shared" si="7"/>
        <v>41.839435377150423</v>
      </c>
    </row>
    <row r="65" spans="1:10" x14ac:dyDescent="0.25">
      <c r="A65">
        <v>5.75</v>
      </c>
      <c r="B65">
        <v>2.2599999999999999E-2</v>
      </c>
      <c r="C65">
        <v>0.97440000000000004</v>
      </c>
      <c r="D65">
        <v>1.5299999999999999E-2</v>
      </c>
      <c r="E65">
        <v>-7.7399999999999997E-2</v>
      </c>
      <c r="F65">
        <v>0.61360000000000003</v>
      </c>
      <c r="G65">
        <v>1</v>
      </c>
      <c r="I65">
        <f t="shared" si="6"/>
        <v>0.10035643198967394</v>
      </c>
      <c r="J65">
        <f t="shared" si="7"/>
        <v>43.115044247787615</v>
      </c>
    </row>
    <row r="66" spans="1:10" x14ac:dyDescent="0.25">
      <c r="A66">
        <v>6</v>
      </c>
      <c r="B66">
        <v>2.2339999999999999E-2</v>
      </c>
      <c r="C66">
        <v>1.0025999999999999</v>
      </c>
      <c r="D66">
        <v>1.5100000000000001E-2</v>
      </c>
      <c r="E66">
        <v>-7.6499999999999999E-2</v>
      </c>
      <c r="F66">
        <v>0.60209999999999997</v>
      </c>
      <c r="G66">
        <v>1</v>
      </c>
      <c r="I66">
        <f t="shared" si="6"/>
        <v>0.10471975511965977</v>
      </c>
      <c r="J66">
        <f t="shared" si="7"/>
        <v>44.879140555058193</v>
      </c>
    </row>
    <row r="67" spans="1:10" x14ac:dyDescent="0.25">
      <c r="A67">
        <v>6.25</v>
      </c>
      <c r="B67">
        <v>2.197E-2</v>
      </c>
      <c r="C67">
        <v>1.0313000000000001</v>
      </c>
      <c r="D67">
        <v>1.481E-2</v>
      </c>
      <c r="E67">
        <v>-7.5700000000000003E-2</v>
      </c>
      <c r="F67">
        <v>0.5897</v>
      </c>
      <c r="G67">
        <v>1</v>
      </c>
      <c r="I67">
        <f t="shared" si="6"/>
        <v>0.1090830782496456</v>
      </c>
      <c r="J67">
        <f t="shared" si="7"/>
        <v>46.941283568502506</v>
      </c>
    </row>
    <row r="68" spans="1:10" x14ac:dyDescent="0.25">
      <c r="A68">
        <v>6.5</v>
      </c>
      <c r="B68">
        <v>2.171E-2</v>
      </c>
      <c r="C68">
        <v>1.0570999999999999</v>
      </c>
      <c r="D68">
        <v>1.4659999999999999E-2</v>
      </c>
      <c r="E68">
        <v>-7.4499999999999997E-2</v>
      </c>
      <c r="F68">
        <v>0.57530000000000003</v>
      </c>
      <c r="G68">
        <v>1</v>
      </c>
      <c r="I68">
        <f t="shared" si="6"/>
        <v>0.11344640137963143</v>
      </c>
      <c r="J68">
        <f t="shared" si="7"/>
        <v>48.691847075080602</v>
      </c>
    </row>
    <row r="69" spans="1:10" x14ac:dyDescent="0.25">
      <c r="A69">
        <v>6.75</v>
      </c>
      <c r="B69">
        <v>2.155E-2</v>
      </c>
      <c r="C69">
        <v>1.0798000000000001</v>
      </c>
      <c r="D69">
        <v>1.464E-2</v>
      </c>
      <c r="E69">
        <v>-7.2999999999999995E-2</v>
      </c>
      <c r="F69">
        <v>0.55879999999999996</v>
      </c>
      <c r="G69">
        <v>1</v>
      </c>
      <c r="I69">
        <f t="shared" si="6"/>
        <v>0.11780972450961724</v>
      </c>
      <c r="J69">
        <f t="shared" si="7"/>
        <v>50.106728538283065</v>
      </c>
    </row>
    <row r="70" spans="1:10" x14ac:dyDescent="0.25">
      <c r="A70">
        <v>7</v>
      </c>
      <c r="B70">
        <v>2.1299999999999999E-2</v>
      </c>
      <c r="C70">
        <v>1.1024</v>
      </c>
      <c r="D70">
        <v>1.455E-2</v>
      </c>
      <c r="E70">
        <v>-7.1300000000000002E-2</v>
      </c>
      <c r="F70">
        <v>0.5403</v>
      </c>
      <c r="G70">
        <v>1</v>
      </c>
      <c r="I70">
        <f t="shared" si="6"/>
        <v>0.12217304763960307</v>
      </c>
      <c r="J70">
        <f t="shared" si="7"/>
        <v>51.755868544600943</v>
      </c>
    </row>
    <row r="71" spans="1:10" x14ac:dyDescent="0.25">
      <c r="A71">
        <v>7.25</v>
      </c>
      <c r="B71">
        <v>2.0840000000000001E-2</v>
      </c>
      <c r="C71">
        <v>1.1267</v>
      </c>
      <c r="D71">
        <v>1.4189999999999999E-2</v>
      </c>
      <c r="E71">
        <v>-6.9699999999999998E-2</v>
      </c>
      <c r="F71">
        <v>0.52010000000000001</v>
      </c>
      <c r="G71">
        <v>1</v>
      </c>
      <c r="I71">
        <f t="shared" si="6"/>
        <v>0.1265363707695889</v>
      </c>
      <c r="J71">
        <f t="shared" si="7"/>
        <v>54.064299424184263</v>
      </c>
    </row>
    <row r="72" spans="1:10" x14ac:dyDescent="0.25">
      <c r="A72">
        <v>7.5</v>
      </c>
      <c r="B72">
        <v>2.0539999999999999E-2</v>
      </c>
      <c r="C72">
        <v>1.1473</v>
      </c>
      <c r="D72">
        <v>1.4019999999999999E-2</v>
      </c>
      <c r="E72">
        <v>-6.7699999999999996E-2</v>
      </c>
      <c r="F72">
        <v>0.49590000000000001</v>
      </c>
      <c r="G72">
        <v>1</v>
      </c>
      <c r="I72">
        <f t="shared" si="6"/>
        <v>0.1308996938995747</v>
      </c>
      <c r="J72">
        <f t="shared" si="7"/>
        <v>55.856864654333009</v>
      </c>
    </row>
    <row r="73" spans="1:10" x14ac:dyDescent="0.25">
      <c r="A73">
        <v>7.75</v>
      </c>
      <c r="B73">
        <v>2.0219999999999998E-2</v>
      </c>
      <c r="C73">
        <v>1.1657</v>
      </c>
      <c r="D73">
        <v>1.3780000000000001E-2</v>
      </c>
      <c r="E73">
        <v>-6.5299999999999997E-2</v>
      </c>
      <c r="F73">
        <v>0.4642</v>
      </c>
      <c r="G73">
        <v>1</v>
      </c>
      <c r="I73">
        <f t="shared" ref="I73:I98" si="8">A73*PI()/180</f>
        <v>0.13526301702956053</v>
      </c>
      <c r="J73">
        <f t="shared" ref="J73:J98" si="9">C73/B73</f>
        <v>57.650840751730961</v>
      </c>
    </row>
    <row r="74" spans="1:10" x14ac:dyDescent="0.25">
      <c r="A74">
        <v>8</v>
      </c>
      <c r="B74">
        <v>2.01E-2</v>
      </c>
      <c r="C74">
        <v>1.179</v>
      </c>
      <c r="D74">
        <v>1.3610000000000001E-2</v>
      </c>
      <c r="E74">
        <v>-6.2199999999999998E-2</v>
      </c>
      <c r="F74">
        <v>0.4173</v>
      </c>
      <c r="G74">
        <v>1</v>
      </c>
      <c r="I74">
        <f t="shared" si="8"/>
        <v>0.13962634015954636</v>
      </c>
      <c r="J74">
        <f t="shared" si="9"/>
        <v>58.656716417910452</v>
      </c>
    </row>
    <row r="75" spans="1:10" x14ac:dyDescent="0.25">
      <c r="A75">
        <v>8.25</v>
      </c>
      <c r="B75">
        <v>2.0639999999999999E-2</v>
      </c>
      <c r="C75">
        <v>1.1845000000000001</v>
      </c>
      <c r="D75">
        <v>1.387E-2</v>
      </c>
      <c r="E75">
        <v>-5.8299999999999998E-2</v>
      </c>
      <c r="F75">
        <v>0.34689999999999999</v>
      </c>
      <c r="G75">
        <v>1</v>
      </c>
      <c r="I75">
        <f t="shared" si="8"/>
        <v>0.14398966328953219</v>
      </c>
      <c r="J75">
        <f t="shared" si="9"/>
        <v>57.388565891472879</v>
      </c>
    </row>
    <row r="76" spans="1:10" x14ac:dyDescent="0.25">
      <c r="A76">
        <v>8.5</v>
      </c>
      <c r="B76">
        <v>2.2009999999999998E-2</v>
      </c>
      <c r="C76">
        <v>1.1833</v>
      </c>
      <c r="D76">
        <v>1.472E-2</v>
      </c>
      <c r="E76">
        <v>-5.3999999999999999E-2</v>
      </c>
      <c r="F76">
        <v>0.27010000000000001</v>
      </c>
      <c r="G76">
        <v>1</v>
      </c>
      <c r="I76">
        <f t="shared" si="8"/>
        <v>0.14835298641951802</v>
      </c>
      <c r="J76">
        <f t="shared" si="9"/>
        <v>53.761926397092239</v>
      </c>
    </row>
    <row r="77" spans="1:10" x14ac:dyDescent="0.25">
      <c r="A77">
        <v>8.75</v>
      </c>
      <c r="B77">
        <v>2.3810000000000001E-2</v>
      </c>
      <c r="C77">
        <v>1.1793</v>
      </c>
      <c r="D77">
        <v>1.6070000000000001E-2</v>
      </c>
      <c r="E77">
        <v>-4.9799999999999997E-2</v>
      </c>
      <c r="F77">
        <v>0.20899999999999999</v>
      </c>
      <c r="G77">
        <v>1</v>
      </c>
      <c r="I77">
        <f t="shared" si="8"/>
        <v>0.15271630954950383</v>
      </c>
      <c r="J77">
        <f t="shared" si="9"/>
        <v>49.52960940781184</v>
      </c>
    </row>
    <row r="78" spans="1:10" x14ac:dyDescent="0.25">
      <c r="A78">
        <v>9</v>
      </c>
      <c r="B78">
        <v>2.58E-2</v>
      </c>
      <c r="C78">
        <v>1.1711</v>
      </c>
      <c r="D78">
        <v>1.7670000000000002E-2</v>
      </c>
      <c r="E78">
        <v>-4.53E-2</v>
      </c>
      <c r="F78">
        <v>0.1588</v>
      </c>
      <c r="G78">
        <v>1</v>
      </c>
      <c r="I78">
        <f t="shared" si="8"/>
        <v>0.15707963267948966</v>
      </c>
      <c r="J78">
        <f t="shared" si="9"/>
        <v>45.391472868217058</v>
      </c>
    </row>
    <row r="79" spans="1:10" x14ac:dyDescent="0.25">
      <c r="A79">
        <v>9.25</v>
      </c>
      <c r="B79">
        <v>2.8129999999999999E-2</v>
      </c>
      <c r="C79">
        <v>1.1589</v>
      </c>
      <c r="D79">
        <v>1.9630000000000002E-2</v>
      </c>
      <c r="E79">
        <v>-4.0500000000000001E-2</v>
      </c>
      <c r="F79">
        <v>0.1178</v>
      </c>
      <c r="G79">
        <v>1</v>
      </c>
      <c r="I79">
        <f t="shared" si="8"/>
        <v>0.16144295580947549</v>
      </c>
      <c r="J79">
        <f t="shared" si="9"/>
        <v>41.198009242801284</v>
      </c>
    </row>
    <row r="80" spans="1:10" x14ac:dyDescent="0.25">
      <c r="A80">
        <v>9.5</v>
      </c>
      <c r="B80">
        <v>3.0859999999999999E-2</v>
      </c>
      <c r="C80">
        <v>1.1460999999999999</v>
      </c>
      <c r="D80">
        <v>2.206E-2</v>
      </c>
      <c r="E80">
        <v>-3.6299999999999999E-2</v>
      </c>
      <c r="F80">
        <v>8.7499999999999994E-2</v>
      </c>
      <c r="G80">
        <v>1</v>
      </c>
      <c r="I80">
        <f t="shared" si="8"/>
        <v>0.16580627893946129</v>
      </c>
      <c r="J80">
        <f t="shared" si="9"/>
        <v>37.138690861957222</v>
      </c>
    </row>
    <row r="81" spans="1:10" x14ac:dyDescent="0.25">
      <c r="A81">
        <v>9.75</v>
      </c>
      <c r="B81">
        <v>3.354E-2</v>
      </c>
      <c r="C81">
        <v>1.1379999999999999</v>
      </c>
      <c r="D81">
        <v>2.4549999999999999E-2</v>
      </c>
      <c r="E81">
        <v>-3.3000000000000002E-2</v>
      </c>
      <c r="F81">
        <v>7.17E-2</v>
      </c>
      <c r="G81">
        <v>1</v>
      </c>
      <c r="I81">
        <f t="shared" si="8"/>
        <v>0.17016960206944712</v>
      </c>
      <c r="J81">
        <f t="shared" si="9"/>
        <v>33.929636255217645</v>
      </c>
    </row>
    <row r="82" spans="1:10" x14ac:dyDescent="0.25">
      <c r="A82">
        <v>10</v>
      </c>
      <c r="B82">
        <v>3.576E-2</v>
      </c>
      <c r="C82">
        <v>1.1395999999999999</v>
      </c>
      <c r="D82">
        <v>2.6759999999999999E-2</v>
      </c>
      <c r="E82">
        <v>-3.0599999999999999E-2</v>
      </c>
      <c r="F82">
        <v>6.1899999999999997E-2</v>
      </c>
      <c r="G82">
        <v>1</v>
      </c>
      <c r="I82">
        <f t="shared" si="8"/>
        <v>0.17453292519943295</v>
      </c>
      <c r="J82">
        <f t="shared" si="9"/>
        <v>31.86800894854586</v>
      </c>
    </row>
    <row r="83" spans="1:10" x14ac:dyDescent="0.25">
      <c r="A83">
        <v>10.25</v>
      </c>
      <c r="B83">
        <v>3.789E-2</v>
      </c>
      <c r="C83">
        <v>1.1464000000000001</v>
      </c>
      <c r="D83">
        <v>2.886E-2</v>
      </c>
      <c r="E83">
        <v>-2.86E-2</v>
      </c>
      <c r="F83">
        <v>5.5800000000000002E-2</v>
      </c>
      <c r="G83">
        <v>1</v>
      </c>
      <c r="I83">
        <f t="shared" si="8"/>
        <v>0.17889624832941875</v>
      </c>
      <c r="J83">
        <f t="shared" si="9"/>
        <v>30.256004222750068</v>
      </c>
    </row>
    <row r="84" spans="1:10" x14ac:dyDescent="0.25">
      <c r="A84">
        <v>10.5</v>
      </c>
      <c r="B84">
        <v>3.977E-2</v>
      </c>
      <c r="C84">
        <v>1.1564000000000001</v>
      </c>
      <c r="D84">
        <v>3.073E-2</v>
      </c>
      <c r="E84">
        <v>-2.7099999999999999E-2</v>
      </c>
      <c r="F84">
        <v>5.0299999999999997E-2</v>
      </c>
      <c r="G84">
        <v>1</v>
      </c>
      <c r="I84">
        <f t="shared" si="8"/>
        <v>0.18325957145940461</v>
      </c>
      <c r="J84">
        <f t="shared" si="9"/>
        <v>29.077193864722155</v>
      </c>
    </row>
    <row r="85" spans="1:10" x14ac:dyDescent="0.25">
      <c r="A85">
        <v>10.75</v>
      </c>
      <c r="B85">
        <v>4.2000000000000003E-2</v>
      </c>
      <c r="C85">
        <v>1.1836</v>
      </c>
      <c r="D85">
        <v>3.2939999999999997E-2</v>
      </c>
      <c r="E85">
        <v>-2.5999999999999999E-2</v>
      </c>
      <c r="F85">
        <v>4.6800000000000001E-2</v>
      </c>
      <c r="G85">
        <v>1</v>
      </c>
      <c r="I85">
        <f t="shared" si="8"/>
        <v>0.18762289458939041</v>
      </c>
      <c r="J85">
        <f t="shared" si="9"/>
        <v>28.18095238095238</v>
      </c>
    </row>
    <row r="86" spans="1:10" x14ac:dyDescent="0.25">
      <c r="A86">
        <v>11</v>
      </c>
      <c r="B86">
        <v>4.4229999999999998E-2</v>
      </c>
      <c r="C86">
        <v>1.2126999999999999</v>
      </c>
      <c r="D86">
        <v>3.5389999999999998E-2</v>
      </c>
      <c r="E86">
        <v>-2.5399999999999999E-2</v>
      </c>
      <c r="F86">
        <v>4.4600000000000001E-2</v>
      </c>
      <c r="G86">
        <v>1</v>
      </c>
      <c r="I86">
        <f t="shared" si="8"/>
        <v>0.19198621771937624</v>
      </c>
      <c r="J86">
        <f t="shared" si="9"/>
        <v>27.418042052905268</v>
      </c>
    </row>
    <row r="87" spans="1:10" x14ac:dyDescent="0.25">
      <c r="A87">
        <v>11.25</v>
      </c>
      <c r="B87">
        <v>4.7050000000000002E-2</v>
      </c>
      <c r="C87">
        <v>1.2412000000000001</v>
      </c>
      <c r="D87">
        <v>3.8469999999999997E-2</v>
      </c>
      <c r="E87">
        <v>-2.5000000000000001E-2</v>
      </c>
      <c r="F87">
        <v>4.2900000000000001E-2</v>
      </c>
      <c r="G87">
        <v>1</v>
      </c>
      <c r="I87">
        <f t="shared" si="8"/>
        <v>0.19634954084936207</v>
      </c>
      <c r="J87">
        <f t="shared" si="9"/>
        <v>26.380446333687566</v>
      </c>
    </row>
    <row r="88" spans="1:10" x14ac:dyDescent="0.25">
      <c r="A88">
        <v>11.5</v>
      </c>
      <c r="B88">
        <v>5.0139999999999997E-2</v>
      </c>
      <c r="C88">
        <v>1.2613000000000001</v>
      </c>
      <c r="D88">
        <v>4.1849999999999998E-2</v>
      </c>
      <c r="E88">
        <v>-2.4299999999999999E-2</v>
      </c>
      <c r="F88">
        <v>4.2000000000000003E-2</v>
      </c>
      <c r="G88">
        <v>1</v>
      </c>
      <c r="I88">
        <f t="shared" si="8"/>
        <v>0.20071286397934787</v>
      </c>
      <c r="J88">
        <f t="shared" si="9"/>
        <v>25.155564419625055</v>
      </c>
    </row>
    <row r="89" spans="1:10" x14ac:dyDescent="0.25">
      <c r="A89">
        <v>11.75</v>
      </c>
      <c r="B89">
        <v>5.3260000000000002E-2</v>
      </c>
      <c r="C89">
        <v>1.2723</v>
      </c>
      <c r="D89">
        <v>4.5260000000000002E-2</v>
      </c>
      <c r="E89">
        <v>-2.3E-2</v>
      </c>
      <c r="F89">
        <v>4.1399999999999999E-2</v>
      </c>
      <c r="G89">
        <v>1</v>
      </c>
      <c r="I89">
        <f t="shared" si="8"/>
        <v>0.20507618710933373</v>
      </c>
      <c r="J89">
        <f t="shared" si="9"/>
        <v>23.88847164851671</v>
      </c>
    </row>
    <row r="90" spans="1:10" x14ac:dyDescent="0.25">
      <c r="A90">
        <v>12</v>
      </c>
      <c r="B90">
        <v>5.6059999999999999E-2</v>
      </c>
      <c r="C90">
        <v>1.2774000000000001</v>
      </c>
      <c r="D90">
        <v>4.8250000000000001E-2</v>
      </c>
      <c r="E90">
        <v>-2.1600000000000001E-2</v>
      </c>
      <c r="F90">
        <v>4.0099999999999997E-2</v>
      </c>
      <c r="G90">
        <v>1</v>
      </c>
      <c r="I90">
        <f t="shared" si="8"/>
        <v>0.20943951023931953</v>
      </c>
      <c r="J90">
        <f t="shared" si="9"/>
        <v>22.786300392436676</v>
      </c>
    </row>
    <row r="91" spans="1:10" x14ac:dyDescent="0.25">
      <c r="A91">
        <v>12.25</v>
      </c>
      <c r="B91">
        <v>5.9369999999999999E-2</v>
      </c>
      <c r="C91">
        <v>1.2804</v>
      </c>
      <c r="D91">
        <v>5.1790000000000003E-2</v>
      </c>
      <c r="E91">
        <v>-2.0299999999999999E-2</v>
      </c>
      <c r="F91">
        <v>3.9199999999999999E-2</v>
      </c>
      <c r="G91">
        <v>1</v>
      </c>
      <c r="I91">
        <f t="shared" si="8"/>
        <v>0.21380283336930536</v>
      </c>
      <c r="J91">
        <f t="shared" si="9"/>
        <v>21.566447700859019</v>
      </c>
    </row>
    <row r="92" spans="1:10" x14ac:dyDescent="0.25">
      <c r="A92">
        <v>12.5</v>
      </c>
      <c r="B92">
        <v>6.3270000000000007E-2</v>
      </c>
      <c r="C92">
        <v>1.2793000000000001</v>
      </c>
      <c r="D92">
        <v>5.5930000000000001E-2</v>
      </c>
      <c r="E92">
        <v>-1.9E-2</v>
      </c>
      <c r="F92">
        <v>3.8699999999999998E-2</v>
      </c>
      <c r="G92">
        <v>1</v>
      </c>
      <c r="I92">
        <f t="shared" si="8"/>
        <v>0.21816615649929119</v>
      </c>
      <c r="J92">
        <f t="shared" si="9"/>
        <v>20.219693377588115</v>
      </c>
    </row>
    <row r="93" spans="1:10" x14ac:dyDescent="0.25">
      <c r="A93">
        <v>12.75</v>
      </c>
      <c r="B93">
        <v>6.6909999999999997E-2</v>
      </c>
      <c r="C93">
        <v>1.2706</v>
      </c>
      <c r="D93">
        <v>5.9859999999999997E-2</v>
      </c>
      <c r="E93">
        <v>-1.7500000000000002E-2</v>
      </c>
      <c r="F93">
        <v>3.8699999999999998E-2</v>
      </c>
      <c r="G93">
        <v>1</v>
      </c>
      <c r="I93">
        <f t="shared" si="8"/>
        <v>0.22252947962927699</v>
      </c>
      <c r="J93">
        <f t="shared" si="9"/>
        <v>18.989687640113587</v>
      </c>
    </row>
    <row r="94" spans="1:10" x14ac:dyDescent="0.25">
      <c r="A94">
        <v>13</v>
      </c>
      <c r="B94">
        <v>7.0599999999999996E-2</v>
      </c>
      <c r="C94">
        <v>1.2574000000000001</v>
      </c>
      <c r="D94">
        <v>6.3869999999999996E-2</v>
      </c>
      <c r="E94">
        <v>-1.6199999999999999E-2</v>
      </c>
      <c r="F94">
        <v>3.8899999999999997E-2</v>
      </c>
      <c r="G94">
        <v>1</v>
      </c>
      <c r="I94">
        <f t="shared" si="8"/>
        <v>0.22689280275926285</v>
      </c>
      <c r="J94">
        <f t="shared" si="9"/>
        <v>17.81019830028329</v>
      </c>
    </row>
    <row r="95" spans="1:10" x14ac:dyDescent="0.25">
      <c r="A95">
        <v>13.25</v>
      </c>
      <c r="B95">
        <v>7.4679999999999996E-2</v>
      </c>
      <c r="C95">
        <v>1.2394000000000001</v>
      </c>
      <c r="D95">
        <v>6.8279999999999993E-2</v>
      </c>
      <c r="E95">
        <v>-1.55E-2</v>
      </c>
      <c r="F95">
        <v>3.9300000000000002E-2</v>
      </c>
      <c r="G95">
        <v>1</v>
      </c>
      <c r="I95">
        <f t="shared" si="8"/>
        <v>0.23125612588924865</v>
      </c>
      <c r="J95">
        <f t="shared" si="9"/>
        <v>16.596143545795396</v>
      </c>
    </row>
    <row r="96" spans="1:10" x14ac:dyDescent="0.25">
      <c r="A96">
        <v>13.5</v>
      </c>
      <c r="B96">
        <v>7.9640000000000002E-2</v>
      </c>
      <c r="C96">
        <v>1.2153</v>
      </c>
      <c r="D96">
        <v>7.3590000000000003E-2</v>
      </c>
      <c r="E96">
        <v>-1.5699999999999999E-2</v>
      </c>
      <c r="F96">
        <v>3.9899999999999998E-2</v>
      </c>
      <c r="G96">
        <v>1</v>
      </c>
      <c r="I96">
        <f t="shared" si="8"/>
        <v>0.23561944901923448</v>
      </c>
      <c r="J96">
        <f t="shared" si="9"/>
        <v>15.259919638372677</v>
      </c>
    </row>
    <row r="97" spans="1:10" x14ac:dyDescent="0.25">
      <c r="A97">
        <v>13.75</v>
      </c>
      <c r="B97">
        <v>8.5860000000000006E-2</v>
      </c>
      <c r="C97">
        <v>1.1823999999999999</v>
      </c>
      <c r="D97">
        <v>8.0170000000000005E-2</v>
      </c>
      <c r="E97">
        <v>-1.7299999999999999E-2</v>
      </c>
      <c r="F97">
        <v>4.0599999999999997E-2</v>
      </c>
      <c r="G97">
        <v>1</v>
      </c>
      <c r="I97">
        <f t="shared" si="8"/>
        <v>0.23998277214922031</v>
      </c>
      <c r="J97">
        <f t="shared" si="9"/>
        <v>13.771255532261819</v>
      </c>
    </row>
    <row r="98" spans="1:10" x14ac:dyDescent="0.25">
      <c r="A98">
        <v>14</v>
      </c>
      <c r="B98">
        <v>9.2969999999999997E-2</v>
      </c>
      <c r="C98">
        <v>1.1505000000000001</v>
      </c>
      <c r="D98">
        <v>8.7559999999999999E-2</v>
      </c>
      <c r="E98">
        <v>-2.01E-2</v>
      </c>
      <c r="F98">
        <v>4.1300000000000003E-2</v>
      </c>
      <c r="G98">
        <v>1</v>
      </c>
      <c r="I98">
        <f t="shared" si="8"/>
        <v>0.24434609527920614</v>
      </c>
      <c r="J98">
        <f t="shared" si="9"/>
        <v>12.374959664407875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>
      <selection activeCell="B24" sqref="B24"/>
    </sheetView>
  </sheetViews>
  <sheetFormatPr defaultRowHeight="15" x14ac:dyDescent="0.25"/>
  <sheetData>
    <row r="1" spans="1:21" x14ac:dyDescent="0.25">
      <c r="A1" s="67" t="s">
        <v>114</v>
      </c>
      <c r="H1" t="s">
        <v>25</v>
      </c>
      <c r="I1">
        <v>50000</v>
      </c>
    </row>
    <row r="2" spans="1:21" x14ac:dyDescent="0.25">
      <c r="A2" s="66" t="s">
        <v>118</v>
      </c>
      <c r="H2" t="s">
        <v>57</v>
      </c>
      <c r="I2" t="s">
        <v>58</v>
      </c>
      <c r="J2" t="s">
        <v>56</v>
      </c>
      <c r="K2" t="s">
        <v>55</v>
      </c>
      <c r="L2" t="s">
        <v>54</v>
      </c>
      <c r="M2" t="s">
        <v>53</v>
      </c>
      <c r="N2" t="s">
        <v>51</v>
      </c>
      <c r="O2" t="s">
        <v>52</v>
      </c>
    </row>
    <row r="3" spans="1:21" x14ac:dyDescent="0.25">
      <c r="A3" s="66" t="s">
        <v>119</v>
      </c>
      <c r="H3">
        <f>I4</f>
        <v>0.36112771507863073</v>
      </c>
      <c r="I3">
        <f>H4</f>
        <v>6.730109608754705</v>
      </c>
      <c r="J3">
        <f>C25</f>
        <v>-1.0699999999999999E-2</v>
      </c>
      <c r="K3">
        <f>C70</f>
        <v>1.2633000000000001</v>
      </c>
      <c r="L3">
        <f>SMALL(B9:B98,1)</f>
        <v>1.8859999999999998E-2</v>
      </c>
      <c r="M3">
        <f>(L6-L3)/((M6-O3)^2)</f>
        <v>6.9438808177546994E-3</v>
      </c>
      <c r="N3">
        <f>(N6-L3)/((O6-O3)^2)</f>
        <v>9.8093117738911731E-2</v>
      </c>
      <c r="O3">
        <f>VLOOKUP(L3,B9:C98,2,FALSE)</f>
        <v>0.27789999999999998</v>
      </c>
    </row>
    <row r="4" spans="1:21" x14ac:dyDescent="0.25">
      <c r="A4" s="66" t="s">
        <v>99</v>
      </c>
      <c r="H4">
        <f t="array" ref="H4:I4">LINEST($C$25:$C$70,$I$25:$I$70)</f>
        <v>6.730109608754705</v>
      </c>
      <c r="I4">
        <v>0.36112771507863073</v>
      </c>
    </row>
    <row r="5" spans="1:21" x14ac:dyDescent="0.25">
      <c r="A5" s="70" t="s">
        <v>120</v>
      </c>
      <c r="L5" t="s">
        <v>104</v>
      </c>
      <c r="M5" t="s">
        <v>106</v>
      </c>
      <c r="N5" t="s">
        <v>105</v>
      </c>
      <c r="O5" t="s">
        <v>107</v>
      </c>
    </row>
    <row r="6" spans="1:21" x14ac:dyDescent="0.25">
      <c r="A6" s="70" t="s">
        <v>121</v>
      </c>
      <c r="L6">
        <v>2.1940000000000001E-2</v>
      </c>
      <c r="M6">
        <v>0.94389999999999996</v>
      </c>
      <c r="N6">
        <v>2.8680000000000001E-2</v>
      </c>
      <c r="O6">
        <v>-3.85E-2</v>
      </c>
    </row>
    <row r="7" spans="1:21" x14ac:dyDescent="0.25">
      <c r="A7" s="65" t="s">
        <v>67</v>
      </c>
      <c r="B7" t="s">
        <v>21</v>
      </c>
      <c r="C7" t="s">
        <v>20</v>
      </c>
      <c r="D7" t="s">
        <v>66</v>
      </c>
      <c r="E7" t="s">
        <v>65</v>
      </c>
      <c r="F7" t="s">
        <v>64</v>
      </c>
      <c r="G7" t="s">
        <v>63</v>
      </c>
      <c r="I7" t="s">
        <v>90</v>
      </c>
      <c r="J7" t="s">
        <v>62</v>
      </c>
      <c r="R7" t="s">
        <v>94</v>
      </c>
      <c r="S7" t="s">
        <v>95</v>
      </c>
      <c r="T7" t="s">
        <v>96</v>
      </c>
      <c r="U7" t="s">
        <v>97</v>
      </c>
    </row>
    <row r="8" spans="1:21" x14ac:dyDescent="0.25">
      <c r="A8" s="65" t="s">
        <v>61</v>
      </c>
      <c r="B8" t="s">
        <v>59</v>
      </c>
      <c r="C8" t="s">
        <v>60</v>
      </c>
      <c r="D8" t="s">
        <v>60</v>
      </c>
      <c r="E8" t="s">
        <v>59</v>
      </c>
      <c r="F8" t="s">
        <v>59</v>
      </c>
      <c r="G8" t="s">
        <v>59</v>
      </c>
      <c r="J8">
        <f>MAX((J9:J115))</f>
        <v>43.021877848678209</v>
      </c>
      <c r="R8">
        <f>$L$3+$M$3*(S8-$O$3)^2</f>
        <v>1.8859999999999998E-2</v>
      </c>
      <c r="S8">
        <f>O3</f>
        <v>0.27789999999999998</v>
      </c>
      <c r="T8">
        <f>$L$3+$N$3*(U8-$O$3)^2</f>
        <v>1.8859999999999998E-2</v>
      </c>
      <c r="U8">
        <f>O3</f>
        <v>0.27789999999999998</v>
      </c>
    </row>
    <row r="9" spans="1:21" x14ac:dyDescent="0.25">
      <c r="A9" s="65">
        <v>-7.25</v>
      </c>
      <c r="B9">
        <v>9.6430000000000002E-2</v>
      </c>
      <c r="C9">
        <v>-0.36259999999999998</v>
      </c>
      <c r="D9">
        <v>8.9749999999999996E-2</v>
      </c>
      <c r="E9">
        <v>-2.1899999999999999E-2</v>
      </c>
      <c r="F9">
        <v>1</v>
      </c>
      <c r="G9">
        <v>0.1008</v>
      </c>
      <c r="I9">
        <f t="shared" ref="I9:I40" si="0">A9*PI()/180</f>
        <v>-0.1265363707695889</v>
      </c>
      <c r="J9">
        <f t="shared" ref="J9:J40" si="1">C9/B9</f>
        <v>-3.7602405890283106</v>
      </c>
      <c r="R9">
        <f t="shared" ref="R9:R18" si="2">$L$3+$M$3*(S9-$O$3)^2</f>
        <v>1.8929438808177546E-2</v>
      </c>
      <c r="S9">
        <f>S8+0.1</f>
        <v>0.37790000000000001</v>
      </c>
      <c r="T9">
        <f t="shared" ref="T9:T18" si="3">$L$3+$N$3*(U9-$O$3)^2</f>
        <v>1.9840931177389116E-2</v>
      </c>
      <c r="U9">
        <f>U8-0.1</f>
        <v>0.17789999999999997</v>
      </c>
    </row>
    <row r="10" spans="1:21" x14ac:dyDescent="0.25">
      <c r="A10" s="65">
        <v>-7</v>
      </c>
      <c r="B10">
        <v>9.3670000000000003E-2</v>
      </c>
      <c r="C10">
        <v>-0.3599</v>
      </c>
      <c r="D10">
        <v>8.7080000000000005E-2</v>
      </c>
      <c r="E10">
        <v>-2.3E-2</v>
      </c>
      <c r="F10">
        <v>1</v>
      </c>
      <c r="G10">
        <v>0.1027</v>
      </c>
      <c r="I10">
        <f t="shared" si="0"/>
        <v>-0.12217304763960307</v>
      </c>
      <c r="J10">
        <f t="shared" si="1"/>
        <v>-3.8422120209245221</v>
      </c>
      <c r="R10">
        <f t="shared" si="2"/>
        <v>1.9137755232710187E-2</v>
      </c>
      <c r="S10">
        <f t="shared" ref="S10:S18" si="4">S9+0.1</f>
        <v>0.47789999999999999</v>
      </c>
      <c r="T10">
        <f t="shared" si="3"/>
        <v>2.2783724709556467E-2</v>
      </c>
      <c r="U10">
        <f t="shared" ref="U10:U18" si="5">U9-0.1</f>
        <v>7.7899999999999969E-2</v>
      </c>
    </row>
    <row r="11" spans="1:21" x14ac:dyDescent="0.25">
      <c r="A11" s="65">
        <v>-6.75</v>
      </c>
      <c r="B11">
        <v>9.1370000000000007E-2</v>
      </c>
      <c r="C11">
        <v>-0.35949999999999999</v>
      </c>
      <c r="D11">
        <v>8.4879999999999997E-2</v>
      </c>
      <c r="E11">
        <v>-2.6499999999999999E-2</v>
      </c>
      <c r="F11">
        <v>1</v>
      </c>
      <c r="G11">
        <v>0.10630000000000001</v>
      </c>
      <c r="I11">
        <f t="shared" si="0"/>
        <v>-0.11780972450961724</v>
      </c>
      <c r="J11">
        <f t="shared" si="1"/>
        <v>-3.9345518222611355</v>
      </c>
      <c r="R11">
        <f t="shared" si="2"/>
        <v>1.948494927359792E-2</v>
      </c>
      <c r="S11">
        <f t="shared" si="4"/>
        <v>0.57789999999999997</v>
      </c>
      <c r="T11">
        <f t="shared" si="3"/>
        <v>2.7688380596502055E-2</v>
      </c>
      <c r="U11">
        <f t="shared" si="5"/>
        <v>-2.2100000000000036E-2</v>
      </c>
    </row>
    <row r="12" spans="1:21" x14ac:dyDescent="0.25">
      <c r="A12" s="65">
        <v>-6.25</v>
      </c>
      <c r="B12">
        <v>8.1089999999999995E-2</v>
      </c>
      <c r="C12">
        <v>-0.34160000000000001</v>
      </c>
      <c r="D12">
        <v>7.4609999999999996E-2</v>
      </c>
      <c r="E12">
        <v>-3.7999999999999999E-2</v>
      </c>
      <c r="F12">
        <v>1</v>
      </c>
      <c r="G12">
        <v>6.59E-2</v>
      </c>
      <c r="I12">
        <f t="shared" si="0"/>
        <v>-0.1090830782496456</v>
      </c>
      <c r="J12">
        <f t="shared" si="1"/>
        <v>-4.2126032803058333</v>
      </c>
      <c r="R12">
        <f t="shared" si="2"/>
        <v>1.9971020930840751E-2</v>
      </c>
      <c r="S12">
        <f t="shared" si="4"/>
        <v>0.67789999999999995</v>
      </c>
      <c r="T12">
        <f t="shared" si="3"/>
        <v>3.4554898838225878E-2</v>
      </c>
      <c r="U12">
        <f t="shared" si="5"/>
        <v>-0.12210000000000004</v>
      </c>
    </row>
    <row r="13" spans="1:21" x14ac:dyDescent="0.25">
      <c r="A13" s="65">
        <v>-6</v>
      </c>
      <c r="B13">
        <v>7.7840000000000006E-2</v>
      </c>
      <c r="C13">
        <v>-0.33500000000000002</v>
      </c>
      <c r="D13">
        <v>7.1410000000000001E-2</v>
      </c>
      <c r="E13">
        <v>-3.5900000000000001E-2</v>
      </c>
      <c r="F13">
        <v>1</v>
      </c>
      <c r="G13">
        <v>6.4600000000000005E-2</v>
      </c>
      <c r="I13">
        <f t="shared" si="0"/>
        <v>-0.10471975511965977</v>
      </c>
      <c r="J13">
        <f t="shared" si="1"/>
        <v>-4.3036998972250773</v>
      </c>
      <c r="R13">
        <f t="shared" si="2"/>
        <v>2.0595970204438672E-2</v>
      </c>
      <c r="S13">
        <f t="shared" si="4"/>
        <v>0.77789999999999992</v>
      </c>
      <c r="T13">
        <f t="shared" si="3"/>
        <v>4.3383279434727931E-2</v>
      </c>
      <c r="U13">
        <f t="shared" si="5"/>
        <v>-0.22210000000000005</v>
      </c>
    </row>
    <row r="14" spans="1:21" x14ac:dyDescent="0.25">
      <c r="A14" s="65">
        <v>-5.75</v>
      </c>
      <c r="B14">
        <v>7.4319999999999997E-2</v>
      </c>
      <c r="C14">
        <v>-0.3261</v>
      </c>
      <c r="D14">
        <v>6.7919999999999994E-2</v>
      </c>
      <c r="E14">
        <v>-3.6999999999999998E-2</v>
      </c>
      <c r="F14">
        <v>1</v>
      </c>
      <c r="G14">
        <v>6.3399999999999998E-2</v>
      </c>
      <c r="I14">
        <f t="shared" si="0"/>
        <v>-0.10035643198967394</v>
      </c>
      <c r="J14">
        <f t="shared" si="1"/>
        <v>-4.3877825618945101</v>
      </c>
      <c r="R14">
        <f t="shared" si="2"/>
        <v>2.1359797094391689E-2</v>
      </c>
      <c r="S14">
        <f t="shared" si="4"/>
        <v>0.8778999999999999</v>
      </c>
      <c r="T14">
        <f t="shared" si="3"/>
        <v>5.4173522386008227E-2</v>
      </c>
      <c r="U14">
        <f t="shared" si="5"/>
        <v>-0.32210000000000005</v>
      </c>
    </row>
    <row r="15" spans="1:21" x14ac:dyDescent="0.25">
      <c r="A15" s="65">
        <v>-5.5</v>
      </c>
      <c r="B15">
        <v>7.0559999999999998E-2</v>
      </c>
      <c r="C15">
        <v>-0.315</v>
      </c>
      <c r="D15">
        <v>6.4180000000000001E-2</v>
      </c>
      <c r="E15">
        <v>-3.9199999999999999E-2</v>
      </c>
      <c r="F15">
        <v>1</v>
      </c>
      <c r="G15">
        <v>6.1899999999999997E-2</v>
      </c>
      <c r="I15">
        <f t="shared" si="0"/>
        <v>-9.599310885968812E-2</v>
      </c>
      <c r="J15">
        <f t="shared" si="1"/>
        <v>-4.4642857142857144</v>
      </c>
      <c r="R15">
        <f t="shared" si="2"/>
        <v>2.2262501600699799E-2</v>
      </c>
      <c r="S15">
        <f t="shared" si="4"/>
        <v>0.97789999999999988</v>
      </c>
      <c r="T15">
        <f t="shared" si="3"/>
        <v>6.6925627692066739E-2</v>
      </c>
      <c r="U15">
        <f t="shared" si="5"/>
        <v>-0.42210000000000003</v>
      </c>
    </row>
    <row r="16" spans="1:21" x14ac:dyDescent="0.25">
      <c r="A16" s="65">
        <v>-5</v>
      </c>
      <c r="B16">
        <v>5.7419999999999999E-2</v>
      </c>
      <c r="C16">
        <v>-0.2641</v>
      </c>
      <c r="D16">
        <v>5.0590000000000003E-2</v>
      </c>
      <c r="E16">
        <v>-5.62E-2</v>
      </c>
      <c r="F16">
        <v>1</v>
      </c>
      <c r="G16">
        <v>5.2999999999999999E-2</v>
      </c>
      <c r="I16">
        <f t="shared" si="0"/>
        <v>-8.7266462599716474E-2</v>
      </c>
      <c r="J16">
        <f t="shared" si="1"/>
        <v>-4.599442702890979</v>
      </c>
      <c r="R16">
        <f t="shared" si="2"/>
        <v>2.3304083723363005E-2</v>
      </c>
      <c r="S16">
        <f t="shared" si="4"/>
        <v>1.0778999999999999</v>
      </c>
      <c r="T16">
        <f t="shared" si="3"/>
        <v>8.1639595352903521E-2</v>
      </c>
      <c r="U16">
        <f t="shared" si="5"/>
        <v>-0.52210000000000001</v>
      </c>
    </row>
    <row r="17" spans="1:21" x14ac:dyDescent="0.25">
      <c r="A17" s="65">
        <v>-4.75</v>
      </c>
      <c r="B17">
        <v>5.3589999999999999E-2</v>
      </c>
      <c r="C17">
        <v>-0.2462</v>
      </c>
      <c r="D17">
        <v>4.6649999999999997E-2</v>
      </c>
      <c r="E17">
        <v>-5.7799999999999997E-2</v>
      </c>
      <c r="F17">
        <v>1</v>
      </c>
      <c r="G17">
        <v>5.2400000000000002E-2</v>
      </c>
      <c r="I17">
        <f t="shared" si="0"/>
        <v>-8.2903139469730644E-2</v>
      </c>
      <c r="J17">
        <f t="shared" si="1"/>
        <v>-4.5941406978913975</v>
      </c>
      <c r="R17">
        <f t="shared" si="2"/>
        <v>2.4484543462381304E-2</v>
      </c>
      <c r="S17">
        <f t="shared" si="4"/>
        <v>1.1778999999999999</v>
      </c>
      <c r="T17">
        <f t="shared" si="3"/>
        <v>9.8315425368518491E-2</v>
      </c>
      <c r="U17">
        <f t="shared" si="5"/>
        <v>-0.62209999999999999</v>
      </c>
    </row>
    <row r="18" spans="1:21" x14ac:dyDescent="0.25">
      <c r="A18" s="65">
        <v>-4.5</v>
      </c>
      <c r="B18">
        <v>4.9209999999999997E-2</v>
      </c>
      <c r="C18">
        <v>-0.2225</v>
      </c>
      <c r="D18">
        <v>4.2090000000000002E-2</v>
      </c>
      <c r="E18">
        <v>-6.1100000000000002E-2</v>
      </c>
      <c r="F18">
        <v>1</v>
      </c>
      <c r="G18">
        <v>5.1799999999999999E-2</v>
      </c>
      <c r="I18">
        <f t="shared" si="0"/>
        <v>-7.8539816339744828E-2</v>
      </c>
      <c r="J18">
        <f t="shared" si="1"/>
        <v>-4.5214387319650484</v>
      </c>
      <c r="R18">
        <f t="shared" si="2"/>
        <v>2.5803880817754699E-2</v>
      </c>
      <c r="S18">
        <f t="shared" si="4"/>
        <v>1.2779</v>
      </c>
      <c r="T18">
        <f t="shared" si="3"/>
        <v>0.11695311773891173</v>
      </c>
      <c r="U18">
        <f t="shared" si="5"/>
        <v>-0.72209999999999996</v>
      </c>
    </row>
    <row r="19" spans="1:21" x14ac:dyDescent="0.25">
      <c r="A19" s="65">
        <v>-4.25</v>
      </c>
      <c r="B19">
        <v>4.453E-2</v>
      </c>
      <c r="C19">
        <v>-0.19389999999999999</v>
      </c>
      <c r="D19">
        <v>3.7060000000000003E-2</v>
      </c>
      <c r="E19">
        <v>-6.5299999999999997E-2</v>
      </c>
      <c r="F19">
        <v>1</v>
      </c>
      <c r="G19">
        <v>5.16E-2</v>
      </c>
      <c r="I19">
        <f t="shared" si="0"/>
        <v>-7.4176493209759012E-2</v>
      </c>
      <c r="J19">
        <f t="shared" si="1"/>
        <v>-4.3543678419043337</v>
      </c>
    </row>
    <row r="20" spans="1:21" x14ac:dyDescent="0.25">
      <c r="A20" s="65">
        <v>-4</v>
      </c>
      <c r="B20">
        <v>3.9669999999999997E-2</v>
      </c>
      <c r="C20">
        <v>-0.15970000000000001</v>
      </c>
      <c r="D20">
        <v>3.1609999999999999E-2</v>
      </c>
      <c r="E20">
        <v>-7.0000000000000007E-2</v>
      </c>
      <c r="F20">
        <v>1</v>
      </c>
      <c r="G20">
        <v>5.2400000000000002E-2</v>
      </c>
      <c r="I20">
        <f t="shared" si="0"/>
        <v>-6.9813170079773182E-2</v>
      </c>
      <c r="J20">
        <f t="shared" si="1"/>
        <v>-4.0257121250315109</v>
      </c>
    </row>
    <row r="21" spans="1:21" x14ac:dyDescent="0.25">
      <c r="A21" s="65">
        <v>-3.75</v>
      </c>
      <c r="B21">
        <v>3.6979999999999999E-2</v>
      </c>
      <c r="C21">
        <v>-0.13420000000000001</v>
      </c>
      <c r="D21">
        <v>2.8740000000000002E-2</v>
      </c>
      <c r="E21">
        <v>-7.17E-2</v>
      </c>
      <c r="F21">
        <v>1</v>
      </c>
      <c r="G21">
        <v>5.5899999999999998E-2</v>
      </c>
      <c r="I21">
        <f t="shared" si="0"/>
        <v>-6.5449846949787352E-2</v>
      </c>
      <c r="J21">
        <f t="shared" si="1"/>
        <v>-3.6289886425094648</v>
      </c>
    </row>
    <row r="22" spans="1:21" x14ac:dyDescent="0.25">
      <c r="A22" s="65">
        <v>-3.5</v>
      </c>
      <c r="B22">
        <v>3.4270000000000002E-2</v>
      </c>
      <c r="C22">
        <v>-0.1048</v>
      </c>
      <c r="D22">
        <v>2.5649999999999999E-2</v>
      </c>
      <c r="E22">
        <v>-7.3599999999999999E-2</v>
      </c>
      <c r="F22">
        <v>1</v>
      </c>
      <c r="G22">
        <v>5.8900000000000001E-2</v>
      </c>
      <c r="I22">
        <f t="shared" si="0"/>
        <v>-6.1086523819801536E-2</v>
      </c>
      <c r="J22">
        <f t="shared" si="1"/>
        <v>-3.0580682812955939</v>
      </c>
    </row>
    <row r="23" spans="1:21" x14ac:dyDescent="0.25">
      <c r="A23" s="65">
        <v>-3.25</v>
      </c>
      <c r="B23">
        <v>3.1179999999999999E-2</v>
      </c>
      <c r="C23">
        <v>-7.1499999999999994E-2</v>
      </c>
      <c r="D23">
        <v>2.197E-2</v>
      </c>
      <c r="E23">
        <v>-7.5800000000000006E-2</v>
      </c>
      <c r="F23">
        <v>1</v>
      </c>
      <c r="G23">
        <v>6.08E-2</v>
      </c>
      <c r="I23">
        <f t="shared" si="0"/>
        <v>-5.6723200689815713E-2</v>
      </c>
      <c r="J23">
        <f t="shared" si="1"/>
        <v>-2.2931366260423345</v>
      </c>
    </row>
    <row r="24" spans="1:21" x14ac:dyDescent="0.25">
      <c r="A24" s="65">
        <v>-3</v>
      </c>
      <c r="B24">
        <v>2.8680000000000001E-2</v>
      </c>
      <c r="C24">
        <v>-3.85E-2</v>
      </c>
      <c r="D24">
        <v>1.874E-2</v>
      </c>
      <c r="E24">
        <v>-7.7299999999999994E-2</v>
      </c>
      <c r="F24">
        <v>1</v>
      </c>
      <c r="G24">
        <v>6.4799999999999996E-2</v>
      </c>
      <c r="I24">
        <f t="shared" si="0"/>
        <v>-5.2359877559829883E-2</v>
      </c>
      <c r="J24">
        <f t="shared" si="1"/>
        <v>-1.3423988842398884</v>
      </c>
    </row>
    <row r="25" spans="1:21" x14ac:dyDescent="0.25">
      <c r="A25" s="65">
        <v>-2.75</v>
      </c>
      <c r="B25">
        <v>2.7199999999999998E-2</v>
      </c>
      <c r="C25">
        <v>-1.0699999999999999E-2</v>
      </c>
      <c r="D25">
        <v>1.7059999999999999E-2</v>
      </c>
      <c r="E25">
        <v>-7.8E-2</v>
      </c>
      <c r="F25">
        <v>1</v>
      </c>
      <c r="G25">
        <v>7.1400000000000005E-2</v>
      </c>
      <c r="I25">
        <f t="shared" si="0"/>
        <v>-4.799655442984406E-2</v>
      </c>
      <c r="J25">
        <f t="shared" si="1"/>
        <v>-0.39338235294117646</v>
      </c>
    </row>
    <row r="26" spans="1:21" x14ac:dyDescent="0.25">
      <c r="A26" s="65">
        <v>-2.5</v>
      </c>
      <c r="B26">
        <v>2.5680000000000001E-2</v>
      </c>
      <c r="C26">
        <v>1.84E-2</v>
      </c>
      <c r="D26">
        <v>1.5129999999999999E-2</v>
      </c>
      <c r="E26">
        <v>-7.8399999999999997E-2</v>
      </c>
      <c r="F26">
        <v>1</v>
      </c>
      <c r="G26">
        <v>7.6799999999999993E-2</v>
      </c>
      <c r="I26">
        <f t="shared" si="0"/>
        <v>-4.3633231299858237E-2</v>
      </c>
      <c r="J26">
        <f t="shared" si="1"/>
        <v>0.71651090342679125</v>
      </c>
    </row>
    <row r="27" spans="1:21" x14ac:dyDescent="0.25">
      <c r="A27" s="65">
        <v>-2.25</v>
      </c>
      <c r="B27">
        <v>2.4539999999999999E-2</v>
      </c>
      <c r="C27">
        <v>4.6300000000000001E-2</v>
      </c>
      <c r="D27">
        <v>1.379E-2</v>
      </c>
      <c r="E27">
        <v>-7.8700000000000006E-2</v>
      </c>
      <c r="F27">
        <v>1</v>
      </c>
      <c r="G27">
        <v>8.48E-2</v>
      </c>
      <c r="I27">
        <f t="shared" si="0"/>
        <v>-3.9269908169872414E-2</v>
      </c>
      <c r="J27">
        <f t="shared" si="1"/>
        <v>1.886715566422168</v>
      </c>
    </row>
    <row r="28" spans="1:21" x14ac:dyDescent="0.25">
      <c r="A28" s="65">
        <v>-2</v>
      </c>
      <c r="B28">
        <v>2.368E-2</v>
      </c>
      <c r="C28">
        <v>7.3999999999999996E-2</v>
      </c>
      <c r="D28">
        <v>1.274E-2</v>
      </c>
      <c r="E28">
        <v>-7.8899999999999998E-2</v>
      </c>
      <c r="F28">
        <v>1</v>
      </c>
      <c r="G28">
        <v>9.69E-2</v>
      </c>
      <c r="I28">
        <f t="shared" si="0"/>
        <v>-3.4906585039886591E-2</v>
      </c>
      <c r="J28">
        <f t="shared" si="1"/>
        <v>3.125</v>
      </c>
    </row>
    <row r="29" spans="1:21" x14ac:dyDescent="0.25">
      <c r="A29" s="65">
        <v>-1.75</v>
      </c>
      <c r="B29">
        <v>2.2939999999999999E-2</v>
      </c>
      <c r="C29">
        <v>0.1026</v>
      </c>
      <c r="D29">
        <v>1.18E-2</v>
      </c>
      <c r="E29">
        <v>-7.9200000000000007E-2</v>
      </c>
      <c r="F29">
        <v>1</v>
      </c>
      <c r="G29">
        <v>0.11119999999999999</v>
      </c>
      <c r="I29">
        <f t="shared" si="0"/>
        <v>-3.0543261909900768E-2</v>
      </c>
      <c r="J29">
        <f t="shared" si="1"/>
        <v>4.4725370531822142</v>
      </c>
    </row>
    <row r="30" spans="1:21" x14ac:dyDescent="0.25">
      <c r="A30" s="65">
        <v>-1.5</v>
      </c>
      <c r="B30">
        <v>2.24E-2</v>
      </c>
      <c r="C30">
        <v>0.13100000000000001</v>
      </c>
      <c r="D30">
        <v>1.116E-2</v>
      </c>
      <c r="E30">
        <v>-7.9699999999999993E-2</v>
      </c>
      <c r="F30">
        <v>1</v>
      </c>
      <c r="G30">
        <v>0.13500000000000001</v>
      </c>
      <c r="I30">
        <f t="shared" si="0"/>
        <v>-2.6179938779914941E-2</v>
      </c>
      <c r="J30">
        <f t="shared" si="1"/>
        <v>5.8482142857142856</v>
      </c>
    </row>
    <row r="31" spans="1:21" x14ac:dyDescent="0.25">
      <c r="A31" s="65">
        <v>-1.25</v>
      </c>
      <c r="B31">
        <v>2.1850000000000001E-2</v>
      </c>
      <c r="C31">
        <v>0.15989999999999999</v>
      </c>
      <c r="D31">
        <v>1.0710000000000001E-2</v>
      </c>
      <c r="E31">
        <v>-8.0399999999999999E-2</v>
      </c>
      <c r="F31">
        <v>1</v>
      </c>
      <c r="G31">
        <v>0.17219999999999999</v>
      </c>
      <c r="I31">
        <f t="shared" si="0"/>
        <v>-2.1816615649929118E-2</v>
      </c>
      <c r="J31">
        <f t="shared" si="1"/>
        <v>7.3180778032036606</v>
      </c>
    </row>
    <row r="32" spans="1:21" x14ac:dyDescent="0.25">
      <c r="A32" s="65">
        <v>-1</v>
      </c>
      <c r="B32">
        <v>2.0979999999999999E-2</v>
      </c>
      <c r="C32">
        <v>0.20369999999999999</v>
      </c>
      <c r="D32">
        <v>1.027E-2</v>
      </c>
      <c r="E32">
        <v>-8.4199999999999997E-2</v>
      </c>
      <c r="F32">
        <v>0.99380000000000002</v>
      </c>
      <c r="G32">
        <v>0.27010000000000001</v>
      </c>
      <c r="I32">
        <f t="shared" si="0"/>
        <v>-1.7453292519943295E-2</v>
      </c>
      <c r="J32">
        <f t="shared" si="1"/>
        <v>9.7092469018112499</v>
      </c>
    </row>
    <row r="33" spans="1:10" x14ac:dyDescent="0.25">
      <c r="A33" s="65">
        <v>-0.75</v>
      </c>
      <c r="B33">
        <v>2.001E-2</v>
      </c>
      <c r="C33">
        <v>0.2457</v>
      </c>
      <c r="D33">
        <v>1.022E-2</v>
      </c>
      <c r="E33">
        <v>-8.7300000000000003E-2</v>
      </c>
      <c r="F33">
        <v>0.98519999999999996</v>
      </c>
      <c r="G33">
        <v>0.51790000000000003</v>
      </c>
      <c r="I33">
        <f t="shared" si="0"/>
        <v>-1.3089969389957471E-2</v>
      </c>
      <c r="J33">
        <f t="shared" si="1"/>
        <v>12.278860569715143</v>
      </c>
    </row>
    <row r="34" spans="1:10" x14ac:dyDescent="0.25">
      <c r="A34" s="65">
        <v>-0.5</v>
      </c>
      <c r="B34">
        <v>1.8859999999999998E-2</v>
      </c>
      <c r="C34">
        <v>0.27789999999999998</v>
      </c>
      <c r="D34">
        <v>9.8700000000000003E-3</v>
      </c>
      <c r="E34">
        <v>-8.7400000000000005E-2</v>
      </c>
      <c r="F34">
        <v>0.97009999999999996</v>
      </c>
      <c r="G34">
        <v>1</v>
      </c>
      <c r="I34">
        <f t="shared" si="0"/>
        <v>-8.7266462599716477E-3</v>
      </c>
      <c r="J34">
        <f t="shared" si="1"/>
        <v>14.734888653234359</v>
      </c>
    </row>
    <row r="35" spans="1:10" x14ac:dyDescent="0.25">
      <c r="A35" s="65">
        <v>-0.25</v>
      </c>
      <c r="B35">
        <v>1.9050000000000001E-2</v>
      </c>
      <c r="C35">
        <v>0.3231</v>
      </c>
      <c r="D35">
        <v>9.6299999999999997E-3</v>
      </c>
      <c r="E35">
        <v>-9.0800000000000006E-2</v>
      </c>
      <c r="F35">
        <v>0.95589999999999997</v>
      </c>
      <c r="G35">
        <v>1</v>
      </c>
      <c r="I35">
        <f t="shared" si="0"/>
        <v>-4.3633231299858239E-3</v>
      </c>
      <c r="J35">
        <f t="shared" si="1"/>
        <v>16.960629921259841</v>
      </c>
    </row>
    <row r="36" spans="1:10" x14ac:dyDescent="0.25">
      <c r="A36" s="65">
        <v>0</v>
      </c>
      <c r="B36">
        <v>1.917E-2</v>
      </c>
      <c r="C36">
        <v>0.36520000000000002</v>
      </c>
      <c r="D36">
        <v>9.4299999999999991E-3</v>
      </c>
      <c r="E36">
        <v>-9.3600000000000003E-2</v>
      </c>
      <c r="F36">
        <v>0.9405</v>
      </c>
      <c r="G36">
        <v>1</v>
      </c>
      <c r="I36">
        <f t="shared" si="0"/>
        <v>0</v>
      </c>
      <c r="J36">
        <f t="shared" si="1"/>
        <v>19.05059989567032</v>
      </c>
    </row>
    <row r="37" spans="1:10" x14ac:dyDescent="0.25">
      <c r="A37" s="65">
        <v>0.25</v>
      </c>
      <c r="B37">
        <v>1.9269999999999999E-2</v>
      </c>
      <c r="C37">
        <v>0.40610000000000002</v>
      </c>
      <c r="D37">
        <v>9.2800000000000001E-3</v>
      </c>
      <c r="E37">
        <v>-9.6000000000000002E-2</v>
      </c>
      <c r="F37">
        <v>0.9254</v>
      </c>
      <c r="G37">
        <v>1</v>
      </c>
      <c r="I37">
        <f t="shared" si="0"/>
        <v>4.3633231299858239E-3</v>
      </c>
      <c r="J37">
        <f t="shared" si="1"/>
        <v>21.074208614426571</v>
      </c>
    </row>
    <row r="38" spans="1:10" x14ac:dyDescent="0.25">
      <c r="A38" s="65">
        <v>0.5</v>
      </c>
      <c r="B38">
        <v>1.933E-2</v>
      </c>
      <c r="C38">
        <v>0.44590000000000002</v>
      </c>
      <c r="D38">
        <v>9.1599999999999997E-3</v>
      </c>
      <c r="E38">
        <v>-9.8100000000000007E-2</v>
      </c>
      <c r="F38">
        <v>0.9103</v>
      </c>
      <c r="G38">
        <v>1</v>
      </c>
      <c r="I38">
        <f t="shared" si="0"/>
        <v>8.7266462599716477E-3</v>
      </c>
      <c r="J38">
        <f t="shared" si="1"/>
        <v>23.067770305225039</v>
      </c>
    </row>
    <row r="39" spans="1:10" x14ac:dyDescent="0.25">
      <c r="A39" s="65">
        <v>0.75</v>
      </c>
      <c r="B39">
        <v>1.9359999999999999E-2</v>
      </c>
      <c r="C39">
        <v>0.48309999999999997</v>
      </c>
      <c r="D39">
        <v>9.0399999999999994E-3</v>
      </c>
      <c r="E39">
        <v>-9.9599999999999994E-2</v>
      </c>
      <c r="F39">
        <v>0.89439999999999997</v>
      </c>
      <c r="G39">
        <v>1</v>
      </c>
      <c r="I39">
        <f t="shared" si="0"/>
        <v>1.3089969389957471E-2</v>
      </c>
      <c r="J39">
        <f t="shared" si="1"/>
        <v>24.953512396694215</v>
      </c>
    </row>
    <row r="40" spans="1:10" x14ac:dyDescent="0.25">
      <c r="A40" s="65">
        <v>1</v>
      </c>
      <c r="B40">
        <v>1.9349999999999999E-2</v>
      </c>
      <c r="C40">
        <v>0.51859999999999995</v>
      </c>
      <c r="D40">
        <v>8.9300000000000004E-3</v>
      </c>
      <c r="E40">
        <v>-0.10059999999999999</v>
      </c>
      <c r="F40">
        <v>0.87780000000000002</v>
      </c>
      <c r="G40">
        <v>1</v>
      </c>
      <c r="I40">
        <f t="shared" si="0"/>
        <v>1.7453292519943295E-2</v>
      </c>
      <c r="J40">
        <f t="shared" si="1"/>
        <v>26.801033591731265</v>
      </c>
    </row>
    <row r="41" spans="1:10" x14ac:dyDescent="0.25">
      <c r="A41" s="65">
        <v>1.25</v>
      </c>
      <c r="B41">
        <v>1.932E-2</v>
      </c>
      <c r="C41">
        <v>0.55349999999999999</v>
      </c>
      <c r="D41">
        <v>8.8100000000000001E-3</v>
      </c>
      <c r="E41">
        <v>-0.1014</v>
      </c>
      <c r="F41">
        <v>0.86070000000000002</v>
      </c>
      <c r="G41">
        <v>1</v>
      </c>
      <c r="I41">
        <f t="shared" ref="I41:I72" si="6">A41*PI()/180</f>
        <v>2.1816615649929118E-2</v>
      </c>
      <c r="J41">
        <f t="shared" ref="J41:J72" si="7">C41/B41</f>
        <v>28.649068322981364</v>
      </c>
    </row>
    <row r="42" spans="1:10" x14ac:dyDescent="0.25">
      <c r="A42" s="65">
        <v>1.5</v>
      </c>
      <c r="B42">
        <v>1.925E-2</v>
      </c>
      <c r="C42">
        <v>0.58809999999999996</v>
      </c>
      <c r="D42">
        <v>8.6700000000000006E-3</v>
      </c>
      <c r="E42">
        <v>-0.1019</v>
      </c>
      <c r="F42">
        <v>0.84340000000000004</v>
      </c>
      <c r="G42">
        <v>1</v>
      </c>
      <c r="I42">
        <f t="shared" si="6"/>
        <v>2.6179938779914941E-2</v>
      </c>
      <c r="J42">
        <f t="shared" si="7"/>
        <v>30.550649350649348</v>
      </c>
    </row>
    <row r="43" spans="1:10" x14ac:dyDescent="0.25">
      <c r="A43" s="65">
        <v>1.75</v>
      </c>
      <c r="B43">
        <v>1.9259999999999999E-2</v>
      </c>
      <c r="C43">
        <v>0.6179</v>
      </c>
      <c r="D43">
        <v>8.6400000000000001E-3</v>
      </c>
      <c r="E43">
        <v>-0.1017</v>
      </c>
      <c r="F43">
        <v>0.82240000000000002</v>
      </c>
      <c r="G43">
        <v>1</v>
      </c>
      <c r="I43">
        <f t="shared" si="6"/>
        <v>3.0543261909900768E-2</v>
      </c>
      <c r="J43">
        <f t="shared" si="7"/>
        <v>32.082035306334376</v>
      </c>
    </row>
    <row r="44" spans="1:10" x14ac:dyDescent="0.25">
      <c r="A44" s="65">
        <v>2</v>
      </c>
      <c r="B44">
        <v>1.9199999999999998E-2</v>
      </c>
      <c r="C44">
        <v>0.64980000000000004</v>
      </c>
      <c r="D44">
        <v>8.5299999999999994E-3</v>
      </c>
      <c r="E44">
        <v>-0.1016</v>
      </c>
      <c r="F44">
        <v>0.80220000000000002</v>
      </c>
      <c r="G44">
        <v>1</v>
      </c>
      <c r="I44">
        <f t="shared" si="6"/>
        <v>3.4906585039886591E-2</v>
      </c>
      <c r="J44">
        <f t="shared" si="7"/>
        <v>33.843750000000007</v>
      </c>
    </row>
    <row r="45" spans="1:10" x14ac:dyDescent="0.25">
      <c r="A45" s="65">
        <v>2.25</v>
      </c>
      <c r="B45">
        <v>1.9210000000000001E-2</v>
      </c>
      <c r="C45">
        <v>0.67900000000000005</v>
      </c>
      <c r="D45">
        <v>8.5299999999999994E-3</v>
      </c>
      <c r="E45">
        <v>-0.1011</v>
      </c>
      <c r="F45">
        <v>0.77890000000000004</v>
      </c>
      <c r="G45">
        <v>1</v>
      </c>
      <c r="I45">
        <f t="shared" si="6"/>
        <v>3.9269908169872414E-2</v>
      </c>
      <c r="J45">
        <f t="shared" si="7"/>
        <v>35.346173867777196</v>
      </c>
    </row>
    <row r="46" spans="1:10" x14ac:dyDescent="0.25">
      <c r="A46" s="65">
        <v>2.5</v>
      </c>
      <c r="B46">
        <v>1.9210000000000001E-2</v>
      </c>
      <c r="C46">
        <v>0.7087</v>
      </c>
      <c r="D46">
        <v>8.4799999999999997E-3</v>
      </c>
      <c r="E46">
        <v>-0.10050000000000001</v>
      </c>
      <c r="F46">
        <v>0.75519999999999998</v>
      </c>
      <c r="G46">
        <v>1</v>
      </c>
      <c r="I46">
        <f t="shared" si="6"/>
        <v>4.3633231299858237E-2</v>
      </c>
      <c r="J46">
        <f t="shared" si="7"/>
        <v>36.892243623112961</v>
      </c>
    </row>
    <row r="47" spans="1:10" x14ac:dyDescent="0.25">
      <c r="A47" s="65">
        <v>2.75</v>
      </c>
      <c r="B47">
        <v>1.924E-2</v>
      </c>
      <c r="C47">
        <v>0.73780000000000001</v>
      </c>
      <c r="D47">
        <v>8.4499999999999992E-3</v>
      </c>
      <c r="E47">
        <v>-9.98E-2</v>
      </c>
      <c r="F47">
        <v>0.7298</v>
      </c>
      <c r="G47">
        <v>1</v>
      </c>
      <c r="I47">
        <f t="shared" si="6"/>
        <v>4.799655442984406E-2</v>
      </c>
      <c r="J47">
        <f t="shared" si="7"/>
        <v>38.347193347193347</v>
      </c>
    </row>
    <row r="48" spans="1:10" x14ac:dyDescent="0.25">
      <c r="A48" s="65">
        <v>3</v>
      </c>
      <c r="B48">
        <v>1.934E-2</v>
      </c>
      <c r="C48">
        <v>0.76519999999999999</v>
      </c>
      <c r="D48">
        <v>8.5000000000000006E-3</v>
      </c>
      <c r="E48">
        <v>-9.8900000000000002E-2</v>
      </c>
      <c r="F48">
        <v>0.70189999999999997</v>
      </c>
      <c r="G48">
        <v>1</v>
      </c>
      <c r="I48">
        <f t="shared" si="6"/>
        <v>5.2359877559829883E-2</v>
      </c>
      <c r="J48">
        <f t="shared" si="7"/>
        <v>39.565667011375389</v>
      </c>
    </row>
    <row r="49" spans="1:10" x14ac:dyDescent="0.25">
      <c r="A49" s="65">
        <v>3.25</v>
      </c>
      <c r="B49">
        <v>1.951E-2</v>
      </c>
      <c r="C49">
        <v>0.79220000000000002</v>
      </c>
      <c r="D49">
        <v>8.6300000000000005E-3</v>
      </c>
      <c r="E49">
        <v>-9.8000000000000004E-2</v>
      </c>
      <c r="F49">
        <v>0.67279999999999995</v>
      </c>
      <c r="G49">
        <v>1</v>
      </c>
      <c r="I49">
        <f t="shared" si="6"/>
        <v>5.6723200689815713E-2</v>
      </c>
      <c r="J49">
        <f t="shared" si="7"/>
        <v>40.604818042029727</v>
      </c>
    </row>
    <row r="50" spans="1:10" x14ac:dyDescent="0.25">
      <c r="A50" s="65">
        <v>3.5</v>
      </c>
      <c r="B50">
        <v>1.975E-2</v>
      </c>
      <c r="C50">
        <v>0.81799999999999995</v>
      </c>
      <c r="D50">
        <v>8.8000000000000005E-3</v>
      </c>
      <c r="E50">
        <v>-9.69E-2</v>
      </c>
      <c r="F50">
        <v>0.64229999999999998</v>
      </c>
      <c r="G50">
        <v>1</v>
      </c>
      <c r="I50">
        <f t="shared" si="6"/>
        <v>6.1086523819801536E-2</v>
      </c>
      <c r="J50">
        <f t="shared" si="7"/>
        <v>41.417721518987342</v>
      </c>
    </row>
    <row r="51" spans="1:10" x14ac:dyDescent="0.25">
      <c r="A51" s="65">
        <v>3.75</v>
      </c>
      <c r="B51">
        <v>2.0070000000000001E-2</v>
      </c>
      <c r="C51">
        <v>0.84379999999999999</v>
      </c>
      <c r="D51">
        <v>9.0299999999999998E-3</v>
      </c>
      <c r="E51">
        <v>-9.5899999999999999E-2</v>
      </c>
      <c r="F51">
        <v>0.61160000000000003</v>
      </c>
      <c r="G51">
        <v>1</v>
      </c>
      <c r="I51">
        <f t="shared" si="6"/>
        <v>6.5449846949787352E-2</v>
      </c>
      <c r="J51">
        <f t="shared" si="7"/>
        <v>42.042850024912802</v>
      </c>
    </row>
    <row r="52" spans="1:10" x14ac:dyDescent="0.25">
      <c r="A52" s="65">
        <v>4</v>
      </c>
      <c r="B52">
        <v>2.0449999999999999E-2</v>
      </c>
      <c r="C52">
        <v>0.86909999999999998</v>
      </c>
      <c r="D52">
        <v>9.3299999999999998E-3</v>
      </c>
      <c r="E52">
        <v>-9.4899999999999998E-2</v>
      </c>
      <c r="F52">
        <v>0.58140000000000003</v>
      </c>
      <c r="G52">
        <v>1</v>
      </c>
      <c r="I52">
        <f t="shared" si="6"/>
        <v>6.9813170079773182E-2</v>
      </c>
      <c r="J52">
        <f t="shared" si="7"/>
        <v>42.498777506112468</v>
      </c>
    </row>
    <row r="53" spans="1:10" x14ac:dyDescent="0.25">
      <c r="A53" s="65">
        <v>4.25</v>
      </c>
      <c r="B53">
        <v>2.0889999999999999E-2</v>
      </c>
      <c r="C53">
        <v>0.89419999999999999</v>
      </c>
      <c r="D53">
        <v>9.75E-3</v>
      </c>
      <c r="E53">
        <v>-9.4E-2</v>
      </c>
      <c r="F53">
        <v>0.55249999999999999</v>
      </c>
      <c r="G53">
        <v>1</v>
      </c>
      <c r="I53">
        <f t="shared" si="6"/>
        <v>7.4176493209759012E-2</v>
      </c>
      <c r="J53">
        <f t="shared" si="7"/>
        <v>42.805169937769271</v>
      </c>
    </row>
    <row r="54" spans="1:10" x14ac:dyDescent="0.25">
      <c r="A54" s="65">
        <v>4.5</v>
      </c>
      <c r="B54">
        <v>2.1399999999999999E-2</v>
      </c>
      <c r="C54">
        <v>0.91910000000000003</v>
      </c>
      <c r="D54">
        <v>1.018E-2</v>
      </c>
      <c r="E54">
        <v>-9.3100000000000002E-2</v>
      </c>
      <c r="F54">
        <v>0.52549999999999997</v>
      </c>
      <c r="G54">
        <v>1</v>
      </c>
      <c r="I54">
        <f t="shared" si="6"/>
        <v>7.8539816339744828E-2</v>
      </c>
      <c r="J54">
        <f t="shared" si="7"/>
        <v>42.948598130841127</v>
      </c>
    </row>
    <row r="55" spans="1:10" x14ac:dyDescent="0.25">
      <c r="A55" s="65">
        <v>4.75</v>
      </c>
      <c r="B55">
        <v>2.1940000000000001E-2</v>
      </c>
      <c r="C55">
        <v>0.94389999999999996</v>
      </c>
      <c r="D55">
        <v>1.0659999999999999E-2</v>
      </c>
      <c r="E55">
        <v>-9.2299999999999993E-2</v>
      </c>
      <c r="F55">
        <v>0.50080000000000002</v>
      </c>
      <c r="G55">
        <v>1</v>
      </c>
      <c r="I55">
        <f t="shared" si="6"/>
        <v>8.2903139469730644E-2</v>
      </c>
      <c r="J55">
        <f t="shared" si="7"/>
        <v>43.021877848678209</v>
      </c>
    </row>
    <row r="56" spans="1:10" x14ac:dyDescent="0.25">
      <c r="A56" s="65">
        <v>5</v>
      </c>
      <c r="B56">
        <v>2.2530000000000001E-2</v>
      </c>
      <c r="C56">
        <v>0.96860000000000002</v>
      </c>
      <c r="D56">
        <v>1.125E-2</v>
      </c>
      <c r="E56">
        <v>-9.1499999999999998E-2</v>
      </c>
      <c r="F56">
        <v>0.4773</v>
      </c>
      <c r="G56">
        <v>1</v>
      </c>
      <c r="I56">
        <f t="shared" si="6"/>
        <v>8.7266462599716474E-2</v>
      </c>
      <c r="J56">
        <f t="shared" si="7"/>
        <v>42.991566799822458</v>
      </c>
    </row>
    <row r="57" spans="1:10" x14ac:dyDescent="0.25">
      <c r="A57" s="65">
        <v>5.25</v>
      </c>
      <c r="B57">
        <v>2.316E-2</v>
      </c>
      <c r="C57">
        <v>0.99339999999999995</v>
      </c>
      <c r="D57">
        <v>1.1860000000000001E-2</v>
      </c>
      <c r="E57">
        <v>-9.0800000000000006E-2</v>
      </c>
      <c r="F57">
        <v>0.45619999999999999</v>
      </c>
      <c r="G57">
        <v>1</v>
      </c>
      <c r="I57">
        <f t="shared" si="6"/>
        <v>9.1629785729702304E-2</v>
      </c>
      <c r="J57">
        <f t="shared" si="7"/>
        <v>42.89291882556131</v>
      </c>
    </row>
    <row r="58" spans="1:10" x14ac:dyDescent="0.25">
      <c r="A58" s="65">
        <v>5.5</v>
      </c>
      <c r="B58">
        <v>2.3820000000000001E-2</v>
      </c>
      <c r="C58">
        <v>1.0182</v>
      </c>
      <c r="D58">
        <v>1.2619999999999999E-2</v>
      </c>
      <c r="E58">
        <v>-9.0200000000000002E-2</v>
      </c>
      <c r="F58">
        <v>0.43619999999999998</v>
      </c>
      <c r="G58">
        <v>1</v>
      </c>
      <c r="I58">
        <f t="shared" si="6"/>
        <v>9.599310885968812E-2</v>
      </c>
      <c r="J58">
        <f t="shared" si="7"/>
        <v>42.7455919395466</v>
      </c>
    </row>
    <row r="59" spans="1:10" x14ac:dyDescent="0.25">
      <c r="A59" s="65">
        <v>5.75</v>
      </c>
      <c r="B59">
        <v>2.4510000000000001E-2</v>
      </c>
      <c r="C59">
        <v>1.0428999999999999</v>
      </c>
      <c r="D59">
        <v>1.3339999999999999E-2</v>
      </c>
      <c r="E59">
        <v>-8.9499999999999996E-2</v>
      </c>
      <c r="F59">
        <v>0.41810000000000003</v>
      </c>
      <c r="G59">
        <v>1</v>
      </c>
      <c r="I59">
        <f t="shared" si="6"/>
        <v>0.10035643198967394</v>
      </c>
      <c r="J59">
        <f t="shared" si="7"/>
        <v>42.549979600163198</v>
      </c>
    </row>
    <row r="60" spans="1:10" x14ac:dyDescent="0.25">
      <c r="A60" s="65">
        <v>6</v>
      </c>
      <c r="B60">
        <v>2.5239999999999999E-2</v>
      </c>
      <c r="C60">
        <v>1.0676000000000001</v>
      </c>
      <c r="D60">
        <v>1.4120000000000001E-2</v>
      </c>
      <c r="E60">
        <v>-8.8800000000000004E-2</v>
      </c>
      <c r="F60">
        <v>0.4012</v>
      </c>
      <c r="G60">
        <v>1</v>
      </c>
      <c r="I60">
        <f t="shared" si="6"/>
        <v>0.10471975511965977</v>
      </c>
      <c r="J60">
        <f t="shared" si="7"/>
        <v>42.297939778129958</v>
      </c>
    </row>
    <row r="61" spans="1:10" x14ac:dyDescent="0.25">
      <c r="A61" s="65">
        <v>6.25</v>
      </c>
      <c r="B61">
        <v>2.6009999999999998E-2</v>
      </c>
      <c r="C61">
        <v>1.0918000000000001</v>
      </c>
      <c r="D61">
        <v>1.5010000000000001E-2</v>
      </c>
      <c r="E61">
        <v>-8.8200000000000001E-2</v>
      </c>
      <c r="F61">
        <v>0.38429999999999997</v>
      </c>
      <c r="G61">
        <v>1</v>
      </c>
      <c r="I61">
        <f t="shared" si="6"/>
        <v>0.1090830782496456</v>
      </c>
      <c r="J61">
        <f t="shared" si="7"/>
        <v>41.976163014225307</v>
      </c>
    </row>
    <row r="62" spans="1:10" x14ac:dyDescent="0.25">
      <c r="A62" s="65">
        <v>6.5</v>
      </c>
      <c r="B62">
        <v>2.681E-2</v>
      </c>
      <c r="C62">
        <v>1.1158999999999999</v>
      </c>
      <c r="D62">
        <v>1.6E-2</v>
      </c>
      <c r="E62">
        <v>-8.7499999999999994E-2</v>
      </c>
      <c r="F62">
        <v>0.36830000000000002</v>
      </c>
      <c r="G62">
        <v>1</v>
      </c>
      <c r="I62">
        <f t="shared" si="6"/>
        <v>0.11344640137963143</v>
      </c>
      <c r="J62">
        <f t="shared" si="7"/>
        <v>41.622528907124206</v>
      </c>
    </row>
    <row r="63" spans="1:10" x14ac:dyDescent="0.25">
      <c r="A63" s="65">
        <v>6.75</v>
      </c>
      <c r="B63">
        <v>2.7640000000000001E-2</v>
      </c>
      <c r="C63">
        <v>1.1395</v>
      </c>
      <c r="D63">
        <v>1.6979999999999999E-2</v>
      </c>
      <c r="E63">
        <v>-8.6699999999999999E-2</v>
      </c>
      <c r="F63">
        <v>0.35260000000000002</v>
      </c>
      <c r="G63">
        <v>1</v>
      </c>
      <c r="I63">
        <f t="shared" si="6"/>
        <v>0.11780972450961724</v>
      </c>
      <c r="J63">
        <f t="shared" si="7"/>
        <v>41.226483357452963</v>
      </c>
    </row>
    <row r="64" spans="1:10" x14ac:dyDescent="0.25">
      <c r="A64" s="65">
        <v>7</v>
      </c>
      <c r="B64">
        <v>2.8500000000000001E-2</v>
      </c>
      <c r="C64">
        <v>1.1627000000000001</v>
      </c>
      <c r="D64">
        <v>1.8010000000000002E-2</v>
      </c>
      <c r="E64">
        <v>-8.5900000000000004E-2</v>
      </c>
      <c r="F64">
        <v>0.3372</v>
      </c>
      <c r="G64">
        <v>1</v>
      </c>
      <c r="I64">
        <f t="shared" si="6"/>
        <v>0.12217304763960307</v>
      </c>
      <c r="J64">
        <f t="shared" si="7"/>
        <v>40.796491228070174</v>
      </c>
    </row>
    <row r="65" spans="1:10" x14ac:dyDescent="0.25">
      <c r="A65" s="65">
        <v>7.25</v>
      </c>
      <c r="B65">
        <v>2.937E-2</v>
      </c>
      <c r="C65">
        <v>1.1853</v>
      </c>
      <c r="D65">
        <v>1.9060000000000001E-2</v>
      </c>
      <c r="E65">
        <v>-8.5000000000000006E-2</v>
      </c>
      <c r="F65">
        <v>0.32140000000000002</v>
      </c>
      <c r="G65">
        <v>1</v>
      </c>
      <c r="I65">
        <f t="shared" si="6"/>
        <v>0.1265363707695889</v>
      </c>
      <c r="J65">
        <f t="shared" si="7"/>
        <v>40.357507660878447</v>
      </c>
    </row>
    <row r="66" spans="1:10" x14ac:dyDescent="0.25">
      <c r="A66" s="65">
        <v>7.5</v>
      </c>
      <c r="B66">
        <v>3.023E-2</v>
      </c>
      <c r="C66">
        <v>1.2068000000000001</v>
      </c>
      <c r="D66">
        <v>2.01E-2</v>
      </c>
      <c r="E66">
        <v>-8.3900000000000002E-2</v>
      </c>
      <c r="F66">
        <v>0.3049</v>
      </c>
      <c r="G66">
        <v>1</v>
      </c>
      <c r="I66">
        <f t="shared" si="6"/>
        <v>0.1308996938995747</v>
      </c>
      <c r="J66">
        <f t="shared" si="7"/>
        <v>39.920608666887205</v>
      </c>
    </row>
    <row r="67" spans="1:10" x14ac:dyDescent="0.25">
      <c r="A67" s="65">
        <v>7.75</v>
      </c>
      <c r="B67">
        <v>3.1040000000000002E-2</v>
      </c>
      <c r="C67">
        <v>1.2261</v>
      </c>
      <c r="D67">
        <v>2.1149999999999999E-2</v>
      </c>
      <c r="E67">
        <v>-8.2600000000000007E-2</v>
      </c>
      <c r="F67">
        <v>0.2858</v>
      </c>
      <c r="G67">
        <v>1</v>
      </c>
      <c r="I67">
        <f t="shared" si="6"/>
        <v>0.13526301702956053</v>
      </c>
      <c r="J67">
        <f t="shared" si="7"/>
        <v>39.500644329896907</v>
      </c>
    </row>
    <row r="68" spans="1:10" x14ac:dyDescent="0.25">
      <c r="A68" s="65">
        <v>8</v>
      </c>
      <c r="B68">
        <v>3.1660000000000001E-2</v>
      </c>
      <c r="C68">
        <v>1.2408999999999999</v>
      </c>
      <c r="D68">
        <v>2.1899999999999999E-2</v>
      </c>
      <c r="E68">
        <v>-8.0699999999999994E-2</v>
      </c>
      <c r="F68">
        <v>0.26050000000000001</v>
      </c>
      <c r="G68">
        <v>1</v>
      </c>
      <c r="I68">
        <f t="shared" si="6"/>
        <v>0.13962634015954636</v>
      </c>
      <c r="J68">
        <f t="shared" si="7"/>
        <v>39.194567277321539</v>
      </c>
    </row>
    <row r="69" spans="1:10" x14ac:dyDescent="0.25">
      <c r="A69" s="65">
        <v>8.25</v>
      </c>
      <c r="B69">
        <v>3.2329999999999998E-2</v>
      </c>
      <c r="C69">
        <v>1.2522</v>
      </c>
      <c r="D69">
        <v>2.2720000000000001E-2</v>
      </c>
      <c r="E69">
        <v>-7.85E-2</v>
      </c>
      <c r="F69">
        <v>0.22919999999999999</v>
      </c>
      <c r="G69">
        <v>1</v>
      </c>
      <c r="I69">
        <f t="shared" si="6"/>
        <v>0.14398966328953219</v>
      </c>
      <c r="J69">
        <f t="shared" si="7"/>
        <v>38.731828023507582</v>
      </c>
    </row>
    <row r="70" spans="1:10" x14ac:dyDescent="0.25">
      <c r="A70" s="65">
        <v>8.5</v>
      </c>
      <c r="B70">
        <v>3.322E-2</v>
      </c>
      <c r="C70">
        <v>1.2633000000000001</v>
      </c>
      <c r="D70">
        <v>2.375E-2</v>
      </c>
      <c r="E70">
        <v>-7.6499999999999999E-2</v>
      </c>
      <c r="F70">
        <v>0.19470000000000001</v>
      </c>
      <c r="G70">
        <v>1</v>
      </c>
      <c r="I70">
        <f t="shared" si="6"/>
        <v>0.14835298641951802</v>
      </c>
      <c r="J70">
        <f t="shared" si="7"/>
        <v>38.028296207104155</v>
      </c>
    </row>
    <row r="71" spans="1:10" x14ac:dyDescent="0.25">
      <c r="A71" s="65">
        <v>8.75</v>
      </c>
      <c r="B71">
        <v>3.4529999999999998E-2</v>
      </c>
      <c r="C71">
        <v>1.2726999999999999</v>
      </c>
      <c r="D71">
        <v>2.5049999999999999E-2</v>
      </c>
      <c r="E71">
        <v>-7.4399999999999994E-2</v>
      </c>
      <c r="F71">
        <v>0.15509999999999999</v>
      </c>
      <c r="G71">
        <v>1</v>
      </c>
      <c r="I71">
        <f t="shared" si="6"/>
        <v>0.15271630954950383</v>
      </c>
      <c r="J71">
        <f t="shared" si="7"/>
        <v>36.857804807413842</v>
      </c>
    </row>
    <row r="72" spans="1:10" x14ac:dyDescent="0.25">
      <c r="A72" s="65">
        <v>9</v>
      </c>
      <c r="B72">
        <v>3.6589999999999998E-2</v>
      </c>
      <c r="C72">
        <v>1.2782</v>
      </c>
      <c r="D72">
        <v>2.691E-2</v>
      </c>
      <c r="E72">
        <v>-7.2099999999999997E-2</v>
      </c>
      <c r="F72">
        <v>0.1148</v>
      </c>
      <c r="G72">
        <v>1</v>
      </c>
      <c r="I72">
        <f t="shared" si="6"/>
        <v>0.15707963267948966</v>
      </c>
      <c r="J72">
        <f t="shared" si="7"/>
        <v>34.933041814703472</v>
      </c>
    </row>
    <row r="73" spans="1:10" x14ac:dyDescent="0.25">
      <c r="A73" s="65">
        <v>9.25</v>
      </c>
      <c r="B73">
        <v>3.9210000000000002E-2</v>
      </c>
      <c r="C73">
        <v>1.2806999999999999</v>
      </c>
      <c r="D73">
        <v>2.9309999999999999E-2</v>
      </c>
      <c r="E73">
        <v>-6.9699999999999998E-2</v>
      </c>
      <c r="F73">
        <v>8.8400000000000006E-2</v>
      </c>
      <c r="G73">
        <v>1</v>
      </c>
      <c r="I73">
        <f t="shared" ref="I73:I92" si="8">A73*PI()/180</f>
        <v>0.16144295580947549</v>
      </c>
      <c r="J73">
        <f t="shared" ref="J73:J92" si="9">C73/B73</f>
        <v>32.662586074980872</v>
      </c>
    </row>
    <row r="74" spans="1:10" x14ac:dyDescent="0.25">
      <c r="A74" s="65">
        <v>9.5</v>
      </c>
      <c r="B74">
        <v>4.1889999999999997E-2</v>
      </c>
      <c r="C74">
        <v>1.282</v>
      </c>
      <c r="D74">
        <v>3.1940000000000003E-2</v>
      </c>
      <c r="E74">
        <v>-6.7199999999999996E-2</v>
      </c>
      <c r="F74">
        <v>7.51E-2</v>
      </c>
      <c r="G74">
        <v>1</v>
      </c>
      <c r="I74">
        <f t="shared" si="8"/>
        <v>0.16580627893946129</v>
      </c>
      <c r="J74">
        <f t="shared" si="9"/>
        <v>30.603962759608503</v>
      </c>
    </row>
    <row r="75" spans="1:10" x14ac:dyDescent="0.25">
      <c r="A75" s="65">
        <v>9.75</v>
      </c>
      <c r="B75">
        <v>4.4450000000000003E-2</v>
      </c>
      <c r="C75">
        <v>1.2824</v>
      </c>
      <c r="D75">
        <v>3.4639999999999997E-2</v>
      </c>
      <c r="E75">
        <v>-6.4500000000000002E-2</v>
      </c>
      <c r="F75">
        <v>6.6299999999999998E-2</v>
      </c>
      <c r="G75">
        <v>1</v>
      </c>
      <c r="I75">
        <f t="shared" si="8"/>
        <v>0.17016960206944712</v>
      </c>
      <c r="J75">
        <f t="shared" si="9"/>
        <v>28.8503937007874</v>
      </c>
    </row>
    <row r="76" spans="1:10" x14ac:dyDescent="0.25">
      <c r="A76" s="65">
        <v>10</v>
      </c>
      <c r="B76">
        <v>4.7140000000000001E-2</v>
      </c>
      <c r="C76">
        <v>1.2793000000000001</v>
      </c>
      <c r="D76">
        <v>3.7330000000000002E-2</v>
      </c>
      <c r="E76">
        <v>-6.1899999999999997E-2</v>
      </c>
      <c r="F76">
        <v>6.0699999999999997E-2</v>
      </c>
      <c r="G76">
        <v>1</v>
      </c>
      <c r="I76">
        <f t="shared" si="8"/>
        <v>0.17453292519943295</v>
      </c>
      <c r="J76">
        <f t="shared" si="9"/>
        <v>27.1383114128129</v>
      </c>
    </row>
    <row r="77" spans="1:10" x14ac:dyDescent="0.25">
      <c r="A77" s="65">
        <v>10.25</v>
      </c>
      <c r="B77">
        <v>4.9779999999999998E-2</v>
      </c>
      <c r="C77">
        <v>1.2796000000000001</v>
      </c>
      <c r="D77">
        <v>4.0219999999999999E-2</v>
      </c>
      <c r="E77">
        <v>-5.9700000000000003E-2</v>
      </c>
      <c r="F77">
        <v>5.5500000000000001E-2</v>
      </c>
      <c r="G77">
        <v>1</v>
      </c>
      <c r="I77">
        <f t="shared" si="8"/>
        <v>0.17889624832941875</v>
      </c>
      <c r="J77">
        <f t="shared" si="9"/>
        <v>25.70510245078345</v>
      </c>
    </row>
    <row r="78" spans="1:10" x14ac:dyDescent="0.25">
      <c r="A78" s="65">
        <v>10.5</v>
      </c>
      <c r="B78">
        <v>5.2650000000000002E-2</v>
      </c>
      <c r="C78">
        <v>1.2778</v>
      </c>
      <c r="D78">
        <v>4.3220000000000001E-2</v>
      </c>
      <c r="E78">
        <v>-5.7799999999999997E-2</v>
      </c>
      <c r="F78">
        <v>5.2400000000000002E-2</v>
      </c>
      <c r="G78">
        <v>1</v>
      </c>
      <c r="I78">
        <f t="shared" si="8"/>
        <v>0.18325957145940461</v>
      </c>
      <c r="J78">
        <f t="shared" si="9"/>
        <v>24.269705603038936</v>
      </c>
    </row>
    <row r="79" spans="1:10" x14ac:dyDescent="0.25">
      <c r="A79" s="65">
        <v>10.75</v>
      </c>
      <c r="B79">
        <v>5.5780000000000003E-2</v>
      </c>
      <c r="C79">
        <v>1.2750999999999999</v>
      </c>
      <c r="D79">
        <v>4.6399999999999997E-2</v>
      </c>
      <c r="E79">
        <v>-5.6000000000000001E-2</v>
      </c>
      <c r="F79">
        <v>5.0200000000000002E-2</v>
      </c>
      <c r="G79">
        <v>1</v>
      </c>
      <c r="I79">
        <f t="shared" si="8"/>
        <v>0.18762289458939041</v>
      </c>
      <c r="J79">
        <f t="shared" si="9"/>
        <v>22.859447830763713</v>
      </c>
    </row>
    <row r="80" spans="1:10" x14ac:dyDescent="0.25">
      <c r="A80" s="65">
        <v>11</v>
      </c>
      <c r="B80">
        <v>5.8819999999999997E-2</v>
      </c>
      <c r="C80">
        <v>1.2773000000000001</v>
      </c>
      <c r="D80">
        <v>4.9750000000000003E-2</v>
      </c>
      <c r="E80">
        <v>-5.45E-2</v>
      </c>
      <c r="F80">
        <v>4.7800000000000002E-2</v>
      </c>
      <c r="G80">
        <v>1</v>
      </c>
      <c r="I80">
        <f t="shared" si="8"/>
        <v>0.19198621771937624</v>
      </c>
      <c r="J80">
        <f t="shared" si="9"/>
        <v>21.715402924175454</v>
      </c>
    </row>
    <row r="81" spans="1:10" x14ac:dyDescent="0.25">
      <c r="A81" s="65">
        <v>11.25</v>
      </c>
      <c r="B81">
        <v>6.2120000000000002E-2</v>
      </c>
      <c r="C81">
        <v>1.2769999999999999</v>
      </c>
      <c r="D81">
        <v>5.3339999999999999E-2</v>
      </c>
      <c r="E81">
        <v>-5.33E-2</v>
      </c>
      <c r="F81">
        <v>4.53E-2</v>
      </c>
      <c r="G81">
        <v>1</v>
      </c>
      <c r="I81">
        <f t="shared" si="8"/>
        <v>0.19634954084936207</v>
      </c>
      <c r="J81">
        <f t="shared" si="9"/>
        <v>20.556986477784932</v>
      </c>
    </row>
    <row r="82" spans="1:10" x14ac:dyDescent="0.25">
      <c r="A82" s="65">
        <v>11.5</v>
      </c>
      <c r="B82">
        <v>6.5640000000000004E-2</v>
      </c>
      <c r="C82">
        <v>1.2741</v>
      </c>
      <c r="D82">
        <v>5.7079999999999999E-2</v>
      </c>
      <c r="E82">
        <v>-5.2600000000000001E-2</v>
      </c>
      <c r="F82">
        <v>4.3200000000000002E-2</v>
      </c>
      <c r="G82">
        <v>1</v>
      </c>
      <c r="I82">
        <f t="shared" si="8"/>
        <v>0.20071286397934787</v>
      </c>
      <c r="J82">
        <f t="shared" si="9"/>
        <v>19.410420475319928</v>
      </c>
    </row>
    <row r="83" spans="1:10" x14ac:dyDescent="0.25">
      <c r="A83" s="65">
        <v>11.75</v>
      </c>
      <c r="B83">
        <v>6.9339999999999999E-2</v>
      </c>
      <c r="C83">
        <v>1.2699</v>
      </c>
      <c r="D83">
        <v>6.0909999999999999E-2</v>
      </c>
      <c r="E83">
        <v>-5.2299999999999999E-2</v>
      </c>
      <c r="F83">
        <v>4.1300000000000003E-2</v>
      </c>
      <c r="G83">
        <v>1</v>
      </c>
      <c r="I83">
        <f t="shared" si="8"/>
        <v>0.20507618710933373</v>
      </c>
      <c r="J83">
        <f t="shared" si="9"/>
        <v>18.31410441303721</v>
      </c>
    </row>
    <row r="84" spans="1:10" x14ac:dyDescent="0.25">
      <c r="A84" s="65">
        <v>12</v>
      </c>
      <c r="B84">
        <v>7.3150000000000007E-2</v>
      </c>
      <c r="C84">
        <v>1.2665999999999999</v>
      </c>
      <c r="D84">
        <v>6.4780000000000004E-2</v>
      </c>
      <c r="E84">
        <v>-5.1999999999999998E-2</v>
      </c>
      <c r="F84">
        <v>3.9699999999999999E-2</v>
      </c>
      <c r="G84">
        <v>1</v>
      </c>
      <c r="I84">
        <f t="shared" si="8"/>
        <v>0.20943951023931953</v>
      </c>
      <c r="J84">
        <f t="shared" si="9"/>
        <v>17.315105946684891</v>
      </c>
    </row>
    <row r="85" spans="1:10" x14ac:dyDescent="0.25">
      <c r="A85" s="65">
        <v>12.25</v>
      </c>
      <c r="B85">
        <v>7.757E-2</v>
      </c>
      <c r="C85">
        <v>1.2615000000000001</v>
      </c>
      <c r="D85">
        <v>6.9440000000000002E-2</v>
      </c>
      <c r="E85">
        <v>-5.21E-2</v>
      </c>
      <c r="F85">
        <v>3.8800000000000001E-2</v>
      </c>
      <c r="G85">
        <v>1</v>
      </c>
      <c r="I85">
        <f t="shared" si="8"/>
        <v>0.21380283336930536</v>
      </c>
      <c r="J85">
        <f t="shared" si="9"/>
        <v>16.262730437024622</v>
      </c>
    </row>
    <row r="86" spans="1:10" x14ac:dyDescent="0.25">
      <c r="A86" s="65">
        <v>12.5</v>
      </c>
      <c r="B86">
        <v>8.2589999999999997E-2</v>
      </c>
      <c r="C86">
        <v>1.2532000000000001</v>
      </c>
      <c r="D86">
        <v>7.4789999999999995E-2</v>
      </c>
      <c r="E86">
        <v>-5.2999999999999999E-2</v>
      </c>
      <c r="F86">
        <v>3.8300000000000001E-2</v>
      </c>
      <c r="G86">
        <v>1</v>
      </c>
      <c r="I86">
        <f t="shared" si="8"/>
        <v>0.21816615649929119</v>
      </c>
      <c r="J86">
        <f t="shared" si="9"/>
        <v>15.17374984864996</v>
      </c>
    </row>
    <row r="87" spans="1:10" x14ac:dyDescent="0.25">
      <c r="A87" s="65">
        <v>12.75</v>
      </c>
      <c r="B87">
        <v>8.8190000000000004E-2</v>
      </c>
      <c r="C87">
        <v>1.2422</v>
      </c>
      <c r="D87">
        <v>8.0689999999999998E-2</v>
      </c>
      <c r="E87">
        <v>-5.4699999999999999E-2</v>
      </c>
      <c r="F87">
        <v>3.7900000000000003E-2</v>
      </c>
      <c r="G87">
        <v>1</v>
      </c>
      <c r="I87">
        <f t="shared" si="8"/>
        <v>0.22252947962927699</v>
      </c>
      <c r="J87">
        <f t="shared" si="9"/>
        <v>14.085497221907245</v>
      </c>
    </row>
    <row r="88" spans="1:10" x14ac:dyDescent="0.25">
      <c r="A88" s="65">
        <v>13</v>
      </c>
      <c r="B88">
        <v>9.443E-2</v>
      </c>
      <c r="C88">
        <v>1.2285999999999999</v>
      </c>
      <c r="D88">
        <v>8.72E-2</v>
      </c>
      <c r="E88">
        <v>-5.7099999999999998E-2</v>
      </c>
      <c r="F88">
        <v>3.78E-2</v>
      </c>
      <c r="G88">
        <v>1</v>
      </c>
      <c r="I88">
        <f t="shared" si="8"/>
        <v>0.22689280275926285</v>
      </c>
      <c r="J88">
        <f t="shared" si="9"/>
        <v>13.010695753468177</v>
      </c>
    </row>
    <row r="89" spans="1:10" x14ac:dyDescent="0.25">
      <c r="A89" s="65">
        <v>13.25</v>
      </c>
      <c r="B89">
        <v>0.10131</v>
      </c>
      <c r="C89">
        <v>1.2133</v>
      </c>
      <c r="D89">
        <v>9.4329999999999997E-2</v>
      </c>
      <c r="E89">
        <v>-6.0400000000000002E-2</v>
      </c>
      <c r="F89">
        <v>3.7699999999999997E-2</v>
      </c>
      <c r="G89">
        <v>1</v>
      </c>
      <c r="I89">
        <f t="shared" si="8"/>
        <v>0.23125612588924865</v>
      </c>
      <c r="J89">
        <f t="shared" si="9"/>
        <v>11.976112920738329</v>
      </c>
    </row>
    <row r="90" spans="1:10" x14ac:dyDescent="0.25">
      <c r="A90" s="65">
        <v>13.5</v>
      </c>
      <c r="B90">
        <v>0.10882</v>
      </c>
      <c r="C90">
        <v>1.1968000000000001</v>
      </c>
      <c r="D90">
        <v>0.10206</v>
      </c>
      <c r="E90">
        <v>-6.4500000000000002E-2</v>
      </c>
      <c r="F90">
        <v>3.78E-2</v>
      </c>
      <c r="G90">
        <v>1</v>
      </c>
      <c r="I90">
        <f t="shared" si="8"/>
        <v>0.23561944901923448</v>
      </c>
      <c r="J90">
        <f t="shared" si="9"/>
        <v>10.997978312810146</v>
      </c>
    </row>
    <row r="91" spans="1:10" x14ac:dyDescent="0.25">
      <c r="A91" s="65">
        <v>13.75</v>
      </c>
      <c r="B91">
        <v>0.11703</v>
      </c>
      <c r="C91">
        <v>1.1792</v>
      </c>
      <c r="D91">
        <v>0.11047</v>
      </c>
      <c r="E91">
        <v>-6.9199999999999998E-2</v>
      </c>
      <c r="F91">
        <v>3.7900000000000003E-2</v>
      </c>
      <c r="G91">
        <v>1</v>
      </c>
      <c r="I91">
        <f t="shared" si="8"/>
        <v>0.23998277214922031</v>
      </c>
      <c r="J91">
        <f t="shared" si="9"/>
        <v>10.07604887635649</v>
      </c>
    </row>
    <row r="92" spans="1:10" x14ac:dyDescent="0.25">
      <c r="A92" s="65">
        <v>14</v>
      </c>
      <c r="B92">
        <v>0.12586</v>
      </c>
      <c r="C92">
        <v>1.1613</v>
      </c>
      <c r="D92">
        <v>0.11946</v>
      </c>
      <c r="E92">
        <v>-7.4499999999999997E-2</v>
      </c>
      <c r="F92">
        <v>3.8199999999999998E-2</v>
      </c>
      <c r="G92">
        <v>1</v>
      </c>
      <c r="I92">
        <f t="shared" si="8"/>
        <v>0.24434609527920614</v>
      </c>
      <c r="J92">
        <f t="shared" si="9"/>
        <v>9.2269187986651833</v>
      </c>
    </row>
    <row r="93" spans="1:10" x14ac:dyDescent="0.25">
      <c r="A93" s="65"/>
    </row>
    <row r="94" spans="1:10" x14ac:dyDescent="0.25">
      <c r="A94" s="65"/>
    </row>
    <row r="95" spans="1:10" x14ac:dyDescent="0.25">
      <c r="A95" s="65"/>
    </row>
    <row r="96" spans="1:10" x14ac:dyDescent="0.25">
      <c r="A96" s="65"/>
    </row>
    <row r="97" spans="1:1" x14ac:dyDescent="0.25">
      <c r="A97" s="65"/>
    </row>
    <row r="98" spans="1:1" x14ac:dyDescent="0.25">
      <c r="A98" s="65"/>
    </row>
    <row r="99" spans="1:1" x14ac:dyDescent="0.25">
      <c r="A99" s="65"/>
    </row>
    <row r="100" spans="1:1" x14ac:dyDescent="0.25">
      <c r="A100" s="65"/>
    </row>
    <row r="101" spans="1:1" x14ac:dyDescent="0.25">
      <c r="A101" s="65"/>
    </row>
    <row r="102" spans="1:1" x14ac:dyDescent="0.25">
      <c r="A102" s="65"/>
    </row>
    <row r="103" spans="1:1" x14ac:dyDescent="0.25">
      <c r="A103" s="65"/>
    </row>
    <row r="104" spans="1:1" x14ac:dyDescent="0.25">
      <c r="A104" s="65"/>
    </row>
    <row r="105" spans="1:1" x14ac:dyDescent="0.25">
      <c r="A105" s="65"/>
    </row>
    <row r="106" spans="1:1" x14ac:dyDescent="0.25">
      <c r="A106" s="65"/>
    </row>
    <row r="107" spans="1:1" x14ac:dyDescent="0.25">
      <c r="A107" s="65"/>
    </row>
    <row r="108" spans="1:1" x14ac:dyDescent="0.25">
      <c r="A108" s="65"/>
    </row>
    <row r="109" spans="1:1" x14ac:dyDescent="0.25">
      <c r="A109" s="65"/>
    </row>
    <row r="110" spans="1:1" x14ac:dyDescent="0.25">
      <c r="A110" s="65"/>
    </row>
    <row r="111" spans="1:1" x14ac:dyDescent="0.25">
      <c r="A111" s="65"/>
    </row>
    <row r="112" spans="1:1" x14ac:dyDescent="0.25">
      <c r="A112" s="65"/>
    </row>
    <row r="113" spans="1:1" x14ac:dyDescent="0.25">
      <c r="A113" s="65"/>
    </row>
    <row r="114" spans="1:1" x14ac:dyDescent="0.25">
      <c r="A114" s="65"/>
    </row>
    <row r="115" spans="1:1" x14ac:dyDescent="0.25">
      <c r="A115" s="65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opLeftCell="A4" workbookViewId="0">
      <selection activeCell="L63" sqref="L63"/>
    </sheetView>
  </sheetViews>
  <sheetFormatPr defaultRowHeight="15" x14ac:dyDescent="0.25"/>
  <sheetData>
    <row r="1" spans="1:21" x14ac:dyDescent="0.25">
      <c r="A1" s="67" t="s">
        <v>114</v>
      </c>
      <c r="H1" t="s">
        <v>25</v>
      </c>
      <c r="I1">
        <v>100000</v>
      </c>
    </row>
    <row r="2" spans="1:21" x14ac:dyDescent="0.25">
      <c r="A2" s="66" t="s">
        <v>98</v>
      </c>
      <c r="H2" t="s">
        <v>57</v>
      </c>
      <c r="I2" t="s">
        <v>58</v>
      </c>
      <c r="J2" t="s">
        <v>56</v>
      </c>
      <c r="K2" t="s">
        <v>55</v>
      </c>
      <c r="L2" t="s">
        <v>54</v>
      </c>
      <c r="M2" t="s">
        <v>53</v>
      </c>
      <c r="N2" t="s">
        <v>51</v>
      </c>
      <c r="O2" t="s">
        <v>52</v>
      </c>
    </row>
    <row r="3" spans="1:21" x14ac:dyDescent="0.25">
      <c r="A3" s="66" t="s">
        <v>115</v>
      </c>
      <c r="H3">
        <f>I4</f>
        <v>0.43207171754548263</v>
      </c>
      <c r="I3">
        <f>H4</f>
        <v>6.3526733520306085</v>
      </c>
      <c r="J3">
        <v>-5.4999999999999997E-3</v>
      </c>
      <c r="K3">
        <v>1.2666999999999999</v>
      </c>
      <c r="L3">
        <f>SMALL(B9:B98,1)</f>
        <v>1.214E-2</v>
      </c>
      <c r="M3">
        <f>(L6-L3)/((M6-O3)^2)</f>
        <v>1.9638731358958203E-2</v>
      </c>
      <c r="N3">
        <f>(N6-L3)/((O6-O3)^2)</f>
        <v>3.926967185691798E-2</v>
      </c>
      <c r="O3">
        <f>VLOOKUP(L3,B9:C98,2,FALSE)</f>
        <v>0.51580000000000004</v>
      </c>
    </row>
    <row r="4" spans="1:21" x14ac:dyDescent="0.25">
      <c r="A4" s="66" t="s">
        <v>99</v>
      </c>
      <c r="H4">
        <f t="array" ref="H4:I4">LINEST($C$25:$C$70,$I$25:$I$70)</f>
        <v>6.3526733520306085</v>
      </c>
      <c r="I4">
        <v>0.43207171754548263</v>
      </c>
    </row>
    <row r="5" spans="1:21" x14ac:dyDescent="0.25">
      <c r="A5" s="70" t="s">
        <v>112</v>
      </c>
      <c r="L5" t="s">
        <v>104</v>
      </c>
      <c r="M5" t="s">
        <v>106</v>
      </c>
      <c r="N5" t="s">
        <v>105</v>
      </c>
      <c r="O5" t="s">
        <v>107</v>
      </c>
    </row>
    <row r="6" spans="1:21" x14ac:dyDescent="0.25">
      <c r="A6" s="70" t="s">
        <v>113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25">
      <c r="A7" s="65" t="s">
        <v>67</v>
      </c>
      <c r="B7" t="s">
        <v>21</v>
      </c>
      <c r="C7" t="s">
        <v>20</v>
      </c>
      <c r="D7" t="s">
        <v>66</v>
      </c>
      <c r="E7" t="s">
        <v>65</v>
      </c>
      <c r="F7" t="s">
        <v>64</v>
      </c>
      <c r="G7" t="s">
        <v>63</v>
      </c>
      <c r="I7" t="s">
        <v>90</v>
      </c>
      <c r="J7" t="s">
        <v>62</v>
      </c>
      <c r="R7" t="s">
        <v>94</v>
      </c>
      <c r="S7" t="s">
        <v>95</v>
      </c>
      <c r="T7" t="s">
        <v>96</v>
      </c>
      <c r="U7" t="s">
        <v>97</v>
      </c>
    </row>
    <row r="8" spans="1:21" x14ac:dyDescent="0.25">
      <c r="A8" s="65" t="s">
        <v>61</v>
      </c>
      <c r="B8" t="s">
        <v>59</v>
      </c>
      <c r="C8" t="s">
        <v>60</v>
      </c>
      <c r="D8" t="s">
        <v>60</v>
      </c>
      <c r="E8" t="s">
        <v>59</v>
      </c>
      <c r="F8" t="s">
        <v>59</v>
      </c>
      <c r="G8" t="s">
        <v>59</v>
      </c>
      <c r="J8">
        <f>MAX((J9:J115))</f>
        <v>59.208776595744681</v>
      </c>
      <c r="R8">
        <f>$L$3+$M$3*(S8-$O$3)^2</f>
        <v>1.214E-2</v>
      </c>
      <c r="S8">
        <f>O3</f>
        <v>0.51580000000000004</v>
      </c>
      <c r="T8">
        <f>$L$3+$N$3*(U8-$O$3)^2</f>
        <v>1.214E-2</v>
      </c>
      <c r="U8">
        <f>O3</f>
        <v>0.51580000000000004</v>
      </c>
    </row>
    <row r="9" spans="1:21" x14ac:dyDescent="0.25">
      <c r="A9" s="65">
        <v>-7.5</v>
      </c>
      <c r="B9">
        <v>9.3280000000000002E-2</v>
      </c>
      <c r="C9">
        <v>-0.35749999999999998</v>
      </c>
      <c r="D9">
        <v>8.8429999999999995E-2</v>
      </c>
      <c r="E9">
        <v>-2.3E-2</v>
      </c>
      <c r="F9">
        <v>1</v>
      </c>
      <c r="G9">
        <v>4.8099999999999997E-2</v>
      </c>
      <c r="I9">
        <f t="shared" ref="I9:I40" si="0">A9*PI()/180</f>
        <v>-0.1308996938995747</v>
      </c>
      <c r="J9">
        <f>C9/B9</f>
        <v>-3.8325471698113205</v>
      </c>
      <c r="R9">
        <f t="shared" ref="R9:R18" si="1">$L$3+$M$3*(S9-$O$3)^2</f>
        <v>1.2336387313589582E-2</v>
      </c>
      <c r="S9">
        <f>S8+0.1</f>
        <v>0.61580000000000001</v>
      </c>
      <c r="T9">
        <f t="shared" ref="T9:T18" si="2">$L$3+$N$3*(U9-$O$3)^2</f>
        <v>1.2532696718569179E-2</v>
      </c>
      <c r="U9">
        <f>U8-0.1</f>
        <v>0.41580000000000006</v>
      </c>
    </row>
    <row r="10" spans="1:21" x14ac:dyDescent="0.25">
      <c r="A10" s="65">
        <v>-7.25</v>
      </c>
      <c r="B10">
        <v>9.0999999999999998E-2</v>
      </c>
      <c r="C10">
        <v>-0.35970000000000002</v>
      </c>
      <c r="D10">
        <v>8.6239999999999997E-2</v>
      </c>
      <c r="E10">
        <v>-2.3699999999999999E-2</v>
      </c>
      <c r="F10">
        <v>1</v>
      </c>
      <c r="G10">
        <v>5.0299999999999997E-2</v>
      </c>
      <c r="I10">
        <f t="shared" si="0"/>
        <v>-0.1265363707695889</v>
      </c>
      <c r="J10">
        <f t="shared" ref="J10:J73" si="3">C10/B10</f>
        <v>-3.9527472527472529</v>
      </c>
      <c r="R10">
        <f t="shared" si="1"/>
        <v>1.2925549254358328E-2</v>
      </c>
      <c r="S10">
        <f t="shared" ref="S10:S18" si="4">S9+0.1</f>
        <v>0.71579999999999999</v>
      </c>
      <c r="T10">
        <f t="shared" si="2"/>
        <v>1.3710786874276718E-2</v>
      </c>
      <c r="U10">
        <f t="shared" ref="U10:U18" si="5">U9-0.1</f>
        <v>0.31580000000000008</v>
      </c>
    </row>
    <row r="11" spans="1:21" x14ac:dyDescent="0.25">
      <c r="A11" s="65">
        <v>-7</v>
      </c>
      <c r="B11">
        <v>8.8760000000000006E-2</v>
      </c>
      <c r="C11">
        <v>-0.36109999999999998</v>
      </c>
      <c r="D11">
        <v>8.4099999999999994E-2</v>
      </c>
      <c r="E11">
        <v>-2.9399999999999999E-2</v>
      </c>
      <c r="F11">
        <v>1</v>
      </c>
      <c r="G11">
        <v>5.2400000000000002E-2</v>
      </c>
      <c r="I11">
        <f t="shared" si="0"/>
        <v>-0.12217304763960307</v>
      </c>
      <c r="J11">
        <f t="shared" si="3"/>
        <v>-4.0682739972960791</v>
      </c>
      <c r="R11">
        <f t="shared" si="1"/>
        <v>1.3907485822306238E-2</v>
      </c>
      <c r="S11">
        <f t="shared" si="4"/>
        <v>0.81579999999999997</v>
      </c>
      <c r="T11">
        <f t="shared" si="2"/>
        <v>1.5674270467122615E-2</v>
      </c>
      <c r="U11">
        <f t="shared" si="5"/>
        <v>0.21580000000000008</v>
      </c>
    </row>
    <row r="12" spans="1:21" x14ac:dyDescent="0.25">
      <c r="A12" s="65">
        <v>-6.75</v>
      </c>
      <c r="B12">
        <v>8.5580000000000003E-2</v>
      </c>
      <c r="C12">
        <v>-0.35520000000000002</v>
      </c>
      <c r="D12">
        <v>8.0979999999999996E-2</v>
      </c>
      <c r="E12">
        <v>-3.5099999999999999E-2</v>
      </c>
      <c r="F12">
        <v>1</v>
      </c>
      <c r="G12">
        <v>5.2900000000000003E-2</v>
      </c>
      <c r="I12">
        <f t="shared" si="0"/>
        <v>-0.11780972450961724</v>
      </c>
      <c r="J12">
        <f t="shared" si="3"/>
        <v>-4.1505024538443562</v>
      </c>
      <c r="R12">
        <f t="shared" si="1"/>
        <v>1.5282197017433311E-2</v>
      </c>
      <c r="S12">
        <f t="shared" si="4"/>
        <v>0.91579999999999995</v>
      </c>
      <c r="T12">
        <f t="shared" si="2"/>
        <v>1.8423147497106877E-2</v>
      </c>
      <c r="U12">
        <f t="shared" si="5"/>
        <v>0.11580000000000007</v>
      </c>
    </row>
    <row r="13" spans="1:21" x14ac:dyDescent="0.25">
      <c r="A13" s="65">
        <v>-6.5</v>
      </c>
      <c r="B13">
        <v>8.1869999999999998E-2</v>
      </c>
      <c r="C13">
        <v>-0.34649999999999997</v>
      </c>
      <c r="D13">
        <v>7.7289999999999998E-2</v>
      </c>
      <c r="E13">
        <v>-3.9399999999999998E-2</v>
      </c>
      <c r="F13">
        <v>1</v>
      </c>
      <c r="G13">
        <v>5.2999999999999999E-2</v>
      </c>
      <c r="I13">
        <f t="shared" si="0"/>
        <v>-0.11344640137963143</v>
      </c>
      <c r="J13">
        <f t="shared" si="3"/>
        <v>-4.2323195309637232</v>
      </c>
      <c r="R13">
        <f t="shared" si="1"/>
        <v>1.7049682839739552E-2</v>
      </c>
      <c r="S13">
        <f t="shared" si="4"/>
        <v>1.0158</v>
      </c>
      <c r="T13">
        <f t="shared" si="2"/>
        <v>2.1957417964229495E-2</v>
      </c>
      <c r="U13">
        <f t="shared" si="5"/>
        <v>1.5800000000000064E-2</v>
      </c>
    </row>
    <row r="14" spans="1:21" x14ac:dyDescent="0.25">
      <c r="A14" s="65">
        <v>-6.25</v>
      </c>
      <c r="B14">
        <v>7.7899999999999997E-2</v>
      </c>
      <c r="C14">
        <v>-0.33679999999999999</v>
      </c>
      <c r="D14">
        <v>7.3330000000000006E-2</v>
      </c>
      <c r="E14">
        <v>-4.2500000000000003E-2</v>
      </c>
      <c r="F14">
        <v>1</v>
      </c>
      <c r="G14">
        <v>5.3100000000000001E-2</v>
      </c>
      <c r="I14">
        <f t="shared" si="0"/>
        <v>-0.1090830782496456</v>
      </c>
      <c r="J14">
        <f t="shared" si="3"/>
        <v>-4.3234916559691916</v>
      </c>
      <c r="R14">
        <f t="shared" si="1"/>
        <v>1.9209943289224957E-2</v>
      </c>
      <c r="S14">
        <f t="shared" si="4"/>
        <v>1.1158000000000001</v>
      </c>
      <c r="T14">
        <f t="shared" si="2"/>
        <v>2.6277081868490471E-2</v>
      </c>
      <c r="U14">
        <f t="shared" si="5"/>
        <v>-8.4199999999999942E-2</v>
      </c>
    </row>
    <row r="15" spans="1:21" x14ac:dyDescent="0.25">
      <c r="A15" s="65">
        <v>-6</v>
      </c>
      <c r="B15">
        <v>7.3870000000000005E-2</v>
      </c>
      <c r="C15">
        <v>-0.32669999999999999</v>
      </c>
      <c r="D15">
        <v>6.9290000000000004E-2</v>
      </c>
      <c r="E15">
        <v>-4.4600000000000001E-2</v>
      </c>
      <c r="F15">
        <v>1</v>
      </c>
      <c r="G15">
        <v>5.3100000000000001E-2</v>
      </c>
      <c r="I15">
        <f t="shared" si="0"/>
        <v>-0.10471975511965977</v>
      </c>
      <c r="J15">
        <f t="shared" si="3"/>
        <v>-4.4226343576553404</v>
      </c>
      <c r="R15">
        <f t="shared" si="1"/>
        <v>2.1762978365889522E-2</v>
      </c>
      <c r="S15">
        <f t="shared" si="4"/>
        <v>1.2158000000000002</v>
      </c>
      <c r="T15">
        <f t="shared" si="2"/>
        <v>3.138213920988981E-2</v>
      </c>
      <c r="U15">
        <f t="shared" si="5"/>
        <v>-0.18419999999999995</v>
      </c>
    </row>
    <row r="16" spans="1:21" x14ac:dyDescent="0.25">
      <c r="A16" s="65">
        <v>-5.5</v>
      </c>
      <c r="B16">
        <v>6.0749999999999998E-2</v>
      </c>
      <c r="C16">
        <v>-0.30840000000000001</v>
      </c>
      <c r="D16">
        <v>5.6120000000000003E-2</v>
      </c>
      <c r="E16">
        <v>-4.6800000000000001E-2</v>
      </c>
      <c r="F16">
        <v>1</v>
      </c>
      <c r="G16">
        <v>2.98E-2</v>
      </c>
      <c r="I16">
        <f t="shared" si="0"/>
        <v>-9.599310885968812E-2</v>
      </c>
      <c r="J16">
        <f t="shared" si="3"/>
        <v>-5.0765432098765437</v>
      </c>
      <c r="R16">
        <f t="shared" si="1"/>
        <v>2.4708788069733256E-2</v>
      </c>
      <c r="S16">
        <f t="shared" si="4"/>
        <v>1.3158000000000003</v>
      </c>
      <c r="T16">
        <f t="shared" si="2"/>
        <v>3.7272589988427515E-2</v>
      </c>
      <c r="U16">
        <f t="shared" si="5"/>
        <v>-0.28419999999999995</v>
      </c>
    </row>
    <row r="17" spans="1:21" x14ac:dyDescent="0.25">
      <c r="A17" s="65">
        <v>-5.25</v>
      </c>
      <c r="B17">
        <v>5.6779999999999997E-2</v>
      </c>
      <c r="C17">
        <v>-0.29449999999999998</v>
      </c>
      <c r="D17">
        <v>5.2109999999999997E-2</v>
      </c>
      <c r="E17">
        <v>-4.9099999999999998E-2</v>
      </c>
      <c r="F17">
        <v>1</v>
      </c>
      <c r="G17">
        <v>2.92E-2</v>
      </c>
      <c r="I17">
        <f t="shared" si="0"/>
        <v>-9.1629785729702304E-2</v>
      </c>
      <c r="J17">
        <f t="shared" si="3"/>
        <v>-5.1866854526241637</v>
      </c>
      <c r="R17">
        <f t="shared" si="1"/>
        <v>2.8047372400756158E-2</v>
      </c>
      <c r="S17">
        <f t="shared" si="4"/>
        <v>1.4158000000000004</v>
      </c>
      <c r="T17">
        <f t="shared" si="2"/>
        <v>4.3948434204103562E-2</v>
      </c>
      <c r="U17">
        <f t="shared" si="5"/>
        <v>-0.38419999999999999</v>
      </c>
    </row>
    <row r="18" spans="1:21" x14ac:dyDescent="0.25">
      <c r="A18" s="65">
        <v>-5</v>
      </c>
      <c r="B18">
        <v>5.2069999999999998E-2</v>
      </c>
      <c r="C18">
        <v>-0.27450000000000002</v>
      </c>
      <c r="D18">
        <v>4.7300000000000002E-2</v>
      </c>
      <c r="E18">
        <v>-5.2999999999999999E-2</v>
      </c>
      <c r="F18">
        <v>1</v>
      </c>
      <c r="G18">
        <v>2.87E-2</v>
      </c>
      <c r="I18">
        <f t="shared" si="0"/>
        <v>-8.7266462599716474E-2</v>
      </c>
      <c r="J18">
        <f t="shared" si="3"/>
        <v>-5.2717495678893806</v>
      </c>
      <c r="R18">
        <f t="shared" si="1"/>
        <v>3.1778731358958222E-2</v>
      </c>
      <c r="S18">
        <f t="shared" si="4"/>
        <v>1.5158000000000005</v>
      </c>
      <c r="T18">
        <f t="shared" si="2"/>
        <v>5.1409671856917978E-2</v>
      </c>
      <c r="U18">
        <f t="shared" si="5"/>
        <v>-0.48419999999999996</v>
      </c>
    </row>
    <row r="19" spans="1:21" x14ac:dyDescent="0.25">
      <c r="A19" s="65">
        <v>-4.75</v>
      </c>
      <c r="B19">
        <v>4.6510000000000003E-2</v>
      </c>
      <c r="C19">
        <v>-0.24829999999999999</v>
      </c>
      <c r="D19">
        <v>4.1549999999999997E-2</v>
      </c>
      <c r="E19">
        <v>-5.8299999999999998E-2</v>
      </c>
      <c r="F19">
        <v>1</v>
      </c>
      <c r="G19">
        <v>2.8299999999999999E-2</v>
      </c>
      <c r="I19">
        <f t="shared" si="0"/>
        <v>-8.2903139469730644E-2</v>
      </c>
      <c r="J19">
        <f t="shared" si="3"/>
        <v>-5.33863685228983</v>
      </c>
    </row>
    <row r="20" spans="1:21" x14ac:dyDescent="0.25">
      <c r="A20" s="65">
        <v>-4.5</v>
      </c>
      <c r="B20">
        <v>4.0329999999999998E-2</v>
      </c>
      <c r="C20">
        <v>-0.216</v>
      </c>
      <c r="D20">
        <v>3.499E-2</v>
      </c>
      <c r="E20">
        <v>-6.4199999999999993E-2</v>
      </c>
      <c r="F20">
        <v>1</v>
      </c>
      <c r="G20">
        <v>2.8000000000000001E-2</v>
      </c>
      <c r="I20">
        <f t="shared" si="0"/>
        <v>-7.8539816339744828E-2</v>
      </c>
      <c r="J20">
        <f t="shared" si="3"/>
        <v>-5.355814530126457</v>
      </c>
    </row>
    <row r="21" spans="1:21" x14ac:dyDescent="0.25">
      <c r="A21" s="65">
        <v>-4.25</v>
      </c>
      <c r="B21">
        <v>3.3480000000000003E-2</v>
      </c>
      <c r="C21">
        <v>-0.1711</v>
      </c>
      <c r="D21">
        <v>2.7470000000000001E-2</v>
      </c>
      <c r="E21">
        <v>-7.1800000000000003E-2</v>
      </c>
      <c r="F21">
        <v>0.99829999999999997</v>
      </c>
      <c r="G21">
        <v>2.8299999999999999E-2</v>
      </c>
      <c r="I21">
        <f t="shared" si="0"/>
        <v>-7.4176493209759012E-2</v>
      </c>
      <c r="J21">
        <f t="shared" si="3"/>
        <v>-5.110513739545997</v>
      </c>
    </row>
    <row r="22" spans="1:21" x14ac:dyDescent="0.25">
      <c r="A22" s="65">
        <v>-4</v>
      </c>
      <c r="B22">
        <v>2.8250000000000001E-2</v>
      </c>
      <c r="C22">
        <v>-0.12470000000000001</v>
      </c>
      <c r="D22">
        <v>2.1350000000000001E-2</v>
      </c>
      <c r="E22">
        <v>-7.7899999999999997E-2</v>
      </c>
      <c r="F22">
        <v>0.99590000000000001</v>
      </c>
      <c r="G22">
        <v>3.1E-2</v>
      </c>
      <c r="I22">
        <f t="shared" si="0"/>
        <v>-6.9813170079773182E-2</v>
      </c>
      <c r="J22">
        <f t="shared" si="3"/>
        <v>-4.4141592920353983</v>
      </c>
    </row>
    <row r="23" spans="1:21" x14ac:dyDescent="0.25">
      <c r="A23" s="65">
        <v>-3.75</v>
      </c>
      <c r="B23">
        <v>2.5749999999999999E-2</v>
      </c>
      <c r="C23">
        <v>-8.5300000000000001E-2</v>
      </c>
      <c r="D23">
        <v>1.8440000000000002E-2</v>
      </c>
      <c r="E23">
        <v>-8.14E-2</v>
      </c>
      <c r="F23">
        <v>0.99260000000000004</v>
      </c>
      <c r="G23">
        <v>3.3000000000000002E-2</v>
      </c>
      <c r="I23">
        <f t="shared" si="0"/>
        <v>-6.5449846949787352E-2</v>
      </c>
      <c r="J23">
        <f t="shared" si="3"/>
        <v>-3.3126213592233014</v>
      </c>
    </row>
    <row r="24" spans="1:21" x14ac:dyDescent="0.25">
      <c r="A24" s="65">
        <v>-3.5</v>
      </c>
      <c r="B24">
        <v>2.3310000000000001E-2</v>
      </c>
      <c r="C24">
        <v>-4.5400000000000003E-2</v>
      </c>
      <c r="D24">
        <v>1.5480000000000001E-2</v>
      </c>
      <c r="E24">
        <v>-8.43E-2</v>
      </c>
      <c r="F24">
        <v>0.98909999999999998</v>
      </c>
      <c r="G24">
        <v>3.49E-2</v>
      </c>
      <c r="I24">
        <f t="shared" si="0"/>
        <v>-6.1086523819801536E-2</v>
      </c>
      <c r="J24">
        <f t="shared" si="3"/>
        <v>-1.9476619476619477</v>
      </c>
    </row>
    <row r="25" spans="1:21" x14ac:dyDescent="0.25">
      <c r="A25" s="65">
        <v>-3.25</v>
      </c>
      <c r="B25">
        <v>2.1489999999999999E-2</v>
      </c>
      <c r="C25">
        <v>-5.4999999999999997E-3</v>
      </c>
      <c r="D25">
        <v>1.315E-2</v>
      </c>
      <c r="E25">
        <v>-8.6900000000000005E-2</v>
      </c>
      <c r="F25">
        <v>0.98550000000000004</v>
      </c>
      <c r="G25">
        <v>3.8800000000000001E-2</v>
      </c>
      <c r="I25">
        <f t="shared" si="0"/>
        <v>-5.6723200689815713E-2</v>
      </c>
      <c r="J25">
        <f t="shared" si="3"/>
        <v>-0.25593299208934389</v>
      </c>
    </row>
    <row r="26" spans="1:21" x14ac:dyDescent="0.25">
      <c r="A26" s="65">
        <v>-3</v>
      </c>
      <c r="B26">
        <v>1.9980000000000001E-2</v>
      </c>
      <c r="C26">
        <v>3.3700000000000001E-2</v>
      </c>
      <c r="D26">
        <v>1.1339999999999999E-2</v>
      </c>
      <c r="E26">
        <v>-8.9399999999999993E-2</v>
      </c>
      <c r="F26">
        <v>0.98209999999999997</v>
      </c>
      <c r="G26">
        <v>4.3499999999999997E-2</v>
      </c>
      <c r="I26">
        <f t="shared" si="0"/>
        <v>-5.2359877559829883E-2</v>
      </c>
      <c r="J26">
        <f t="shared" si="3"/>
        <v>1.6866866866866865</v>
      </c>
    </row>
    <row r="27" spans="1:21" x14ac:dyDescent="0.25">
      <c r="A27" s="65">
        <v>-2.75</v>
      </c>
      <c r="B27">
        <v>1.8880000000000001E-2</v>
      </c>
      <c r="C27">
        <v>7.0099999999999996E-2</v>
      </c>
      <c r="D27">
        <v>1.0070000000000001E-2</v>
      </c>
      <c r="E27">
        <v>-9.11E-2</v>
      </c>
      <c r="F27">
        <v>0.97660000000000002</v>
      </c>
      <c r="G27">
        <v>4.8000000000000001E-2</v>
      </c>
      <c r="I27">
        <f t="shared" si="0"/>
        <v>-4.799655442984406E-2</v>
      </c>
      <c r="J27">
        <f t="shared" si="3"/>
        <v>3.7129237288135588</v>
      </c>
    </row>
    <row r="28" spans="1:21" x14ac:dyDescent="0.25">
      <c r="A28" s="65">
        <v>-2.5</v>
      </c>
      <c r="B28">
        <v>1.7989999999999999E-2</v>
      </c>
      <c r="C28">
        <v>0.1089</v>
      </c>
      <c r="D28">
        <v>9.0600000000000003E-3</v>
      </c>
      <c r="E28">
        <v>-9.3399999999999997E-2</v>
      </c>
      <c r="F28">
        <v>0.97189999999999999</v>
      </c>
      <c r="G28">
        <v>5.6500000000000002E-2</v>
      </c>
      <c r="I28">
        <f t="shared" si="0"/>
        <v>-4.3633231299858237E-2</v>
      </c>
      <c r="J28">
        <f t="shared" si="3"/>
        <v>6.0533629794330182</v>
      </c>
    </row>
    <row r="29" spans="1:21" x14ac:dyDescent="0.25">
      <c r="A29" s="65">
        <v>-2.25</v>
      </c>
      <c r="B29">
        <v>1.721E-2</v>
      </c>
      <c r="C29">
        <v>0.1464</v>
      </c>
      <c r="D29">
        <v>8.1700000000000002E-3</v>
      </c>
      <c r="E29">
        <v>-9.5299999999999996E-2</v>
      </c>
      <c r="F29">
        <v>0.96630000000000005</v>
      </c>
      <c r="G29">
        <v>6.5100000000000005E-2</v>
      </c>
      <c r="I29">
        <f t="shared" si="0"/>
        <v>-3.9269908169872414E-2</v>
      </c>
      <c r="J29">
        <f t="shared" si="3"/>
        <v>8.5066821615339929</v>
      </c>
    </row>
    <row r="30" spans="1:21" x14ac:dyDescent="0.25">
      <c r="A30" s="65">
        <v>-2</v>
      </c>
      <c r="B30">
        <v>1.6590000000000001E-2</v>
      </c>
      <c r="C30">
        <v>0.18410000000000001</v>
      </c>
      <c r="D30">
        <v>7.5300000000000002E-3</v>
      </c>
      <c r="E30">
        <v>-9.74E-2</v>
      </c>
      <c r="F30">
        <v>0.9597</v>
      </c>
      <c r="G30">
        <v>8.1299999999999997E-2</v>
      </c>
      <c r="I30">
        <f t="shared" si="0"/>
        <v>-3.4906585039886591E-2</v>
      </c>
      <c r="J30">
        <f t="shared" si="3"/>
        <v>11.09704641350211</v>
      </c>
    </row>
    <row r="31" spans="1:21" x14ac:dyDescent="0.25">
      <c r="A31" s="65">
        <v>-1.75</v>
      </c>
      <c r="B31">
        <v>1.5959999999999998E-2</v>
      </c>
      <c r="C31">
        <v>0.22420000000000001</v>
      </c>
      <c r="D31">
        <v>6.94E-3</v>
      </c>
      <c r="E31">
        <v>-9.9900000000000003E-2</v>
      </c>
      <c r="F31">
        <v>0.95240000000000002</v>
      </c>
      <c r="G31">
        <v>0.107</v>
      </c>
      <c r="I31">
        <f t="shared" si="0"/>
        <v>-3.0543261909900768E-2</v>
      </c>
      <c r="J31">
        <f t="shared" si="3"/>
        <v>14.047619047619049</v>
      </c>
    </row>
    <row r="32" spans="1:21" x14ac:dyDescent="0.25">
      <c r="A32" s="65">
        <v>-1.5</v>
      </c>
      <c r="B32">
        <v>1.528E-2</v>
      </c>
      <c r="C32">
        <v>0.26569999999999999</v>
      </c>
      <c r="D32">
        <v>6.43E-3</v>
      </c>
      <c r="E32">
        <v>-0.1026</v>
      </c>
      <c r="F32">
        <v>0.94330000000000003</v>
      </c>
      <c r="G32">
        <v>0.15409999999999999</v>
      </c>
      <c r="I32">
        <f t="shared" si="0"/>
        <v>-2.6179938779914941E-2</v>
      </c>
      <c r="J32">
        <f t="shared" si="3"/>
        <v>17.38874345549738</v>
      </c>
    </row>
    <row r="33" spans="1:10" x14ac:dyDescent="0.25">
      <c r="A33" s="65">
        <v>-1.25</v>
      </c>
      <c r="B33">
        <v>1.461E-2</v>
      </c>
      <c r="C33">
        <v>0.30209999999999998</v>
      </c>
      <c r="D33">
        <v>6.0400000000000002E-3</v>
      </c>
      <c r="E33">
        <v>-0.1042</v>
      </c>
      <c r="F33">
        <v>0.93140000000000001</v>
      </c>
      <c r="G33">
        <v>0.23910000000000001</v>
      </c>
      <c r="I33">
        <f t="shared" si="0"/>
        <v>-2.1816615649929118E-2</v>
      </c>
      <c r="J33">
        <f t="shared" si="3"/>
        <v>20.677618069815193</v>
      </c>
    </row>
    <row r="34" spans="1:10" x14ac:dyDescent="0.25">
      <c r="A34" s="65">
        <v>-1</v>
      </c>
      <c r="B34">
        <v>1.397E-2</v>
      </c>
      <c r="C34">
        <v>0.3367</v>
      </c>
      <c r="D34">
        <v>5.8799999999999998E-3</v>
      </c>
      <c r="E34">
        <v>-0.1055</v>
      </c>
      <c r="F34">
        <v>0.91990000000000005</v>
      </c>
      <c r="G34">
        <v>0.39629999999999999</v>
      </c>
      <c r="I34">
        <f t="shared" si="0"/>
        <v>-1.7453292519943295E-2</v>
      </c>
      <c r="J34">
        <f t="shared" si="3"/>
        <v>24.101646385110953</v>
      </c>
    </row>
    <row r="35" spans="1:10" x14ac:dyDescent="0.25">
      <c r="A35" s="65">
        <v>-0.75</v>
      </c>
      <c r="B35">
        <v>1.3469999999999999E-2</v>
      </c>
      <c r="C35">
        <v>0.36940000000000001</v>
      </c>
      <c r="D35">
        <v>5.7099999999999998E-3</v>
      </c>
      <c r="E35">
        <v>-0.1061</v>
      </c>
      <c r="F35">
        <v>0.90880000000000005</v>
      </c>
      <c r="G35">
        <v>0.53</v>
      </c>
      <c r="I35">
        <f t="shared" si="0"/>
        <v>-1.3089969389957471E-2</v>
      </c>
      <c r="J35">
        <f t="shared" si="3"/>
        <v>27.423904974016335</v>
      </c>
    </row>
    <row r="36" spans="1:10" x14ac:dyDescent="0.25">
      <c r="A36" s="65">
        <v>-0.5</v>
      </c>
      <c r="B36">
        <v>1.259E-2</v>
      </c>
      <c r="C36">
        <v>0.39550000000000002</v>
      </c>
      <c r="D36">
        <v>5.4799999999999996E-3</v>
      </c>
      <c r="E36">
        <v>-0.10489999999999999</v>
      </c>
      <c r="F36">
        <v>0.89739999999999998</v>
      </c>
      <c r="G36">
        <v>0.7329</v>
      </c>
      <c r="I36">
        <f t="shared" si="0"/>
        <v>-8.7266462599716477E-3</v>
      </c>
      <c r="J36">
        <f t="shared" si="3"/>
        <v>31.413820492454327</v>
      </c>
    </row>
    <row r="37" spans="1:10" x14ac:dyDescent="0.25">
      <c r="A37" s="65">
        <v>-0.25</v>
      </c>
      <c r="B37">
        <v>1.2189999999999999E-2</v>
      </c>
      <c r="C37">
        <v>0.42420000000000002</v>
      </c>
      <c r="D37">
        <v>5.1599999999999997E-3</v>
      </c>
      <c r="E37">
        <v>-0.1042</v>
      </c>
      <c r="F37">
        <v>0.88249999999999995</v>
      </c>
      <c r="G37">
        <v>1</v>
      </c>
      <c r="I37">
        <f t="shared" si="0"/>
        <v>-4.3633231299858239E-3</v>
      </c>
      <c r="J37">
        <f t="shared" si="3"/>
        <v>34.799015586546354</v>
      </c>
    </row>
    <row r="38" spans="1:10" x14ac:dyDescent="0.25">
      <c r="A38" s="65">
        <v>0</v>
      </c>
      <c r="B38">
        <v>1.2160000000000001E-2</v>
      </c>
      <c r="C38">
        <v>0.45540000000000003</v>
      </c>
      <c r="D38">
        <v>4.9500000000000004E-3</v>
      </c>
      <c r="E38">
        <v>-0.10440000000000001</v>
      </c>
      <c r="F38">
        <v>0.86770000000000003</v>
      </c>
      <c r="G38">
        <v>1</v>
      </c>
      <c r="I38">
        <f t="shared" si="0"/>
        <v>0</v>
      </c>
      <c r="J38">
        <f t="shared" si="3"/>
        <v>37.450657894736842</v>
      </c>
    </row>
    <row r="39" spans="1:10" x14ac:dyDescent="0.25">
      <c r="A39" s="65">
        <v>0.25</v>
      </c>
      <c r="B39">
        <v>1.2149999999999999E-2</v>
      </c>
      <c r="C39">
        <v>0.48580000000000001</v>
      </c>
      <c r="D39">
        <v>4.7800000000000004E-3</v>
      </c>
      <c r="E39">
        <v>-0.1045</v>
      </c>
      <c r="F39">
        <v>0.85170000000000001</v>
      </c>
      <c r="G39">
        <v>1</v>
      </c>
      <c r="I39">
        <f t="shared" si="0"/>
        <v>4.3633231299858239E-3</v>
      </c>
      <c r="J39">
        <f t="shared" si="3"/>
        <v>39.983539094650212</v>
      </c>
    </row>
    <row r="40" spans="1:10" x14ac:dyDescent="0.25">
      <c r="A40" s="65">
        <v>0.5</v>
      </c>
      <c r="B40">
        <v>1.214E-2</v>
      </c>
      <c r="C40">
        <v>0.51580000000000004</v>
      </c>
      <c r="D40">
        <v>4.6299999999999996E-3</v>
      </c>
      <c r="E40">
        <v>-0.1045</v>
      </c>
      <c r="F40">
        <v>0.8347</v>
      </c>
      <c r="G40">
        <v>1</v>
      </c>
      <c r="I40">
        <f t="shared" si="0"/>
        <v>8.7266462599716477E-3</v>
      </c>
      <c r="J40">
        <f t="shared" si="3"/>
        <v>42.487644151565078</v>
      </c>
    </row>
    <row r="41" spans="1:10" x14ac:dyDescent="0.25">
      <c r="A41" s="65">
        <v>0.75</v>
      </c>
      <c r="B41">
        <v>1.214E-2</v>
      </c>
      <c r="C41">
        <v>0.54559999999999997</v>
      </c>
      <c r="D41">
        <v>4.4999999999999997E-3</v>
      </c>
      <c r="E41">
        <v>-0.1043</v>
      </c>
      <c r="F41">
        <v>0.81679999999999997</v>
      </c>
      <c r="G41">
        <v>1</v>
      </c>
      <c r="I41">
        <f t="shared" ref="I41:I72" si="6">A41*PI()/180</f>
        <v>1.3089969389957471E-2</v>
      </c>
      <c r="J41">
        <f t="shared" si="3"/>
        <v>44.942339373970341</v>
      </c>
    </row>
    <row r="42" spans="1:10" x14ac:dyDescent="0.25">
      <c r="A42" s="65">
        <v>1</v>
      </c>
      <c r="B42">
        <v>1.217E-2</v>
      </c>
      <c r="C42">
        <v>0.57430000000000003</v>
      </c>
      <c r="D42">
        <v>4.4000000000000003E-3</v>
      </c>
      <c r="E42">
        <v>-0.104</v>
      </c>
      <c r="F42">
        <v>0.79700000000000004</v>
      </c>
      <c r="G42">
        <v>1</v>
      </c>
      <c r="I42">
        <f t="shared" si="6"/>
        <v>1.7453292519943295E-2</v>
      </c>
      <c r="J42">
        <f t="shared" si="3"/>
        <v>47.189811010682007</v>
      </c>
    </row>
    <row r="43" spans="1:10" x14ac:dyDescent="0.25">
      <c r="A43" s="65">
        <v>1.25</v>
      </c>
      <c r="B43">
        <v>1.222E-2</v>
      </c>
      <c r="C43">
        <v>0.60270000000000001</v>
      </c>
      <c r="D43">
        <v>4.3299999999999996E-3</v>
      </c>
      <c r="E43">
        <v>-0.1036</v>
      </c>
      <c r="F43">
        <v>0.77559999999999996</v>
      </c>
      <c r="G43">
        <v>1</v>
      </c>
      <c r="I43">
        <f t="shared" si="6"/>
        <v>2.1816615649929118E-2</v>
      </c>
      <c r="J43">
        <f t="shared" si="3"/>
        <v>49.320785597381345</v>
      </c>
    </row>
    <row r="44" spans="1:10" x14ac:dyDescent="0.25">
      <c r="A44" s="65">
        <v>1.5</v>
      </c>
      <c r="B44">
        <v>1.23E-2</v>
      </c>
      <c r="C44">
        <v>0.63070000000000004</v>
      </c>
      <c r="D44">
        <v>4.2900000000000004E-3</v>
      </c>
      <c r="E44">
        <v>-0.1031</v>
      </c>
      <c r="F44">
        <v>0.75239999999999996</v>
      </c>
      <c r="G44">
        <v>1</v>
      </c>
      <c r="I44">
        <f t="shared" si="6"/>
        <v>2.6179938779914941E-2</v>
      </c>
      <c r="J44">
        <f t="shared" si="3"/>
        <v>51.276422764227647</v>
      </c>
    </row>
    <row r="45" spans="1:10" x14ac:dyDescent="0.25">
      <c r="A45" s="65">
        <v>1.75</v>
      </c>
      <c r="B45">
        <v>1.2409999999999999E-2</v>
      </c>
      <c r="C45">
        <v>0.65839999999999999</v>
      </c>
      <c r="D45">
        <v>4.2599999999999999E-3</v>
      </c>
      <c r="E45">
        <v>-0.1026</v>
      </c>
      <c r="F45">
        <v>0.72809999999999997</v>
      </c>
      <c r="G45">
        <v>1</v>
      </c>
      <c r="I45">
        <f t="shared" si="6"/>
        <v>3.0543261909900768E-2</v>
      </c>
      <c r="J45">
        <f t="shared" si="3"/>
        <v>53.05398871877518</v>
      </c>
    </row>
    <row r="46" spans="1:10" x14ac:dyDescent="0.25">
      <c r="A46" s="65">
        <v>2</v>
      </c>
      <c r="B46">
        <v>1.255E-2</v>
      </c>
      <c r="C46">
        <v>0.6855</v>
      </c>
      <c r="D46">
        <v>4.2900000000000004E-3</v>
      </c>
      <c r="E46">
        <v>-0.10199999999999999</v>
      </c>
      <c r="F46">
        <v>0.70150000000000001</v>
      </c>
      <c r="G46">
        <v>1</v>
      </c>
      <c r="I46">
        <f t="shared" si="6"/>
        <v>3.4906585039886591E-2</v>
      </c>
      <c r="J46">
        <f t="shared" si="3"/>
        <v>54.621513944223103</v>
      </c>
    </row>
    <row r="47" spans="1:10" x14ac:dyDescent="0.25">
      <c r="A47" s="65">
        <v>2.25</v>
      </c>
      <c r="B47">
        <v>1.274E-2</v>
      </c>
      <c r="C47">
        <v>0.71209999999999996</v>
      </c>
      <c r="D47">
        <v>4.3400000000000001E-3</v>
      </c>
      <c r="E47">
        <v>-0.1014</v>
      </c>
      <c r="F47">
        <v>0.6734</v>
      </c>
      <c r="G47">
        <v>1</v>
      </c>
      <c r="I47">
        <f t="shared" si="6"/>
        <v>3.9269908169872414E-2</v>
      </c>
      <c r="J47">
        <f t="shared" si="3"/>
        <v>55.894819466248038</v>
      </c>
    </row>
    <row r="48" spans="1:10" x14ac:dyDescent="0.25">
      <c r="A48" s="65">
        <v>2.5</v>
      </c>
      <c r="B48">
        <v>1.2959999999999999E-2</v>
      </c>
      <c r="C48">
        <v>0.73839999999999995</v>
      </c>
      <c r="D48">
        <v>4.4200000000000003E-3</v>
      </c>
      <c r="E48">
        <v>-0.1007</v>
      </c>
      <c r="F48">
        <v>0.64359999999999995</v>
      </c>
      <c r="G48">
        <v>1</v>
      </c>
      <c r="I48">
        <f t="shared" si="6"/>
        <v>4.3633231299858237E-2</v>
      </c>
      <c r="J48">
        <f t="shared" si="3"/>
        <v>56.97530864197531</v>
      </c>
    </row>
    <row r="49" spans="1:10" x14ac:dyDescent="0.25">
      <c r="A49" s="65">
        <v>2.75</v>
      </c>
      <c r="B49">
        <v>1.3220000000000001E-2</v>
      </c>
      <c r="C49">
        <v>0.76439999999999997</v>
      </c>
      <c r="D49">
        <v>4.5399999999999998E-3</v>
      </c>
      <c r="E49">
        <v>-0.1</v>
      </c>
      <c r="F49">
        <v>0.61260000000000003</v>
      </c>
      <c r="G49">
        <v>1</v>
      </c>
      <c r="I49">
        <f t="shared" si="6"/>
        <v>4.799655442984406E-2</v>
      </c>
      <c r="J49">
        <f t="shared" si="3"/>
        <v>57.821482602117996</v>
      </c>
    </row>
    <row r="50" spans="1:10" x14ac:dyDescent="0.25">
      <c r="A50" s="65">
        <v>3</v>
      </c>
      <c r="B50">
        <v>1.3520000000000001E-2</v>
      </c>
      <c r="C50">
        <v>0.79</v>
      </c>
      <c r="D50">
        <v>4.7200000000000002E-3</v>
      </c>
      <c r="E50">
        <v>-9.9299999999999999E-2</v>
      </c>
      <c r="F50">
        <v>0.5806</v>
      </c>
      <c r="G50">
        <v>1</v>
      </c>
      <c r="I50">
        <f t="shared" si="6"/>
        <v>5.2359877559829883E-2</v>
      </c>
      <c r="J50">
        <f t="shared" si="3"/>
        <v>58.431952662721891</v>
      </c>
    </row>
    <row r="51" spans="1:10" x14ac:dyDescent="0.25">
      <c r="A51" s="65">
        <v>3.25</v>
      </c>
      <c r="B51">
        <v>1.3849999999999999E-2</v>
      </c>
      <c r="C51">
        <v>0.81540000000000001</v>
      </c>
      <c r="D51">
        <v>4.9100000000000003E-3</v>
      </c>
      <c r="E51">
        <v>-9.8599999999999993E-2</v>
      </c>
      <c r="F51">
        <v>0.54869999999999997</v>
      </c>
      <c r="G51">
        <v>1</v>
      </c>
      <c r="I51">
        <f t="shared" si="6"/>
        <v>5.6723200689815713E-2</v>
      </c>
      <c r="J51">
        <f t="shared" si="3"/>
        <v>58.873646209386287</v>
      </c>
    </row>
    <row r="52" spans="1:10" x14ac:dyDescent="0.25">
      <c r="A52" s="65">
        <v>3.5</v>
      </c>
      <c r="B52">
        <v>1.422E-2</v>
      </c>
      <c r="C52">
        <v>0.84050000000000002</v>
      </c>
      <c r="D52">
        <v>5.13E-3</v>
      </c>
      <c r="E52">
        <v>-9.7900000000000001E-2</v>
      </c>
      <c r="F52">
        <v>0.51770000000000005</v>
      </c>
      <c r="G52">
        <v>1</v>
      </c>
      <c r="I52">
        <f t="shared" si="6"/>
        <v>6.1086523819801536E-2</v>
      </c>
      <c r="J52">
        <f t="shared" si="3"/>
        <v>59.10689170182841</v>
      </c>
    </row>
    <row r="53" spans="1:10" x14ac:dyDescent="0.25">
      <c r="A53" s="65">
        <v>3.75</v>
      </c>
      <c r="B53">
        <v>1.4619999999999999E-2</v>
      </c>
      <c r="C53">
        <v>0.86550000000000005</v>
      </c>
      <c r="D53">
        <v>5.4000000000000003E-3</v>
      </c>
      <c r="E53">
        <v>-9.7199999999999995E-2</v>
      </c>
      <c r="F53">
        <v>0.48830000000000001</v>
      </c>
      <c r="G53">
        <v>1</v>
      </c>
      <c r="I53">
        <f t="shared" si="6"/>
        <v>6.5449846949787352E-2</v>
      </c>
      <c r="J53">
        <f t="shared" si="3"/>
        <v>59.199726402188787</v>
      </c>
    </row>
    <row r="54" spans="1:10" x14ac:dyDescent="0.25">
      <c r="A54" s="65">
        <v>4</v>
      </c>
      <c r="B54">
        <v>1.504E-2</v>
      </c>
      <c r="C54">
        <v>0.89049999999999996</v>
      </c>
      <c r="D54">
        <v>5.7000000000000002E-3</v>
      </c>
      <c r="E54">
        <v>-9.6500000000000002E-2</v>
      </c>
      <c r="F54">
        <v>0.46150000000000002</v>
      </c>
      <c r="G54">
        <v>1</v>
      </c>
      <c r="I54">
        <f t="shared" si="6"/>
        <v>6.9813170079773182E-2</v>
      </c>
      <c r="J54">
        <f t="shared" si="3"/>
        <v>59.208776595744681</v>
      </c>
    </row>
    <row r="55" spans="1:10" x14ac:dyDescent="0.25">
      <c r="A55" s="65">
        <v>4.25</v>
      </c>
      <c r="B55">
        <v>1.5480000000000001E-2</v>
      </c>
      <c r="C55">
        <v>0.91539999999999999</v>
      </c>
      <c r="D55">
        <v>6.0899999999999999E-3</v>
      </c>
      <c r="E55">
        <v>-9.5899999999999999E-2</v>
      </c>
      <c r="F55">
        <v>0.4375</v>
      </c>
      <c r="G55">
        <v>1</v>
      </c>
      <c r="I55">
        <f t="shared" si="6"/>
        <v>7.4176493209759012E-2</v>
      </c>
      <c r="J55">
        <f t="shared" si="3"/>
        <v>59.134366925064597</v>
      </c>
    </row>
    <row r="56" spans="1:10" x14ac:dyDescent="0.25">
      <c r="A56" s="65">
        <v>4.5</v>
      </c>
      <c r="B56">
        <v>1.5939999999999999E-2</v>
      </c>
      <c r="C56">
        <v>0.94020000000000004</v>
      </c>
      <c r="D56">
        <v>6.4599999999999996E-3</v>
      </c>
      <c r="E56">
        <v>-9.5299999999999996E-2</v>
      </c>
      <c r="F56">
        <v>0.4168</v>
      </c>
      <c r="G56">
        <v>1</v>
      </c>
      <c r="I56">
        <f t="shared" si="6"/>
        <v>7.8539816339744828E-2</v>
      </c>
      <c r="J56">
        <f t="shared" si="3"/>
        <v>58.983688833124219</v>
      </c>
    </row>
    <row r="57" spans="1:10" x14ac:dyDescent="0.25">
      <c r="A57" s="65">
        <v>4.75</v>
      </c>
      <c r="B57">
        <v>1.6400000000000001E-2</v>
      </c>
      <c r="C57">
        <v>0.96519999999999995</v>
      </c>
      <c r="D57">
        <v>6.8799999999999998E-3</v>
      </c>
      <c r="E57">
        <v>-9.4799999999999995E-2</v>
      </c>
      <c r="F57">
        <v>0.3977</v>
      </c>
      <c r="G57">
        <v>1</v>
      </c>
      <c r="I57">
        <f t="shared" si="6"/>
        <v>8.2903139469730644E-2</v>
      </c>
      <c r="J57">
        <f t="shared" si="3"/>
        <v>58.853658536585357</v>
      </c>
    </row>
    <row r="58" spans="1:10" x14ac:dyDescent="0.25">
      <c r="A58" s="65">
        <v>5</v>
      </c>
      <c r="B58">
        <v>1.687E-2</v>
      </c>
      <c r="C58">
        <v>0.99009999999999998</v>
      </c>
      <c r="D58">
        <v>7.3299999999999997E-3</v>
      </c>
      <c r="E58">
        <v>-9.4200000000000006E-2</v>
      </c>
      <c r="F58">
        <v>0.38069999999999998</v>
      </c>
      <c r="G58">
        <v>1</v>
      </c>
      <c r="I58">
        <f t="shared" si="6"/>
        <v>8.7266462599716474E-2</v>
      </c>
      <c r="J58">
        <f t="shared" si="3"/>
        <v>58.689982216953169</v>
      </c>
    </row>
    <row r="59" spans="1:10" x14ac:dyDescent="0.25">
      <c r="A59" s="65">
        <v>5.25</v>
      </c>
      <c r="B59">
        <v>1.7350000000000001E-2</v>
      </c>
      <c r="C59">
        <v>1.0148999999999999</v>
      </c>
      <c r="D59">
        <v>7.8499999999999993E-3</v>
      </c>
      <c r="E59">
        <v>-9.3700000000000006E-2</v>
      </c>
      <c r="F59">
        <v>0.3649</v>
      </c>
      <c r="G59">
        <v>1</v>
      </c>
      <c r="I59">
        <f t="shared" si="6"/>
        <v>9.1629785729702304E-2</v>
      </c>
      <c r="J59">
        <f t="shared" si="3"/>
        <v>58.49567723342939</v>
      </c>
    </row>
    <row r="60" spans="1:10" x14ac:dyDescent="0.25">
      <c r="A60" s="65">
        <v>5.5</v>
      </c>
      <c r="B60">
        <v>1.7850000000000001E-2</v>
      </c>
      <c r="C60">
        <v>1.0397000000000001</v>
      </c>
      <c r="D60">
        <v>8.3599999999999994E-3</v>
      </c>
      <c r="E60">
        <v>-9.3100000000000002E-2</v>
      </c>
      <c r="F60">
        <v>0.35039999999999999</v>
      </c>
      <c r="G60">
        <v>1</v>
      </c>
      <c r="I60">
        <f t="shared" si="6"/>
        <v>9.599310885968812E-2</v>
      </c>
      <c r="J60">
        <f t="shared" si="3"/>
        <v>58.246498599439775</v>
      </c>
    </row>
    <row r="61" spans="1:10" x14ac:dyDescent="0.25">
      <c r="A61" s="65">
        <v>5.75</v>
      </c>
      <c r="B61">
        <v>1.8350000000000002E-2</v>
      </c>
      <c r="C61">
        <v>1.0644</v>
      </c>
      <c r="D61">
        <v>8.8999999999999999E-3</v>
      </c>
      <c r="E61">
        <v>-9.2600000000000002E-2</v>
      </c>
      <c r="F61">
        <v>0.33639999999999998</v>
      </c>
      <c r="G61">
        <v>1</v>
      </c>
      <c r="I61">
        <f t="shared" si="6"/>
        <v>0.10035643198967394</v>
      </c>
      <c r="J61">
        <f t="shared" si="3"/>
        <v>58.005449591280652</v>
      </c>
    </row>
    <row r="62" spans="1:10" x14ac:dyDescent="0.25">
      <c r="A62" s="65">
        <v>6</v>
      </c>
      <c r="B62">
        <v>1.8859999999999998E-2</v>
      </c>
      <c r="C62">
        <v>1.089</v>
      </c>
      <c r="D62">
        <v>9.4699999999999993E-3</v>
      </c>
      <c r="E62">
        <v>-9.1999999999999998E-2</v>
      </c>
      <c r="F62">
        <v>0.3231</v>
      </c>
      <c r="G62">
        <v>1</v>
      </c>
      <c r="I62">
        <f t="shared" si="6"/>
        <v>0.10471975511965977</v>
      </c>
      <c r="J62">
        <f t="shared" si="3"/>
        <v>57.741251325556739</v>
      </c>
    </row>
    <row r="63" spans="1:10" x14ac:dyDescent="0.25">
      <c r="A63" s="65">
        <v>6.25</v>
      </c>
      <c r="B63">
        <v>1.9390000000000001E-2</v>
      </c>
      <c r="C63">
        <v>1.1133</v>
      </c>
      <c r="D63">
        <v>1.01E-2</v>
      </c>
      <c r="E63">
        <v>-9.1399999999999995E-2</v>
      </c>
      <c r="F63">
        <v>0.30990000000000001</v>
      </c>
      <c r="G63">
        <v>1</v>
      </c>
      <c r="I63">
        <f t="shared" si="6"/>
        <v>0.1090830782496456</v>
      </c>
      <c r="J63">
        <f t="shared" si="3"/>
        <v>57.416193914388856</v>
      </c>
    </row>
    <row r="64" spans="1:10" x14ac:dyDescent="0.25">
      <c r="A64" s="65">
        <v>6.5</v>
      </c>
      <c r="B64">
        <v>1.992E-2</v>
      </c>
      <c r="C64">
        <v>1.1374</v>
      </c>
      <c r="D64">
        <v>1.073E-2</v>
      </c>
      <c r="E64">
        <v>-9.0800000000000006E-2</v>
      </c>
      <c r="F64">
        <v>0.2969</v>
      </c>
      <c r="G64">
        <v>1</v>
      </c>
      <c r="I64">
        <f t="shared" si="6"/>
        <v>0.11344640137963143</v>
      </c>
      <c r="J64">
        <f t="shared" si="3"/>
        <v>57.098393574297184</v>
      </c>
    </row>
    <row r="65" spans="1:10" x14ac:dyDescent="0.25">
      <c r="A65" s="65">
        <v>6.75</v>
      </c>
      <c r="B65">
        <v>2.0469999999999999E-2</v>
      </c>
      <c r="C65">
        <v>1.1612</v>
      </c>
      <c r="D65">
        <v>1.137E-2</v>
      </c>
      <c r="E65">
        <v>-9.01E-2</v>
      </c>
      <c r="F65">
        <v>0.28349999999999997</v>
      </c>
      <c r="G65">
        <v>1</v>
      </c>
      <c r="I65">
        <f t="shared" si="6"/>
        <v>0.11780972450961724</v>
      </c>
      <c r="J65">
        <f t="shared" si="3"/>
        <v>56.726917440156328</v>
      </c>
    </row>
    <row r="66" spans="1:10" x14ac:dyDescent="0.25">
      <c r="A66" s="65">
        <v>7</v>
      </c>
      <c r="B66">
        <v>2.0990000000000002E-2</v>
      </c>
      <c r="C66">
        <v>1.1842999999999999</v>
      </c>
      <c r="D66">
        <v>1.2E-2</v>
      </c>
      <c r="E66">
        <v>-8.9300000000000004E-2</v>
      </c>
      <c r="F66">
        <v>0.2671</v>
      </c>
      <c r="G66">
        <v>1</v>
      </c>
      <c r="I66">
        <f t="shared" si="6"/>
        <v>0.12217304763960307</v>
      </c>
      <c r="J66">
        <f t="shared" si="3"/>
        <v>56.422105764649821</v>
      </c>
    </row>
    <row r="67" spans="1:10" x14ac:dyDescent="0.25">
      <c r="A67" s="65">
        <v>7.25</v>
      </c>
      <c r="B67">
        <v>2.1489999999999999E-2</v>
      </c>
      <c r="C67">
        <v>1.2058</v>
      </c>
      <c r="D67">
        <v>1.2529999999999999E-2</v>
      </c>
      <c r="E67">
        <v>-8.8400000000000006E-2</v>
      </c>
      <c r="F67">
        <v>0.24260000000000001</v>
      </c>
      <c r="G67">
        <v>1</v>
      </c>
      <c r="I67">
        <f t="shared" si="6"/>
        <v>0.1265363707695889</v>
      </c>
      <c r="J67">
        <f t="shared" si="3"/>
        <v>56.109818520241973</v>
      </c>
    </row>
    <row r="68" spans="1:10" x14ac:dyDescent="0.25">
      <c r="A68" s="65">
        <v>7.5</v>
      </c>
      <c r="B68">
        <v>2.2040000000000001E-2</v>
      </c>
      <c r="C68">
        <v>1.2267999999999999</v>
      </c>
      <c r="D68">
        <v>1.3129999999999999E-2</v>
      </c>
      <c r="E68">
        <v>-8.7499999999999994E-2</v>
      </c>
      <c r="F68">
        <v>0.21190000000000001</v>
      </c>
      <c r="G68">
        <v>1</v>
      </c>
      <c r="I68">
        <f t="shared" si="6"/>
        <v>0.1308996938995747</v>
      </c>
      <c r="J68">
        <f t="shared" si="3"/>
        <v>55.662431941923771</v>
      </c>
    </row>
    <row r="69" spans="1:10" x14ac:dyDescent="0.25">
      <c r="A69" s="65">
        <v>7.75</v>
      </c>
      <c r="B69">
        <v>2.2720000000000001E-2</v>
      </c>
      <c r="C69">
        <v>1.2475000000000001</v>
      </c>
      <c r="D69">
        <v>1.3809999999999999E-2</v>
      </c>
      <c r="E69">
        <v>-8.6599999999999996E-2</v>
      </c>
      <c r="F69">
        <v>0.1817</v>
      </c>
      <c r="G69">
        <v>1</v>
      </c>
      <c r="I69">
        <f t="shared" si="6"/>
        <v>0.13526301702956053</v>
      </c>
      <c r="J69">
        <f t="shared" si="3"/>
        <v>54.907570422535215</v>
      </c>
    </row>
    <row r="70" spans="1:10" x14ac:dyDescent="0.25">
      <c r="A70" s="65">
        <v>8</v>
      </c>
      <c r="B70">
        <v>2.3640000000000001E-2</v>
      </c>
      <c r="C70">
        <v>1.2666999999999999</v>
      </c>
      <c r="D70">
        <v>1.464E-2</v>
      </c>
      <c r="E70">
        <v>-8.5500000000000007E-2</v>
      </c>
      <c r="F70">
        <v>0.14299999999999999</v>
      </c>
      <c r="G70">
        <v>1</v>
      </c>
      <c r="I70">
        <f t="shared" si="6"/>
        <v>0.13962634015954636</v>
      </c>
      <c r="J70">
        <f t="shared" si="3"/>
        <v>53.582910321488995</v>
      </c>
    </row>
    <row r="71" spans="1:10" x14ac:dyDescent="0.25">
      <c r="A71" s="65">
        <v>8.25</v>
      </c>
      <c r="B71">
        <v>2.5159999999999998E-2</v>
      </c>
      <c r="C71">
        <v>1.282</v>
      </c>
      <c r="D71">
        <v>1.5859999999999999E-2</v>
      </c>
      <c r="E71">
        <v>-8.4099999999999994E-2</v>
      </c>
      <c r="F71">
        <v>9.11E-2</v>
      </c>
      <c r="G71">
        <v>1</v>
      </c>
      <c r="I71">
        <f t="shared" si="6"/>
        <v>0.14398966328953219</v>
      </c>
      <c r="J71">
        <f t="shared" si="3"/>
        <v>50.953895071542135</v>
      </c>
    </row>
    <row r="72" spans="1:10" x14ac:dyDescent="0.25">
      <c r="A72" s="65">
        <v>8.5</v>
      </c>
      <c r="B72">
        <v>2.717E-2</v>
      </c>
      <c r="C72">
        <v>1.294</v>
      </c>
      <c r="D72">
        <v>1.7590000000000001E-2</v>
      </c>
      <c r="E72">
        <v>-8.2199999999999995E-2</v>
      </c>
      <c r="F72">
        <v>5.62E-2</v>
      </c>
      <c r="G72">
        <v>1</v>
      </c>
      <c r="I72">
        <f t="shared" si="6"/>
        <v>0.14835298641951802</v>
      </c>
      <c r="J72">
        <f t="shared" si="3"/>
        <v>47.626058152373943</v>
      </c>
    </row>
    <row r="73" spans="1:10" x14ac:dyDescent="0.25">
      <c r="A73" s="65">
        <v>8.75</v>
      </c>
      <c r="B73">
        <v>2.8979999999999999E-2</v>
      </c>
      <c r="C73">
        <v>1.3067</v>
      </c>
      <c r="D73">
        <v>1.9429999999999999E-2</v>
      </c>
      <c r="E73">
        <v>-8.0299999999999996E-2</v>
      </c>
      <c r="F73">
        <v>4.4200000000000003E-2</v>
      </c>
      <c r="G73">
        <v>1</v>
      </c>
      <c r="I73">
        <f t="shared" ref="I73:I99" si="7">A73*PI()/180</f>
        <v>0.15271630954950383</v>
      </c>
      <c r="J73">
        <f t="shared" si="3"/>
        <v>45.089717046238789</v>
      </c>
    </row>
    <row r="74" spans="1:10" x14ac:dyDescent="0.25">
      <c r="A74" s="65">
        <v>9</v>
      </c>
      <c r="B74">
        <v>3.083E-2</v>
      </c>
      <c r="C74">
        <v>1.3174999999999999</v>
      </c>
      <c r="D74">
        <v>2.1350000000000001E-2</v>
      </c>
      <c r="E74">
        <v>-7.8100000000000003E-2</v>
      </c>
      <c r="F74">
        <v>3.78E-2</v>
      </c>
      <c r="G74">
        <v>1</v>
      </c>
      <c r="I74">
        <f t="shared" si="7"/>
        <v>0.15707963267948966</v>
      </c>
      <c r="J74">
        <f t="shared" ref="J74:J99" si="8">C74/B74</f>
        <v>42.734349659422634</v>
      </c>
    </row>
    <row r="75" spans="1:10" x14ac:dyDescent="0.25">
      <c r="A75" s="65">
        <v>9.25</v>
      </c>
      <c r="B75">
        <v>3.2399999999999998E-2</v>
      </c>
      <c r="C75">
        <v>1.3292999999999999</v>
      </c>
      <c r="D75">
        <v>2.316E-2</v>
      </c>
      <c r="E75">
        <v>-7.6100000000000001E-2</v>
      </c>
      <c r="F75">
        <v>3.2899999999999999E-2</v>
      </c>
      <c r="G75">
        <v>1</v>
      </c>
      <c r="I75">
        <f t="shared" si="7"/>
        <v>0.16144295580947549</v>
      </c>
      <c r="J75">
        <f t="shared" si="8"/>
        <v>41.027777777777779</v>
      </c>
    </row>
    <row r="76" spans="1:10" x14ac:dyDescent="0.25">
      <c r="A76" s="65">
        <v>9.5</v>
      </c>
      <c r="B76">
        <v>3.4410000000000003E-2</v>
      </c>
      <c r="C76">
        <v>1.3353999999999999</v>
      </c>
      <c r="D76">
        <v>2.528E-2</v>
      </c>
      <c r="E76">
        <v>-7.3599999999999999E-2</v>
      </c>
      <c r="F76">
        <v>2.9899999999999999E-2</v>
      </c>
      <c r="G76">
        <v>1</v>
      </c>
      <c r="I76">
        <f t="shared" si="7"/>
        <v>0.16580627893946129</v>
      </c>
      <c r="J76">
        <f t="shared" si="8"/>
        <v>38.808485905260092</v>
      </c>
    </row>
    <row r="77" spans="1:10" x14ac:dyDescent="0.25">
      <c r="A77" s="65">
        <v>9.75</v>
      </c>
      <c r="B77">
        <v>3.6249999999999998E-2</v>
      </c>
      <c r="C77">
        <v>1.3418000000000001</v>
      </c>
      <c r="D77">
        <v>2.733E-2</v>
      </c>
      <c r="E77">
        <v>-7.0999999999999994E-2</v>
      </c>
      <c r="F77">
        <v>2.8299999999999999E-2</v>
      </c>
      <c r="G77">
        <v>1</v>
      </c>
      <c r="I77">
        <f t="shared" si="7"/>
        <v>0.17016960206944712</v>
      </c>
      <c r="J77">
        <f t="shared" si="8"/>
        <v>37.01517241379311</v>
      </c>
    </row>
    <row r="78" spans="1:10" x14ac:dyDescent="0.25">
      <c r="A78" s="65">
        <v>10</v>
      </c>
      <c r="B78">
        <v>3.8089999999999999E-2</v>
      </c>
      <c r="C78">
        <v>1.3467</v>
      </c>
      <c r="D78">
        <v>2.9389999999999999E-2</v>
      </c>
      <c r="E78">
        <v>-6.8199999999999997E-2</v>
      </c>
      <c r="F78">
        <v>2.69E-2</v>
      </c>
      <c r="G78">
        <v>1</v>
      </c>
      <c r="I78">
        <f t="shared" si="7"/>
        <v>0.17453292519943295</v>
      </c>
      <c r="J78">
        <f t="shared" si="8"/>
        <v>35.355736413756894</v>
      </c>
    </row>
    <row r="79" spans="1:10" x14ac:dyDescent="0.25">
      <c r="A79" s="65">
        <v>10.25</v>
      </c>
      <c r="B79">
        <v>4.002E-2</v>
      </c>
      <c r="C79">
        <v>1.3491</v>
      </c>
      <c r="D79">
        <v>3.1489999999999997E-2</v>
      </c>
      <c r="E79">
        <v>-6.5299999999999997E-2</v>
      </c>
      <c r="F79">
        <v>2.5700000000000001E-2</v>
      </c>
      <c r="G79">
        <v>1</v>
      </c>
      <c r="I79">
        <f t="shared" si="7"/>
        <v>0.17889624832941875</v>
      </c>
      <c r="J79">
        <f t="shared" si="8"/>
        <v>33.710644677661172</v>
      </c>
    </row>
    <row r="80" spans="1:10" x14ac:dyDescent="0.25">
      <c r="A80" s="65">
        <v>10.5</v>
      </c>
      <c r="B80">
        <v>4.2040000000000001E-2</v>
      </c>
      <c r="C80">
        <v>1.3512999999999999</v>
      </c>
      <c r="D80">
        <v>3.3669999999999999E-2</v>
      </c>
      <c r="E80">
        <v>-6.2700000000000006E-2</v>
      </c>
      <c r="F80">
        <v>2.4299999999999999E-2</v>
      </c>
      <c r="G80">
        <v>1</v>
      </c>
      <c r="I80">
        <f t="shared" si="7"/>
        <v>0.18325957145940461</v>
      </c>
      <c r="J80">
        <f t="shared" si="8"/>
        <v>32.143196955280686</v>
      </c>
    </row>
    <row r="81" spans="1:10" x14ac:dyDescent="0.25">
      <c r="A81" s="65">
        <v>10.75</v>
      </c>
      <c r="B81">
        <v>4.4209999999999999E-2</v>
      </c>
      <c r="C81">
        <v>1.3522000000000001</v>
      </c>
      <c r="D81">
        <v>3.5959999999999999E-2</v>
      </c>
      <c r="E81">
        <v>-6.0400000000000002E-2</v>
      </c>
      <c r="F81">
        <v>2.3E-2</v>
      </c>
      <c r="G81">
        <v>1</v>
      </c>
      <c r="I81">
        <f t="shared" si="7"/>
        <v>0.18762289458939041</v>
      </c>
      <c r="J81">
        <f t="shared" si="8"/>
        <v>30.585840307622711</v>
      </c>
    </row>
    <row r="82" spans="1:10" x14ac:dyDescent="0.25">
      <c r="A82" s="65">
        <v>11</v>
      </c>
      <c r="B82">
        <v>4.6850000000000003E-2</v>
      </c>
      <c r="C82">
        <v>1.3499000000000001</v>
      </c>
      <c r="D82">
        <v>3.8690000000000002E-2</v>
      </c>
      <c r="E82">
        <v>-5.8200000000000002E-2</v>
      </c>
      <c r="F82">
        <v>2.18E-2</v>
      </c>
      <c r="G82">
        <v>1</v>
      </c>
      <c r="I82">
        <f t="shared" si="7"/>
        <v>0.19198621771937624</v>
      </c>
      <c r="J82">
        <f t="shared" si="8"/>
        <v>28.813233724653148</v>
      </c>
    </row>
    <row r="83" spans="1:10" x14ac:dyDescent="0.25">
      <c r="A83" s="65">
        <v>11.25</v>
      </c>
      <c r="B83">
        <v>4.9639999999999997E-2</v>
      </c>
      <c r="C83">
        <v>1.3495999999999999</v>
      </c>
      <c r="D83">
        <v>4.1619999999999997E-2</v>
      </c>
      <c r="E83">
        <v>-5.6300000000000003E-2</v>
      </c>
      <c r="F83">
        <v>2.0799999999999999E-2</v>
      </c>
      <c r="G83">
        <v>1</v>
      </c>
      <c r="I83">
        <f t="shared" si="7"/>
        <v>0.19634954084936207</v>
      </c>
      <c r="J83">
        <f t="shared" si="8"/>
        <v>27.187751813053989</v>
      </c>
    </row>
    <row r="84" spans="1:10" x14ac:dyDescent="0.25">
      <c r="A84" s="65">
        <v>11.5</v>
      </c>
      <c r="B84">
        <v>5.2330000000000002E-2</v>
      </c>
      <c r="C84">
        <v>1.3513999999999999</v>
      </c>
      <c r="D84">
        <v>4.4549999999999999E-2</v>
      </c>
      <c r="E84">
        <v>-5.4600000000000003E-2</v>
      </c>
      <c r="F84">
        <v>2.0299999999999999E-2</v>
      </c>
      <c r="G84">
        <v>1</v>
      </c>
      <c r="I84">
        <f t="shared" si="7"/>
        <v>0.20071286397934787</v>
      </c>
      <c r="J84">
        <f t="shared" si="8"/>
        <v>25.8245748136824</v>
      </c>
    </row>
    <row r="85" spans="1:10" x14ac:dyDescent="0.25">
      <c r="A85" s="65">
        <v>11.75</v>
      </c>
      <c r="B85">
        <v>5.5309999999999998E-2</v>
      </c>
      <c r="C85">
        <v>1.3517999999999999</v>
      </c>
      <c r="D85">
        <v>4.777E-2</v>
      </c>
      <c r="E85">
        <v>-5.3199999999999997E-2</v>
      </c>
      <c r="F85">
        <v>1.9699999999999999E-2</v>
      </c>
      <c r="G85">
        <v>1</v>
      </c>
      <c r="I85">
        <f t="shared" si="7"/>
        <v>0.20507618710933373</v>
      </c>
      <c r="J85">
        <f t="shared" si="8"/>
        <v>24.440426685951905</v>
      </c>
    </row>
    <row r="86" spans="1:10" x14ac:dyDescent="0.25">
      <c r="A86" s="65">
        <v>12</v>
      </c>
      <c r="B86">
        <v>5.8569999999999997E-2</v>
      </c>
      <c r="C86">
        <v>1.3505</v>
      </c>
      <c r="D86">
        <v>5.1319999999999998E-2</v>
      </c>
      <c r="E86">
        <v>-5.1999999999999998E-2</v>
      </c>
      <c r="F86">
        <v>1.9300000000000001E-2</v>
      </c>
      <c r="G86">
        <v>1</v>
      </c>
      <c r="I86">
        <f t="shared" si="7"/>
        <v>0.20943951023931953</v>
      </c>
      <c r="J86">
        <f t="shared" si="8"/>
        <v>23.057879460474648</v>
      </c>
    </row>
    <row r="87" spans="1:10" x14ac:dyDescent="0.25">
      <c r="A87" s="65">
        <v>12.25</v>
      </c>
      <c r="B87">
        <v>6.2129999999999998E-2</v>
      </c>
      <c r="C87">
        <v>1.3472999999999999</v>
      </c>
      <c r="D87">
        <v>5.5140000000000002E-2</v>
      </c>
      <c r="E87">
        <v>-5.1200000000000002E-2</v>
      </c>
      <c r="F87">
        <v>1.89E-2</v>
      </c>
      <c r="G87">
        <v>1</v>
      </c>
      <c r="I87">
        <f t="shared" si="7"/>
        <v>0.21380283336930536</v>
      </c>
      <c r="J87">
        <f t="shared" si="8"/>
        <v>21.685176243360694</v>
      </c>
    </row>
    <row r="88" spans="1:10" x14ac:dyDescent="0.25">
      <c r="A88" s="65">
        <v>12.5</v>
      </c>
      <c r="B88">
        <v>6.608E-2</v>
      </c>
      <c r="C88">
        <v>1.3416999999999999</v>
      </c>
      <c r="D88">
        <v>5.935E-2</v>
      </c>
      <c r="E88">
        <v>-5.0799999999999998E-2</v>
      </c>
      <c r="F88">
        <v>1.8599999999999998E-2</v>
      </c>
      <c r="G88">
        <v>1</v>
      </c>
      <c r="I88">
        <f t="shared" si="7"/>
        <v>0.21816615649929119</v>
      </c>
      <c r="J88">
        <f t="shared" si="8"/>
        <v>20.304176755447941</v>
      </c>
    </row>
    <row r="89" spans="1:10" x14ac:dyDescent="0.25">
      <c r="A89" s="65">
        <v>12.75</v>
      </c>
      <c r="B89">
        <v>7.0400000000000004E-2</v>
      </c>
      <c r="C89">
        <v>1.3339000000000001</v>
      </c>
      <c r="D89">
        <v>6.3920000000000005E-2</v>
      </c>
      <c r="E89">
        <v>-5.0900000000000001E-2</v>
      </c>
      <c r="F89">
        <v>1.83E-2</v>
      </c>
      <c r="G89">
        <v>1</v>
      </c>
      <c r="I89">
        <f t="shared" si="7"/>
        <v>0.22252947962927699</v>
      </c>
      <c r="J89">
        <f t="shared" si="8"/>
        <v>18.947443181818183</v>
      </c>
    </row>
    <row r="90" spans="1:10" x14ac:dyDescent="0.25">
      <c r="A90" s="65">
        <v>13</v>
      </c>
      <c r="B90">
        <v>7.5139999999999998E-2</v>
      </c>
      <c r="C90">
        <v>1.3241000000000001</v>
      </c>
      <c r="D90">
        <v>6.8909999999999999E-2</v>
      </c>
      <c r="E90">
        <v>-5.1700000000000003E-2</v>
      </c>
      <c r="F90">
        <v>1.7999999999999999E-2</v>
      </c>
      <c r="G90">
        <v>1</v>
      </c>
      <c r="I90">
        <f t="shared" si="7"/>
        <v>0.22689280275926285</v>
      </c>
      <c r="J90">
        <f t="shared" si="8"/>
        <v>17.621772690976844</v>
      </c>
    </row>
    <row r="91" spans="1:10" x14ac:dyDescent="0.25">
      <c r="A91" s="65">
        <v>13.25</v>
      </c>
      <c r="B91">
        <v>8.0350000000000005E-2</v>
      </c>
      <c r="C91">
        <v>1.3124</v>
      </c>
      <c r="D91">
        <v>7.4370000000000006E-2</v>
      </c>
      <c r="E91">
        <v>-5.3100000000000001E-2</v>
      </c>
      <c r="F91">
        <v>1.78E-2</v>
      </c>
      <c r="G91">
        <v>1</v>
      </c>
      <c r="I91">
        <f t="shared" si="7"/>
        <v>0.23125612588924865</v>
      </c>
      <c r="J91">
        <f t="shared" si="8"/>
        <v>16.333540759178593</v>
      </c>
    </row>
    <row r="92" spans="1:10" x14ac:dyDescent="0.25">
      <c r="A92" s="65">
        <v>13.5</v>
      </c>
      <c r="B92">
        <v>8.6080000000000004E-2</v>
      </c>
      <c r="C92">
        <v>1.2990999999999999</v>
      </c>
      <c r="D92">
        <v>8.0320000000000003E-2</v>
      </c>
      <c r="E92">
        <v>-5.5300000000000002E-2</v>
      </c>
      <c r="F92">
        <v>1.7600000000000001E-2</v>
      </c>
      <c r="G92">
        <v>1</v>
      </c>
      <c r="I92">
        <f t="shared" si="7"/>
        <v>0.23561944901923448</v>
      </c>
      <c r="J92">
        <f t="shared" si="8"/>
        <v>15.091775092936802</v>
      </c>
    </row>
    <row r="93" spans="1:10" x14ac:dyDescent="0.25">
      <c r="A93" s="65">
        <v>13.75</v>
      </c>
      <c r="B93">
        <v>9.2380000000000004E-2</v>
      </c>
      <c r="C93">
        <v>1.2841</v>
      </c>
      <c r="D93">
        <v>8.6860000000000007E-2</v>
      </c>
      <c r="E93">
        <v>-5.8200000000000002E-2</v>
      </c>
      <c r="F93">
        <v>1.7500000000000002E-2</v>
      </c>
      <c r="G93">
        <v>1</v>
      </c>
      <c r="I93">
        <f t="shared" si="7"/>
        <v>0.23998277214922031</v>
      </c>
      <c r="J93">
        <f t="shared" si="8"/>
        <v>13.90019484736956</v>
      </c>
    </row>
    <row r="94" spans="1:10" x14ac:dyDescent="0.25">
      <c r="A94" s="65">
        <v>14</v>
      </c>
      <c r="B94">
        <v>9.9360000000000004E-2</v>
      </c>
      <c r="C94">
        <v>1.2676000000000001</v>
      </c>
      <c r="D94">
        <v>9.4060000000000005E-2</v>
      </c>
      <c r="E94">
        <v>-6.1800000000000001E-2</v>
      </c>
      <c r="F94">
        <v>1.7500000000000002E-2</v>
      </c>
      <c r="G94">
        <v>1</v>
      </c>
      <c r="I94">
        <f t="shared" si="7"/>
        <v>0.24434609527920614</v>
      </c>
      <c r="J94">
        <f t="shared" si="8"/>
        <v>12.757648953301127</v>
      </c>
    </row>
    <row r="95" spans="1:10" x14ac:dyDescent="0.25">
      <c r="A95" s="65">
        <v>14.25</v>
      </c>
      <c r="B95">
        <v>0.1071</v>
      </c>
      <c r="C95">
        <v>1.2494000000000001</v>
      </c>
      <c r="D95">
        <v>0.10203</v>
      </c>
      <c r="E95">
        <v>-6.6199999999999995E-2</v>
      </c>
      <c r="F95">
        <v>1.7600000000000001E-2</v>
      </c>
      <c r="G95">
        <v>1</v>
      </c>
      <c r="I95">
        <f t="shared" si="7"/>
        <v>0.24870941840919195</v>
      </c>
      <c r="J95">
        <f t="shared" si="8"/>
        <v>11.665732959850608</v>
      </c>
    </row>
    <row r="96" spans="1:10" x14ac:dyDescent="0.25">
      <c r="A96" s="65">
        <v>14.5</v>
      </c>
      <c r="B96">
        <v>0.11577999999999999</v>
      </c>
      <c r="C96">
        <v>1.2296</v>
      </c>
      <c r="D96">
        <v>0.11092</v>
      </c>
      <c r="E96">
        <v>-7.1499999999999994E-2</v>
      </c>
      <c r="F96">
        <v>1.78E-2</v>
      </c>
      <c r="G96">
        <v>1</v>
      </c>
      <c r="I96">
        <f t="shared" si="7"/>
        <v>0.2530727415391778</v>
      </c>
      <c r="J96">
        <f t="shared" si="8"/>
        <v>10.620141647953016</v>
      </c>
    </row>
    <row r="97" spans="1:10" x14ac:dyDescent="0.25">
      <c r="A97" s="65">
        <v>14.75</v>
      </c>
      <c r="B97">
        <v>0.12545000000000001</v>
      </c>
      <c r="C97">
        <v>1.2084999999999999</v>
      </c>
      <c r="D97">
        <v>0.12078999999999999</v>
      </c>
      <c r="E97">
        <v>-7.7700000000000005E-2</v>
      </c>
      <c r="F97">
        <v>1.8100000000000002E-2</v>
      </c>
      <c r="G97">
        <v>1</v>
      </c>
      <c r="I97">
        <f t="shared" si="7"/>
        <v>0.25743606466916358</v>
      </c>
      <c r="J97">
        <f t="shared" si="8"/>
        <v>9.6333200478278194</v>
      </c>
    </row>
    <row r="98" spans="1:10" x14ac:dyDescent="0.25">
      <c r="A98" s="65">
        <v>15</v>
      </c>
      <c r="B98">
        <v>0.1361</v>
      </c>
      <c r="C98">
        <v>1.1862999999999999</v>
      </c>
      <c r="D98">
        <v>0.13159999999999999</v>
      </c>
      <c r="E98">
        <v>-8.4699999999999998E-2</v>
      </c>
      <c r="F98">
        <v>1.8499999999999999E-2</v>
      </c>
      <c r="G98">
        <v>1</v>
      </c>
      <c r="I98">
        <f t="shared" si="7"/>
        <v>0.26179938779914941</v>
      </c>
      <c r="J98">
        <f t="shared" si="8"/>
        <v>8.7163850110213072</v>
      </c>
    </row>
    <row r="99" spans="1:10" x14ac:dyDescent="0.25">
      <c r="A99" s="65">
        <v>15.25</v>
      </c>
      <c r="B99">
        <v>0.14784</v>
      </c>
      <c r="C99">
        <v>1.1634</v>
      </c>
      <c r="D99">
        <v>0.14343</v>
      </c>
      <c r="E99">
        <v>-9.2299999999999993E-2</v>
      </c>
      <c r="F99">
        <v>1.9E-2</v>
      </c>
      <c r="G99">
        <v>1</v>
      </c>
      <c r="I99">
        <f t="shared" si="7"/>
        <v>0.26616271092913524</v>
      </c>
      <c r="J99">
        <f t="shared" si="8"/>
        <v>7.8693181818181817</v>
      </c>
    </row>
    <row r="100" spans="1:10" x14ac:dyDescent="0.25">
      <c r="A100" s="65"/>
    </row>
    <row r="101" spans="1:10" x14ac:dyDescent="0.25">
      <c r="A101" s="65"/>
    </row>
    <row r="102" spans="1:10" x14ac:dyDescent="0.25">
      <c r="A102" s="65"/>
    </row>
    <row r="103" spans="1:10" x14ac:dyDescent="0.25">
      <c r="A103" s="65"/>
    </row>
    <row r="104" spans="1:10" x14ac:dyDescent="0.25">
      <c r="A104" s="65"/>
    </row>
    <row r="105" spans="1:10" x14ac:dyDescent="0.25">
      <c r="A105" s="65"/>
    </row>
    <row r="106" spans="1:10" x14ac:dyDescent="0.25">
      <c r="A106" s="65"/>
    </row>
    <row r="107" spans="1:10" x14ac:dyDescent="0.25">
      <c r="A107" s="65"/>
    </row>
    <row r="108" spans="1:10" x14ac:dyDescent="0.25">
      <c r="A108" s="65"/>
    </row>
    <row r="109" spans="1:10" x14ac:dyDescent="0.25">
      <c r="A109" s="65"/>
    </row>
    <row r="110" spans="1:10" x14ac:dyDescent="0.25">
      <c r="A110" s="65"/>
    </row>
    <row r="111" spans="1:10" x14ac:dyDescent="0.25">
      <c r="A111" s="65"/>
    </row>
    <row r="112" spans="1:10" x14ac:dyDescent="0.25">
      <c r="A112" s="65"/>
    </row>
    <row r="113" spans="1:1" x14ac:dyDescent="0.25">
      <c r="A113" s="65"/>
    </row>
    <row r="114" spans="1:1" x14ac:dyDescent="0.25">
      <c r="A114" s="65"/>
    </row>
    <row r="115" spans="1:1" x14ac:dyDescent="0.25">
      <c r="A115" s="65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D3" sqref="D3"/>
    </sheetView>
  </sheetViews>
  <sheetFormatPr defaultRowHeight="15" x14ac:dyDescent="0.25"/>
  <sheetData>
    <row r="1" spans="1:21" x14ac:dyDescent="0.25">
      <c r="A1" s="67" t="s">
        <v>102</v>
      </c>
      <c r="H1" t="s">
        <v>25</v>
      </c>
      <c r="I1">
        <v>100000</v>
      </c>
    </row>
    <row r="2" spans="1:21" x14ac:dyDescent="0.25">
      <c r="A2" s="66" t="s">
        <v>98</v>
      </c>
      <c r="H2" t="s">
        <v>57</v>
      </c>
      <c r="I2" t="s">
        <v>58</v>
      </c>
      <c r="J2" t="s">
        <v>56</v>
      </c>
      <c r="K2" t="s">
        <v>55</v>
      </c>
      <c r="L2" t="s">
        <v>54</v>
      </c>
      <c r="M2" t="s">
        <v>53</v>
      </c>
      <c r="N2" t="s">
        <v>51</v>
      </c>
      <c r="O2" t="s">
        <v>52</v>
      </c>
    </row>
    <row r="3" spans="1:21" x14ac:dyDescent="0.25">
      <c r="A3" s="66" t="s">
        <v>103</v>
      </c>
      <c r="H3">
        <f>I4</f>
        <v>0.41333477801268476</v>
      </c>
      <c r="I3">
        <f>H4</f>
        <v>6.5946190514719945</v>
      </c>
      <c r="J3">
        <v>-4.3400000000000001E-2</v>
      </c>
      <c r="K3">
        <v>1.1694</v>
      </c>
      <c r="L3">
        <f>SMALL(B9:B98,1)</f>
        <v>1.315E-2</v>
      </c>
      <c r="M3">
        <f>(L6-L3)/((M6-O3)^2)</f>
        <v>1.8811983539696042E-2</v>
      </c>
      <c r="N3">
        <f>(N6-L3)/((O6-O3)^2)</f>
        <v>5.169837728722522E-2</v>
      </c>
      <c r="O3">
        <f>VLOOKUP(L3,B9:C98,2,FALSE)</f>
        <v>0.53120000000000001</v>
      </c>
    </row>
    <row r="4" spans="1:21" x14ac:dyDescent="0.25">
      <c r="A4" s="66" t="s">
        <v>99</v>
      </c>
      <c r="H4">
        <f t="array" ref="H4:I4">LINEST($C$27:$C$70,$I$27:$I$70)</f>
        <v>6.5946190514719945</v>
      </c>
      <c r="I4">
        <v>0.41333477801268476</v>
      </c>
    </row>
    <row r="5" spans="1:21" x14ac:dyDescent="0.25">
      <c r="L5" t="s">
        <v>104</v>
      </c>
      <c r="M5" t="s">
        <v>106</v>
      </c>
      <c r="N5" t="s">
        <v>105</v>
      </c>
      <c r="O5" t="s">
        <v>107</v>
      </c>
    </row>
    <row r="6" spans="1:21" x14ac:dyDescent="0.25">
      <c r="L6">
        <v>2.0400000000000001E-2</v>
      </c>
      <c r="M6">
        <v>1.1519999999999999</v>
      </c>
      <c r="N6">
        <v>3.2779999999999997E-2</v>
      </c>
      <c r="O6">
        <v>-8.5000000000000006E-2</v>
      </c>
    </row>
    <row r="7" spans="1:21" x14ac:dyDescent="0.25">
      <c r="A7" s="65" t="s">
        <v>67</v>
      </c>
      <c r="B7" t="s">
        <v>21</v>
      </c>
      <c r="C7" t="s">
        <v>20</v>
      </c>
      <c r="D7" t="s">
        <v>66</v>
      </c>
      <c r="E7" t="s">
        <v>65</v>
      </c>
      <c r="F7" t="s">
        <v>64</v>
      </c>
      <c r="G7" t="s">
        <v>63</v>
      </c>
      <c r="I7" t="s">
        <v>90</v>
      </c>
      <c r="J7" t="s">
        <v>62</v>
      </c>
      <c r="R7" t="s">
        <v>94</v>
      </c>
      <c r="S7" t="s">
        <v>95</v>
      </c>
      <c r="T7" t="s">
        <v>96</v>
      </c>
      <c r="U7" t="s">
        <v>97</v>
      </c>
    </row>
    <row r="8" spans="1:21" x14ac:dyDescent="0.25">
      <c r="A8" s="65" t="s">
        <v>61</v>
      </c>
      <c r="B8" t="s">
        <v>60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J8">
        <f>MAX((J9:J127))</f>
        <v>64.259259259259267</v>
      </c>
      <c r="R8">
        <f>$L$3+$M$3*(S8-$O$3)^2</f>
        <v>1.315E-2</v>
      </c>
      <c r="S8">
        <f>O3</f>
        <v>0.53120000000000001</v>
      </c>
      <c r="T8">
        <f>$L$3+$N$3*(U8-$O$3)^2</f>
        <v>1.315E-2</v>
      </c>
      <c r="U8">
        <f>O3</f>
        <v>0.53120000000000001</v>
      </c>
    </row>
    <row r="9" spans="1:21" x14ac:dyDescent="0.25">
      <c r="A9" s="65">
        <v>-8.25</v>
      </c>
      <c r="B9">
        <v>0.10378999999999999</v>
      </c>
      <c r="C9">
        <v>-0.35599999999999998</v>
      </c>
      <c r="D9">
        <v>9.8860000000000003E-2</v>
      </c>
      <c r="E9">
        <v>-3.2099999999999997E-2</v>
      </c>
      <c r="F9">
        <v>1</v>
      </c>
      <c r="G9">
        <v>4.1500000000000002E-2</v>
      </c>
      <c r="I9">
        <f t="shared" ref="I9:I54" si="0">A9*PI()/180</f>
        <v>-0.14398966328953219</v>
      </c>
      <c r="J9">
        <f>C9/B9</f>
        <v>-3.430002890451874</v>
      </c>
      <c r="R9">
        <f t="shared" ref="R9:R18" si="1">$L$3+$M$3*(S9-$O$3)^2</f>
        <v>1.3338119835396961E-2</v>
      </c>
      <c r="S9">
        <f>S8+0.1</f>
        <v>0.63119999999999998</v>
      </c>
      <c r="T9">
        <f t="shared" ref="T9:T18" si="2">$L$3+$N$3*(U9-$O$3)^2</f>
        <v>1.3666983772872253E-2</v>
      </c>
      <c r="U9">
        <f>U8-0.1</f>
        <v>0.43120000000000003</v>
      </c>
    </row>
    <row r="10" spans="1:21" x14ac:dyDescent="0.25">
      <c r="A10" s="65">
        <v>-8</v>
      </c>
      <c r="B10">
        <v>0.10218000000000001</v>
      </c>
      <c r="C10">
        <v>-0.36309999999999998</v>
      </c>
      <c r="D10">
        <v>9.7360000000000002E-2</v>
      </c>
      <c r="E10">
        <v>-3.2199999999999999E-2</v>
      </c>
      <c r="F10">
        <v>1</v>
      </c>
      <c r="G10">
        <v>4.1700000000000001E-2</v>
      </c>
      <c r="I10">
        <f t="shared" si="0"/>
        <v>-0.13962634015954636</v>
      </c>
      <c r="J10">
        <f t="shared" ref="J10:J73" si="3">C10/B10</f>
        <v>-3.5535329810138965</v>
      </c>
      <c r="R10">
        <f t="shared" si="1"/>
        <v>1.3902479341587842E-2</v>
      </c>
      <c r="S10">
        <f t="shared" ref="S10:S18" si="4">S9+0.1</f>
        <v>0.73119999999999996</v>
      </c>
      <c r="T10">
        <f t="shared" si="2"/>
        <v>1.5217935091489007E-2</v>
      </c>
      <c r="U10">
        <f t="shared" ref="U10:U18" si="5">U9-0.1</f>
        <v>0.33120000000000005</v>
      </c>
    </row>
    <row r="11" spans="1:21" x14ac:dyDescent="0.25">
      <c r="A11" s="65">
        <v>-7.75</v>
      </c>
      <c r="B11">
        <v>0.10057000000000001</v>
      </c>
      <c r="C11">
        <v>-0.37109999999999999</v>
      </c>
      <c r="D11">
        <v>9.5839999999999995E-2</v>
      </c>
      <c r="E11">
        <v>-3.1699999999999999E-2</v>
      </c>
      <c r="F11">
        <v>1</v>
      </c>
      <c r="G11">
        <v>4.19E-2</v>
      </c>
      <c r="I11">
        <f t="shared" si="0"/>
        <v>-0.13526301702956053</v>
      </c>
      <c r="J11">
        <f t="shared" si="3"/>
        <v>-3.6899671870339064</v>
      </c>
      <c r="R11">
        <f t="shared" si="1"/>
        <v>1.4843078518572642E-2</v>
      </c>
      <c r="S11">
        <f t="shared" si="4"/>
        <v>0.83119999999999994</v>
      </c>
      <c r="T11">
        <f t="shared" si="2"/>
        <v>1.7802853955850267E-2</v>
      </c>
      <c r="U11">
        <f t="shared" si="5"/>
        <v>0.23120000000000004</v>
      </c>
    </row>
    <row r="12" spans="1:21" x14ac:dyDescent="0.25">
      <c r="A12" s="65">
        <v>-7.5</v>
      </c>
      <c r="B12">
        <v>9.8350000000000007E-2</v>
      </c>
      <c r="C12">
        <v>-0.375</v>
      </c>
      <c r="D12">
        <v>9.3710000000000002E-2</v>
      </c>
      <c r="E12">
        <v>-3.2599999999999997E-2</v>
      </c>
      <c r="F12">
        <v>1</v>
      </c>
      <c r="G12">
        <v>4.2000000000000003E-2</v>
      </c>
      <c r="I12">
        <f t="shared" si="0"/>
        <v>-0.1308996938995747</v>
      </c>
      <c r="J12">
        <f t="shared" si="3"/>
        <v>-3.8129130655821046</v>
      </c>
      <c r="R12">
        <f t="shared" si="1"/>
        <v>1.6159917366351365E-2</v>
      </c>
      <c r="S12">
        <f t="shared" si="4"/>
        <v>0.93119999999999992</v>
      </c>
      <c r="T12">
        <f t="shared" si="2"/>
        <v>2.1421740365956034E-2</v>
      </c>
      <c r="U12">
        <f t="shared" si="5"/>
        <v>0.13120000000000004</v>
      </c>
    </row>
    <row r="13" spans="1:21" x14ac:dyDescent="0.25">
      <c r="A13" s="65">
        <v>-7.25</v>
      </c>
      <c r="B13">
        <v>9.5750000000000002E-2</v>
      </c>
      <c r="C13">
        <v>-0.37590000000000001</v>
      </c>
      <c r="D13">
        <v>9.1170000000000001E-2</v>
      </c>
      <c r="E13">
        <v>-3.4000000000000002E-2</v>
      </c>
      <c r="F13">
        <v>1</v>
      </c>
      <c r="G13">
        <v>4.2099999999999999E-2</v>
      </c>
      <c r="I13">
        <f t="shared" si="0"/>
        <v>-0.1265363707695889</v>
      </c>
      <c r="J13">
        <f t="shared" si="3"/>
        <v>-3.9258485639686684</v>
      </c>
      <c r="R13">
        <f t="shared" si="1"/>
        <v>1.7852995884924009E-2</v>
      </c>
      <c r="S13">
        <f t="shared" si="4"/>
        <v>1.0311999999999999</v>
      </c>
      <c r="T13">
        <f t="shared" si="2"/>
        <v>2.6074594321806303E-2</v>
      </c>
      <c r="U13">
        <f t="shared" si="5"/>
        <v>3.1200000000000033E-2</v>
      </c>
    </row>
    <row r="14" spans="1:21" x14ac:dyDescent="0.25">
      <c r="A14" s="65">
        <v>-7</v>
      </c>
      <c r="B14">
        <v>9.0520000000000003E-2</v>
      </c>
      <c r="C14">
        <v>-0.36770000000000003</v>
      </c>
      <c r="D14">
        <v>8.5949999999999999E-2</v>
      </c>
      <c r="E14">
        <v>-2.5999999999999999E-2</v>
      </c>
      <c r="F14">
        <v>1</v>
      </c>
      <c r="G14">
        <v>4.4699999999999997E-2</v>
      </c>
      <c r="I14">
        <f t="shared" si="0"/>
        <v>-0.12217304763960307</v>
      </c>
      <c r="J14">
        <f t="shared" si="3"/>
        <v>-4.0620857269111799</v>
      </c>
      <c r="R14">
        <f t="shared" si="1"/>
        <v>1.9922314074290577E-2</v>
      </c>
      <c r="S14">
        <f t="shared" si="4"/>
        <v>1.1312</v>
      </c>
      <c r="T14">
        <f t="shared" si="2"/>
        <v>3.1761415823401078E-2</v>
      </c>
      <c r="U14">
        <f t="shared" si="5"/>
        <v>-6.8799999999999972E-2</v>
      </c>
    </row>
    <row r="15" spans="1:21" x14ac:dyDescent="0.25">
      <c r="A15" s="65">
        <v>-6.75</v>
      </c>
      <c r="B15">
        <v>8.8230000000000003E-2</v>
      </c>
      <c r="C15">
        <v>-0.36809999999999998</v>
      </c>
      <c r="D15">
        <v>8.3720000000000003E-2</v>
      </c>
      <c r="E15">
        <v>-2.46E-2</v>
      </c>
      <c r="F15">
        <v>1</v>
      </c>
      <c r="G15">
        <v>4.6399999999999997E-2</v>
      </c>
      <c r="I15">
        <f t="shared" si="0"/>
        <v>-0.11780972450961724</v>
      </c>
      <c r="J15">
        <f t="shared" si="3"/>
        <v>-4.1720503230193806</v>
      </c>
      <c r="R15">
        <f t="shared" si="1"/>
        <v>2.2367871934451063E-2</v>
      </c>
      <c r="S15">
        <f t="shared" si="4"/>
        <v>1.2312000000000001</v>
      </c>
      <c r="T15">
        <f t="shared" si="2"/>
        <v>3.8482204870740354E-2</v>
      </c>
      <c r="U15">
        <f t="shared" si="5"/>
        <v>-0.16879999999999998</v>
      </c>
    </row>
    <row r="16" spans="1:21" x14ac:dyDescent="0.25">
      <c r="A16" s="65">
        <v>-6.5</v>
      </c>
      <c r="B16">
        <v>8.5949999999999999E-2</v>
      </c>
      <c r="C16">
        <v>-0.37030000000000002</v>
      </c>
      <c r="D16">
        <v>8.1500000000000003E-2</v>
      </c>
      <c r="E16">
        <v>-2.4E-2</v>
      </c>
      <c r="F16">
        <v>1</v>
      </c>
      <c r="G16">
        <v>4.7699999999999999E-2</v>
      </c>
      <c r="I16">
        <f t="shared" si="0"/>
        <v>-0.11344640137963143</v>
      </c>
      <c r="J16">
        <f t="shared" si="3"/>
        <v>-4.3083187899941828</v>
      </c>
      <c r="R16">
        <f t="shared" si="1"/>
        <v>2.5189669465405472E-2</v>
      </c>
      <c r="S16">
        <f t="shared" si="4"/>
        <v>1.3312000000000002</v>
      </c>
      <c r="T16">
        <f t="shared" si="2"/>
        <v>4.6236961463824146E-2</v>
      </c>
      <c r="U16">
        <f t="shared" si="5"/>
        <v>-0.26879999999999998</v>
      </c>
    </row>
    <row r="17" spans="1:21" x14ac:dyDescent="0.25">
      <c r="A17" s="65">
        <v>-6.25</v>
      </c>
      <c r="B17">
        <v>8.3529999999999993E-2</v>
      </c>
      <c r="C17">
        <v>-0.37190000000000001</v>
      </c>
      <c r="D17">
        <v>7.9149999999999998E-2</v>
      </c>
      <c r="E17">
        <v>-2.41E-2</v>
      </c>
      <c r="F17">
        <v>1</v>
      </c>
      <c r="G17">
        <v>4.8599999999999997E-2</v>
      </c>
      <c r="I17">
        <f t="shared" si="0"/>
        <v>-0.1090830782496456</v>
      </c>
      <c r="J17">
        <f t="shared" si="3"/>
        <v>-4.452292589488807</v>
      </c>
      <c r="R17">
        <f t="shared" si="1"/>
        <v>2.8387706667153803E-2</v>
      </c>
      <c r="S17">
        <f t="shared" si="4"/>
        <v>1.4312000000000002</v>
      </c>
      <c r="T17">
        <f t="shared" si="2"/>
        <v>5.5025685602652433E-2</v>
      </c>
      <c r="U17">
        <f t="shared" si="5"/>
        <v>-0.36880000000000002</v>
      </c>
    </row>
    <row r="18" spans="1:21" x14ac:dyDescent="0.25">
      <c r="A18" s="65">
        <v>-6</v>
      </c>
      <c r="B18">
        <v>8.0909999999999996E-2</v>
      </c>
      <c r="C18">
        <v>-0.37209999999999999</v>
      </c>
      <c r="D18">
        <v>7.6579999999999995E-2</v>
      </c>
      <c r="E18">
        <v>-2.4799999999999999E-2</v>
      </c>
      <c r="F18">
        <v>1</v>
      </c>
      <c r="G18">
        <v>0.05</v>
      </c>
      <c r="I18">
        <f t="shared" si="0"/>
        <v>-0.10471975511965977</v>
      </c>
      <c r="J18">
        <f t="shared" si="3"/>
        <v>-4.5989370905944877</v>
      </c>
      <c r="R18">
        <f t="shared" si="1"/>
        <v>3.1961983539696058E-2</v>
      </c>
      <c r="S18">
        <f t="shared" si="4"/>
        <v>1.5312000000000003</v>
      </c>
      <c r="T18">
        <f t="shared" si="2"/>
        <v>6.4848377287225215E-2</v>
      </c>
      <c r="U18">
        <f t="shared" si="5"/>
        <v>-0.46879999999999999</v>
      </c>
    </row>
    <row r="19" spans="1:21" x14ac:dyDescent="0.25">
      <c r="A19" s="65">
        <v>-5.75</v>
      </c>
      <c r="B19">
        <v>7.8E-2</v>
      </c>
      <c r="C19">
        <v>-0.36980000000000002</v>
      </c>
      <c r="D19">
        <v>7.3700000000000002E-2</v>
      </c>
      <c r="E19">
        <v>-2.6700000000000002E-2</v>
      </c>
      <c r="F19">
        <v>1</v>
      </c>
      <c r="G19">
        <v>5.16E-2</v>
      </c>
      <c r="I19">
        <f t="shared" si="0"/>
        <v>-0.10035643198967394</v>
      </c>
      <c r="J19">
        <f t="shared" si="3"/>
        <v>-4.7410256410256411</v>
      </c>
    </row>
    <row r="20" spans="1:21" x14ac:dyDescent="0.25">
      <c r="A20" s="65">
        <v>-5.5</v>
      </c>
      <c r="B20">
        <v>7.1499999999999994E-2</v>
      </c>
      <c r="C20">
        <v>-0.32240000000000002</v>
      </c>
      <c r="D20">
        <v>6.694E-2</v>
      </c>
      <c r="E20">
        <v>-4.7800000000000002E-2</v>
      </c>
      <c r="F20">
        <v>0.995</v>
      </c>
      <c r="G20">
        <v>5.5100000000000003E-2</v>
      </c>
      <c r="I20">
        <f t="shared" si="0"/>
        <v>-9.599310885968812E-2</v>
      </c>
      <c r="J20">
        <f t="shared" si="3"/>
        <v>-4.5090909090909097</v>
      </c>
    </row>
    <row r="21" spans="1:21" x14ac:dyDescent="0.25">
      <c r="A21" s="65">
        <v>-5</v>
      </c>
      <c r="B21">
        <v>6.1449999999999998E-2</v>
      </c>
      <c r="C21">
        <v>-0.27789999999999998</v>
      </c>
      <c r="D21">
        <v>5.6890000000000003E-2</v>
      </c>
      <c r="E21">
        <v>-5.4100000000000002E-2</v>
      </c>
      <c r="F21">
        <v>0.98629999999999995</v>
      </c>
      <c r="G21">
        <v>5.7099999999999998E-2</v>
      </c>
      <c r="I21">
        <f t="shared" si="0"/>
        <v>-8.7266462599716474E-2</v>
      </c>
      <c r="J21">
        <f t="shared" si="3"/>
        <v>-4.5223759153783565</v>
      </c>
    </row>
    <row r="22" spans="1:21" x14ac:dyDescent="0.25">
      <c r="A22" s="65">
        <v>-4.75</v>
      </c>
      <c r="B22">
        <v>5.7250000000000002E-2</v>
      </c>
      <c r="C22">
        <v>-0.24979999999999999</v>
      </c>
      <c r="D22">
        <v>5.2609999999999997E-2</v>
      </c>
      <c r="E22">
        <v>-5.8500000000000003E-2</v>
      </c>
      <c r="F22">
        <v>0.98099999999999998</v>
      </c>
      <c r="G22">
        <v>5.8500000000000003E-2</v>
      </c>
      <c r="I22">
        <f t="shared" si="0"/>
        <v>-8.2903139469730644E-2</v>
      </c>
      <c r="J22">
        <f t="shared" si="3"/>
        <v>-4.3633187772925766</v>
      </c>
    </row>
    <row r="23" spans="1:21" x14ac:dyDescent="0.25">
      <c r="A23" s="65">
        <v>-4.5</v>
      </c>
      <c r="B23">
        <v>4.6260000000000003E-2</v>
      </c>
      <c r="C23">
        <v>-0.19439999999999999</v>
      </c>
      <c r="D23">
        <v>4.0980000000000003E-2</v>
      </c>
      <c r="E23">
        <v>-7.0699999999999999E-2</v>
      </c>
      <c r="F23">
        <v>0.97640000000000005</v>
      </c>
      <c r="G23">
        <v>2.9600000000000001E-2</v>
      </c>
      <c r="I23">
        <f t="shared" si="0"/>
        <v>-7.8539816339744828E-2</v>
      </c>
      <c r="J23">
        <f t="shared" si="3"/>
        <v>-4.2023346303501938</v>
      </c>
    </row>
    <row r="24" spans="1:21" x14ac:dyDescent="0.25">
      <c r="A24" s="65">
        <v>-4.25</v>
      </c>
      <c r="B24">
        <v>4.1489999999999999E-2</v>
      </c>
      <c r="C24">
        <v>-0.158</v>
      </c>
      <c r="D24">
        <v>3.5950000000000003E-2</v>
      </c>
      <c r="E24">
        <v>-7.6200000000000004E-2</v>
      </c>
      <c r="F24">
        <v>0.9728</v>
      </c>
      <c r="G24">
        <v>2.8500000000000001E-2</v>
      </c>
      <c r="I24">
        <f t="shared" si="0"/>
        <v>-7.4176493209759012E-2</v>
      </c>
      <c r="J24">
        <f t="shared" si="3"/>
        <v>-3.8081465413352618</v>
      </c>
    </row>
    <row r="25" spans="1:21" x14ac:dyDescent="0.25">
      <c r="A25" s="65">
        <v>-4</v>
      </c>
      <c r="B25">
        <v>3.7010000000000001E-2</v>
      </c>
      <c r="C25">
        <v>-0.1239</v>
      </c>
      <c r="D25">
        <v>3.109E-2</v>
      </c>
      <c r="E25">
        <v>-8.0299999999999996E-2</v>
      </c>
      <c r="F25">
        <v>0.96709999999999996</v>
      </c>
      <c r="G25">
        <v>2.7699999999999999E-2</v>
      </c>
      <c r="I25">
        <f t="shared" si="0"/>
        <v>-6.9813170079773182E-2</v>
      </c>
      <c r="J25">
        <f t="shared" si="3"/>
        <v>-3.3477438530126991</v>
      </c>
    </row>
    <row r="26" spans="1:21" x14ac:dyDescent="0.25">
      <c r="A26" s="65">
        <v>-3.75</v>
      </c>
      <c r="B26">
        <v>3.2779999999999997E-2</v>
      </c>
      <c r="C26">
        <v>-8.5000000000000006E-2</v>
      </c>
      <c r="D26">
        <v>2.63E-2</v>
      </c>
      <c r="E26">
        <v>-8.4400000000000003E-2</v>
      </c>
      <c r="F26">
        <v>0.9627</v>
      </c>
      <c r="G26">
        <v>2.76E-2</v>
      </c>
      <c r="I26">
        <f t="shared" si="0"/>
        <v>-6.5449846949787352E-2</v>
      </c>
      <c r="J26">
        <f t="shared" si="3"/>
        <v>-2.5930445393532646</v>
      </c>
    </row>
    <row r="27" spans="1:21" x14ac:dyDescent="0.25">
      <c r="A27" s="65">
        <v>-3.5</v>
      </c>
      <c r="B27">
        <v>2.9610000000000001E-2</v>
      </c>
      <c r="C27">
        <v>-4.3400000000000001E-2</v>
      </c>
      <c r="D27">
        <v>2.2409999999999999E-2</v>
      </c>
      <c r="E27">
        <v>-8.7900000000000006E-2</v>
      </c>
      <c r="F27">
        <v>0.95950000000000002</v>
      </c>
      <c r="G27">
        <v>2.98E-2</v>
      </c>
      <c r="I27">
        <f t="shared" si="0"/>
        <v>-6.1086523819801536E-2</v>
      </c>
      <c r="J27">
        <f t="shared" si="3"/>
        <v>-1.4657210401891252</v>
      </c>
    </row>
    <row r="28" spans="1:21" x14ac:dyDescent="0.25">
      <c r="A28" s="65">
        <v>-3.25</v>
      </c>
      <c r="B28">
        <v>2.7369999999999998E-2</v>
      </c>
      <c r="C28">
        <v>-1.0699999999999999E-2</v>
      </c>
      <c r="D28">
        <v>1.959E-2</v>
      </c>
      <c r="E28">
        <v>-8.9200000000000002E-2</v>
      </c>
      <c r="F28">
        <v>0.95330000000000004</v>
      </c>
      <c r="G28">
        <v>3.04E-2</v>
      </c>
      <c r="I28">
        <f t="shared" si="0"/>
        <v>-5.6723200689815713E-2</v>
      </c>
      <c r="J28">
        <f t="shared" si="3"/>
        <v>-0.39093898428936791</v>
      </c>
    </row>
    <row r="29" spans="1:21" x14ac:dyDescent="0.25">
      <c r="A29" s="65">
        <v>-3</v>
      </c>
      <c r="B29">
        <v>2.4799999999999999E-2</v>
      </c>
      <c r="C29">
        <v>2.4899999999999999E-2</v>
      </c>
      <c r="D29">
        <v>1.6549999999999999E-2</v>
      </c>
      <c r="E29">
        <v>-9.11E-2</v>
      </c>
      <c r="F29">
        <v>0.94899999999999995</v>
      </c>
      <c r="G29">
        <v>3.0700000000000002E-2</v>
      </c>
      <c r="I29">
        <f t="shared" si="0"/>
        <v>-5.2359877559829883E-2</v>
      </c>
      <c r="J29">
        <f t="shared" si="3"/>
        <v>1.004032258064516</v>
      </c>
    </row>
    <row r="30" spans="1:21" x14ac:dyDescent="0.25">
      <c r="A30" s="65">
        <v>-2.75</v>
      </c>
      <c r="B30">
        <v>2.257E-2</v>
      </c>
      <c r="C30">
        <v>6.2300000000000001E-2</v>
      </c>
      <c r="D30">
        <v>1.3939999999999999E-2</v>
      </c>
      <c r="E30">
        <v>-9.3200000000000005E-2</v>
      </c>
      <c r="F30">
        <v>0.94579999999999997</v>
      </c>
      <c r="G30">
        <v>3.1600000000000003E-2</v>
      </c>
      <c r="I30">
        <f t="shared" si="0"/>
        <v>-4.799655442984406E-2</v>
      </c>
      <c r="J30">
        <f t="shared" si="3"/>
        <v>2.7603012848914488</v>
      </c>
    </row>
    <row r="31" spans="1:21" x14ac:dyDescent="0.25">
      <c r="A31" s="65">
        <v>-2.5</v>
      </c>
      <c r="B31">
        <v>2.1190000000000001E-2</v>
      </c>
      <c r="C31">
        <v>9.1999999999999998E-2</v>
      </c>
      <c r="D31">
        <v>1.2330000000000001E-2</v>
      </c>
      <c r="E31">
        <v>-9.3600000000000003E-2</v>
      </c>
      <c r="F31">
        <v>0.93889999999999996</v>
      </c>
      <c r="G31">
        <v>3.3000000000000002E-2</v>
      </c>
      <c r="I31">
        <f t="shared" si="0"/>
        <v>-4.3633231299858237E-2</v>
      </c>
      <c r="J31">
        <f t="shared" si="3"/>
        <v>4.3416705993393112</v>
      </c>
    </row>
    <row r="32" spans="1:21" x14ac:dyDescent="0.25">
      <c r="A32" s="65">
        <v>-2.25</v>
      </c>
      <c r="B32">
        <v>2.0250000000000001E-2</v>
      </c>
      <c r="C32">
        <v>0.12759999999999999</v>
      </c>
      <c r="D32">
        <v>1.123E-2</v>
      </c>
      <c r="E32">
        <v>-9.5100000000000004E-2</v>
      </c>
      <c r="F32">
        <v>0.93400000000000005</v>
      </c>
      <c r="G32">
        <v>3.8100000000000002E-2</v>
      </c>
      <c r="I32">
        <f t="shared" si="0"/>
        <v>-3.9269908169872414E-2</v>
      </c>
      <c r="J32">
        <f t="shared" si="3"/>
        <v>6.3012345679012336</v>
      </c>
    </row>
    <row r="33" spans="1:10" x14ac:dyDescent="0.25">
      <c r="A33" s="65">
        <v>-2</v>
      </c>
      <c r="B33">
        <v>1.9230000000000001E-2</v>
      </c>
      <c r="C33">
        <v>0.161</v>
      </c>
      <c r="D33">
        <v>1.004E-2</v>
      </c>
      <c r="E33">
        <v>-9.6000000000000002E-2</v>
      </c>
      <c r="F33">
        <v>0.9284</v>
      </c>
      <c r="G33">
        <v>4.0599999999999997E-2</v>
      </c>
      <c r="I33">
        <f t="shared" si="0"/>
        <v>-3.4906585039886591E-2</v>
      </c>
      <c r="J33">
        <f t="shared" si="3"/>
        <v>8.3723348933957364</v>
      </c>
    </row>
    <row r="34" spans="1:10" x14ac:dyDescent="0.25">
      <c r="A34" s="65">
        <v>-1.75</v>
      </c>
      <c r="B34">
        <v>1.8249999999999999E-2</v>
      </c>
      <c r="C34">
        <v>0.19339999999999999</v>
      </c>
      <c r="D34">
        <v>8.9800000000000001E-3</v>
      </c>
      <c r="E34">
        <v>-9.6699999999999994E-2</v>
      </c>
      <c r="F34">
        <v>0.92210000000000003</v>
      </c>
      <c r="G34">
        <v>4.3200000000000002E-2</v>
      </c>
      <c r="I34">
        <f t="shared" si="0"/>
        <v>-3.0543261909900768E-2</v>
      </c>
      <c r="J34">
        <f t="shared" si="3"/>
        <v>10.597260273972603</v>
      </c>
    </row>
    <row r="35" spans="1:10" x14ac:dyDescent="0.25">
      <c r="A35" s="65">
        <v>-1.5</v>
      </c>
      <c r="B35">
        <v>1.7469999999999999E-2</v>
      </c>
      <c r="C35">
        <v>0.23119999999999999</v>
      </c>
      <c r="D35">
        <v>8.1600000000000006E-3</v>
      </c>
      <c r="E35">
        <v>-9.8599999999999993E-2</v>
      </c>
      <c r="F35">
        <v>0.91810000000000003</v>
      </c>
      <c r="G35">
        <v>5.1200000000000002E-2</v>
      </c>
      <c r="I35">
        <f t="shared" si="0"/>
        <v>-2.6179938779914941E-2</v>
      </c>
      <c r="J35">
        <f t="shared" si="3"/>
        <v>13.23411562678878</v>
      </c>
    </row>
    <row r="36" spans="1:10" x14ac:dyDescent="0.25">
      <c r="A36" s="65">
        <v>-1.25</v>
      </c>
      <c r="B36">
        <v>1.6899999999999998E-2</v>
      </c>
      <c r="C36">
        <v>0.26029999999999998</v>
      </c>
      <c r="D36">
        <v>7.5199999999999998E-3</v>
      </c>
      <c r="E36">
        <v>-9.8699999999999996E-2</v>
      </c>
      <c r="F36">
        <v>0.90939999999999999</v>
      </c>
      <c r="G36">
        <v>5.9499999999999997E-2</v>
      </c>
      <c r="I36">
        <f t="shared" si="0"/>
        <v>-2.1816615649929118E-2</v>
      </c>
      <c r="J36">
        <f t="shared" si="3"/>
        <v>15.402366863905325</v>
      </c>
    </row>
    <row r="37" spans="1:10" x14ac:dyDescent="0.25">
      <c r="A37" s="65">
        <v>-1</v>
      </c>
      <c r="B37">
        <v>1.6129999999999999E-2</v>
      </c>
      <c r="C37">
        <v>0.29870000000000002</v>
      </c>
      <c r="D37">
        <v>6.8199999999999997E-3</v>
      </c>
      <c r="E37">
        <v>-0.10059999999999999</v>
      </c>
      <c r="F37">
        <v>0.90490000000000004</v>
      </c>
      <c r="G37">
        <v>9.1399999999999995E-2</v>
      </c>
      <c r="I37">
        <f t="shared" si="0"/>
        <v>-1.7453292519943295E-2</v>
      </c>
      <c r="J37">
        <f t="shared" si="3"/>
        <v>18.518288902665844</v>
      </c>
    </row>
    <row r="38" spans="1:10" x14ac:dyDescent="0.25">
      <c r="A38" s="65">
        <v>-0.75</v>
      </c>
      <c r="B38">
        <v>1.4930000000000001E-2</v>
      </c>
      <c r="C38">
        <v>0.3286</v>
      </c>
      <c r="D38">
        <v>6.7000000000000002E-3</v>
      </c>
      <c r="E38">
        <v>-0.1016</v>
      </c>
      <c r="F38">
        <v>0.89710000000000001</v>
      </c>
      <c r="G38">
        <v>0.39500000000000002</v>
      </c>
      <c r="I38">
        <f t="shared" si="0"/>
        <v>-1.3089969389957471E-2</v>
      </c>
      <c r="J38">
        <f t="shared" si="3"/>
        <v>22.009377093101136</v>
      </c>
    </row>
    <row r="39" spans="1:10" x14ac:dyDescent="0.25">
      <c r="A39" s="65">
        <v>-0.5</v>
      </c>
      <c r="B39">
        <v>1.333E-2</v>
      </c>
      <c r="C39">
        <v>0.36549999999999999</v>
      </c>
      <c r="D39">
        <v>6.4799999999999996E-3</v>
      </c>
      <c r="E39">
        <v>-0.10249999999999999</v>
      </c>
      <c r="F39">
        <v>0.89249999999999996</v>
      </c>
      <c r="G39">
        <v>1</v>
      </c>
      <c r="I39">
        <f t="shared" si="0"/>
        <v>-8.7266462599716477E-3</v>
      </c>
      <c r="J39">
        <f t="shared" si="3"/>
        <v>27.419354838709676</v>
      </c>
    </row>
    <row r="40" spans="1:10" x14ac:dyDescent="0.25">
      <c r="A40" s="65">
        <v>-0.25</v>
      </c>
      <c r="B40">
        <v>1.332E-2</v>
      </c>
      <c r="C40">
        <v>0.39739999999999998</v>
      </c>
      <c r="D40">
        <v>6.2399999999999999E-3</v>
      </c>
      <c r="E40">
        <v>-0.1031</v>
      </c>
      <c r="F40">
        <v>0.88370000000000004</v>
      </c>
      <c r="G40">
        <v>1</v>
      </c>
      <c r="I40">
        <f t="shared" si="0"/>
        <v>-4.3633231299858239E-3</v>
      </c>
      <c r="J40">
        <f t="shared" si="3"/>
        <v>29.834834834834833</v>
      </c>
    </row>
    <row r="41" spans="1:10" x14ac:dyDescent="0.25">
      <c r="A41" s="65">
        <v>0</v>
      </c>
      <c r="B41">
        <v>1.325E-2</v>
      </c>
      <c r="C41">
        <v>0.43390000000000001</v>
      </c>
      <c r="D41">
        <v>5.96E-3</v>
      </c>
      <c r="E41">
        <v>-0.1045</v>
      </c>
      <c r="F41">
        <v>0.87680000000000002</v>
      </c>
      <c r="G41">
        <v>1</v>
      </c>
      <c r="I41">
        <f t="shared" si="0"/>
        <v>0</v>
      </c>
      <c r="J41">
        <f t="shared" si="3"/>
        <v>32.747169811320759</v>
      </c>
    </row>
    <row r="42" spans="1:10" x14ac:dyDescent="0.25">
      <c r="A42" s="65">
        <v>0.25</v>
      </c>
      <c r="B42">
        <v>1.325E-2</v>
      </c>
      <c r="C42">
        <v>0.46379999999999999</v>
      </c>
      <c r="D42">
        <v>5.7999999999999996E-3</v>
      </c>
      <c r="E42">
        <v>-0.1047</v>
      </c>
      <c r="F42">
        <v>0.86619999999999997</v>
      </c>
      <c r="G42">
        <v>1</v>
      </c>
      <c r="I42">
        <f t="shared" si="0"/>
        <v>4.3633231299858239E-3</v>
      </c>
      <c r="J42">
        <f t="shared" si="3"/>
        <v>35.003773584905659</v>
      </c>
    </row>
    <row r="43" spans="1:10" x14ac:dyDescent="0.25">
      <c r="A43" s="65">
        <v>0.5</v>
      </c>
      <c r="B43">
        <v>1.323E-2</v>
      </c>
      <c r="C43">
        <v>0.49580000000000002</v>
      </c>
      <c r="D43">
        <v>5.64E-3</v>
      </c>
      <c r="E43">
        <v>-0.1053</v>
      </c>
      <c r="F43">
        <v>0.85640000000000005</v>
      </c>
      <c r="G43">
        <v>1</v>
      </c>
      <c r="I43">
        <f t="shared" si="0"/>
        <v>8.7266462599716477E-3</v>
      </c>
      <c r="J43">
        <f t="shared" si="3"/>
        <v>37.475434618291764</v>
      </c>
    </row>
    <row r="44" spans="1:10" x14ac:dyDescent="0.25">
      <c r="A44" s="65">
        <v>0.75</v>
      </c>
      <c r="B44">
        <v>1.315E-2</v>
      </c>
      <c r="C44">
        <v>0.53120000000000001</v>
      </c>
      <c r="D44">
        <v>5.4400000000000004E-3</v>
      </c>
      <c r="E44">
        <v>-0.10639999999999999</v>
      </c>
      <c r="F44">
        <v>0.84799999999999998</v>
      </c>
      <c r="G44">
        <v>1</v>
      </c>
      <c r="I44">
        <f t="shared" si="0"/>
        <v>1.3089969389957471E-2</v>
      </c>
      <c r="J44">
        <f t="shared" si="3"/>
        <v>40.395437262357412</v>
      </c>
    </row>
    <row r="45" spans="1:10" x14ac:dyDescent="0.25">
      <c r="A45" s="65">
        <v>1</v>
      </c>
      <c r="B45">
        <v>1.3169999999999999E-2</v>
      </c>
      <c r="C45">
        <v>0.56069999999999998</v>
      </c>
      <c r="D45">
        <v>5.3699999999999998E-3</v>
      </c>
      <c r="E45">
        <v>-0.1065</v>
      </c>
      <c r="F45">
        <v>0.83589999999999998</v>
      </c>
      <c r="G45">
        <v>1</v>
      </c>
      <c r="I45">
        <f t="shared" si="0"/>
        <v>1.7453292519943295E-2</v>
      </c>
      <c r="J45">
        <f t="shared" si="3"/>
        <v>42.574031890660592</v>
      </c>
    </row>
    <row r="46" spans="1:10" x14ac:dyDescent="0.25">
      <c r="A46" s="65">
        <v>1.25</v>
      </c>
      <c r="B46">
        <v>1.3169999999999999E-2</v>
      </c>
      <c r="C46">
        <v>0.59089999999999998</v>
      </c>
      <c r="D46">
        <v>5.3E-3</v>
      </c>
      <c r="E46">
        <v>-0.1067</v>
      </c>
      <c r="F46">
        <v>0.82369999999999999</v>
      </c>
      <c r="G46">
        <v>1</v>
      </c>
      <c r="I46">
        <f t="shared" si="0"/>
        <v>2.1816615649929118E-2</v>
      </c>
      <c r="J46">
        <f t="shared" si="3"/>
        <v>44.867122247532272</v>
      </c>
    </row>
    <row r="47" spans="1:10" x14ac:dyDescent="0.25">
      <c r="A47" s="65">
        <v>1.5</v>
      </c>
      <c r="B47">
        <v>1.3180000000000001E-2</v>
      </c>
      <c r="C47">
        <v>0.62129999999999996</v>
      </c>
      <c r="D47">
        <v>5.2399999999999999E-3</v>
      </c>
      <c r="E47">
        <v>-0.1069</v>
      </c>
      <c r="F47">
        <v>0.81089999999999995</v>
      </c>
      <c r="G47">
        <v>1</v>
      </c>
      <c r="I47">
        <f t="shared" si="0"/>
        <v>2.6179938779914941E-2</v>
      </c>
      <c r="J47">
        <f t="shared" si="3"/>
        <v>47.139605462822452</v>
      </c>
    </row>
    <row r="48" spans="1:10" x14ac:dyDescent="0.25">
      <c r="A48" s="65">
        <v>1.75</v>
      </c>
      <c r="B48">
        <v>1.319E-2</v>
      </c>
      <c r="C48">
        <v>0.65159999999999996</v>
      </c>
      <c r="D48">
        <v>5.1900000000000002E-3</v>
      </c>
      <c r="E48">
        <v>-0.107</v>
      </c>
      <c r="F48">
        <v>0.79720000000000002</v>
      </c>
      <c r="G48">
        <v>1</v>
      </c>
      <c r="I48">
        <f t="shared" si="0"/>
        <v>3.0543261909900768E-2</v>
      </c>
      <c r="J48">
        <f t="shared" si="3"/>
        <v>49.401061410159208</v>
      </c>
    </row>
    <row r="49" spans="1:10" x14ac:dyDescent="0.25">
      <c r="A49" s="65">
        <v>2</v>
      </c>
      <c r="B49">
        <v>1.32E-2</v>
      </c>
      <c r="C49">
        <v>0.68169999999999997</v>
      </c>
      <c r="D49">
        <v>5.1599999999999997E-3</v>
      </c>
      <c r="E49">
        <v>-0.1071</v>
      </c>
      <c r="F49">
        <v>0.78200000000000003</v>
      </c>
      <c r="G49">
        <v>1</v>
      </c>
      <c r="I49">
        <f t="shared" si="0"/>
        <v>3.4906585039886591E-2</v>
      </c>
      <c r="J49">
        <f t="shared" si="3"/>
        <v>51.643939393939391</v>
      </c>
    </row>
    <row r="50" spans="1:10" x14ac:dyDescent="0.25">
      <c r="A50" s="65">
        <v>2.25</v>
      </c>
      <c r="B50">
        <v>1.3220000000000001E-2</v>
      </c>
      <c r="C50">
        <v>0.71179999999999999</v>
      </c>
      <c r="D50">
        <v>5.1200000000000004E-3</v>
      </c>
      <c r="E50">
        <v>-0.1071</v>
      </c>
      <c r="F50">
        <v>0.76559999999999995</v>
      </c>
      <c r="G50">
        <v>1</v>
      </c>
      <c r="I50">
        <f t="shared" si="0"/>
        <v>3.9269908169872414E-2</v>
      </c>
      <c r="J50">
        <f t="shared" si="3"/>
        <v>53.842662632375188</v>
      </c>
    </row>
    <row r="51" spans="1:10" x14ac:dyDescent="0.25">
      <c r="A51" s="65">
        <v>2.5</v>
      </c>
      <c r="B51">
        <v>1.3270000000000001E-2</v>
      </c>
      <c r="C51">
        <v>0.74039999999999995</v>
      </c>
      <c r="D51">
        <v>5.1200000000000004E-3</v>
      </c>
      <c r="E51">
        <v>-0.1069</v>
      </c>
      <c r="F51">
        <v>0.74690000000000001</v>
      </c>
      <c r="G51">
        <v>1</v>
      </c>
      <c r="I51">
        <f t="shared" si="0"/>
        <v>4.3633231299858237E-2</v>
      </c>
      <c r="J51">
        <f t="shared" si="3"/>
        <v>55.795026375282589</v>
      </c>
    </row>
    <row r="52" spans="1:10" x14ac:dyDescent="0.25">
      <c r="A52" s="65">
        <v>2.75</v>
      </c>
      <c r="B52">
        <v>1.3350000000000001E-2</v>
      </c>
      <c r="C52">
        <v>0.7681</v>
      </c>
      <c r="D52">
        <v>5.1500000000000001E-3</v>
      </c>
      <c r="E52">
        <v>-0.10639999999999999</v>
      </c>
      <c r="F52">
        <v>0.7268</v>
      </c>
      <c r="G52">
        <v>1</v>
      </c>
      <c r="I52">
        <f t="shared" si="0"/>
        <v>4.799655442984406E-2</v>
      </c>
      <c r="J52">
        <f t="shared" si="3"/>
        <v>57.535580524344567</v>
      </c>
    </row>
    <row r="53" spans="1:10" x14ac:dyDescent="0.25">
      <c r="A53" s="65">
        <v>3</v>
      </c>
      <c r="B53">
        <v>1.345E-2</v>
      </c>
      <c r="C53">
        <v>0.79630000000000001</v>
      </c>
      <c r="D53">
        <v>5.2199999999999998E-3</v>
      </c>
      <c r="E53">
        <v>-0.1061</v>
      </c>
      <c r="F53">
        <v>0.70679999999999998</v>
      </c>
      <c r="G53">
        <v>1</v>
      </c>
      <c r="I53">
        <f t="shared" si="0"/>
        <v>5.2359877559829883E-2</v>
      </c>
      <c r="J53">
        <f t="shared" si="3"/>
        <v>59.204460966542754</v>
      </c>
    </row>
    <row r="54" spans="1:10" x14ac:dyDescent="0.25">
      <c r="A54" s="65">
        <v>3.25</v>
      </c>
      <c r="B54">
        <v>1.3610000000000001E-2</v>
      </c>
      <c r="C54">
        <v>0.82230000000000003</v>
      </c>
      <c r="D54">
        <v>5.3400000000000001E-3</v>
      </c>
      <c r="E54">
        <v>-0.10539999999999999</v>
      </c>
      <c r="F54">
        <v>0.68500000000000005</v>
      </c>
      <c r="G54">
        <v>1</v>
      </c>
      <c r="I54">
        <f t="shared" si="0"/>
        <v>5.6723200689815713E-2</v>
      </c>
      <c r="J54">
        <f t="shared" si="3"/>
        <v>60.41880969875092</v>
      </c>
    </row>
    <row r="55" spans="1:10" x14ac:dyDescent="0.25">
      <c r="A55" s="65">
        <v>3.5</v>
      </c>
      <c r="B55">
        <v>1.3780000000000001E-2</v>
      </c>
      <c r="C55">
        <v>0.84889999999999999</v>
      </c>
      <c r="D55">
        <v>5.45E-3</v>
      </c>
      <c r="E55">
        <v>-0.1048</v>
      </c>
      <c r="F55">
        <v>0.66339999999999999</v>
      </c>
      <c r="G55">
        <v>1</v>
      </c>
      <c r="I55">
        <f t="shared" ref="I55:I102" si="6">A55*PI()/180</f>
        <v>6.1086523819801536E-2</v>
      </c>
      <c r="J55">
        <f t="shared" si="3"/>
        <v>61.60377358490566</v>
      </c>
    </row>
    <row r="56" spans="1:10" x14ac:dyDescent="0.25">
      <c r="A56" s="65">
        <v>3.75</v>
      </c>
      <c r="B56">
        <v>1.3990000000000001E-2</v>
      </c>
      <c r="C56">
        <v>0.87439999999999996</v>
      </c>
      <c r="D56">
        <v>5.62E-3</v>
      </c>
      <c r="E56">
        <v>-0.1041</v>
      </c>
      <c r="F56">
        <v>0.64029999999999998</v>
      </c>
      <c r="G56">
        <v>1</v>
      </c>
      <c r="I56">
        <f t="shared" si="6"/>
        <v>6.5449846949787352E-2</v>
      </c>
      <c r="J56">
        <f t="shared" si="3"/>
        <v>62.501786990707643</v>
      </c>
    </row>
    <row r="57" spans="1:10" x14ac:dyDescent="0.25">
      <c r="A57" s="65">
        <v>4</v>
      </c>
      <c r="B57">
        <v>1.422E-2</v>
      </c>
      <c r="C57">
        <v>0.89949999999999997</v>
      </c>
      <c r="D57">
        <v>5.8599999999999998E-3</v>
      </c>
      <c r="E57">
        <v>-0.1033</v>
      </c>
      <c r="F57">
        <v>0.61670000000000003</v>
      </c>
      <c r="G57">
        <v>1</v>
      </c>
      <c r="I57">
        <f t="shared" si="6"/>
        <v>6.9813170079773182E-2</v>
      </c>
      <c r="J57">
        <f t="shared" si="3"/>
        <v>63.255977496483823</v>
      </c>
    </row>
    <row r="58" spans="1:10" x14ac:dyDescent="0.25">
      <c r="A58" s="65">
        <v>4.25</v>
      </c>
      <c r="B58">
        <v>1.4489999999999999E-2</v>
      </c>
      <c r="C58">
        <v>0.92420000000000002</v>
      </c>
      <c r="D58">
        <v>6.0800000000000003E-3</v>
      </c>
      <c r="E58">
        <v>-0.1024</v>
      </c>
      <c r="F58">
        <v>0.59250000000000003</v>
      </c>
      <c r="G58">
        <v>1</v>
      </c>
      <c r="I58">
        <f t="shared" si="6"/>
        <v>7.4176493209759012E-2</v>
      </c>
      <c r="J58">
        <f t="shared" si="3"/>
        <v>63.781918564527267</v>
      </c>
    </row>
    <row r="59" spans="1:10" x14ac:dyDescent="0.25">
      <c r="A59" s="65">
        <v>4.5</v>
      </c>
      <c r="B59">
        <v>1.4789999999999999E-2</v>
      </c>
      <c r="C59">
        <v>0.94820000000000004</v>
      </c>
      <c r="D59">
        <v>6.3400000000000001E-3</v>
      </c>
      <c r="E59">
        <v>-0.1014</v>
      </c>
      <c r="F59">
        <v>0.56679999999999997</v>
      </c>
      <c r="G59">
        <v>1</v>
      </c>
      <c r="I59">
        <f t="shared" si="6"/>
        <v>7.8539816339744828E-2</v>
      </c>
      <c r="J59">
        <f t="shared" si="3"/>
        <v>64.110885733603794</v>
      </c>
    </row>
    <row r="60" spans="1:10" x14ac:dyDescent="0.25">
      <c r="A60" s="65">
        <v>4.75</v>
      </c>
      <c r="B60">
        <v>1.512E-2</v>
      </c>
      <c r="C60">
        <v>0.97160000000000002</v>
      </c>
      <c r="D60">
        <v>6.6400000000000001E-3</v>
      </c>
      <c r="E60">
        <v>-0.1004</v>
      </c>
      <c r="F60">
        <v>0.54</v>
      </c>
      <c r="G60">
        <v>1</v>
      </c>
      <c r="I60">
        <f t="shared" si="6"/>
        <v>8.2903139469730644E-2</v>
      </c>
      <c r="J60">
        <f t="shared" si="3"/>
        <v>64.259259259259267</v>
      </c>
    </row>
    <row r="61" spans="1:10" x14ac:dyDescent="0.25">
      <c r="A61" s="65">
        <v>5</v>
      </c>
      <c r="B61">
        <v>1.549E-2</v>
      </c>
      <c r="C61">
        <v>0.99450000000000005</v>
      </c>
      <c r="D61">
        <v>6.96E-3</v>
      </c>
      <c r="E61">
        <v>-9.9299999999999999E-2</v>
      </c>
      <c r="F61">
        <v>0.51160000000000005</v>
      </c>
      <c r="G61">
        <v>1</v>
      </c>
      <c r="I61">
        <f t="shared" si="6"/>
        <v>8.7266462599716474E-2</v>
      </c>
      <c r="J61">
        <f t="shared" si="3"/>
        <v>64.202711426726921</v>
      </c>
    </row>
    <row r="62" spans="1:10" x14ac:dyDescent="0.25">
      <c r="A62" s="65">
        <v>5.25</v>
      </c>
      <c r="B62">
        <v>1.5900000000000001E-2</v>
      </c>
      <c r="C62">
        <v>1.0165999999999999</v>
      </c>
      <c r="D62">
        <v>7.3600000000000002E-3</v>
      </c>
      <c r="E62">
        <v>-9.8000000000000004E-2</v>
      </c>
      <c r="F62">
        <v>0.48170000000000002</v>
      </c>
      <c r="G62">
        <v>1</v>
      </c>
      <c r="I62">
        <f t="shared" si="6"/>
        <v>9.1629785729702304E-2</v>
      </c>
      <c r="J62">
        <f t="shared" si="3"/>
        <v>63.937106918238989</v>
      </c>
    </row>
    <row r="63" spans="1:10" x14ac:dyDescent="0.25">
      <c r="A63" s="65">
        <v>5.5</v>
      </c>
      <c r="B63">
        <v>1.635E-2</v>
      </c>
      <c r="C63">
        <v>1.0381</v>
      </c>
      <c r="D63">
        <v>7.77E-3</v>
      </c>
      <c r="E63">
        <v>-9.6699999999999994E-2</v>
      </c>
      <c r="F63">
        <v>0.44979999999999998</v>
      </c>
      <c r="G63">
        <v>1</v>
      </c>
      <c r="I63">
        <f t="shared" si="6"/>
        <v>9.599310885968812E-2</v>
      </c>
      <c r="J63">
        <f t="shared" si="3"/>
        <v>63.492354740061167</v>
      </c>
    </row>
    <row r="64" spans="1:10" x14ac:dyDescent="0.25">
      <c r="A64" s="65">
        <v>5.75</v>
      </c>
      <c r="B64">
        <v>1.686E-2</v>
      </c>
      <c r="C64">
        <v>1.0589</v>
      </c>
      <c r="D64">
        <v>8.2100000000000003E-3</v>
      </c>
      <c r="E64">
        <v>-9.5299999999999996E-2</v>
      </c>
      <c r="F64">
        <v>0.41539999999999999</v>
      </c>
      <c r="G64">
        <v>1</v>
      </c>
      <c r="I64">
        <f t="shared" si="6"/>
        <v>0.10035643198967394</v>
      </c>
      <c r="J64">
        <f t="shared" si="3"/>
        <v>62.805456702253849</v>
      </c>
    </row>
    <row r="65" spans="1:10" x14ac:dyDescent="0.25">
      <c r="A65" s="65">
        <v>6</v>
      </c>
      <c r="B65">
        <v>1.7440000000000001E-2</v>
      </c>
      <c r="C65">
        <v>1.0787</v>
      </c>
      <c r="D65">
        <v>8.6999999999999994E-3</v>
      </c>
      <c r="E65">
        <v>-9.3799999999999994E-2</v>
      </c>
      <c r="F65">
        <v>0.3795</v>
      </c>
      <c r="G65">
        <v>1</v>
      </c>
      <c r="I65">
        <f t="shared" si="6"/>
        <v>0.10471975511965977</v>
      </c>
      <c r="J65">
        <f t="shared" si="3"/>
        <v>61.852064220183486</v>
      </c>
    </row>
    <row r="66" spans="1:10" x14ac:dyDescent="0.25">
      <c r="A66" s="65">
        <v>6.25</v>
      </c>
      <c r="B66">
        <v>1.8079999999999999E-2</v>
      </c>
      <c r="C66">
        <v>1.0979000000000001</v>
      </c>
      <c r="D66">
        <v>9.2800000000000001E-3</v>
      </c>
      <c r="E66">
        <v>-9.2299999999999993E-2</v>
      </c>
      <c r="F66">
        <v>0.34210000000000002</v>
      </c>
      <c r="G66">
        <v>1</v>
      </c>
      <c r="I66">
        <f t="shared" si="6"/>
        <v>0.1090830782496456</v>
      </c>
      <c r="J66">
        <f t="shared" si="3"/>
        <v>60.724557522123902</v>
      </c>
    </row>
    <row r="67" spans="1:10" x14ac:dyDescent="0.25">
      <c r="A67" s="65">
        <v>6.5</v>
      </c>
      <c r="B67">
        <v>1.8790000000000001E-2</v>
      </c>
      <c r="C67">
        <v>1.1164000000000001</v>
      </c>
      <c r="D67">
        <v>9.8899999999999995E-3</v>
      </c>
      <c r="E67">
        <v>-9.0700000000000003E-2</v>
      </c>
      <c r="F67">
        <v>0.30570000000000003</v>
      </c>
      <c r="G67">
        <v>1</v>
      </c>
      <c r="I67">
        <f t="shared" si="6"/>
        <v>0.11344640137963143</v>
      </c>
      <c r="J67">
        <f t="shared" si="3"/>
        <v>59.414582224587548</v>
      </c>
    </row>
    <row r="68" spans="1:10" x14ac:dyDescent="0.25">
      <c r="A68" s="65">
        <v>6.75</v>
      </c>
      <c r="B68">
        <v>1.9570000000000001E-2</v>
      </c>
      <c r="C68">
        <v>1.1344000000000001</v>
      </c>
      <c r="D68">
        <v>1.056E-2</v>
      </c>
      <c r="E68">
        <v>-8.9099999999999999E-2</v>
      </c>
      <c r="F68">
        <v>0.27139999999999997</v>
      </c>
      <c r="G68">
        <v>1</v>
      </c>
      <c r="I68">
        <f t="shared" si="6"/>
        <v>0.11780972450961724</v>
      </c>
      <c r="J68">
        <f t="shared" si="3"/>
        <v>57.966274910577418</v>
      </c>
    </row>
    <row r="69" spans="1:10" x14ac:dyDescent="0.25">
      <c r="A69" s="65">
        <v>7</v>
      </c>
      <c r="B69">
        <v>2.0400000000000001E-2</v>
      </c>
      <c r="C69">
        <v>1.1519999999999999</v>
      </c>
      <c r="D69">
        <v>1.1299999999999999E-2</v>
      </c>
      <c r="E69">
        <v>-8.7499999999999994E-2</v>
      </c>
      <c r="F69">
        <v>0.2394</v>
      </c>
      <c r="G69">
        <v>1</v>
      </c>
      <c r="I69">
        <f t="shared" si="6"/>
        <v>0.12217304763960307</v>
      </c>
      <c r="J69">
        <f t="shared" si="3"/>
        <v>56.470588235294109</v>
      </c>
    </row>
    <row r="70" spans="1:10" x14ac:dyDescent="0.25">
      <c r="A70" s="65">
        <v>7.25</v>
      </c>
      <c r="B70">
        <v>2.1260000000000001E-2</v>
      </c>
      <c r="C70">
        <v>1.1694</v>
      </c>
      <c r="D70">
        <v>1.209E-2</v>
      </c>
      <c r="E70">
        <v>-8.5999999999999993E-2</v>
      </c>
      <c r="F70">
        <v>0.2089</v>
      </c>
      <c r="G70">
        <v>1</v>
      </c>
      <c r="I70">
        <f t="shared" si="6"/>
        <v>0.1265363707695889</v>
      </c>
      <c r="J70">
        <f t="shared" si="3"/>
        <v>55.004703668861708</v>
      </c>
    </row>
    <row r="71" spans="1:10" x14ac:dyDescent="0.25">
      <c r="A71" s="65">
        <v>7.5</v>
      </c>
      <c r="B71">
        <v>2.2169999999999999E-2</v>
      </c>
      <c r="C71">
        <v>1.1863999999999999</v>
      </c>
      <c r="D71">
        <v>1.2930000000000001E-2</v>
      </c>
      <c r="E71">
        <v>-8.4400000000000003E-2</v>
      </c>
      <c r="F71">
        <v>0.1794</v>
      </c>
      <c r="G71">
        <v>1</v>
      </c>
      <c r="I71">
        <f t="shared" si="6"/>
        <v>0.1308996938995747</v>
      </c>
      <c r="J71">
        <f t="shared" si="3"/>
        <v>53.513757329724854</v>
      </c>
    </row>
    <row r="72" spans="1:10" x14ac:dyDescent="0.25">
      <c r="A72" s="65">
        <v>7.75</v>
      </c>
      <c r="B72">
        <v>2.3120000000000002E-2</v>
      </c>
      <c r="C72">
        <v>1.2028000000000001</v>
      </c>
      <c r="D72">
        <v>1.387E-2</v>
      </c>
      <c r="E72">
        <v>-8.2799999999999999E-2</v>
      </c>
      <c r="F72">
        <v>0.15049999999999999</v>
      </c>
      <c r="G72">
        <v>1</v>
      </c>
      <c r="I72">
        <f t="shared" si="6"/>
        <v>0.13526301702956053</v>
      </c>
      <c r="J72">
        <f t="shared" si="3"/>
        <v>52.024221453287197</v>
      </c>
    </row>
    <row r="73" spans="1:10" x14ac:dyDescent="0.25">
      <c r="A73" s="65">
        <v>8</v>
      </c>
      <c r="B73">
        <v>2.418E-2</v>
      </c>
      <c r="C73">
        <v>1.2181999999999999</v>
      </c>
      <c r="D73">
        <v>1.4840000000000001E-2</v>
      </c>
      <c r="E73">
        <v>-8.1000000000000003E-2</v>
      </c>
      <c r="F73">
        <v>0.12130000000000001</v>
      </c>
      <c r="G73">
        <v>1</v>
      </c>
      <c r="I73">
        <f t="shared" si="6"/>
        <v>0.13962634015954636</v>
      </c>
      <c r="J73">
        <f t="shared" si="3"/>
        <v>50.380479735318445</v>
      </c>
    </row>
    <row r="74" spans="1:10" x14ac:dyDescent="0.25">
      <c r="A74" s="65">
        <v>8.25</v>
      </c>
      <c r="B74">
        <v>2.537E-2</v>
      </c>
      <c r="C74">
        <v>1.2323</v>
      </c>
      <c r="D74">
        <v>1.593E-2</v>
      </c>
      <c r="E74">
        <v>-7.9200000000000007E-2</v>
      </c>
      <c r="F74">
        <v>9.4299999999999995E-2</v>
      </c>
      <c r="G74">
        <v>1</v>
      </c>
      <c r="I74">
        <f t="shared" si="6"/>
        <v>0.14398966328953219</v>
      </c>
      <c r="J74">
        <f t="shared" ref="J74:J102" si="7">C74/B74</f>
        <v>48.57311785573512</v>
      </c>
    </row>
    <row r="75" spans="1:10" x14ac:dyDescent="0.25">
      <c r="A75" s="65">
        <v>8.5</v>
      </c>
      <c r="B75">
        <v>2.6679999999999999E-2</v>
      </c>
      <c r="C75">
        <v>1.2453000000000001</v>
      </c>
      <c r="D75">
        <v>1.7170000000000001E-2</v>
      </c>
      <c r="E75">
        <v>-7.7200000000000005E-2</v>
      </c>
      <c r="F75">
        <v>7.2300000000000003E-2</v>
      </c>
      <c r="G75">
        <v>1</v>
      </c>
      <c r="I75">
        <f t="shared" si="6"/>
        <v>0.14835298641951802</v>
      </c>
      <c r="J75">
        <f t="shared" si="7"/>
        <v>46.675412293853078</v>
      </c>
    </row>
    <row r="76" spans="1:10" x14ac:dyDescent="0.25">
      <c r="A76" s="65">
        <v>8.75</v>
      </c>
      <c r="B76">
        <v>2.8160000000000001E-2</v>
      </c>
      <c r="C76">
        <v>1.2562</v>
      </c>
      <c r="D76">
        <v>1.8589999999999999E-2</v>
      </c>
      <c r="E76">
        <v>-7.4899999999999994E-2</v>
      </c>
      <c r="F76">
        <v>5.7299999999999997E-2</v>
      </c>
      <c r="G76">
        <v>1</v>
      </c>
      <c r="I76">
        <f t="shared" si="6"/>
        <v>0.15271630954950383</v>
      </c>
      <c r="J76">
        <f t="shared" si="7"/>
        <v>44.609375</v>
      </c>
    </row>
    <row r="77" spans="1:10" x14ac:dyDescent="0.25">
      <c r="A77" s="65">
        <v>9</v>
      </c>
      <c r="B77">
        <v>2.963E-2</v>
      </c>
      <c r="C77">
        <v>1.2665999999999999</v>
      </c>
      <c r="D77">
        <v>2.0140000000000002E-2</v>
      </c>
      <c r="E77">
        <v>-7.2499999999999995E-2</v>
      </c>
      <c r="F77">
        <v>4.7800000000000002E-2</v>
      </c>
      <c r="G77">
        <v>1</v>
      </c>
      <c r="I77">
        <f t="shared" si="6"/>
        <v>0.15707963267948966</v>
      </c>
      <c r="J77">
        <f t="shared" si="7"/>
        <v>42.747215659804247</v>
      </c>
    </row>
    <row r="78" spans="1:10" x14ac:dyDescent="0.25">
      <c r="A78" s="65">
        <v>9.25</v>
      </c>
      <c r="B78">
        <v>3.116E-2</v>
      </c>
      <c r="C78">
        <v>1.2746999999999999</v>
      </c>
      <c r="D78">
        <v>2.1729999999999999E-2</v>
      </c>
      <c r="E78">
        <v>-6.9800000000000001E-2</v>
      </c>
      <c r="F78">
        <v>4.1000000000000002E-2</v>
      </c>
      <c r="G78">
        <v>1</v>
      </c>
      <c r="I78">
        <f t="shared" si="6"/>
        <v>0.16144295580947549</v>
      </c>
      <c r="J78">
        <f t="shared" si="7"/>
        <v>40.908215661103981</v>
      </c>
    </row>
    <row r="79" spans="1:10" x14ac:dyDescent="0.25">
      <c r="A79" s="65">
        <v>9.5</v>
      </c>
      <c r="B79">
        <v>3.2649999999999998E-2</v>
      </c>
      <c r="C79">
        <v>1.2818000000000001</v>
      </c>
      <c r="D79">
        <v>2.3380000000000001E-2</v>
      </c>
      <c r="E79">
        <v>-6.7000000000000004E-2</v>
      </c>
      <c r="F79">
        <v>3.61E-2</v>
      </c>
      <c r="G79">
        <v>1</v>
      </c>
      <c r="I79">
        <f t="shared" si="6"/>
        <v>0.16580627893946129</v>
      </c>
      <c r="J79">
        <f t="shared" si="7"/>
        <v>39.258805513016846</v>
      </c>
    </row>
    <row r="80" spans="1:10" x14ac:dyDescent="0.25">
      <c r="A80" s="65">
        <v>9.75</v>
      </c>
      <c r="B80">
        <v>3.4520000000000002E-2</v>
      </c>
      <c r="C80">
        <v>1.2847999999999999</v>
      </c>
      <c r="D80">
        <v>2.5329999999999998E-2</v>
      </c>
      <c r="E80">
        <v>-6.3799999999999996E-2</v>
      </c>
      <c r="F80">
        <v>3.3500000000000002E-2</v>
      </c>
      <c r="G80">
        <v>1</v>
      </c>
      <c r="I80">
        <f t="shared" si="6"/>
        <v>0.17016960206944712</v>
      </c>
      <c r="J80">
        <f t="shared" si="7"/>
        <v>37.219003476245653</v>
      </c>
    </row>
    <row r="81" spans="1:10" x14ac:dyDescent="0.25">
      <c r="A81" s="65">
        <v>10</v>
      </c>
      <c r="B81">
        <v>3.6260000000000001E-2</v>
      </c>
      <c r="C81">
        <v>1.2911999999999999</v>
      </c>
      <c r="D81">
        <v>2.7289999999999998E-2</v>
      </c>
      <c r="E81">
        <v>-6.1100000000000002E-2</v>
      </c>
      <c r="F81">
        <v>3.1199999999999999E-2</v>
      </c>
      <c r="G81">
        <v>1</v>
      </c>
      <c r="I81">
        <f t="shared" si="6"/>
        <v>0.17453292519943295</v>
      </c>
      <c r="J81">
        <f t="shared" si="7"/>
        <v>35.609487038058461</v>
      </c>
    </row>
    <row r="82" spans="1:10" x14ac:dyDescent="0.25">
      <c r="A82" s="65">
        <v>10.25</v>
      </c>
      <c r="B82">
        <v>3.805E-2</v>
      </c>
      <c r="C82">
        <v>1.2971999999999999</v>
      </c>
      <c r="D82">
        <v>2.9250000000000002E-2</v>
      </c>
      <c r="E82">
        <v>-5.8599999999999999E-2</v>
      </c>
      <c r="F82">
        <v>2.8799999999999999E-2</v>
      </c>
      <c r="G82">
        <v>1</v>
      </c>
      <c r="I82">
        <f t="shared" si="6"/>
        <v>0.17889624832941875</v>
      </c>
      <c r="J82">
        <f t="shared" si="7"/>
        <v>34.091984231274637</v>
      </c>
    </row>
    <row r="83" spans="1:10" x14ac:dyDescent="0.25">
      <c r="A83" s="65">
        <v>10.5</v>
      </c>
      <c r="B83">
        <v>3.9879999999999999E-2</v>
      </c>
      <c r="C83">
        <v>1.3016000000000001</v>
      </c>
      <c r="D83">
        <v>3.1189999999999999E-2</v>
      </c>
      <c r="E83">
        <v>-5.6300000000000003E-2</v>
      </c>
      <c r="F83">
        <v>2.6599999999999999E-2</v>
      </c>
      <c r="G83">
        <v>1</v>
      </c>
      <c r="I83">
        <f t="shared" si="6"/>
        <v>0.18325957145940461</v>
      </c>
      <c r="J83">
        <f t="shared" si="7"/>
        <v>32.637913741223677</v>
      </c>
    </row>
    <row r="84" spans="1:10" x14ac:dyDescent="0.25">
      <c r="A84" s="65">
        <v>10.75</v>
      </c>
      <c r="B84">
        <v>4.2299999999999997E-2</v>
      </c>
      <c r="C84">
        <v>1.3028999999999999</v>
      </c>
      <c r="D84">
        <v>3.3669999999999999E-2</v>
      </c>
      <c r="E84">
        <v>-5.3900000000000003E-2</v>
      </c>
      <c r="F84">
        <v>2.4799999999999999E-2</v>
      </c>
      <c r="G84">
        <v>1</v>
      </c>
      <c r="I84">
        <f t="shared" si="6"/>
        <v>0.18762289458939041</v>
      </c>
      <c r="J84">
        <f t="shared" si="7"/>
        <v>30.801418439716311</v>
      </c>
    </row>
    <row r="85" spans="1:10" x14ac:dyDescent="0.25">
      <c r="A85" s="65">
        <v>11</v>
      </c>
      <c r="B85">
        <v>4.444E-2</v>
      </c>
      <c r="C85">
        <v>1.3097000000000001</v>
      </c>
      <c r="D85">
        <v>3.6089999999999997E-2</v>
      </c>
      <c r="E85">
        <v>-5.1900000000000002E-2</v>
      </c>
      <c r="F85">
        <v>2.35E-2</v>
      </c>
      <c r="G85">
        <v>1</v>
      </c>
      <c r="I85">
        <f t="shared" si="6"/>
        <v>0.19198621771937624</v>
      </c>
      <c r="J85">
        <f t="shared" si="7"/>
        <v>29.471197119711974</v>
      </c>
    </row>
    <row r="86" spans="1:10" x14ac:dyDescent="0.25">
      <c r="A86" s="65">
        <v>11.25</v>
      </c>
      <c r="B86">
        <v>4.6920000000000003E-2</v>
      </c>
      <c r="C86">
        <v>1.3151999999999999</v>
      </c>
      <c r="D86">
        <v>3.8830000000000003E-2</v>
      </c>
      <c r="E86">
        <v>-0.05</v>
      </c>
      <c r="F86">
        <v>2.2499999999999999E-2</v>
      </c>
      <c r="G86">
        <v>1</v>
      </c>
      <c r="I86">
        <f t="shared" si="6"/>
        <v>0.19634954084936207</v>
      </c>
      <c r="J86">
        <f t="shared" si="7"/>
        <v>28.030690537084396</v>
      </c>
    </row>
    <row r="87" spans="1:10" x14ac:dyDescent="0.25">
      <c r="A87" s="65">
        <v>11.5</v>
      </c>
      <c r="B87">
        <v>4.9599999999999998E-2</v>
      </c>
      <c r="C87">
        <v>1.3192999999999999</v>
      </c>
      <c r="D87">
        <v>4.1759999999999999E-2</v>
      </c>
      <c r="E87">
        <v>-4.82E-2</v>
      </c>
      <c r="F87">
        <v>2.1600000000000001E-2</v>
      </c>
      <c r="G87">
        <v>1</v>
      </c>
      <c r="I87">
        <f t="shared" si="6"/>
        <v>0.20071286397934787</v>
      </c>
      <c r="J87">
        <f t="shared" si="7"/>
        <v>26.598790322580644</v>
      </c>
    </row>
    <row r="88" spans="1:10" x14ac:dyDescent="0.25">
      <c r="A88" s="65">
        <v>11.75</v>
      </c>
      <c r="B88">
        <v>5.2440000000000001E-2</v>
      </c>
      <c r="C88">
        <v>1.321</v>
      </c>
      <c r="D88">
        <v>4.4850000000000001E-2</v>
      </c>
      <c r="E88">
        <v>-4.65E-2</v>
      </c>
      <c r="F88">
        <v>2.07E-2</v>
      </c>
      <c r="G88">
        <v>1</v>
      </c>
      <c r="I88">
        <f t="shared" si="6"/>
        <v>0.20507618710933373</v>
      </c>
      <c r="J88">
        <f t="shared" si="7"/>
        <v>25.190694126620897</v>
      </c>
    </row>
    <row r="89" spans="1:10" x14ac:dyDescent="0.25">
      <c r="A89" s="65">
        <v>12</v>
      </c>
      <c r="B89">
        <v>5.5320000000000001E-2</v>
      </c>
      <c r="C89">
        <v>1.3202</v>
      </c>
      <c r="D89">
        <v>4.7960000000000003E-2</v>
      </c>
      <c r="E89">
        <v>-4.4999999999999998E-2</v>
      </c>
      <c r="F89">
        <v>1.9900000000000001E-2</v>
      </c>
      <c r="G89">
        <v>1</v>
      </c>
      <c r="I89">
        <f t="shared" si="6"/>
        <v>0.20943951023931953</v>
      </c>
      <c r="J89">
        <f t="shared" si="7"/>
        <v>23.864786695589299</v>
      </c>
    </row>
    <row r="90" spans="1:10" x14ac:dyDescent="0.25">
      <c r="A90" s="65">
        <v>12.25</v>
      </c>
      <c r="B90">
        <v>5.8299999999999998E-2</v>
      </c>
      <c r="C90">
        <v>1.3170999999999999</v>
      </c>
      <c r="D90">
        <v>5.117E-2</v>
      </c>
      <c r="E90">
        <v>-4.3900000000000002E-2</v>
      </c>
      <c r="F90">
        <v>1.9099999999999999E-2</v>
      </c>
      <c r="G90">
        <v>1</v>
      </c>
      <c r="I90">
        <f t="shared" si="6"/>
        <v>0.21380283336930536</v>
      </c>
      <c r="J90">
        <f t="shared" si="7"/>
        <v>22.591766723842195</v>
      </c>
    </row>
    <row r="91" spans="1:10" x14ac:dyDescent="0.25">
      <c r="A91" s="65">
        <v>12.5</v>
      </c>
      <c r="B91">
        <v>6.157E-2</v>
      </c>
      <c r="C91">
        <v>1.3123</v>
      </c>
      <c r="D91">
        <v>5.4600000000000003E-2</v>
      </c>
      <c r="E91">
        <v>-4.3099999999999999E-2</v>
      </c>
      <c r="F91">
        <v>1.84E-2</v>
      </c>
      <c r="G91">
        <v>1</v>
      </c>
      <c r="I91">
        <f t="shared" si="6"/>
        <v>0.21816615649929119</v>
      </c>
      <c r="J91">
        <f t="shared" si="7"/>
        <v>21.313951599805101</v>
      </c>
    </row>
    <row r="92" spans="1:10" x14ac:dyDescent="0.25">
      <c r="A92" s="65">
        <v>12.75</v>
      </c>
      <c r="B92">
        <v>6.5479999999999997E-2</v>
      </c>
      <c r="C92">
        <v>1.3049999999999999</v>
      </c>
      <c r="D92">
        <v>5.8680000000000003E-2</v>
      </c>
      <c r="E92">
        <v>-4.2599999999999999E-2</v>
      </c>
      <c r="F92">
        <v>1.78E-2</v>
      </c>
      <c r="G92">
        <v>1</v>
      </c>
      <c r="I92">
        <f t="shared" si="6"/>
        <v>0.22252947962927699</v>
      </c>
      <c r="J92">
        <f t="shared" si="7"/>
        <v>19.929749541844838</v>
      </c>
    </row>
    <row r="93" spans="1:10" x14ac:dyDescent="0.25">
      <c r="A93" s="65">
        <v>13</v>
      </c>
      <c r="B93">
        <v>7.0129999999999998E-2</v>
      </c>
      <c r="C93">
        <v>1.2941</v>
      </c>
      <c r="D93">
        <v>6.3539999999999999E-2</v>
      </c>
      <c r="E93">
        <v>-4.2599999999999999E-2</v>
      </c>
      <c r="F93">
        <v>1.7399999999999999E-2</v>
      </c>
      <c r="G93">
        <v>1</v>
      </c>
      <c r="I93">
        <f t="shared" si="6"/>
        <v>0.22689280275926285</v>
      </c>
      <c r="J93">
        <f t="shared" si="7"/>
        <v>18.452873235419936</v>
      </c>
    </row>
    <row r="94" spans="1:10" x14ac:dyDescent="0.25">
      <c r="A94" s="65">
        <v>13.25</v>
      </c>
      <c r="B94">
        <v>7.4810000000000001E-2</v>
      </c>
      <c r="C94">
        <v>1.2824</v>
      </c>
      <c r="D94">
        <v>6.8529999999999994E-2</v>
      </c>
      <c r="E94">
        <v>-4.3200000000000002E-2</v>
      </c>
      <c r="F94">
        <v>1.72E-2</v>
      </c>
      <c r="G94">
        <v>1</v>
      </c>
      <c r="I94">
        <f t="shared" si="6"/>
        <v>0.23125612588924865</v>
      </c>
      <c r="J94">
        <f t="shared" si="7"/>
        <v>17.142093303034354</v>
      </c>
    </row>
    <row r="95" spans="1:10" x14ac:dyDescent="0.25">
      <c r="A95" s="65">
        <v>13.5</v>
      </c>
      <c r="B95">
        <v>8.004E-2</v>
      </c>
      <c r="C95">
        <v>1.2689999999999999</v>
      </c>
      <c r="D95">
        <v>7.4029999999999999E-2</v>
      </c>
      <c r="E95">
        <v>-4.4499999999999998E-2</v>
      </c>
      <c r="F95">
        <v>1.7000000000000001E-2</v>
      </c>
      <c r="G95">
        <v>1</v>
      </c>
      <c r="I95">
        <f t="shared" si="6"/>
        <v>0.23561944901923448</v>
      </c>
      <c r="J95">
        <f t="shared" si="7"/>
        <v>15.854572713643178</v>
      </c>
    </row>
    <row r="96" spans="1:10" x14ac:dyDescent="0.25">
      <c r="A96" s="65">
        <v>13.75</v>
      </c>
      <c r="B96">
        <v>8.5889999999999994E-2</v>
      </c>
      <c r="C96">
        <v>1.2536</v>
      </c>
      <c r="D96">
        <v>8.0159999999999995E-2</v>
      </c>
      <c r="E96">
        <v>-4.6600000000000003E-2</v>
      </c>
      <c r="F96">
        <v>1.6899999999999998E-2</v>
      </c>
      <c r="G96">
        <v>1</v>
      </c>
      <c r="I96">
        <f t="shared" si="6"/>
        <v>0.23998277214922031</v>
      </c>
      <c r="J96">
        <f t="shared" si="7"/>
        <v>14.595412737222031</v>
      </c>
    </row>
    <row r="97" spans="1:10" x14ac:dyDescent="0.25">
      <c r="A97" s="65">
        <v>14</v>
      </c>
      <c r="B97">
        <v>9.2359999999999998E-2</v>
      </c>
      <c r="C97">
        <v>1.2369000000000001</v>
      </c>
      <c r="D97">
        <v>8.6870000000000003E-2</v>
      </c>
      <c r="E97">
        <v>-4.9500000000000002E-2</v>
      </c>
      <c r="F97">
        <v>1.6899999999999998E-2</v>
      </c>
      <c r="G97">
        <v>1</v>
      </c>
      <c r="I97">
        <f t="shared" si="6"/>
        <v>0.24434609527920614</v>
      </c>
      <c r="J97">
        <f t="shared" si="7"/>
        <v>13.392161108705068</v>
      </c>
    </row>
    <row r="98" spans="1:10" x14ac:dyDescent="0.25">
      <c r="A98" s="65">
        <v>14.25</v>
      </c>
      <c r="B98">
        <v>9.9430000000000004E-2</v>
      </c>
      <c r="C98">
        <v>1.2195</v>
      </c>
      <c r="D98">
        <v>9.4159999999999994E-2</v>
      </c>
      <c r="E98">
        <v>-5.3199999999999997E-2</v>
      </c>
      <c r="F98">
        <v>1.6899999999999998E-2</v>
      </c>
      <c r="G98">
        <v>1</v>
      </c>
      <c r="I98">
        <f t="shared" si="6"/>
        <v>0.24870941840919195</v>
      </c>
      <c r="J98">
        <f t="shared" si="7"/>
        <v>12.264909986925474</v>
      </c>
    </row>
    <row r="99" spans="1:10" x14ac:dyDescent="0.25">
      <c r="A99" s="65">
        <v>14.5</v>
      </c>
      <c r="B99">
        <v>0.10711</v>
      </c>
      <c r="C99">
        <v>1.2015</v>
      </c>
      <c r="D99">
        <v>0.10204000000000001</v>
      </c>
      <c r="E99">
        <v>-5.7599999999999998E-2</v>
      </c>
      <c r="F99">
        <v>1.7000000000000001E-2</v>
      </c>
      <c r="G99">
        <v>1</v>
      </c>
      <c r="I99">
        <f t="shared" si="6"/>
        <v>0.2530727415391778</v>
      </c>
      <c r="J99">
        <f t="shared" si="7"/>
        <v>11.217440014937914</v>
      </c>
    </row>
    <row r="100" spans="1:10" x14ac:dyDescent="0.25">
      <c r="A100" s="65">
        <v>14.75</v>
      </c>
      <c r="B100">
        <v>0.11551</v>
      </c>
      <c r="C100">
        <v>1.1832</v>
      </c>
      <c r="D100">
        <v>0.11063000000000001</v>
      </c>
      <c r="E100">
        <v>-6.2799999999999995E-2</v>
      </c>
      <c r="F100">
        <v>1.7100000000000001E-2</v>
      </c>
      <c r="G100">
        <v>1</v>
      </c>
      <c r="I100">
        <f t="shared" si="6"/>
        <v>0.25743606466916358</v>
      </c>
      <c r="J100">
        <f t="shared" si="7"/>
        <v>10.243268981040602</v>
      </c>
    </row>
    <row r="101" spans="1:10" x14ac:dyDescent="0.25">
      <c r="A101" s="65">
        <v>15</v>
      </c>
      <c r="B101">
        <v>0.1245</v>
      </c>
      <c r="C101">
        <v>1.165</v>
      </c>
      <c r="D101">
        <v>0.11977</v>
      </c>
      <c r="E101">
        <v>-6.8599999999999994E-2</v>
      </c>
      <c r="F101">
        <v>1.72E-2</v>
      </c>
      <c r="G101">
        <v>1</v>
      </c>
      <c r="I101">
        <f t="shared" si="6"/>
        <v>0.26179938779914941</v>
      </c>
      <c r="J101">
        <f t="shared" si="7"/>
        <v>9.3574297188755029</v>
      </c>
    </row>
    <row r="102" spans="1:10" x14ac:dyDescent="0.25">
      <c r="A102" s="65">
        <v>15.25</v>
      </c>
      <c r="B102">
        <v>0.13391</v>
      </c>
      <c r="C102">
        <v>1.1476</v>
      </c>
      <c r="D102">
        <v>0.12928999999999999</v>
      </c>
      <c r="E102">
        <v>-7.46E-2</v>
      </c>
      <c r="F102">
        <v>1.7399999999999999E-2</v>
      </c>
      <c r="G102">
        <v>1</v>
      </c>
      <c r="I102">
        <f t="shared" si="6"/>
        <v>0.26616271092913524</v>
      </c>
      <c r="J102">
        <f t="shared" si="7"/>
        <v>8.5699350309909637</v>
      </c>
    </row>
  </sheetData>
  <hyperlinks>
    <hyperlink ref="A1" r:id="rId1" display="http://airfoiltools.com/airfoil/details?airfoil=cr001sm-il"/>
  </hyperlinks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/>
  </sheetViews>
  <sheetFormatPr defaultRowHeight="15" x14ac:dyDescent="0.25"/>
  <sheetData>
    <row r="1" spans="1:21" x14ac:dyDescent="0.25">
      <c r="A1" s="67" t="s">
        <v>100</v>
      </c>
      <c r="H1" t="s">
        <v>25</v>
      </c>
      <c r="I1">
        <v>100000</v>
      </c>
    </row>
    <row r="2" spans="1:21" x14ac:dyDescent="0.25">
      <c r="A2" s="66" t="s">
        <v>98</v>
      </c>
      <c r="H2" t="s">
        <v>57</v>
      </c>
      <c r="I2" t="s">
        <v>58</v>
      </c>
      <c r="J2" t="s">
        <v>56</v>
      </c>
      <c r="K2" t="s">
        <v>55</v>
      </c>
      <c r="L2" t="s">
        <v>54</v>
      </c>
      <c r="M2" t="s">
        <v>53</v>
      </c>
      <c r="N2" t="s">
        <v>51</v>
      </c>
      <c r="O2" t="s">
        <v>52</v>
      </c>
    </row>
    <row r="3" spans="1:21" x14ac:dyDescent="0.25">
      <c r="A3" s="66" t="s">
        <v>101</v>
      </c>
      <c r="H3">
        <f>I4</f>
        <v>0.55105054200007875</v>
      </c>
      <c r="I3">
        <f>H4</f>
        <v>6.7399833429045453</v>
      </c>
      <c r="J3">
        <v>3.6799999999999999E-2</v>
      </c>
      <c r="K3">
        <v>1.3144</v>
      </c>
      <c r="L3">
        <f>SMALL(B9:B98,1)</f>
        <v>1.7180000000000001E-2</v>
      </c>
      <c r="M3">
        <f>(L6-L3)/((M6-O3)^2)</f>
        <v>5.6416666666666657E-2</v>
      </c>
      <c r="N3">
        <f>(N6-L3)/((O6-O3)^2)</f>
        <v>1.168115438927613E-2</v>
      </c>
      <c r="O3">
        <f>VLOOKUP(L3,B9:C98,2,FALSE)</f>
        <v>0.9335</v>
      </c>
    </row>
    <row r="4" spans="1:21" x14ac:dyDescent="0.25">
      <c r="A4" s="66" t="s">
        <v>99</v>
      </c>
      <c r="H4">
        <f t="array" ref="H4:I4">LINEST($C$28:$C$72,$I$28:$I$72)</f>
        <v>6.7399833429045453</v>
      </c>
      <c r="I4">
        <v>0.55105054200007875</v>
      </c>
    </row>
    <row r="5" spans="1:21" x14ac:dyDescent="0.25">
      <c r="A5" s="70" t="s">
        <v>110</v>
      </c>
      <c r="L5" t="s">
        <v>104</v>
      </c>
      <c r="M5" t="s">
        <v>106</v>
      </c>
      <c r="N5" t="s">
        <v>105</v>
      </c>
      <c r="O5" t="s">
        <v>107</v>
      </c>
    </row>
    <row r="6" spans="1:21" x14ac:dyDescent="0.25">
      <c r="A6" s="70" t="s">
        <v>111</v>
      </c>
      <c r="L6">
        <v>3.7490000000000002E-2</v>
      </c>
      <c r="M6">
        <v>1.5335000000000001</v>
      </c>
      <c r="N6">
        <v>2.7320000000000001E-2</v>
      </c>
      <c r="O6">
        <v>1.8E-3</v>
      </c>
    </row>
    <row r="7" spans="1:21" x14ac:dyDescent="0.25">
      <c r="A7" s="65" t="s">
        <v>67</v>
      </c>
      <c r="B7" t="s">
        <v>21</v>
      </c>
      <c r="C7" t="s">
        <v>20</v>
      </c>
      <c r="D7" t="s">
        <v>66</v>
      </c>
      <c r="E7" t="s">
        <v>65</v>
      </c>
      <c r="F7" t="s">
        <v>64</v>
      </c>
      <c r="G7" t="s">
        <v>63</v>
      </c>
      <c r="I7" t="s">
        <v>90</v>
      </c>
      <c r="J7" t="s">
        <v>62</v>
      </c>
      <c r="R7" t="s">
        <v>94</v>
      </c>
      <c r="S7" t="s">
        <v>95</v>
      </c>
      <c r="T7" t="s">
        <v>96</v>
      </c>
      <c r="U7" t="s">
        <v>97</v>
      </c>
    </row>
    <row r="8" spans="1:21" x14ac:dyDescent="0.25">
      <c r="A8" s="65" t="s">
        <v>61</v>
      </c>
      <c r="B8" t="s">
        <v>60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J8">
        <f>MAX((J9:J115))</f>
        <v>58.373461744248267</v>
      </c>
      <c r="R8">
        <f>$L$3+$M$3*(S8-$O$3)^2</f>
        <v>1.7180000000000001E-2</v>
      </c>
      <c r="S8">
        <f>O3</f>
        <v>0.9335</v>
      </c>
      <c r="T8">
        <f>$L$3+$N$3*(U8-$O$3)^2</f>
        <v>1.7180000000000001E-2</v>
      </c>
      <c r="U8">
        <f>O3</f>
        <v>0.9335</v>
      </c>
    </row>
    <row r="9" spans="1:21" x14ac:dyDescent="0.25">
      <c r="A9" s="65">
        <v>-9.25</v>
      </c>
      <c r="B9">
        <v>0.12181</v>
      </c>
      <c r="C9">
        <v>-0.38569999999999999</v>
      </c>
      <c r="D9">
        <v>0.11685</v>
      </c>
      <c r="E9">
        <v>-2.93E-2</v>
      </c>
      <c r="F9">
        <v>1</v>
      </c>
      <c r="G9">
        <v>6.0499999999999998E-2</v>
      </c>
      <c r="I9">
        <f t="shared" ref="I9:I40" si="0">A9*PI()/180</f>
        <v>-0.16144295580947549</v>
      </c>
      <c r="J9">
        <f>C9/B9</f>
        <v>-3.1664066989573927</v>
      </c>
      <c r="R9">
        <f t="shared" ref="R9:R18" si="1">$L$3+$M$3*(S9-$O$3)^2</f>
        <v>1.7744166666666669E-2</v>
      </c>
      <c r="S9">
        <f>S8+0.1</f>
        <v>1.0335000000000001</v>
      </c>
      <c r="T9">
        <f t="shared" ref="T9:T18" si="2">$L$3+$N$3*(U9-$O$3)^2</f>
        <v>1.7296811543892763E-2</v>
      </c>
      <c r="U9">
        <f>U8-0.1</f>
        <v>0.83350000000000002</v>
      </c>
    </row>
    <row r="10" spans="1:21" x14ac:dyDescent="0.25">
      <c r="A10" s="65">
        <v>-9</v>
      </c>
      <c r="B10">
        <v>0.11902</v>
      </c>
      <c r="C10">
        <v>-0.39489999999999997</v>
      </c>
      <c r="D10">
        <v>0.11413</v>
      </c>
      <c r="E10">
        <v>-2.9100000000000001E-2</v>
      </c>
      <c r="F10">
        <v>1</v>
      </c>
      <c r="G10">
        <v>6.0699999999999997E-2</v>
      </c>
      <c r="I10">
        <f t="shared" si="0"/>
        <v>-0.15707963267948966</v>
      </c>
      <c r="J10">
        <f t="shared" ref="J10:J73" si="3">C10/B10</f>
        <v>-3.317929759704251</v>
      </c>
      <c r="R10">
        <f t="shared" si="1"/>
        <v>1.9436666666666672E-2</v>
      </c>
      <c r="S10">
        <f t="shared" ref="S10:S18" si="4">S9+0.1</f>
        <v>1.1335000000000002</v>
      </c>
      <c r="T10">
        <f t="shared" si="2"/>
        <v>1.7647246175571046E-2</v>
      </c>
      <c r="U10">
        <f t="shared" ref="U10:U18" si="5">U9-0.1</f>
        <v>0.73350000000000004</v>
      </c>
    </row>
    <row r="11" spans="1:21" x14ac:dyDescent="0.25">
      <c r="A11" s="65">
        <v>-8.5</v>
      </c>
      <c r="B11">
        <v>0.10752</v>
      </c>
      <c r="C11">
        <v>-0.42280000000000001</v>
      </c>
      <c r="D11">
        <v>0.10267</v>
      </c>
      <c r="E11">
        <v>-2.8299999999999999E-2</v>
      </c>
      <c r="F11">
        <v>1</v>
      </c>
      <c r="G11">
        <v>3.6799999999999999E-2</v>
      </c>
      <c r="I11">
        <f t="shared" si="0"/>
        <v>-0.14835298641951802</v>
      </c>
      <c r="J11">
        <f t="shared" si="3"/>
        <v>-3.9322916666666665</v>
      </c>
      <c r="R11">
        <f t="shared" si="1"/>
        <v>2.225750000000001E-2</v>
      </c>
      <c r="S11">
        <f t="shared" si="4"/>
        <v>1.2335000000000003</v>
      </c>
      <c r="T11">
        <f t="shared" si="2"/>
        <v>1.8231303895034853E-2</v>
      </c>
      <c r="U11">
        <f t="shared" si="5"/>
        <v>0.63350000000000006</v>
      </c>
    </row>
    <row r="12" spans="1:21" x14ac:dyDescent="0.25">
      <c r="A12" s="65">
        <v>-8.25</v>
      </c>
      <c r="B12">
        <v>0.10439</v>
      </c>
      <c r="C12">
        <v>-0.42020000000000002</v>
      </c>
      <c r="D12">
        <v>9.9570000000000006E-2</v>
      </c>
      <c r="E12">
        <v>-2.9000000000000001E-2</v>
      </c>
      <c r="F12">
        <v>0.99809999999999999</v>
      </c>
      <c r="G12">
        <v>3.6400000000000002E-2</v>
      </c>
      <c r="I12">
        <f t="shared" si="0"/>
        <v>-0.14398966328953219</v>
      </c>
      <c r="J12">
        <f t="shared" si="3"/>
        <v>-4.0252897787144368</v>
      </c>
      <c r="R12">
        <f t="shared" si="1"/>
        <v>2.6206666666666684E-2</v>
      </c>
      <c r="S12">
        <f t="shared" si="4"/>
        <v>1.3335000000000004</v>
      </c>
      <c r="T12">
        <f t="shared" si="2"/>
        <v>1.904898470228418E-2</v>
      </c>
      <c r="U12">
        <f t="shared" si="5"/>
        <v>0.53350000000000009</v>
      </c>
    </row>
    <row r="13" spans="1:21" x14ac:dyDescent="0.25">
      <c r="A13" s="65">
        <v>-8</v>
      </c>
      <c r="B13">
        <v>0.10012</v>
      </c>
      <c r="C13">
        <v>-0.41539999999999999</v>
      </c>
      <c r="D13">
        <v>9.5320000000000002E-2</v>
      </c>
      <c r="E13">
        <v>-3.2300000000000002E-2</v>
      </c>
      <c r="F13">
        <v>0.99419999999999997</v>
      </c>
      <c r="G13">
        <v>3.5999999999999997E-2</v>
      </c>
      <c r="I13">
        <f t="shared" si="0"/>
        <v>-0.13962634015954636</v>
      </c>
      <c r="J13">
        <f t="shared" si="3"/>
        <v>-4.1490211745904917</v>
      </c>
      <c r="R13">
        <f t="shared" si="1"/>
        <v>3.1284166666666689E-2</v>
      </c>
      <c r="S13">
        <f t="shared" si="4"/>
        <v>1.4335000000000004</v>
      </c>
      <c r="T13">
        <f t="shared" si="2"/>
        <v>2.0100288597319032E-2</v>
      </c>
      <c r="U13">
        <f t="shared" si="5"/>
        <v>0.43350000000000011</v>
      </c>
    </row>
    <row r="14" spans="1:21" x14ac:dyDescent="0.25">
      <c r="A14" s="65">
        <v>-7.75</v>
      </c>
      <c r="B14">
        <v>9.4579999999999997E-2</v>
      </c>
      <c r="C14">
        <v>-0.40870000000000001</v>
      </c>
      <c r="D14">
        <v>8.9779999999999999E-2</v>
      </c>
      <c r="E14">
        <v>-3.7900000000000003E-2</v>
      </c>
      <c r="F14">
        <v>0.98909999999999998</v>
      </c>
      <c r="G14">
        <v>3.61E-2</v>
      </c>
      <c r="I14">
        <f t="shared" si="0"/>
        <v>-0.13526301702956053</v>
      </c>
      <c r="J14">
        <f t="shared" si="3"/>
        <v>-4.3212095580460987</v>
      </c>
      <c r="R14">
        <f t="shared" si="1"/>
        <v>3.7490000000000037E-2</v>
      </c>
      <c r="S14">
        <f t="shared" si="4"/>
        <v>1.5335000000000005</v>
      </c>
      <c r="T14">
        <f t="shared" si="2"/>
        <v>2.1385215580139404E-2</v>
      </c>
      <c r="U14">
        <f t="shared" si="5"/>
        <v>0.33350000000000013</v>
      </c>
    </row>
    <row r="15" spans="1:21" x14ac:dyDescent="0.25">
      <c r="A15" s="65">
        <v>-7.5</v>
      </c>
      <c r="B15">
        <v>8.6870000000000003E-2</v>
      </c>
      <c r="C15">
        <v>-0.39739999999999998</v>
      </c>
      <c r="D15">
        <v>8.2040000000000002E-2</v>
      </c>
      <c r="E15">
        <v>-4.7500000000000001E-2</v>
      </c>
      <c r="F15">
        <v>0.9839</v>
      </c>
      <c r="G15">
        <v>3.6600000000000001E-2</v>
      </c>
      <c r="I15">
        <f t="shared" si="0"/>
        <v>-0.1308996938995747</v>
      </c>
      <c r="J15">
        <f t="shared" si="3"/>
        <v>-4.5746517785196268</v>
      </c>
      <c r="R15">
        <f t="shared" si="1"/>
        <v>4.4824166666666714E-2</v>
      </c>
      <c r="S15">
        <f t="shared" si="4"/>
        <v>1.6335000000000006</v>
      </c>
      <c r="T15">
        <f t="shared" si="2"/>
        <v>2.2903765650745301E-2</v>
      </c>
      <c r="U15">
        <f t="shared" si="5"/>
        <v>0.23350000000000012</v>
      </c>
    </row>
    <row r="16" spans="1:21" x14ac:dyDescent="0.25">
      <c r="A16" s="65">
        <v>-7</v>
      </c>
      <c r="B16">
        <v>6.8159999999999998E-2</v>
      </c>
      <c r="C16">
        <v>-0.36449999999999999</v>
      </c>
      <c r="D16">
        <v>6.3089999999999993E-2</v>
      </c>
      <c r="E16">
        <v>-6.93E-2</v>
      </c>
      <c r="F16">
        <v>0.97330000000000005</v>
      </c>
      <c r="G16">
        <v>3.6900000000000002E-2</v>
      </c>
      <c r="I16">
        <f t="shared" si="0"/>
        <v>-0.12217304763960307</v>
      </c>
      <c r="J16">
        <f t="shared" si="3"/>
        <v>-5.347711267605634</v>
      </c>
      <c r="R16">
        <f t="shared" si="1"/>
        <v>5.3286666666666725E-2</v>
      </c>
      <c r="S16">
        <f t="shared" si="4"/>
        <v>1.7335000000000007</v>
      </c>
      <c r="T16">
        <f t="shared" si="2"/>
        <v>2.4655938809136718E-2</v>
      </c>
      <c r="U16">
        <f t="shared" si="5"/>
        <v>0.13350000000000012</v>
      </c>
    </row>
    <row r="17" spans="1:21" x14ac:dyDescent="0.25">
      <c r="A17" s="65">
        <v>-6.75</v>
      </c>
      <c r="B17">
        <v>5.0479999999999997E-2</v>
      </c>
      <c r="C17">
        <v>-0.33550000000000002</v>
      </c>
      <c r="D17">
        <v>4.4630000000000003E-2</v>
      </c>
      <c r="E17">
        <v>-8.7099999999999997E-2</v>
      </c>
      <c r="F17">
        <v>0.97030000000000005</v>
      </c>
      <c r="G17">
        <v>3.6799999999999999E-2</v>
      </c>
      <c r="I17">
        <f t="shared" si="0"/>
        <v>-0.11780972450961724</v>
      </c>
      <c r="J17">
        <f t="shared" si="3"/>
        <v>-6.6461965134706826</v>
      </c>
      <c r="R17">
        <f t="shared" si="1"/>
        <v>6.2877500000000072E-2</v>
      </c>
      <c r="S17">
        <f t="shared" si="4"/>
        <v>1.8335000000000008</v>
      </c>
      <c r="T17">
        <f t="shared" si="2"/>
        <v>2.6641735055313663E-2</v>
      </c>
      <c r="U17">
        <f t="shared" si="5"/>
        <v>3.3500000000000113E-2</v>
      </c>
    </row>
    <row r="18" spans="1:21" x14ac:dyDescent="0.25">
      <c r="A18" s="65">
        <v>-6.5</v>
      </c>
      <c r="B18">
        <v>4.5159999999999999E-2</v>
      </c>
      <c r="C18">
        <v>-0.30759999999999998</v>
      </c>
      <c r="D18">
        <v>3.8879999999999998E-2</v>
      </c>
      <c r="E18">
        <v>-9.2100000000000001E-2</v>
      </c>
      <c r="F18">
        <v>0.96599999999999997</v>
      </c>
      <c r="G18">
        <v>3.78E-2</v>
      </c>
      <c r="I18">
        <f t="shared" si="0"/>
        <v>-0.11344640137963143</v>
      </c>
      <c r="J18">
        <f t="shared" si="3"/>
        <v>-6.8113374667847655</v>
      </c>
      <c r="R18">
        <f t="shared" si="1"/>
        <v>7.3596666666666755E-2</v>
      </c>
      <c r="S18">
        <f t="shared" si="4"/>
        <v>1.9335000000000009</v>
      </c>
      <c r="T18">
        <f t="shared" si="2"/>
        <v>2.8861154389276129E-2</v>
      </c>
      <c r="U18">
        <f t="shared" si="5"/>
        <v>-6.6499999999999893E-2</v>
      </c>
    </row>
    <row r="19" spans="1:21" x14ac:dyDescent="0.25">
      <c r="A19" s="65">
        <v>-6.25</v>
      </c>
      <c r="B19">
        <v>3.8460000000000001E-2</v>
      </c>
      <c r="C19">
        <v>-0.27060000000000001</v>
      </c>
      <c r="D19">
        <v>3.1109999999999999E-2</v>
      </c>
      <c r="E19">
        <v>-9.8900000000000002E-2</v>
      </c>
      <c r="F19">
        <v>0.96350000000000002</v>
      </c>
      <c r="G19">
        <v>4.07E-2</v>
      </c>
      <c r="I19">
        <f t="shared" si="0"/>
        <v>-0.1090830782496456</v>
      </c>
      <c r="J19">
        <f t="shared" si="3"/>
        <v>-7.0358814352574104</v>
      </c>
    </row>
    <row r="20" spans="1:21" x14ac:dyDescent="0.25">
      <c r="A20" s="65">
        <v>-6</v>
      </c>
      <c r="B20">
        <v>3.6170000000000001E-2</v>
      </c>
      <c r="C20">
        <v>-0.23549999999999999</v>
      </c>
      <c r="D20">
        <v>2.8500000000000001E-2</v>
      </c>
      <c r="E20">
        <v>-0.10199999999999999</v>
      </c>
      <c r="F20">
        <v>0.96089999999999998</v>
      </c>
      <c r="G20">
        <v>4.24E-2</v>
      </c>
      <c r="I20">
        <f t="shared" si="0"/>
        <v>-0.10471975511965977</v>
      </c>
      <c r="J20">
        <f t="shared" si="3"/>
        <v>-6.5109206524744261</v>
      </c>
    </row>
    <row r="21" spans="1:21" x14ac:dyDescent="0.25">
      <c r="A21" s="65">
        <v>-5.75</v>
      </c>
      <c r="B21">
        <v>3.347E-2</v>
      </c>
      <c r="C21">
        <v>-0.1971</v>
      </c>
      <c r="D21">
        <v>2.5229999999999999E-2</v>
      </c>
      <c r="E21">
        <v>-0.1055</v>
      </c>
      <c r="F21">
        <v>0.95920000000000005</v>
      </c>
      <c r="G21">
        <v>4.4299999999999999E-2</v>
      </c>
      <c r="I21">
        <f t="shared" si="0"/>
        <v>-0.10035643198967394</v>
      </c>
      <c r="J21">
        <f t="shared" si="3"/>
        <v>-5.888855691664177</v>
      </c>
    </row>
    <row r="22" spans="1:21" x14ac:dyDescent="0.25">
      <c r="A22" s="65">
        <v>-5.5</v>
      </c>
      <c r="B22">
        <v>3.1980000000000001E-2</v>
      </c>
      <c r="C22">
        <v>-0.16520000000000001</v>
      </c>
      <c r="D22">
        <v>2.3449999999999999E-2</v>
      </c>
      <c r="E22">
        <v>-0.1072</v>
      </c>
      <c r="F22">
        <v>0.95550000000000002</v>
      </c>
      <c r="G22">
        <v>4.6800000000000001E-2</v>
      </c>
      <c r="I22">
        <f t="shared" si="0"/>
        <v>-9.599310885968812E-2</v>
      </c>
      <c r="J22">
        <f t="shared" si="3"/>
        <v>-5.1657285803627273</v>
      </c>
    </row>
    <row r="23" spans="1:21" x14ac:dyDescent="0.25">
      <c r="A23" s="65">
        <v>-5.25</v>
      </c>
      <c r="B23">
        <v>3.0669999999999999E-2</v>
      </c>
      <c r="C23">
        <v>-0.1331</v>
      </c>
      <c r="D23">
        <v>2.181E-2</v>
      </c>
      <c r="E23">
        <v>-0.1087</v>
      </c>
      <c r="F23">
        <v>0.95150000000000001</v>
      </c>
      <c r="G23">
        <v>4.9799999999999997E-2</v>
      </c>
      <c r="I23">
        <f t="shared" si="0"/>
        <v>-9.1629785729702304E-2</v>
      </c>
      <c r="J23">
        <f t="shared" si="3"/>
        <v>-4.339745679817411</v>
      </c>
    </row>
    <row r="24" spans="1:21" x14ac:dyDescent="0.25">
      <c r="A24" s="65">
        <v>-5</v>
      </c>
      <c r="B24">
        <v>2.9700000000000001E-2</v>
      </c>
      <c r="C24">
        <v>-9.8699999999999996E-2</v>
      </c>
      <c r="D24">
        <v>2.0719999999999999E-2</v>
      </c>
      <c r="E24">
        <v>-0.1105</v>
      </c>
      <c r="F24">
        <v>0.94850000000000001</v>
      </c>
      <c r="G24">
        <v>5.21E-2</v>
      </c>
      <c r="I24">
        <f t="shared" si="0"/>
        <v>-8.7266462599716474E-2</v>
      </c>
      <c r="J24">
        <f t="shared" si="3"/>
        <v>-3.3232323232323231</v>
      </c>
    </row>
    <row r="25" spans="1:21" x14ac:dyDescent="0.25">
      <c r="A25" s="65">
        <v>-4.75</v>
      </c>
      <c r="B25">
        <v>2.8709999999999999E-2</v>
      </c>
      <c r="C25">
        <v>-6.1899999999999997E-2</v>
      </c>
      <c r="D25">
        <v>1.9470000000000001E-2</v>
      </c>
      <c r="E25">
        <v>-0.11269999999999999</v>
      </c>
      <c r="F25">
        <v>0.94610000000000005</v>
      </c>
      <c r="G25">
        <v>5.6000000000000001E-2</v>
      </c>
      <c r="I25">
        <f t="shared" si="0"/>
        <v>-8.2903139469730644E-2</v>
      </c>
      <c r="J25">
        <f t="shared" si="3"/>
        <v>-2.1560431905259492</v>
      </c>
    </row>
    <row r="26" spans="1:21" x14ac:dyDescent="0.25">
      <c r="A26" s="65">
        <v>-4.5</v>
      </c>
      <c r="B26">
        <v>2.7890000000000002E-2</v>
      </c>
      <c r="C26">
        <v>-2.3900000000000001E-2</v>
      </c>
      <c r="D26">
        <v>1.8440000000000002E-2</v>
      </c>
      <c r="E26">
        <v>-0.11509999999999999</v>
      </c>
      <c r="F26">
        <v>0.94420000000000004</v>
      </c>
      <c r="G26">
        <v>6.0600000000000001E-2</v>
      </c>
      <c r="I26">
        <f t="shared" si="0"/>
        <v>-7.8539816339744828E-2</v>
      </c>
      <c r="J26">
        <f t="shared" si="3"/>
        <v>-0.85693797059878096</v>
      </c>
    </row>
    <row r="27" spans="1:21" x14ac:dyDescent="0.25">
      <c r="A27" s="65">
        <v>-4.25</v>
      </c>
      <c r="B27">
        <v>2.7320000000000001E-2</v>
      </c>
      <c r="C27">
        <v>1.8E-3</v>
      </c>
      <c r="D27">
        <v>1.788E-2</v>
      </c>
      <c r="E27">
        <v>-0.115</v>
      </c>
      <c r="F27">
        <v>0.93759999999999999</v>
      </c>
      <c r="G27">
        <v>6.4000000000000001E-2</v>
      </c>
      <c r="I27">
        <f t="shared" si="0"/>
        <v>-7.4176493209759012E-2</v>
      </c>
      <c r="J27">
        <f t="shared" si="3"/>
        <v>6.5885797950219621E-2</v>
      </c>
    </row>
    <row r="28" spans="1:21" x14ac:dyDescent="0.25">
      <c r="A28" s="65">
        <v>-4</v>
      </c>
      <c r="B28">
        <v>2.6700000000000002E-2</v>
      </c>
      <c r="C28">
        <v>3.6799999999999999E-2</v>
      </c>
      <c r="D28">
        <v>1.7170000000000001E-2</v>
      </c>
      <c r="E28">
        <v>-0.1167</v>
      </c>
      <c r="F28">
        <v>0.93359999999999999</v>
      </c>
      <c r="G28">
        <v>6.93E-2</v>
      </c>
      <c r="I28">
        <f t="shared" si="0"/>
        <v>-6.9813170079773182E-2</v>
      </c>
      <c r="J28">
        <f t="shared" si="3"/>
        <v>1.3782771535580522</v>
      </c>
    </row>
    <row r="29" spans="1:21" x14ac:dyDescent="0.25">
      <c r="A29" s="65">
        <v>-3.75</v>
      </c>
      <c r="B29">
        <v>2.6079999999999999E-2</v>
      </c>
      <c r="C29">
        <v>7.51E-2</v>
      </c>
      <c r="D29">
        <v>1.6469999999999999E-2</v>
      </c>
      <c r="E29">
        <v>-0.11899999999999999</v>
      </c>
      <c r="F29">
        <v>0.93049999999999999</v>
      </c>
      <c r="G29">
        <v>7.5600000000000001E-2</v>
      </c>
      <c r="I29">
        <f t="shared" si="0"/>
        <v>-6.5449846949787352E-2</v>
      </c>
      <c r="J29">
        <f t="shared" si="3"/>
        <v>2.8796012269938651</v>
      </c>
    </row>
    <row r="30" spans="1:21" x14ac:dyDescent="0.25">
      <c r="A30" s="65">
        <v>-3.5</v>
      </c>
      <c r="B30">
        <v>2.5649999999999999E-2</v>
      </c>
      <c r="C30">
        <v>0.1056</v>
      </c>
      <c r="D30">
        <v>1.6E-2</v>
      </c>
      <c r="E30">
        <v>-0.1197</v>
      </c>
      <c r="F30">
        <v>0.92420000000000002</v>
      </c>
      <c r="G30">
        <v>8.2600000000000007E-2</v>
      </c>
      <c r="I30">
        <f t="shared" si="0"/>
        <v>-6.1086523819801536E-2</v>
      </c>
      <c r="J30">
        <f t="shared" si="3"/>
        <v>4.1169590643274852</v>
      </c>
    </row>
    <row r="31" spans="1:21" x14ac:dyDescent="0.25">
      <c r="A31" s="65">
        <v>-3.25</v>
      </c>
      <c r="B31">
        <v>2.5170000000000001E-2</v>
      </c>
      <c r="C31">
        <v>0.13880000000000001</v>
      </c>
      <c r="D31">
        <v>1.554E-2</v>
      </c>
      <c r="E31">
        <v>-0.121</v>
      </c>
      <c r="F31">
        <v>0.91839999999999999</v>
      </c>
      <c r="G31">
        <v>9.0800000000000006E-2</v>
      </c>
      <c r="I31">
        <f t="shared" si="0"/>
        <v>-5.6723200689815713E-2</v>
      </c>
      <c r="J31">
        <f t="shared" si="3"/>
        <v>5.5145013905442983</v>
      </c>
    </row>
    <row r="32" spans="1:21" x14ac:dyDescent="0.25">
      <c r="A32" s="65">
        <v>-3</v>
      </c>
      <c r="B32">
        <v>2.46E-2</v>
      </c>
      <c r="C32">
        <v>0.17730000000000001</v>
      </c>
      <c r="D32">
        <v>1.499E-2</v>
      </c>
      <c r="E32">
        <v>-0.1232</v>
      </c>
      <c r="F32">
        <v>0.91490000000000005</v>
      </c>
      <c r="G32">
        <v>0.1008</v>
      </c>
      <c r="I32">
        <f t="shared" si="0"/>
        <v>-5.2359877559829883E-2</v>
      </c>
      <c r="J32">
        <f t="shared" si="3"/>
        <v>7.2073170731707323</v>
      </c>
    </row>
    <row r="33" spans="1:10" x14ac:dyDescent="0.25">
      <c r="A33" s="65">
        <v>-2.75</v>
      </c>
      <c r="B33">
        <v>2.4199999999999999E-2</v>
      </c>
      <c r="C33">
        <v>0.20649999999999999</v>
      </c>
      <c r="D33">
        <v>1.4630000000000001E-2</v>
      </c>
      <c r="E33">
        <v>-0.1236</v>
      </c>
      <c r="F33">
        <v>0.90749999999999997</v>
      </c>
      <c r="G33">
        <v>0.11310000000000001</v>
      </c>
      <c r="I33">
        <f t="shared" si="0"/>
        <v>-4.799655442984406E-2</v>
      </c>
      <c r="J33">
        <f t="shared" si="3"/>
        <v>8.5330578512396684</v>
      </c>
    </row>
    <row r="34" spans="1:10" x14ac:dyDescent="0.25">
      <c r="A34" s="65">
        <v>-2.5</v>
      </c>
      <c r="B34">
        <v>2.375E-2</v>
      </c>
      <c r="C34">
        <v>0.24049999999999999</v>
      </c>
      <c r="D34">
        <v>1.421E-2</v>
      </c>
      <c r="E34">
        <v>-0.12479999999999999</v>
      </c>
      <c r="F34">
        <v>0.90149999999999997</v>
      </c>
      <c r="G34">
        <v>0.13200000000000001</v>
      </c>
      <c r="I34">
        <f t="shared" si="0"/>
        <v>-4.3633231299858237E-2</v>
      </c>
      <c r="J34">
        <f t="shared" si="3"/>
        <v>10.126315789473685</v>
      </c>
    </row>
    <row r="35" spans="1:10" x14ac:dyDescent="0.25">
      <c r="A35" s="65">
        <v>-2.25</v>
      </c>
      <c r="B35">
        <v>2.3290000000000002E-2</v>
      </c>
      <c r="C35">
        <v>0.27889999999999998</v>
      </c>
      <c r="D35">
        <v>1.384E-2</v>
      </c>
      <c r="E35">
        <v>-0.127</v>
      </c>
      <c r="F35">
        <v>0.89800000000000002</v>
      </c>
      <c r="G35">
        <v>0.15609999999999999</v>
      </c>
      <c r="I35">
        <f t="shared" si="0"/>
        <v>-3.9269908169872414E-2</v>
      </c>
      <c r="J35">
        <f t="shared" si="3"/>
        <v>11.975096607986259</v>
      </c>
    </row>
    <row r="36" spans="1:10" x14ac:dyDescent="0.25">
      <c r="A36" s="65">
        <v>-2</v>
      </c>
      <c r="B36">
        <v>2.317E-2</v>
      </c>
      <c r="C36">
        <v>0.3039</v>
      </c>
      <c r="D36">
        <v>1.375E-2</v>
      </c>
      <c r="E36">
        <v>-0.1265</v>
      </c>
      <c r="F36">
        <v>0.88849999999999996</v>
      </c>
      <c r="G36">
        <v>0.17879999999999999</v>
      </c>
      <c r="I36">
        <f t="shared" si="0"/>
        <v>-3.4906585039886591E-2</v>
      </c>
      <c r="J36">
        <f t="shared" si="3"/>
        <v>13.116098403107467</v>
      </c>
    </row>
    <row r="37" spans="1:10" x14ac:dyDescent="0.25">
      <c r="A37" s="65">
        <v>-1.75</v>
      </c>
      <c r="B37">
        <v>2.2859999999999998E-2</v>
      </c>
      <c r="C37">
        <v>0.33900000000000002</v>
      </c>
      <c r="D37">
        <v>1.3440000000000001E-2</v>
      </c>
      <c r="E37">
        <v>-0.12790000000000001</v>
      </c>
      <c r="F37">
        <v>0.88370000000000004</v>
      </c>
      <c r="G37">
        <v>0.2049</v>
      </c>
      <c r="I37">
        <f t="shared" si="0"/>
        <v>-3.0543261909900768E-2</v>
      </c>
      <c r="J37">
        <f t="shared" si="3"/>
        <v>14.829396325459319</v>
      </c>
    </row>
    <row r="38" spans="1:10" x14ac:dyDescent="0.25">
      <c r="A38" s="65">
        <v>-1.5</v>
      </c>
      <c r="B38">
        <v>2.256E-2</v>
      </c>
      <c r="C38">
        <v>0.37140000000000001</v>
      </c>
      <c r="D38">
        <v>1.3169999999999999E-2</v>
      </c>
      <c r="E38">
        <v>-0.1288</v>
      </c>
      <c r="F38">
        <v>0.87770000000000004</v>
      </c>
      <c r="G38">
        <v>0.22750000000000001</v>
      </c>
      <c r="I38">
        <f t="shared" si="0"/>
        <v>-2.6179938779914941E-2</v>
      </c>
      <c r="J38">
        <f t="shared" si="3"/>
        <v>16.462765957446809</v>
      </c>
    </row>
    <row r="39" spans="1:10" x14ac:dyDescent="0.25">
      <c r="A39" s="65">
        <v>-1.25</v>
      </c>
      <c r="B39">
        <v>2.2290000000000001E-2</v>
      </c>
      <c r="C39">
        <v>0.40089999999999998</v>
      </c>
      <c r="D39">
        <v>1.2959999999999999E-2</v>
      </c>
      <c r="E39">
        <v>-0.12909999999999999</v>
      </c>
      <c r="F39">
        <v>0.86929999999999996</v>
      </c>
      <c r="G39">
        <v>0.25330000000000003</v>
      </c>
      <c r="I39">
        <f t="shared" si="0"/>
        <v>-2.1816615649929118E-2</v>
      </c>
      <c r="J39">
        <f t="shared" si="3"/>
        <v>17.985643786451323</v>
      </c>
    </row>
    <row r="40" spans="1:10" x14ac:dyDescent="0.25">
      <c r="A40" s="65">
        <v>-1</v>
      </c>
      <c r="B40">
        <v>2.1749999999999999E-2</v>
      </c>
      <c r="C40">
        <v>0.43840000000000001</v>
      </c>
      <c r="D40">
        <v>1.251E-2</v>
      </c>
      <c r="E40">
        <v>-0.13100000000000001</v>
      </c>
      <c r="F40">
        <v>0.86529999999999996</v>
      </c>
      <c r="G40">
        <v>0.28360000000000002</v>
      </c>
      <c r="I40">
        <f t="shared" si="0"/>
        <v>-1.7453292519943295E-2</v>
      </c>
      <c r="J40">
        <f t="shared" si="3"/>
        <v>20.156321839080462</v>
      </c>
    </row>
    <row r="41" spans="1:10" x14ac:dyDescent="0.25">
      <c r="A41" s="65">
        <v>-0.75</v>
      </c>
      <c r="B41">
        <v>2.155E-2</v>
      </c>
      <c r="C41">
        <v>0.4647</v>
      </c>
      <c r="D41">
        <v>1.242E-2</v>
      </c>
      <c r="E41">
        <v>-0.13070000000000001</v>
      </c>
      <c r="F41">
        <v>0.85529999999999995</v>
      </c>
      <c r="G41">
        <v>0.31919999999999998</v>
      </c>
      <c r="I41">
        <f t="shared" ref="I41:I73" si="6">A41*PI()/180</f>
        <v>-1.3089969389957471E-2</v>
      </c>
      <c r="J41">
        <f t="shared" si="3"/>
        <v>21.563805104408353</v>
      </c>
    </row>
    <row r="42" spans="1:10" x14ac:dyDescent="0.25">
      <c r="A42" s="65">
        <v>-0.5</v>
      </c>
      <c r="B42">
        <v>2.0809999999999999E-2</v>
      </c>
      <c r="C42">
        <v>0.50119999999999998</v>
      </c>
      <c r="D42">
        <v>1.213E-2</v>
      </c>
      <c r="E42">
        <v>-0.13250000000000001</v>
      </c>
      <c r="F42">
        <v>0.85060000000000002</v>
      </c>
      <c r="G42">
        <v>0.43259999999999998</v>
      </c>
      <c r="I42">
        <f t="shared" si="6"/>
        <v>-8.7266462599716477E-3</v>
      </c>
      <c r="J42">
        <f t="shared" si="3"/>
        <v>24.084574723690533</v>
      </c>
    </row>
    <row r="43" spans="1:10" x14ac:dyDescent="0.25">
      <c r="A43" s="65">
        <v>-0.25</v>
      </c>
      <c r="B43">
        <v>1.949E-2</v>
      </c>
      <c r="C43">
        <v>0.51400000000000001</v>
      </c>
      <c r="D43">
        <v>1.21E-2</v>
      </c>
      <c r="E43">
        <v>-0.12790000000000001</v>
      </c>
      <c r="F43">
        <v>0.84309999999999996</v>
      </c>
      <c r="G43">
        <v>0.86970000000000003</v>
      </c>
      <c r="I43">
        <f t="shared" si="6"/>
        <v>-4.3633231299858239E-3</v>
      </c>
      <c r="J43">
        <f t="shared" si="3"/>
        <v>26.37249871729092</v>
      </c>
    </row>
    <row r="44" spans="1:10" x14ac:dyDescent="0.25">
      <c r="A44" s="65">
        <v>0</v>
      </c>
      <c r="B44">
        <v>1.8890000000000001E-2</v>
      </c>
      <c r="C44">
        <v>0.54410000000000003</v>
      </c>
      <c r="D44">
        <v>1.14E-2</v>
      </c>
      <c r="E44">
        <v>-0.1278</v>
      </c>
      <c r="F44">
        <v>0.83420000000000005</v>
      </c>
      <c r="G44">
        <v>1</v>
      </c>
      <c r="I44">
        <f t="shared" si="6"/>
        <v>0</v>
      </c>
      <c r="J44">
        <f t="shared" si="3"/>
        <v>28.803599788247752</v>
      </c>
    </row>
    <row r="45" spans="1:10" x14ac:dyDescent="0.25">
      <c r="A45" s="65">
        <v>0.25</v>
      </c>
      <c r="B45">
        <v>1.873E-2</v>
      </c>
      <c r="C45">
        <v>0.57479999999999998</v>
      </c>
      <c r="D45">
        <v>1.1089999999999999E-2</v>
      </c>
      <c r="E45">
        <v>-0.12809999999999999</v>
      </c>
      <c r="F45">
        <v>0.8236</v>
      </c>
      <c r="G45">
        <v>1</v>
      </c>
      <c r="I45">
        <f t="shared" si="6"/>
        <v>4.3633231299858239E-3</v>
      </c>
      <c r="J45">
        <f t="shared" si="3"/>
        <v>30.688734650293647</v>
      </c>
    </row>
    <row r="46" spans="1:10" x14ac:dyDescent="0.25">
      <c r="A46" s="65">
        <v>0.5</v>
      </c>
      <c r="B46">
        <v>1.8290000000000001E-2</v>
      </c>
      <c r="C46">
        <v>0.61429999999999996</v>
      </c>
      <c r="D46">
        <v>1.0500000000000001E-2</v>
      </c>
      <c r="E46">
        <v>-0.13</v>
      </c>
      <c r="F46">
        <v>0.81659999999999999</v>
      </c>
      <c r="G46">
        <v>1</v>
      </c>
      <c r="I46">
        <f t="shared" si="6"/>
        <v>8.7266462599716477E-3</v>
      </c>
      <c r="J46">
        <f t="shared" si="3"/>
        <v>33.586659376708582</v>
      </c>
    </row>
    <row r="47" spans="1:10" x14ac:dyDescent="0.25">
      <c r="A47" s="65">
        <v>0.75</v>
      </c>
      <c r="B47">
        <v>1.821E-2</v>
      </c>
      <c r="C47">
        <v>0.64400000000000002</v>
      </c>
      <c r="D47">
        <v>1.031E-2</v>
      </c>
      <c r="E47">
        <v>-0.13009999999999999</v>
      </c>
      <c r="F47">
        <v>0.8044</v>
      </c>
      <c r="G47">
        <v>1</v>
      </c>
      <c r="I47">
        <f t="shared" si="6"/>
        <v>1.3089969389957471E-2</v>
      </c>
      <c r="J47">
        <f t="shared" si="3"/>
        <v>35.365183964854474</v>
      </c>
    </row>
    <row r="48" spans="1:10" x14ac:dyDescent="0.25">
      <c r="A48" s="65">
        <v>1</v>
      </c>
      <c r="B48">
        <v>1.7950000000000001E-2</v>
      </c>
      <c r="C48">
        <v>0.68049999999999999</v>
      </c>
      <c r="D48">
        <v>9.9399999999999992E-3</v>
      </c>
      <c r="E48">
        <v>-0.13159999999999999</v>
      </c>
      <c r="F48">
        <v>0.79490000000000005</v>
      </c>
      <c r="G48">
        <v>1</v>
      </c>
      <c r="I48">
        <f t="shared" si="6"/>
        <v>1.7453292519943295E-2</v>
      </c>
      <c r="J48">
        <f t="shared" si="3"/>
        <v>37.910863509749305</v>
      </c>
    </row>
    <row r="49" spans="1:10" x14ac:dyDescent="0.25">
      <c r="A49" s="65">
        <v>1.25</v>
      </c>
      <c r="B49">
        <v>1.754E-2</v>
      </c>
      <c r="C49">
        <v>0.72519999999999996</v>
      </c>
      <c r="D49">
        <v>9.4000000000000004E-3</v>
      </c>
      <c r="E49">
        <v>-0.13469999999999999</v>
      </c>
      <c r="F49">
        <v>0.78749999999999998</v>
      </c>
      <c r="G49">
        <v>1</v>
      </c>
      <c r="I49">
        <f t="shared" si="6"/>
        <v>2.1816615649929118E-2</v>
      </c>
      <c r="J49">
        <f t="shared" si="3"/>
        <v>41.345496009122002</v>
      </c>
    </row>
    <row r="50" spans="1:10" x14ac:dyDescent="0.25">
      <c r="A50" s="65">
        <v>1.5</v>
      </c>
      <c r="B50">
        <v>1.7520000000000001E-2</v>
      </c>
      <c r="C50">
        <v>0.75729999999999997</v>
      </c>
      <c r="D50">
        <v>9.3100000000000006E-3</v>
      </c>
      <c r="E50">
        <v>-0.13539999999999999</v>
      </c>
      <c r="F50">
        <v>0.77470000000000006</v>
      </c>
      <c r="G50">
        <v>1</v>
      </c>
      <c r="I50">
        <f t="shared" si="6"/>
        <v>2.6179938779914941E-2</v>
      </c>
      <c r="J50">
        <f t="shared" si="3"/>
        <v>43.224885844748854</v>
      </c>
    </row>
    <row r="51" spans="1:10" x14ac:dyDescent="0.25">
      <c r="A51" s="65">
        <v>1.75</v>
      </c>
      <c r="B51">
        <v>1.7930000000000001E-2</v>
      </c>
      <c r="C51">
        <v>0.76970000000000005</v>
      </c>
      <c r="D51">
        <v>9.7199999999999995E-3</v>
      </c>
      <c r="E51">
        <v>-0.1323</v>
      </c>
      <c r="F51">
        <v>0.75329999999999997</v>
      </c>
      <c r="G51">
        <v>1</v>
      </c>
      <c r="I51">
        <f t="shared" si="6"/>
        <v>3.0543261909900768E-2</v>
      </c>
      <c r="J51">
        <f t="shared" si="3"/>
        <v>42.928053541550476</v>
      </c>
    </row>
    <row r="52" spans="1:10" x14ac:dyDescent="0.25">
      <c r="A52" s="65">
        <v>2</v>
      </c>
      <c r="B52">
        <v>1.7639999999999999E-2</v>
      </c>
      <c r="C52">
        <v>0.81130000000000002</v>
      </c>
      <c r="D52">
        <v>9.3100000000000006E-3</v>
      </c>
      <c r="E52">
        <v>-0.1348</v>
      </c>
      <c r="F52">
        <v>0.74160000000000004</v>
      </c>
      <c r="G52">
        <v>1</v>
      </c>
      <c r="I52">
        <f t="shared" si="6"/>
        <v>3.4906585039886591E-2</v>
      </c>
      <c r="J52">
        <f t="shared" si="3"/>
        <v>45.992063492063494</v>
      </c>
    </row>
    <row r="53" spans="1:10" x14ac:dyDescent="0.25">
      <c r="A53" s="65">
        <v>2.25</v>
      </c>
      <c r="B53">
        <v>1.736E-2</v>
      </c>
      <c r="C53">
        <v>0.85409999999999997</v>
      </c>
      <c r="D53">
        <v>8.9200000000000008E-3</v>
      </c>
      <c r="E53">
        <v>-0.13750000000000001</v>
      </c>
      <c r="F53">
        <v>0.72960000000000003</v>
      </c>
      <c r="G53">
        <v>1</v>
      </c>
      <c r="I53">
        <f t="shared" si="6"/>
        <v>3.9269908169872414E-2</v>
      </c>
      <c r="J53">
        <f t="shared" si="3"/>
        <v>49.199308755760363</v>
      </c>
    </row>
    <row r="54" spans="1:10" x14ac:dyDescent="0.25">
      <c r="A54" s="65">
        <v>2.5</v>
      </c>
      <c r="B54">
        <v>1.719E-2</v>
      </c>
      <c r="C54">
        <v>0.89590000000000003</v>
      </c>
      <c r="D54">
        <v>8.6099999999999996E-3</v>
      </c>
      <c r="E54">
        <v>-0.1401</v>
      </c>
      <c r="F54">
        <v>0.71599999999999997</v>
      </c>
      <c r="G54">
        <v>1</v>
      </c>
      <c r="I54">
        <f t="shared" si="6"/>
        <v>4.3633231299858237E-2</v>
      </c>
      <c r="J54">
        <f t="shared" si="3"/>
        <v>52.117510180337405</v>
      </c>
    </row>
    <row r="55" spans="1:10" x14ac:dyDescent="0.25">
      <c r="A55" s="65">
        <v>2.75</v>
      </c>
      <c r="B55">
        <v>1.7180000000000001E-2</v>
      </c>
      <c r="C55">
        <v>0.9335</v>
      </c>
      <c r="D55">
        <v>8.4799999999999997E-3</v>
      </c>
      <c r="E55">
        <v>-0.14199999999999999</v>
      </c>
      <c r="F55">
        <v>0.70030000000000003</v>
      </c>
      <c r="G55">
        <v>1</v>
      </c>
      <c r="I55">
        <f t="shared" si="6"/>
        <v>4.799655442984406E-2</v>
      </c>
      <c r="J55">
        <f t="shared" si="3"/>
        <v>54.336437718277061</v>
      </c>
    </row>
    <row r="56" spans="1:10" x14ac:dyDescent="0.25">
      <c r="A56" s="65">
        <v>3</v>
      </c>
      <c r="B56">
        <v>1.7350000000000001E-2</v>
      </c>
      <c r="C56">
        <v>0.96379999999999999</v>
      </c>
      <c r="D56">
        <v>8.5800000000000008E-3</v>
      </c>
      <c r="E56">
        <v>-0.1424</v>
      </c>
      <c r="F56">
        <v>0.68259999999999998</v>
      </c>
      <c r="G56">
        <v>1</v>
      </c>
      <c r="I56">
        <f t="shared" si="6"/>
        <v>5.2359877559829883E-2</v>
      </c>
      <c r="J56">
        <f t="shared" si="3"/>
        <v>55.550432276657055</v>
      </c>
    </row>
    <row r="57" spans="1:10" x14ac:dyDescent="0.25">
      <c r="A57" s="65">
        <v>3.25</v>
      </c>
      <c r="B57">
        <v>1.7559999999999999E-2</v>
      </c>
      <c r="C57">
        <v>0.99209999999999998</v>
      </c>
      <c r="D57">
        <v>8.7200000000000003E-3</v>
      </c>
      <c r="E57">
        <v>-0.14230000000000001</v>
      </c>
      <c r="F57">
        <v>0.66349999999999998</v>
      </c>
      <c r="G57">
        <v>1</v>
      </c>
      <c r="I57">
        <f t="shared" si="6"/>
        <v>5.6723200689815713E-2</v>
      </c>
      <c r="J57">
        <f t="shared" si="3"/>
        <v>56.497722095671982</v>
      </c>
    </row>
    <row r="58" spans="1:10" x14ac:dyDescent="0.25">
      <c r="A58" s="65">
        <v>3.5</v>
      </c>
      <c r="B58">
        <v>1.78E-2</v>
      </c>
      <c r="C58">
        <v>1.0187999999999999</v>
      </c>
      <c r="D58">
        <v>8.8900000000000003E-3</v>
      </c>
      <c r="E58">
        <v>-0.14199999999999999</v>
      </c>
      <c r="F58">
        <v>0.64329999999999998</v>
      </c>
      <c r="G58">
        <v>1</v>
      </c>
      <c r="I58">
        <f t="shared" si="6"/>
        <v>6.1086523819801536E-2</v>
      </c>
      <c r="J58">
        <f t="shared" si="3"/>
        <v>57.235955056179769</v>
      </c>
    </row>
    <row r="59" spans="1:10" x14ac:dyDescent="0.25">
      <c r="A59" s="65">
        <v>3.75</v>
      </c>
      <c r="B59">
        <v>1.8069999999999999E-2</v>
      </c>
      <c r="C59">
        <v>1.044</v>
      </c>
      <c r="D59">
        <v>9.1000000000000004E-3</v>
      </c>
      <c r="E59">
        <v>-0.1414</v>
      </c>
      <c r="F59">
        <v>0.62109999999999999</v>
      </c>
      <c r="G59">
        <v>1</v>
      </c>
      <c r="I59">
        <f t="shared" si="6"/>
        <v>6.5449846949787352E-2</v>
      </c>
      <c r="J59">
        <f t="shared" si="3"/>
        <v>57.775318206972891</v>
      </c>
    </row>
    <row r="60" spans="1:10" x14ac:dyDescent="0.25">
      <c r="A60" s="65">
        <v>4</v>
      </c>
      <c r="B60">
        <v>1.8360000000000001E-2</v>
      </c>
      <c r="C60">
        <v>1.0677000000000001</v>
      </c>
      <c r="D60">
        <v>9.3100000000000006E-3</v>
      </c>
      <c r="E60">
        <v>-0.1404</v>
      </c>
      <c r="F60">
        <v>0.59640000000000004</v>
      </c>
      <c r="G60">
        <v>1</v>
      </c>
      <c r="I60">
        <f t="shared" si="6"/>
        <v>6.9813170079773182E-2</v>
      </c>
      <c r="J60">
        <f t="shared" si="3"/>
        <v>58.153594771241828</v>
      </c>
    </row>
    <row r="61" spans="1:10" x14ac:dyDescent="0.25">
      <c r="A61" s="65">
        <v>4.25</v>
      </c>
      <c r="B61">
        <v>1.8689999999999998E-2</v>
      </c>
      <c r="C61">
        <v>1.091</v>
      </c>
      <c r="D61">
        <v>9.5099999999999994E-3</v>
      </c>
      <c r="E61">
        <v>-0.1394</v>
      </c>
      <c r="F61">
        <v>0.56999999999999995</v>
      </c>
      <c r="G61">
        <v>1</v>
      </c>
      <c r="I61">
        <f t="shared" si="6"/>
        <v>7.4176493209759012E-2</v>
      </c>
      <c r="J61">
        <f t="shared" si="3"/>
        <v>58.373461744248267</v>
      </c>
    </row>
    <row r="62" spans="1:10" x14ac:dyDescent="0.25">
      <c r="A62" s="65">
        <v>4.5</v>
      </c>
      <c r="B62">
        <v>1.907E-2</v>
      </c>
      <c r="C62">
        <v>1.1119000000000001</v>
      </c>
      <c r="D62">
        <v>9.7900000000000001E-3</v>
      </c>
      <c r="E62">
        <v>-0.13789999999999999</v>
      </c>
      <c r="F62">
        <v>0.54049999999999998</v>
      </c>
      <c r="G62">
        <v>1</v>
      </c>
      <c r="I62">
        <f t="shared" si="6"/>
        <v>7.8539816339744828E-2</v>
      </c>
      <c r="J62">
        <f t="shared" si="3"/>
        <v>58.306240167802834</v>
      </c>
    </row>
    <row r="63" spans="1:10" x14ac:dyDescent="0.25">
      <c r="A63" s="65">
        <v>4.75</v>
      </c>
      <c r="B63">
        <v>1.951E-2</v>
      </c>
      <c r="C63">
        <v>1.1315999999999999</v>
      </c>
      <c r="D63">
        <v>1.008E-2</v>
      </c>
      <c r="E63">
        <v>-0.13619999999999999</v>
      </c>
      <c r="F63">
        <v>0.50839999999999996</v>
      </c>
      <c r="G63">
        <v>1</v>
      </c>
      <c r="I63">
        <f t="shared" si="6"/>
        <v>8.2903139469730644E-2</v>
      </c>
      <c r="J63">
        <f t="shared" si="3"/>
        <v>58.001025115325476</v>
      </c>
    </row>
    <row r="64" spans="1:10" x14ac:dyDescent="0.25">
      <c r="A64" s="65">
        <v>5</v>
      </c>
      <c r="B64">
        <v>2.001E-2</v>
      </c>
      <c r="C64">
        <v>1.1503000000000001</v>
      </c>
      <c r="D64">
        <v>1.0410000000000001E-2</v>
      </c>
      <c r="E64">
        <v>-0.1343</v>
      </c>
      <c r="F64">
        <v>0.4773</v>
      </c>
      <c r="G64">
        <v>1</v>
      </c>
      <c r="I64">
        <f t="shared" si="6"/>
        <v>8.7266462599716474E-2</v>
      </c>
      <c r="J64">
        <f t="shared" si="3"/>
        <v>57.486256871564223</v>
      </c>
    </row>
    <row r="65" spans="1:10" x14ac:dyDescent="0.25">
      <c r="A65" s="65">
        <v>5.5</v>
      </c>
      <c r="B65">
        <v>2.1160000000000002E-2</v>
      </c>
      <c r="C65">
        <v>1.1868000000000001</v>
      </c>
      <c r="D65">
        <v>1.124E-2</v>
      </c>
      <c r="E65">
        <v>-0.13070000000000001</v>
      </c>
      <c r="F65">
        <v>0.42549999999999999</v>
      </c>
      <c r="G65">
        <v>1</v>
      </c>
      <c r="I65">
        <f t="shared" si="6"/>
        <v>9.599310885968812E-2</v>
      </c>
      <c r="J65">
        <f t="shared" si="3"/>
        <v>56.086956521739133</v>
      </c>
    </row>
    <row r="66" spans="1:10" x14ac:dyDescent="0.25">
      <c r="A66" s="65">
        <v>5.75</v>
      </c>
      <c r="B66">
        <v>2.1749999999999999E-2</v>
      </c>
      <c r="C66">
        <v>1.2049000000000001</v>
      </c>
      <c r="D66">
        <v>1.174E-2</v>
      </c>
      <c r="E66">
        <v>-0.12889999999999999</v>
      </c>
      <c r="F66">
        <v>0.40489999999999998</v>
      </c>
      <c r="G66">
        <v>1</v>
      </c>
      <c r="I66">
        <f t="shared" si="6"/>
        <v>0.10035643198967394</v>
      </c>
      <c r="J66">
        <f t="shared" si="3"/>
        <v>55.397701149425295</v>
      </c>
    </row>
    <row r="67" spans="1:10" x14ac:dyDescent="0.25">
      <c r="A67" s="65">
        <v>6</v>
      </c>
      <c r="B67">
        <v>2.2349999999999998E-2</v>
      </c>
      <c r="C67">
        <v>1.2233000000000001</v>
      </c>
      <c r="D67">
        <v>1.225E-2</v>
      </c>
      <c r="E67">
        <v>-0.12720000000000001</v>
      </c>
      <c r="F67">
        <v>0.3881</v>
      </c>
      <c r="G67">
        <v>1</v>
      </c>
      <c r="I67">
        <f t="shared" si="6"/>
        <v>0.10471975511965977</v>
      </c>
      <c r="J67">
        <f t="shared" si="3"/>
        <v>54.733780760626402</v>
      </c>
    </row>
    <row r="68" spans="1:10" x14ac:dyDescent="0.25">
      <c r="A68" s="65">
        <v>6.25</v>
      </c>
      <c r="B68">
        <v>2.2960000000000001E-2</v>
      </c>
      <c r="C68">
        <v>1.2416</v>
      </c>
      <c r="D68">
        <v>1.278E-2</v>
      </c>
      <c r="E68">
        <v>-0.12559999999999999</v>
      </c>
      <c r="F68">
        <v>0.37390000000000001</v>
      </c>
      <c r="G68">
        <v>1</v>
      </c>
      <c r="I68">
        <f t="shared" si="6"/>
        <v>0.1090830782496456</v>
      </c>
      <c r="J68">
        <f t="shared" si="3"/>
        <v>54.076655052264805</v>
      </c>
    </row>
    <row r="69" spans="1:10" x14ac:dyDescent="0.25">
      <c r="A69" s="65">
        <v>6.5</v>
      </c>
      <c r="B69">
        <v>2.358E-2</v>
      </c>
      <c r="C69">
        <v>1.2594000000000001</v>
      </c>
      <c r="D69">
        <v>1.3339999999999999E-2</v>
      </c>
      <c r="E69">
        <v>-0.12379999999999999</v>
      </c>
      <c r="F69">
        <v>0.36159999999999998</v>
      </c>
      <c r="G69">
        <v>1</v>
      </c>
      <c r="I69">
        <f t="shared" si="6"/>
        <v>0.11344640137963143</v>
      </c>
      <c r="J69">
        <f t="shared" si="3"/>
        <v>53.409669211195933</v>
      </c>
    </row>
    <row r="70" spans="1:10" x14ac:dyDescent="0.25">
      <c r="A70" s="65">
        <v>6.75</v>
      </c>
      <c r="B70">
        <v>2.4199999999999999E-2</v>
      </c>
      <c r="C70">
        <v>1.2777000000000001</v>
      </c>
      <c r="D70">
        <v>1.3939999999999999E-2</v>
      </c>
      <c r="E70">
        <v>-0.1222</v>
      </c>
      <c r="F70">
        <v>0.35089999999999999</v>
      </c>
      <c r="G70">
        <v>1</v>
      </c>
      <c r="I70">
        <f t="shared" si="6"/>
        <v>0.11780972450961724</v>
      </c>
      <c r="J70">
        <f t="shared" si="3"/>
        <v>52.79752066115703</v>
      </c>
    </row>
    <row r="71" spans="1:10" x14ac:dyDescent="0.25">
      <c r="A71" s="65">
        <v>7</v>
      </c>
      <c r="B71">
        <v>2.4889999999999999E-2</v>
      </c>
      <c r="C71">
        <v>1.2959000000000001</v>
      </c>
      <c r="D71">
        <v>1.456E-2</v>
      </c>
      <c r="E71">
        <v>-0.1206</v>
      </c>
      <c r="F71">
        <v>0.3412</v>
      </c>
      <c r="G71">
        <v>1</v>
      </c>
      <c r="I71">
        <f t="shared" si="6"/>
        <v>0.12217304763960307</v>
      </c>
      <c r="J71">
        <f t="shared" si="3"/>
        <v>52.065086380072323</v>
      </c>
    </row>
    <row r="72" spans="1:10" x14ac:dyDescent="0.25">
      <c r="A72" s="65">
        <v>7.25</v>
      </c>
      <c r="B72">
        <v>2.5510000000000001E-2</v>
      </c>
      <c r="C72">
        <v>1.3144</v>
      </c>
      <c r="D72">
        <v>1.523E-2</v>
      </c>
      <c r="E72">
        <v>-0.1191</v>
      </c>
      <c r="F72">
        <v>0.33029999999999998</v>
      </c>
      <c r="G72">
        <v>1</v>
      </c>
      <c r="I72">
        <f t="shared" si="6"/>
        <v>0.1265363707695889</v>
      </c>
      <c r="J72">
        <f t="shared" si="3"/>
        <v>51.524892199137589</v>
      </c>
    </row>
    <row r="73" spans="1:10" x14ac:dyDescent="0.25">
      <c r="A73" s="65">
        <v>7.5</v>
      </c>
      <c r="B73">
        <v>2.615E-2</v>
      </c>
      <c r="C73">
        <v>1.3325</v>
      </c>
      <c r="D73">
        <v>1.592E-2</v>
      </c>
      <c r="E73">
        <v>-0.11749999999999999</v>
      </c>
      <c r="F73">
        <v>0.3196</v>
      </c>
      <c r="G73">
        <v>1</v>
      </c>
      <c r="I73">
        <f t="shared" si="6"/>
        <v>0.1308996938995747</v>
      </c>
      <c r="J73">
        <f t="shared" si="3"/>
        <v>50.956022944550668</v>
      </c>
    </row>
    <row r="74" spans="1:10" x14ac:dyDescent="0.25">
      <c r="A74" s="65">
        <v>7.75</v>
      </c>
      <c r="B74">
        <v>2.682E-2</v>
      </c>
      <c r="C74">
        <v>1.3495999999999999</v>
      </c>
      <c r="D74">
        <v>1.661E-2</v>
      </c>
      <c r="E74">
        <v>-0.1157</v>
      </c>
      <c r="F74">
        <v>0.30919999999999997</v>
      </c>
      <c r="G74">
        <v>1</v>
      </c>
      <c r="I74">
        <f t="shared" ref="I74:I98" si="7">A74*PI()/180</f>
        <v>0.13526301702956053</v>
      </c>
      <c r="J74">
        <f t="shared" ref="J74:J115" si="8">C74/B74</f>
        <v>50.320656226696492</v>
      </c>
    </row>
    <row r="75" spans="1:10" x14ac:dyDescent="0.25">
      <c r="A75" s="65">
        <v>8</v>
      </c>
      <c r="B75">
        <v>2.7400000000000001E-2</v>
      </c>
      <c r="C75">
        <v>1.3671</v>
      </c>
      <c r="D75">
        <v>1.7319999999999999E-2</v>
      </c>
      <c r="E75">
        <v>-0.11409999999999999</v>
      </c>
      <c r="F75">
        <v>0.29859999999999998</v>
      </c>
      <c r="G75">
        <v>1</v>
      </c>
      <c r="I75">
        <f t="shared" si="7"/>
        <v>0.13962634015954636</v>
      </c>
      <c r="J75">
        <f t="shared" si="8"/>
        <v>49.894160583941606</v>
      </c>
    </row>
    <row r="76" spans="1:10" x14ac:dyDescent="0.25">
      <c r="A76" s="65">
        <v>8.25</v>
      </c>
      <c r="B76">
        <v>2.8070000000000001E-2</v>
      </c>
      <c r="C76">
        <v>1.3832</v>
      </c>
      <c r="D76">
        <v>1.804E-2</v>
      </c>
      <c r="E76">
        <v>-0.11219999999999999</v>
      </c>
      <c r="F76">
        <v>0.28889999999999999</v>
      </c>
      <c r="G76">
        <v>1</v>
      </c>
      <c r="I76">
        <f t="shared" si="7"/>
        <v>0.14398966328953219</v>
      </c>
      <c r="J76">
        <f t="shared" si="8"/>
        <v>49.276807980049874</v>
      </c>
    </row>
    <row r="77" spans="1:10" x14ac:dyDescent="0.25">
      <c r="A77" s="65">
        <v>8.5</v>
      </c>
      <c r="B77">
        <v>2.8760000000000001E-2</v>
      </c>
      <c r="C77">
        <v>1.3987000000000001</v>
      </c>
      <c r="D77">
        <v>1.8800000000000001E-2</v>
      </c>
      <c r="E77">
        <v>-0.1103</v>
      </c>
      <c r="F77">
        <v>0.2787</v>
      </c>
      <c r="G77">
        <v>1</v>
      </c>
      <c r="I77">
        <f t="shared" si="7"/>
        <v>0.14835298641951802</v>
      </c>
      <c r="J77">
        <f t="shared" si="8"/>
        <v>48.633518776077885</v>
      </c>
    </row>
    <row r="78" spans="1:10" x14ac:dyDescent="0.25">
      <c r="A78" s="65">
        <v>8.75</v>
      </c>
      <c r="B78">
        <v>2.947E-2</v>
      </c>
      <c r="C78">
        <v>1.4140999999999999</v>
      </c>
      <c r="D78">
        <v>1.959E-2</v>
      </c>
      <c r="E78">
        <v>-0.1084</v>
      </c>
      <c r="F78">
        <v>0.26900000000000002</v>
      </c>
      <c r="G78">
        <v>1</v>
      </c>
      <c r="I78">
        <f t="shared" si="7"/>
        <v>0.15271630954950383</v>
      </c>
      <c r="J78">
        <f t="shared" si="8"/>
        <v>47.984390906006105</v>
      </c>
    </row>
    <row r="79" spans="1:10" x14ac:dyDescent="0.25">
      <c r="A79" s="65">
        <v>9</v>
      </c>
      <c r="B79">
        <v>3.0259999999999999E-2</v>
      </c>
      <c r="C79">
        <v>1.4278999999999999</v>
      </c>
      <c r="D79">
        <v>2.0410000000000001E-2</v>
      </c>
      <c r="E79">
        <v>-0.10630000000000001</v>
      </c>
      <c r="F79">
        <v>0.25929999999999997</v>
      </c>
      <c r="G79">
        <v>1</v>
      </c>
      <c r="I79">
        <f t="shared" si="7"/>
        <v>0.15707963267948966</v>
      </c>
      <c r="J79">
        <f t="shared" si="8"/>
        <v>47.187706543291476</v>
      </c>
    </row>
    <row r="80" spans="1:10" x14ac:dyDescent="0.25">
      <c r="A80" s="65">
        <v>9.25</v>
      </c>
      <c r="B80">
        <v>3.1029999999999999E-2</v>
      </c>
      <c r="C80">
        <v>1.4426000000000001</v>
      </c>
      <c r="D80">
        <v>2.1299999999999999E-2</v>
      </c>
      <c r="E80">
        <v>-0.10440000000000001</v>
      </c>
      <c r="F80">
        <v>0.24940000000000001</v>
      </c>
      <c r="G80">
        <v>1</v>
      </c>
      <c r="I80">
        <f t="shared" si="7"/>
        <v>0.16144295580947549</v>
      </c>
      <c r="J80">
        <f t="shared" si="8"/>
        <v>46.490493071221401</v>
      </c>
    </row>
    <row r="81" spans="1:10" x14ac:dyDescent="0.25">
      <c r="A81" s="65">
        <v>9.5</v>
      </c>
      <c r="B81">
        <v>3.1949999999999999E-2</v>
      </c>
      <c r="C81">
        <v>1.4543999999999999</v>
      </c>
      <c r="D81">
        <v>2.223E-2</v>
      </c>
      <c r="E81">
        <v>-0.1021</v>
      </c>
      <c r="F81">
        <v>0.24</v>
      </c>
      <c r="G81">
        <v>1</v>
      </c>
      <c r="I81">
        <f t="shared" si="7"/>
        <v>0.16580627893946129</v>
      </c>
      <c r="J81">
        <f t="shared" si="8"/>
        <v>45.521126760563376</v>
      </c>
    </row>
    <row r="82" spans="1:10" x14ac:dyDescent="0.25">
      <c r="A82" s="65">
        <v>9.75</v>
      </c>
      <c r="B82">
        <v>3.2820000000000002E-2</v>
      </c>
      <c r="C82">
        <v>1.4678</v>
      </c>
      <c r="D82">
        <v>2.3220000000000001E-2</v>
      </c>
      <c r="E82">
        <v>-0.10009999999999999</v>
      </c>
      <c r="F82">
        <v>0.22900000000000001</v>
      </c>
      <c r="G82">
        <v>1</v>
      </c>
      <c r="I82">
        <f t="shared" si="7"/>
        <v>0.17016960206944712</v>
      </c>
      <c r="J82">
        <f t="shared" si="8"/>
        <v>44.722730042656913</v>
      </c>
    </row>
    <row r="83" spans="1:10" x14ac:dyDescent="0.25">
      <c r="A83" s="65">
        <v>10</v>
      </c>
      <c r="B83">
        <v>3.3820000000000003E-2</v>
      </c>
      <c r="C83">
        <v>1.4789000000000001</v>
      </c>
      <c r="D83">
        <v>2.4279999999999999E-2</v>
      </c>
      <c r="E83">
        <v>-9.7799999999999998E-2</v>
      </c>
      <c r="F83">
        <v>0.21870000000000001</v>
      </c>
      <c r="G83">
        <v>1</v>
      </c>
      <c r="I83">
        <f t="shared" si="7"/>
        <v>0.17453292519943295</v>
      </c>
      <c r="J83">
        <f t="shared" si="8"/>
        <v>43.728562980484917</v>
      </c>
    </row>
    <row r="84" spans="1:10" x14ac:dyDescent="0.25">
      <c r="A84" s="65">
        <v>10.25</v>
      </c>
      <c r="B84">
        <v>3.492E-2</v>
      </c>
      <c r="C84">
        <v>1.4883</v>
      </c>
      <c r="D84">
        <v>2.5430000000000001E-2</v>
      </c>
      <c r="E84">
        <v>-9.5399999999999999E-2</v>
      </c>
      <c r="F84">
        <v>0.20799999999999999</v>
      </c>
      <c r="G84">
        <v>1</v>
      </c>
      <c r="I84">
        <f t="shared" si="7"/>
        <v>0.17889624832941875</v>
      </c>
      <c r="J84">
        <f t="shared" si="8"/>
        <v>42.620274914089343</v>
      </c>
    </row>
    <row r="85" spans="1:10" x14ac:dyDescent="0.25">
      <c r="A85" s="65">
        <v>10.5</v>
      </c>
      <c r="B85">
        <v>3.6040000000000003E-2</v>
      </c>
      <c r="C85">
        <v>1.4986999999999999</v>
      </c>
      <c r="D85">
        <v>2.6630000000000001E-2</v>
      </c>
      <c r="E85">
        <v>-9.3200000000000005E-2</v>
      </c>
      <c r="F85">
        <v>0.1968</v>
      </c>
      <c r="G85">
        <v>1</v>
      </c>
      <c r="I85">
        <f t="shared" si="7"/>
        <v>0.18325957145940461</v>
      </c>
      <c r="J85">
        <f t="shared" si="8"/>
        <v>41.584350721420641</v>
      </c>
    </row>
    <row r="86" spans="1:10" x14ac:dyDescent="0.25">
      <c r="A86" s="65">
        <v>10.75</v>
      </c>
      <c r="B86">
        <v>3.7319999999999999E-2</v>
      </c>
      <c r="C86">
        <v>1.5065999999999999</v>
      </c>
      <c r="D86">
        <v>2.7949999999999999E-2</v>
      </c>
      <c r="E86">
        <v>-9.0800000000000006E-2</v>
      </c>
      <c r="F86">
        <v>0.18659999999999999</v>
      </c>
      <c r="G86">
        <v>1</v>
      </c>
      <c r="I86">
        <f t="shared" si="7"/>
        <v>0.18762289458939041</v>
      </c>
      <c r="J86">
        <f t="shared" si="8"/>
        <v>40.369774919614144</v>
      </c>
    </row>
    <row r="87" spans="1:10" x14ac:dyDescent="0.25">
      <c r="A87" s="65">
        <v>11</v>
      </c>
      <c r="B87">
        <v>3.8690000000000002E-2</v>
      </c>
      <c r="C87">
        <v>1.5138</v>
      </c>
      <c r="D87">
        <v>2.937E-2</v>
      </c>
      <c r="E87">
        <v>-8.8400000000000006E-2</v>
      </c>
      <c r="F87">
        <v>0.1764</v>
      </c>
      <c r="G87">
        <v>1</v>
      </c>
      <c r="I87">
        <f t="shared" si="7"/>
        <v>0.19198621771937624</v>
      </c>
      <c r="J87">
        <f t="shared" si="8"/>
        <v>39.126389247867664</v>
      </c>
    </row>
    <row r="88" spans="1:10" x14ac:dyDescent="0.25">
      <c r="A88" s="65">
        <v>11.25</v>
      </c>
      <c r="B88">
        <v>4.0079999999999998E-2</v>
      </c>
      <c r="C88">
        <v>1.5217000000000001</v>
      </c>
      <c r="D88">
        <v>3.0870000000000002E-2</v>
      </c>
      <c r="E88">
        <v>-8.6199999999999999E-2</v>
      </c>
      <c r="F88">
        <v>0.1668</v>
      </c>
      <c r="G88">
        <v>1</v>
      </c>
      <c r="I88">
        <f t="shared" si="7"/>
        <v>0.19634954084936207</v>
      </c>
      <c r="J88">
        <f t="shared" si="8"/>
        <v>37.96656686626747</v>
      </c>
    </row>
    <row r="89" spans="1:10" x14ac:dyDescent="0.25">
      <c r="A89" s="65">
        <v>11.5</v>
      </c>
      <c r="B89">
        <v>4.1730000000000003E-2</v>
      </c>
      <c r="C89">
        <v>1.5261</v>
      </c>
      <c r="D89">
        <v>3.2530000000000003E-2</v>
      </c>
      <c r="E89">
        <v>-8.3799999999999999E-2</v>
      </c>
      <c r="F89">
        <v>0.15859999999999999</v>
      </c>
      <c r="G89">
        <v>1</v>
      </c>
      <c r="I89">
        <f t="shared" si="7"/>
        <v>0.20071286397934787</v>
      </c>
      <c r="J89">
        <f t="shared" si="8"/>
        <v>36.570812365204887</v>
      </c>
    </row>
    <row r="90" spans="1:10" x14ac:dyDescent="0.25">
      <c r="A90" s="65">
        <v>11.75</v>
      </c>
      <c r="B90">
        <v>4.3299999999999998E-2</v>
      </c>
      <c r="C90">
        <v>1.5329999999999999</v>
      </c>
      <c r="D90">
        <v>3.422E-2</v>
      </c>
      <c r="E90">
        <v>-8.1699999999999995E-2</v>
      </c>
      <c r="F90">
        <v>0.15</v>
      </c>
      <c r="G90">
        <v>1</v>
      </c>
      <c r="I90">
        <f t="shared" si="7"/>
        <v>0.20507618710933373</v>
      </c>
      <c r="J90">
        <f t="shared" si="8"/>
        <v>35.404157043879906</v>
      </c>
    </row>
    <row r="91" spans="1:10" x14ac:dyDescent="0.25">
      <c r="A91" s="65">
        <v>12</v>
      </c>
      <c r="B91">
        <v>4.514E-2</v>
      </c>
      <c r="C91">
        <v>1.5364</v>
      </c>
      <c r="D91">
        <v>3.61E-2</v>
      </c>
      <c r="E91">
        <v>-7.9399999999999998E-2</v>
      </c>
      <c r="F91">
        <v>0.14319999999999999</v>
      </c>
      <c r="G91">
        <v>1</v>
      </c>
      <c r="I91">
        <f t="shared" si="7"/>
        <v>0.20943951023931953</v>
      </c>
      <c r="J91">
        <f t="shared" si="8"/>
        <v>34.036331413380594</v>
      </c>
    </row>
    <row r="92" spans="1:10" x14ac:dyDescent="0.25">
      <c r="A92" s="65">
        <v>12.25</v>
      </c>
      <c r="B92">
        <v>4.6940000000000003E-2</v>
      </c>
      <c r="C92">
        <v>1.5414000000000001</v>
      </c>
      <c r="D92">
        <v>3.8030000000000001E-2</v>
      </c>
      <c r="E92">
        <v>-7.7399999999999997E-2</v>
      </c>
      <c r="F92">
        <v>0.1363</v>
      </c>
      <c r="G92">
        <v>1</v>
      </c>
      <c r="I92">
        <f t="shared" si="7"/>
        <v>0.21380283336930536</v>
      </c>
      <c r="J92">
        <f t="shared" si="8"/>
        <v>32.837665104388584</v>
      </c>
    </row>
    <row r="93" spans="1:10" x14ac:dyDescent="0.25">
      <c r="A93" s="65">
        <v>12.75</v>
      </c>
      <c r="B93">
        <v>5.1040000000000002E-2</v>
      </c>
      <c r="C93">
        <v>1.5470999999999999</v>
      </c>
      <c r="D93">
        <v>4.2320000000000003E-2</v>
      </c>
      <c r="E93">
        <v>-7.3499999999999996E-2</v>
      </c>
      <c r="F93">
        <v>0.12559999999999999</v>
      </c>
      <c r="G93">
        <v>1</v>
      </c>
      <c r="I93">
        <f t="shared" si="7"/>
        <v>0.22252947962927699</v>
      </c>
      <c r="J93">
        <f t="shared" si="8"/>
        <v>30.311520376175547</v>
      </c>
    </row>
    <row r="94" spans="1:10" x14ac:dyDescent="0.25">
      <c r="A94" s="65">
        <v>13</v>
      </c>
      <c r="B94">
        <v>5.3289999999999997E-2</v>
      </c>
      <c r="C94">
        <v>1.5486</v>
      </c>
      <c r="D94">
        <v>4.4670000000000001E-2</v>
      </c>
      <c r="E94">
        <v>-7.17E-2</v>
      </c>
      <c r="F94">
        <v>0.1212</v>
      </c>
      <c r="G94">
        <v>1</v>
      </c>
      <c r="I94">
        <f t="shared" si="7"/>
        <v>0.22689280275926285</v>
      </c>
      <c r="J94">
        <f t="shared" si="8"/>
        <v>29.059861137173954</v>
      </c>
    </row>
    <row r="95" spans="1:10" x14ac:dyDescent="0.25">
      <c r="A95" s="65">
        <v>13.25</v>
      </c>
      <c r="B95">
        <v>5.5710000000000003E-2</v>
      </c>
      <c r="C95">
        <v>1.5488999999999999</v>
      </c>
      <c r="D95">
        <v>4.7160000000000001E-2</v>
      </c>
      <c r="E95">
        <v>-7.0000000000000007E-2</v>
      </c>
      <c r="F95">
        <v>0.11749999999999999</v>
      </c>
      <c r="G95">
        <v>1</v>
      </c>
      <c r="I95">
        <f t="shared" si="7"/>
        <v>0.23125612588924865</v>
      </c>
      <c r="J95">
        <f t="shared" si="8"/>
        <v>27.802907915993536</v>
      </c>
    </row>
    <row r="96" spans="1:10" x14ac:dyDescent="0.25">
      <c r="A96" s="65">
        <v>13.5</v>
      </c>
      <c r="B96">
        <v>5.8000000000000003E-2</v>
      </c>
      <c r="C96">
        <v>1.552</v>
      </c>
      <c r="D96">
        <v>4.9630000000000001E-2</v>
      </c>
      <c r="E96">
        <v>-6.8599999999999994E-2</v>
      </c>
      <c r="F96">
        <v>0.1133</v>
      </c>
      <c r="G96">
        <v>1</v>
      </c>
      <c r="I96">
        <f t="shared" si="7"/>
        <v>0.23561944901923448</v>
      </c>
      <c r="J96">
        <f t="shared" si="8"/>
        <v>26.758620689655171</v>
      </c>
    </row>
    <row r="97" spans="1:10" x14ac:dyDescent="0.25">
      <c r="A97" s="65">
        <v>13.75</v>
      </c>
      <c r="B97">
        <v>6.0589999999999998E-2</v>
      </c>
      <c r="C97">
        <v>1.5524</v>
      </c>
      <c r="D97">
        <v>5.2339999999999998E-2</v>
      </c>
      <c r="E97">
        <v>-6.7299999999999999E-2</v>
      </c>
      <c r="F97">
        <v>0.10979999999999999</v>
      </c>
      <c r="G97">
        <v>1</v>
      </c>
      <c r="I97">
        <f t="shared" si="7"/>
        <v>0.23998277214922031</v>
      </c>
      <c r="J97">
        <f t="shared" si="8"/>
        <v>25.62138966826209</v>
      </c>
    </row>
    <row r="98" spans="1:10" x14ac:dyDescent="0.25">
      <c r="A98" s="65">
        <v>14</v>
      </c>
      <c r="B98">
        <v>6.3469999999999999E-2</v>
      </c>
      <c r="C98">
        <v>1.5506</v>
      </c>
      <c r="D98">
        <v>5.5259999999999997E-2</v>
      </c>
      <c r="E98">
        <v>-6.6100000000000006E-2</v>
      </c>
      <c r="F98">
        <v>0.1066</v>
      </c>
      <c r="G98">
        <v>1</v>
      </c>
      <c r="I98">
        <f t="shared" si="7"/>
        <v>0.24434609527920614</v>
      </c>
      <c r="J98">
        <f t="shared" si="8"/>
        <v>24.430439577753269</v>
      </c>
    </row>
    <row r="99" spans="1:10" x14ac:dyDescent="0.25">
      <c r="A99" s="65">
        <v>14.25</v>
      </c>
      <c r="B99">
        <v>6.6220000000000001E-2</v>
      </c>
      <c r="C99">
        <v>1.5515000000000001</v>
      </c>
      <c r="D99">
        <v>5.8209999999999998E-2</v>
      </c>
      <c r="E99">
        <v>-6.5199999999999994E-2</v>
      </c>
      <c r="F99">
        <v>0.1026</v>
      </c>
      <c r="G99">
        <v>1</v>
      </c>
      <c r="I99">
        <f t="shared" ref="I99:I115" si="9">A99*PI()/180</f>
        <v>0.24870941840919195</v>
      </c>
      <c r="J99">
        <f t="shared" si="8"/>
        <v>23.429477499244943</v>
      </c>
    </row>
    <row r="100" spans="1:10" x14ac:dyDescent="0.25">
      <c r="A100" s="65">
        <v>14.5</v>
      </c>
      <c r="B100">
        <v>6.93E-2</v>
      </c>
      <c r="C100">
        <v>1.5497000000000001</v>
      </c>
      <c r="D100">
        <v>6.1420000000000002E-2</v>
      </c>
      <c r="E100">
        <v>-6.4399999999999999E-2</v>
      </c>
      <c r="F100">
        <v>9.9299999999999999E-2</v>
      </c>
      <c r="G100">
        <v>1</v>
      </c>
      <c r="I100">
        <f t="shared" si="9"/>
        <v>0.2530727415391778</v>
      </c>
      <c r="J100">
        <f t="shared" si="8"/>
        <v>22.362193362193363</v>
      </c>
    </row>
    <row r="101" spans="1:10" x14ac:dyDescent="0.25">
      <c r="A101" s="65">
        <v>14.75</v>
      </c>
      <c r="B101">
        <v>7.2620000000000004E-2</v>
      </c>
      <c r="C101">
        <v>1.5462</v>
      </c>
      <c r="D101">
        <v>6.4780000000000004E-2</v>
      </c>
      <c r="E101">
        <v>-6.3799999999999996E-2</v>
      </c>
      <c r="F101">
        <v>9.6699999999999994E-2</v>
      </c>
      <c r="G101">
        <v>1</v>
      </c>
      <c r="I101">
        <f t="shared" si="9"/>
        <v>0.25743606466916358</v>
      </c>
      <c r="J101">
        <f t="shared" si="8"/>
        <v>21.291655191407326</v>
      </c>
    </row>
    <row r="102" spans="1:10" x14ac:dyDescent="0.25">
      <c r="A102" s="65">
        <v>15</v>
      </c>
      <c r="B102">
        <v>7.5850000000000001E-2</v>
      </c>
      <c r="C102">
        <v>1.5450999999999999</v>
      </c>
      <c r="D102">
        <v>6.8239999999999995E-2</v>
      </c>
      <c r="E102">
        <v>-6.3399999999999998E-2</v>
      </c>
      <c r="F102">
        <v>9.3399999999999997E-2</v>
      </c>
      <c r="G102">
        <v>1</v>
      </c>
      <c r="I102">
        <f t="shared" si="9"/>
        <v>0.26179938779914941</v>
      </c>
      <c r="J102">
        <f t="shared" si="8"/>
        <v>20.370468029004613</v>
      </c>
    </row>
    <row r="103" spans="1:10" x14ac:dyDescent="0.25">
      <c r="A103" s="65">
        <v>15.25</v>
      </c>
      <c r="B103">
        <v>7.9390000000000002E-2</v>
      </c>
      <c r="C103">
        <v>1.5417000000000001</v>
      </c>
      <c r="D103">
        <v>7.1940000000000004E-2</v>
      </c>
      <c r="E103">
        <v>-6.3200000000000006E-2</v>
      </c>
      <c r="F103">
        <v>9.0399999999999994E-2</v>
      </c>
      <c r="G103">
        <v>1</v>
      </c>
      <c r="I103">
        <f t="shared" si="9"/>
        <v>0.26616271092913524</v>
      </c>
      <c r="J103">
        <f t="shared" si="8"/>
        <v>19.419322332787505</v>
      </c>
    </row>
    <row r="104" spans="1:10" x14ac:dyDescent="0.25">
      <c r="A104" s="65">
        <v>15.5</v>
      </c>
      <c r="B104">
        <v>8.3150000000000002E-2</v>
      </c>
      <c r="C104">
        <v>1.5367999999999999</v>
      </c>
      <c r="D104">
        <v>7.5770000000000004E-2</v>
      </c>
      <c r="E104">
        <v>-6.3200000000000006E-2</v>
      </c>
      <c r="F104">
        <v>8.7900000000000006E-2</v>
      </c>
      <c r="G104">
        <v>1</v>
      </c>
      <c r="I104">
        <f t="shared" si="9"/>
        <v>0.27052603405912107</v>
      </c>
      <c r="J104">
        <f t="shared" si="8"/>
        <v>18.482260974143113</v>
      </c>
    </row>
    <row r="105" spans="1:10" x14ac:dyDescent="0.25">
      <c r="A105" s="65">
        <v>15.75</v>
      </c>
      <c r="B105">
        <v>8.7069999999999995E-2</v>
      </c>
      <c r="C105">
        <v>1.5323</v>
      </c>
      <c r="D105">
        <v>7.9899999999999999E-2</v>
      </c>
      <c r="E105">
        <v>-6.3399999999999998E-2</v>
      </c>
      <c r="F105">
        <v>8.48E-2</v>
      </c>
      <c r="G105">
        <v>1</v>
      </c>
      <c r="I105">
        <f t="shared" si="9"/>
        <v>0.2748893571891069</v>
      </c>
      <c r="J105">
        <f t="shared" si="8"/>
        <v>17.598483978408179</v>
      </c>
    </row>
    <row r="106" spans="1:10" x14ac:dyDescent="0.25">
      <c r="A106" s="65">
        <v>16</v>
      </c>
      <c r="B106">
        <v>9.1240000000000002E-2</v>
      </c>
      <c r="C106">
        <v>1.5264</v>
      </c>
      <c r="D106">
        <v>8.4220000000000003E-2</v>
      </c>
      <c r="E106">
        <v>-6.3899999999999998E-2</v>
      </c>
      <c r="F106">
        <v>8.2000000000000003E-2</v>
      </c>
      <c r="G106">
        <v>1</v>
      </c>
      <c r="I106">
        <f t="shared" si="9"/>
        <v>0.27925268031909273</v>
      </c>
      <c r="J106">
        <f t="shared" si="8"/>
        <v>16.729504603244191</v>
      </c>
    </row>
    <row r="107" spans="1:10" x14ac:dyDescent="0.25">
      <c r="A107" s="65">
        <v>16.25</v>
      </c>
      <c r="B107">
        <v>9.5479999999999995E-2</v>
      </c>
      <c r="C107">
        <v>1.52</v>
      </c>
      <c r="D107">
        <v>8.8520000000000001E-2</v>
      </c>
      <c r="E107">
        <v>-6.4600000000000005E-2</v>
      </c>
      <c r="F107">
        <v>7.9699999999999993E-2</v>
      </c>
      <c r="G107">
        <v>1</v>
      </c>
      <c r="I107">
        <f t="shared" si="9"/>
        <v>0.28361600344907856</v>
      </c>
      <c r="J107">
        <f t="shared" si="8"/>
        <v>15.919564306661082</v>
      </c>
    </row>
    <row r="108" spans="1:10" x14ac:dyDescent="0.25">
      <c r="A108" s="65">
        <v>16.5</v>
      </c>
      <c r="B108">
        <v>9.9900000000000003E-2</v>
      </c>
      <c r="C108">
        <v>1.5137</v>
      </c>
      <c r="D108">
        <v>9.3119999999999994E-2</v>
      </c>
      <c r="E108">
        <v>-6.5500000000000003E-2</v>
      </c>
      <c r="F108">
        <v>7.7200000000000005E-2</v>
      </c>
      <c r="G108">
        <v>1</v>
      </c>
      <c r="I108">
        <f t="shared" si="9"/>
        <v>0.28797932657906439</v>
      </c>
      <c r="J108">
        <f t="shared" si="8"/>
        <v>15.152152152152151</v>
      </c>
    </row>
    <row r="109" spans="1:10" x14ac:dyDescent="0.25">
      <c r="A109" s="65">
        <v>16.75</v>
      </c>
      <c r="B109">
        <v>0.10425</v>
      </c>
      <c r="C109">
        <v>1.5077</v>
      </c>
      <c r="D109">
        <v>9.7549999999999998E-2</v>
      </c>
      <c r="E109">
        <v>-6.6600000000000006E-2</v>
      </c>
      <c r="F109">
        <v>7.4899999999999994E-2</v>
      </c>
      <c r="G109">
        <v>1</v>
      </c>
      <c r="I109">
        <f t="shared" si="9"/>
        <v>0.29234264970905016</v>
      </c>
      <c r="J109">
        <f t="shared" si="8"/>
        <v>14.462350119904078</v>
      </c>
    </row>
    <row r="110" spans="1:10" x14ac:dyDescent="0.25">
      <c r="A110" s="65">
        <v>17</v>
      </c>
      <c r="B110">
        <v>0.10811</v>
      </c>
      <c r="C110">
        <v>1.5041</v>
      </c>
      <c r="D110">
        <v>0.1014</v>
      </c>
      <c r="E110">
        <v>-6.7500000000000004E-2</v>
      </c>
      <c r="F110">
        <v>7.2599999999999998E-2</v>
      </c>
      <c r="G110">
        <v>1</v>
      </c>
      <c r="I110">
        <f t="shared" si="9"/>
        <v>0.29670597283903605</v>
      </c>
      <c r="J110">
        <f t="shared" si="8"/>
        <v>13.912681528073259</v>
      </c>
    </row>
    <row r="111" spans="1:10" x14ac:dyDescent="0.25">
      <c r="A111" s="65">
        <v>17.25</v>
      </c>
      <c r="B111">
        <v>0.11323</v>
      </c>
      <c r="C111">
        <v>1.4954000000000001</v>
      </c>
      <c r="D111">
        <v>0.10675999999999999</v>
      </c>
      <c r="E111">
        <v>-6.93E-2</v>
      </c>
      <c r="F111">
        <v>7.0000000000000007E-2</v>
      </c>
      <c r="G111">
        <v>1</v>
      </c>
      <c r="I111">
        <f t="shared" si="9"/>
        <v>0.30106929596902182</v>
      </c>
      <c r="J111">
        <f t="shared" si="8"/>
        <v>13.206747328446525</v>
      </c>
    </row>
    <row r="112" spans="1:10" x14ac:dyDescent="0.25">
      <c r="A112" s="65">
        <v>17.5</v>
      </c>
      <c r="B112">
        <v>0.11738</v>
      </c>
      <c r="C112">
        <v>1.4913000000000001</v>
      </c>
      <c r="D112">
        <v>0.11098</v>
      </c>
      <c r="E112">
        <v>-7.0599999999999996E-2</v>
      </c>
      <c r="F112">
        <v>6.7599999999999993E-2</v>
      </c>
      <c r="G112">
        <v>1</v>
      </c>
      <c r="I112">
        <f t="shared" si="9"/>
        <v>0.30543261909900765</v>
      </c>
      <c r="J112">
        <f t="shared" si="8"/>
        <v>12.7048901005282</v>
      </c>
    </row>
    <row r="113" spans="1:10" x14ac:dyDescent="0.25">
      <c r="A113" s="65">
        <v>17.75</v>
      </c>
      <c r="B113">
        <v>0.12257</v>
      </c>
      <c r="C113">
        <v>1.4833000000000001</v>
      </c>
      <c r="D113">
        <v>0.11635</v>
      </c>
      <c r="E113">
        <v>-7.2800000000000004E-2</v>
      </c>
      <c r="F113">
        <v>6.5299999999999997E-2</v>
      </c>
      <c r="G113">
        <v>1</v>
      </c>
      <c r="I113">
        <f t="shared" si="9"/>
        <v>0.30979594222899348</v>
      </c>
      <c r="J113">
        <f t="shared" si="8"/>
        <v>12.101656196459167</v>
      </c>
    </row>
    <row r="114" spans="1:10" x14ac:dyDescent="0.25">
      <c r="A114" s="65">
        <v>18</v>
      </c>
      <c r="B114">
        <v>0.12837000000000001</v>
      </c>
      <c r="C114">
        <v>1.4732000000000001</v>
      </c>
      <c r="D114">
        <v>0.12238</v>
      </c>
      <c r="E114">
        <v>-7.5600000000000001E-2</v>
      </c>
      <c r="F114">
        <v>6.2899999999999998E-2</v>
      </c>
      <c r="G114">
        <v>1</v>
      </c>
      <c r="I114">
        <f t="shared" si="9"/>
        <v>0.31415926535897931</v>
      </c>
      <c r="J114">
        <f t="shared" si="8"/>
        <v>11.476201604736309</v>
      </c>
    </row>
    <row r="115" spans="1:10" x14ac:dyDescent="0.25">
      <c r="A115" s="65">
        <v>18.25</v>
      </c>
      <c r="B115">
        <v>0.13285</v>
      </c>
      <c r="C115">
        <v>1.4692000000000001</v>
      </c>
      <c r="D115">
        <v>0.12692999999999999</v>
      </c>
      <c r="E115">
        <v>-7.7799999999999994E-2</v>
      </c>
      <c r="F115">
        <v>6.08E-2</v>
      </c>
      <c r="G115">
        <v>1</v>
      </c>
      <c r="I115">
        <f t="shared" si="9"/>
        <v>0.31852258848896514</v>
      </c>
      <c r="J115">
        <f t="shared" si="8"/>
        <v>11.059089198343997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Nemo_BE</vt:lpstr>
      <vt:lpstr>Nemo_CR</vt:lpstr>
      <vt:lpstr>Larrabee</vt:lpstr>
      <vt:lpstr>E193</vt:lpstr>
      <vt:lpstr>BE50_50</vt:lpstr>
      <vt:lpstr>BE50_100</vt:lpstr>
      <vt:lpstr>CR001_100</vt:lpstr>
      <vt:lpstr>HS1_712_100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 Montero</cp:lastModifiedBy>
  <dcterms:created xsi:type="dcterms:W3CDTF">2016-05-30T16:53:41Z</dcterms:created>
  <dcterms:modified xsi:type="dcterms:W3CDTF">2016-07-16T15:49:39Z</dcterms:modified>
</cp:coreProperties>
</file>