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 Montero\Dropbox\GitHub\nemo\prop\"/>
    </mc:Choice>
  </mc:AlternateContent>
  <bookViews>
    <workbookView xWindow="0" yWindow="0" windowWidth="20490" windowHeight="7755"/>
  </bookViews>
  <sheets>
    <sheet name="nbe400" sheetId="14" r:id="rId1"/>
    <sheet name="drive_train" sheetId="1" r:id="rId2"/>
    <sheet name="hEng" sheetId="2" r:id="rId3"/>
    <sheet name="draw" sheetId="1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V11" i="14" l="1"/>
  <c r="AD26" i="14"/>
  <c r="AD25" i="14"/>
  <c r="AD24" i="14"/>
  <c r="AD23" i="14"/>
  <c r="AD22" i="14"/>
  <c r="AD21" i="14"/>
  <c r="X22" i="14"/>
  <c r="X23" i="14"/>
  <c r="X24" i="14"/>
  <c r="X25" i="14"/>
  <c r="X26" i="14"/>
  <c r="X21" i="14"/>
  <c r="D3" i="2"/>
  <c r="D4" i="2"/>
  <c r="D5" i="2"/>
  <c r="D6" i="2"/>
  <c r="D7" i="2"/>
  <c r="D8" i="2"/>
  <c r="D9" i="2"/>
  <c r="D10" i="2"/>
  <c r="D11" i="2"/>
  <c r="D12" i="2"/>
  <c r="D13" i="2"/>
  <c r="D14" i="2"/>
  <c r="T1" i="15" l="1"/>
  <c r="T2" i="15" s="1"/>
  <c r="S4" i="15" s="1"/>
  <c r="X2" i="15"/>
  <c r="X3" i="15" s="1"/>
  <c r="X4" i="15" s="1"/>
  <c r="X5" i="15" s="1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H80" i="15" s="1"/>
  <c r="Q1" i="15"/>
  <c r="Q6" i="15" s="1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2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2" i="15"/>
  <c r="Q2" i="15" l="1"/>
  <c r="P73" i="15"/>
  <c r="P65" i="15"/>
  <c r="Q67" i="15"/>
  <c r="Q57" i="15"/>
  <c r="P34" i="15"/>
  <c r="P57" i="15"/>
  <c r="Q41" i="15"/>
  <c r="P66" i="15"/>
  <c r="Q17" i="15"/>
  <c r="Q75" i="15"/>
  <c r="Q53" i="15"/>
  <c r="H34" i="15"/>
  <c r="P74" i="15"/>
  <c r="P42" i="15"/>
  <c r="H28" i="15"/>
  <c r="H60" i="15"/>
  <c r="P2" i="15"/>
  <c r="Q73" i="15"/>
  <c r="Q65" i="15"/>
  <c r="P54" i="15"/>
  <c r="P38" i="15"/>
  <c r="H58" i="15"/>
  <c r="H26" i="15"/>
  <c r="H52" i="15"/>
  <c r="H20" i="15"/>
  <c r="Q79" i="15"/>
  <c r="Q33" i="15"/>
  <c r="H50" i="15"/>
  <c r="H18" i="15"/>
  <c r="P53" i="15"/>
  <c r="P78" i="15"/>
  <c r="P70" i="15"/>
  <c r="Q61" i="15"/>
  <c r="Q49" i="15"/>
  <c r="P30" i="15"/>
  <c r="H76" i="15"/>
  <c r="H44" i="15"/>
  <c r="H12" i="15"/>
  <c r="H66" i="15"/>
  <c r="P62" i="15"/>
  <c r="Q77" i="15"/>
  <c r="Q69" i="15"/>
  <c r="P61" i="15"/>
  <c r="P46" i="15"/>
  <c r="P26" i="15"/>
  <c r="H74" i="15"/>
  <c r="H42" i="15"/>
  <c r="H10" i="15"/>
  <c r="Q71" i="15"/>
  <c r="P77" i="15"/>
  <c r="P69" i="15"/>
  <c r="P58" i="15"/>
  <c r="Q45" i="15"/>
  <c r="Q25" i="15"/>
  <c r="H68" i="15"/>
  <c r="H36" i="15"/>
  <c r="H4" i="15"/>
  <c r="H79" i="15"/>
  <c r="H71" i="15"/>
  <c r="H63" i="15"/>
  <c r="H55" i="15"/>
  <c r="H47" i="15"/>
  <c r="H39" i="15"/>
  <c r="H31" i="15"/>
  <c r="H23" i="15"/>
  <c r="H15" i="15"/>
  <c r="H7" i="15"/>
  <c r="P22" i="15"/>
  <c r="H73" i="15"/>
  <c r="H65" i="15"/>
  <c r="H57" i="15"/>
  <c r="H49" i="15"/>
  <c r="H41" i="15"/>
  <c r="H33" i="15"/>
  <c r="H25" i="15"/>
  <c r="H17" i="15"/>
  <c r="H9" i="15"/>
  <c r="P18" i="15"/>
  <c r="H2" i="15"/>
  <c r="H78" i="15"/>
  <c r="H70" i="15"/>
  <c r="H62" i="15"/>
  <c r="H54" i="15"/>
  <c r="H46" i="15"/>
  <c r="H38" i="15"/>
  <c r="H30" i="15"/>
  <c r="H22" i="15"/>
  <c r="H14" i="15"/>
  <c r="H6" i="15"/>
  <c r="H75" i="15"/>
  <c r="H67" i="15"/>
  <c r="H59" i="15"/>
  <c r="H51" i="15"/>
  <c r="H43" i="15"/>
  <c r="H35" i="15"/>
  <c r="H27" i="15"/>
  <c r="H19" i="15"/>
  <c r="H11" i="15"/>
  <c r="H3" i="15"/>
  <c r="P14" i="15"/>
  <c r="H72" i="15"/>
  <c r="H64" i="15"/>
  <c r="H56" i="15"/>
  <c r="H48" i="15"/>
  <c r="H40" i="15"/>
  <c r="H32" i="15"/>
  <c r="H24" i="15"/>
  <c r="H16" i="15"/>
  <c r="H8" i="15"/>
  <c r="H77" i="15"/>
  <c r="H69" i="15"/>
  <c r="H61" i="15"/>
  <c r="H53" i="15"/>
  <c r="H45" i="15"/>
  <c r="H37" i="15"/>
  <c r="H29" i="15"/>
  <c r="H21" i="15"/>
  <c r="H13" i="15"/>
  <c r="H5" i="15"/>
  <c r="Q63" i="15"/>
  <c r="Q55" i="15"/>
  <c r="Q43" i="15"/>
  <c r="Q29" i="15"/>
  <c r="Q13" i="15"/>
  <c r="Q59" i="15"/>
  <c r="P50" i="15"/>
  <c r="Q37" i="15"/>
  <c r="Q21" i="15"/>
  <c r="P10" i="15"/>
  <c r="Q9" i="15"/>
  <c r="P6" i="15"/>
  <c r="Q5" i="15"/>
  <c r="P49" i="15"/>
  <c r="P41" i="15"/>
  <c r="P33" i="15"/>
  <c r="P25" i="15"/>
  <c r="P17" i="15"/>
  <c r="P9" i="15"/>
  <c r="Q80" i="15"/>
  <c r="Q76" i="15"/>
  <c r="Q72" i="15"/>
  <c r="Q68" i="15"/>
  <c r="Q64" i="15"/>
  <c r="Q60" i="15"/>
  <c r="Q56" i="15"/>
  <c r="Q52" i="15"/>
  <c r="Q48" i="15"/>
  <c r="Q44" i="15"/>
  <c r="Q40" i="15"/>
  <c r="Q36" i="15"/>
  <c r="Q32" i="15"/>
  <c r="Q28" i="15"/>
  <c r="Q24" i="15"/>
  <c r="Q20" i="15"/>
  <c r="Q16" i="15"/>
  <c r="Q12" i="15"/>
  <c r="Q8" i="15"/>
  <c r="Q4" i="15"/>
  <c r="P45" i="15"/>
  <c r="P37" i="15"/>
  <c r="P29" i="15"/>
  <c r="P21" i="15"/>
  <c r="P13" i="15"/>
  <c r="P5" i="15"/>
  <c r="P80" i="15"/>
  <c r="P76" i="15"/>
  <c r="P72" i="15"/>
  <c r="P68" i="15"/>
  <c r="P64" i="15"/>
  <c r="P60" i="15"/>
  <c r="P56" i="15"/>
  <c r="P52" i="15"/>
  <c r="P48" i="15"/>
  <c r="P44" i="15"/>
  <c r="P40" i="15"/>
  <c r="P36" i="15"/>
  <c r="P32" i="15"/>
  <c r="P28" i="15"/>
  <c r="P24" i="15"/>
  <c r="P20" i="15"/>
  <c r="P16" i="15"/>
  <c r="P12" i="15"/>
  <c r="P8" i="15"/>
  <c r="P4" i="15"/>
  <c r="Q11" i="15"/>
  <c r="Q47" i="15"/>
  <c r="Q35" i="15"/>
  <c r="Q27" i="15"/>
  <c r="Q19" i="15"/>
  <c r="Q3" i="15"/>
  <c r="P79" i="15"/>
  <c r="P75" i="15"/>
  <c r="P71" i="15"/>
  <c r="P67" i="15"/>
  <c r="P63" i="15"/>
  <c r="P59" i="15"/>
  <c r="P55" i="15"/>
  <c r="P51" i="15"/>
  <c r="P47" i="15"/>
  <c r="P43" i="15"/>
  <c r="P39" i="15"/>
  <c r="P35" i="15"/>
  <c r="P31" i="15"/>
  <c r="P27" i="15"/>
  <c r="P23" i="15"/>
  <c r="P19" i="15"/>
  <c r="P15" i="15"/>
  <c r="P11" i="15"/>
  <c r="P7" i="15"/>
  <c r="P3" i="15"/>
  <c r="Q51" i="15"/>
  <c r="Q39" i="15"/>
  <c r="Q31" i="15"/>
  <c r="Q23" i="15"/>
  <c r="Q15" i="15"/>
  <c r="Q7" i="15"/>
  <c r="Q78" i="15"/>
  <c r="Q74" i="15"/>
  <c r="Q70" i="15"/>
  <c r="Q66" i="15"/>
  <c r="Q62" i="15"/>
  <c r="Q58" i="15"/>
  <c r="Q54" i="15"/>
  <c r="Q50" i="15"/>
  <c r="Q46" i="15"/>
  <c r="Q42" i="15"/>
  <c r="Q38" i="15"/>
  <c r="Q34" i="15"/>
  <c r="Q30" i="15"/>
  <c r="Q26" i="15"/>
  <c r="Q22" i="15"/>
  <c r="Q18" i="15"/>
  <c r="Q14" i="15"/>
  <c r="Q10" i="15"/>
  <c r="T3" i="15"/>
  <c r="T4" i="15"/>
  <c r="S3" i="15"/>
  <c r="V74" i="15" l="1" a="1"/>
  <c r="V74" i="15" s="1"/>
  <c r="F74" i="15" s="1"/>
  <c r="V54" i="15" a="1"/>
  <c r="V54" i="15" s="1"/>
  <c r="F54" i="15" s="1"/>
  <c r="V28" i="15" a="1"/>
  <c r="W28" i="15" s="1"/>
  <c r="G28" i="15" s="1"/>
  <c r="V64" i="15" a="1"/>
  <c r="V64" i="15" s="1"/>
  <c r="F64" i="15" s="1"/>
  <c r="V52" i="15" a="1"/>
  <c r="V42" i="15" a="1"/>
  <c r="W42" i="15" s="1"/>
  <c r="G42" i="15" s="1"/>
  <c r="V58" i="15" a="1"/>
  <c r="W58" i="15" s="1"/>
  <c r="G58" i="15" s="1"/>
  <c r="V27" i="15" a="1"/>
  <c r="V27" i="15" s="1"/>
  <c r="F27" i="15" s="1"/>
  <c r="V5" i="15" a="1"/>
  <c r="V5" i="15" s="1"/>
  <c r="F5" i="15" s="1"/>
  <c r="V80" i="15" a="1"/>
  <c r="V80" i="15" s="1"/>
  <c r="F80" i="15" s="1"/>
  <c r="V4" i="15" a="1"/>
  <c r="V24" i="15" a="1"/>
  <c r="V21" i="15" a="1"/>
  <c r="W21" i="15" s="1"/>
  <c r="G21" i="15" s="1"/>
  <c r="V53" i="15" a="1"/>
  <c r="V53" i="15" s="1"/>
  <c r="F53" i="15" s="1"/>
  <c r="V35" i="15" a="1"/>
  <c r="V35" i="15" s="1"/>
  <c r="F35" i="15" s="1"/>
  <c r="V62" i="15" a="1"/>
  <c r="V62" i="15" s="1"/>
  <c r="F62" i="15" s="1"/>
  <c r="V30" i="15" a="1"/>
  <c r="V30" i="15" s="1"/>
  <c r="F30" i="15" s="1"/>
  <c r="V22" i="15" a="1"/>
  <c r="V22" i="15" s="1"/>
  <c r="F22" i="15" s="1"/>
  <c r="V18" i="15" a="1"/>
  <c r="V43" i="15" a="1"/>
  <c r="V61" i="15" a="1"/>
  <c r="V76" i="15" a="1"/>
  <c r="V2" i="15" a="1"/>
  <c r="V19" i="15" a="1"/>
  <c r="V44" i="15" a="1"/>
  <c r="V63" i="15" a="1"/>
  <c r="V77" i="15" a="1"/>
  <c r="V79" i="15" a="1"/>
  <c r="V75" i="15" a="1"/>
  <c r="V23" i="15" a="1"/>
  <c r="V45" i="15" a="1"/>
  <c r="V67" i="15" a="1"/>
  <c r="V37" i="15" a="1"/>
  <c r="V25" i="15" a="1"/>
  <c r="V47" i="15" a="1"/>
  <c r="V69" i="15" a="1"/>
  <c r="V72" i="15" a="1"/>
  <c r="V57" i="15" a="1"/>
  <c r="V59" i="15" a="1"/>
  <c r="V8" i="15" a="1"/>
  <c r="V31" i="15" a="1"/>
  <c r="V49" i="15" a="1"/>
  <c r="V71" i="15" a="1"/>
  <c r="V55" i="15" a="1"/>
  <c r="V11" i="15" a="1"/>
  <c r="V13" i="15" a="1"/>
  <c r="V9" i="15" a="1"/>
  <c r="V33" i="15" a="1"/>
  <c r="V73" i="15" a="1"/>
  <c r="V39" i="15" a="1"/>
  <c r="V14" i="15" a="1"/>
  <c r="W14" i="15" s="1"/>
  <c r="G14" i="15" s="1"/>
  <c r="V7" i="15" a="1"/>
  <c r="V7" i="15" s="1"/>
  <c r="F7" i="15" s="1"/>
  <c r="V60" i="15" a="1"/>
  <c r="V60" i="15" s="1"/>
  <c r="F60" i="15" s="1"/>
  <c r="V3" i="15" a="1"/>
  <c r="V3" i="15" s="1"/>
  <c r="F3" i="15" s="1"/>
  <c r="V29" i="15" a="1"/>
  <c r="W29" i="15" s="1"/>
  <c r="G29" i="15" s="1"/>
  <c r="V36" i="15" a="1"/>
  <c r="V66" i="15" a="1"/>
  <c r="V17" i="15" a="1"/>
  <c r="V46" i="15" a="1"/>
  <c r="V46" i="15" s="1"/>
  <c r="F46" i="15" s="1"/>
  <c r="V16" i="15" a="1"/>
  <c r="V16" i="15" s="1"/>
  <c r="F16" i="15" s="1"/>
  <c r="V32" i="15" a="1"/>
  <c r="V42" i="15"/>
  <c r="F42" i="15" s="1"/>
  <c r="V6" i="15" a="1"/>
  <c r="V6" i="15" s="1"/>
  <c r="F6" i="15" s="1"/>
  <c r="V26" i="15" a="1"/>
  <c r="V26" i="15" s="1"/>
  <c r="F26" i="15" s="1"/>
  <c r="V15" i="15" a="1"/>
  <c r="V15" i="15" s="1"/>
  <c r="F15" i="15" s="1"/>
  <c r="V41" i="15" a="1"/>
  <c r="V48" i="15" a="1"/>
  <c r="V70" i="15" a="1"/>
  <c r="V34" i="15" a="1"/>
  <c r="V40" i="15" a="1"/>
  <c r="V65" i="15" a="1"/>
  <c r="V12" i="15" a="1"/>
  <c r="V56" i="15" a="1"/>
  <c r="V78" i="15" a="1"/>
  <c r="V38" i="15" a="1"/>
  <c r="V38" i="15" s="1"/>
  <c r="F38" i="15" s="1"/>
  <c r="V51" i="15" a="1"/>
  <c r="V51" i="15" s="1"/>
  <c r="F51" i="15" s="1"/>
  <c r="V10" i="15" a="1"/>
  <c r="V20" i="15" a="1"/>
  <c r="V68" i="15" a="1"/>
  <c r="V50" i="15" a="1"/>
  <c r="W30" i="15"/>
  <c r="G30" i="15" s="1"/>
  <c r="V4" i="14"/>
  <c r="V3" i="14"/>
  <c r="I6" i="14" a="1"/>
  <c r="I6" i="14" s="1"/>
  <c r="I4" i="14" a="1"/>
  <c r="I4" i="14" s="1"/>
  <c r="I2" i="14" a="1"/>
  <c r="I2" i="14" s="1"/>
  <c r="C3" i="14"/>
  <c r="C4" i="14"/>
  <c r="C5" i="14"/>
  <c r="W74" i="15" l="1"/>
  <c r="G74" i="15" s="1"/>
  <c r="V21" i="15"/>
  <c r="F21" i="15" s="1"/>
  <c r="W80" i="15"/>
  <c r="G80" i="15" s="1"/>
  <c r="W62" i="15"/>
  <c r="G62" i="15" s="1"/>
  <c r="W26" i="15"/>
  <c r="G26" i="15" s="1"/>
  <c r="W54" i="15"/>
  <c r="G54" i="15" s="1"/>
  <c r="V28" i="15"/>
  <c r="F28" i="15" s="1"/>
  <c r="W35" i="15"/>
  <c r="G35" i="15" s="1"/>
  <c r="W27" i="15"/>
  <c r="G27" i="15" s="1"/>
  <c r="W64" i="15"/>
  <c r="G64" i="15" s="1"/>
  <c r="W22" i="15"/>
  <c r="G22" i="15" s="1"/>
  <c r="W7" i="15"/>
  <c r="G7" i="15" s="1"/>
  <c r="W46" i="15"/>
  <c r="G46" i="15" s="1"/>
  <c r="V29" i="15"/>
  <c r="F29" i="15" s="1"/>
  <c r="V58" i="15"/>
  <c r="F58" i="15" s="1"/>
  <c r="W6" i="15"/>
  <c r="G6" i="15" s="1"/>
  <c r="W5" i="15"/>
  <c r="G5" i="15" s="1"/>
  <c r="W38" i="15"/>
  <c r="G38" i="15" s="1"/>
  <c r="W52" i="15"/>
  <c r="G52" i="15" s="1"/>
  <c r="V52" i="15"/>
  <c r="F52" i="15" s="1"/>
  <c r="V14" i="15"/>
  <c r="F14" i="15" s="1"/>
  <c r="W53" i="15"/>
  <c r="G53" i="15" s="1"/>
  <c r="V24" i="15"/>
  <c r="F24" i="15" s="1"/>
  <c r="W24" i="15"/>
  <c r="G24" i="15" s="1"/>
  <c r="W4" i="15"/>
  <c r="G4" i="15" s="1"/>
  <c r="V4" i="15"/>
  <c r="F4" i="15" s="1"/>
  <c r="W51" i="15"/>
  <c r="G51" i="15" s="1"/>
  <c r="W12" i="15"/>
  <c r="G12" i="15" s="1"/>
  <c r="V12" i="15"/>
  <c r="F12" i="15" s="1"/>
  <c r="W71" i="15"/>
  <c r="G71" i="15" s="1"/>
  <c r="V71" i="15"/>
  <c r="F71" i="15" s="1"/>
  <c r="V18" i="15"/>
  <c r="F18" i="15" s="1"/>
  <c r="W18" i="15"/>
  <c r="G18" i="15" s="1"/>
  <c r="V39" i="15"/>
  <c r="F39" i="15" s="1"/>
  <c r="W39" i="15"/>
  <c r="G39" i="15" s="1"/>
  <c r="V25" i="15"/>
  <c r="F25" i="15" s="1"/>
  <c r="W25" i="15"/>
  <c r="G25" i="15" s="1"/>
  <c r="W3" i="15"/>
  <c r="G3" i="15" s="1"/>
  <c r="V40" i="15"/>
  <c r="F40" i="15" s="1"/>
  <c r="W40" i="15"/>
  <c r="G40" i="15" s="1"/>
  <c r="V66" i="15"/>
  <c r="F66" i="15" s="1"/>
  <c r="W66" i="15"/>
  <c r="G66" i="15" s="1"/>
  <c r="W31" i="15"/>
  <c r="G31" i="15" s="1"/>
  <c r="V31" i="15"/>
  <c r="F31" i="15" s="1"/>
  <c r="V44" i="15"/>
  <c r="F44" i="15" s="1"/>
  <c r="W44" i="15"/>
  <c r="G44" i="15" s="1"/>
  <c r="W60" i="15"/>
  <c r="G60" i="15" s="1"/>
  <c r="W16" i="15"/>
  <c r="G16" i="15" s="1"/>
  <c r="V34" i="15"/>
  <c r="F34" i="15" s="1"/>
  <c r="W34" i="15"/>
  <c r="G34" i="15" s="1"/>
  <c r="V36" i="15"/>
  <c r="F36" i="15" s="1"/>
  <c r="W36" i="15"/>
  <c r="G36" i="15" s="1"/>
  <c r="V33" i="15"/>
  <c r="F33" i="15" s="1"/>
  <c r="W33" i="15"/>
  <c r="G33" i="15" s="1"/>
  <c r="V8" i="15"/>
  <c r="F8" i="15" s="1"/>
  <c r="W8" i="15"/>
  <c r="G8" i="15" s="1"/>
  <c r="V67" i="15"/>
  <c r="F67" i="15" s="1"/>
  <c r="W67" i="15"/>
  <c r="G67" i="15" s="1"/>
  <c r="V19" i="15"/>
  <c r="F19" i="15" s="1"/>
  <c r="W19" i="15"/>
  <c r="G19" i="15" s="1"/>
  <c r="V68" i="15"/>
  <c r="F68" i="15" s="1"/>
  <c r="W68" i="15"/>
  <c r="G68" i="15" s="1"/>
  <c r="W77" i="15"/>
  <c r="G77" i="15" s="1"/>
  <c r="V77" i="15"/>
  <c r="F77" i="15" s="1"/>
  <c r="V20" i="15"/>
  <c r="F20" i="15" s="1"/>
  <c r="W20" i="15"/>
  <c r="G20" i="15" s="1"/>
  <c r="V17" i="15"/>
  <c r="F17" i="15" s="1"/>
  <c r="W17" i="15"/>
  <c r="G17" i="15" s="1"/>
  <c r="V49" i="15"/>
  <c r="F49" i="15" s="1"/>
  <c r="W49" i="15"/>
  <c r="G49" i="15" s="1"/>
  <c r="V10" i="15"/>
  <c r="F10" i="15" s="1"/>
  <c r="W10" i="15"/>
  <c r="G10" i="15" s="1"/>
  <c r="V73" i="15"/>
  <c r="F73" i="15" s="1"/>
  <c r="W73" i="15"/>
  <c r="G73" i="15" s="1"/>
  <c r="W37" i="15"/>
  <c r="G37" i="15" s="1"/>
  <c r="V37" i="15"/>
  <c r="F37" i="15" s="1"/>
  <c r="V9" i="15"/>
  <c r="F9" i="15" s="1"/>
  <c r="W9" i="15"/>
  <c r="G9" i="15" s="1"/>
  <c r="V59" i="15"/>
  <c r="F59" i="15" s="1"/>
  <c r="W59" i="15"/>
  <c r="G59" i="15" s="1"/>
  <c r="W45" i="15"/>
  <c r="G45" i="15" s="1"/>
  <c r="V45" i="15"/>
  <c r="F45" i="15" s="1"/>
  <c r="V2" i="15"/>
  <c r="F2" i="15" s="1"/>
  <c r="W2" i="15"/>
  <c r="G2" i="15" s="1"/>
  <c r="V57" i="15"/>
  <c r="F57" i="15" s="1"/>
  <c r="W57" i="15"/>
  <c r="G57" i="15" s="1"/>
  <c r="V23" i="15"/>
  <c r="F23" i="15" s="1"/>
  <c r="W23" i="15"/>
  <c r="G23" i="15" s="1"/>
  <c r="V76" i="15"/>
  <c r="F76" i="15" s="1"/>
  <c r="W76" i="15"/>
  <c r="G76" i="15" s="1"/>
  <c r="V32" i="15"/>
  <c r="F32" i="15" s="1"/>
  <c r="W32" i="15"/>
  <c r="G32" i="15" s="1"/>
  <c r="W13" i="15"/>
  <c r="G13" i="15" s="1"/>
  <c r="V13" i="15"/>
  <c r="F13" i="15" s="1"/>
  <c r="W78" i="15"/>
  <c r="G78" i="15" s="1"/>
  <c r="V78" i="15"/>
  <c r="F78" i="15" s="1"/>
  <c r="W70" i="15"/>
  <c r="G70" i="15" s="1"/>
  <c r="V70" i="15"/>
  <c r="F70" i="15" s="1"/>
  <c r="V11" i="15"/>
  <c r="F11" i="15" s="1"/>
  <c r="W11" i="15"/>
  <c r="G11" i="15" s="1"/>
  <c r="V72" i="15"/>
  <c r="F72" i="15" s="1"/>
  <c r="W72" i="15"/>
  <c r="G72" i="15" s="1"/>
  <c r="V75" i="15"/>
  <c r="F75" i="15" s="1"/>
  <c r="W75" i="15"/>
  <c r="G75" i="15" s="1"/>
  <c r="V61" i="15"/>
  <c r="F61" i="15" s="1"/>
  <c r="W61" i="15"/>
  <c r="G61" i="15" s="1"/>
  <c r="W15" i="15"/>
  <c r="G15" i="15" s="1"/>
  <c r="V50" i="15"/>
  <c r="F50" i="15" s="1"/>
  <c r="W50" i="15"/>
  <c r="G50" i="15" s="1"/>
  <c r="V56" i="15"/>
  <c r="F56" i="15" s="1"/>
  <c r="W56" i="15"/>
  <c r="G56" i="15" s="1"/>
  <c r="V48" i="15"/>
  <c r="F48" i="15" s="1"/>
  <c r="W48" i="15"/>
  <c r="G48" i="15" s="1"/>
  <c r="W55" i="15"/>
  <c r="G55" i="15" s="1"/>
  <c r="V55" i="15"/>
  <c r="F55" i="15" s="1"/>
  <c r="V69" i="15"/>
  <c r="F69" i="15" s="1"/>
  <c r="W69" i="15"/>
  <c r="G69" i="15" s="1"/>
  <c r="W79" i="15"/>
  <c r="G79" i="15" s="1"/>
  <c r="V79" i="15"/>
  <c r="F79" i="15" s="1"/>
  <c r="V43" i="15"/>
  <c r="F43" i="15" s="1"/>
  <c r="W43" i="15"/>
  <c r="G43" i="15" s="1"/>
  <c r="V41" i="15"/>
  <c r="F41" i="15" s="1"/>
  <c r="W41" i="15"/>
  <c r="G41" i="15" s="1"/>
  <c r="V47" i="15"/>
  <c r="F47" i="15" s="1"/>
  <c r="W47" i="15"/>
  <c r="G47" i="15" s="1"/>
  <c r="V65" i="15"/>
  <c r="F65" i="15" s="1"/>
  <c r="W65" i="15"/>
  <c r="G65" i="15" s="1"/>
  <c r="W63" i="15"/>
  <c r="G63" i="15" s="1"/>
  <c r="V63" i="15"/>
  <c r="F63" i="15" s="1"/>
  <c r="N6" i="14"/>
  <c r="L6" i="14"/>
  <c r="K6" i="14"/>
  <c r="J6" i="14"/>
  <c r="M6" i="14"/>
  <c r="L4" i="14"/>
  <c r="J4" i="14"/>
  <c r="N4" i="14"/>
  <c r="M4" i="14"/>
  <c r="K4" i="14"/>
  <c r="M2" i="14"/>
  <c r="K2" i="14"/>
  <c r="L2" i="14"/>
  <c r="J2" i="14"/>
  <c r="N2" i="14"/>
  <c r="C11" i="1"/>
  <c r="F16" i="2" l="1" a="1"/>
  <c r="F16" i="2" s="1"/>
  <c r="F2" i="2" a="1"/>
  <c r="F2" i="2" s="1"/>
  <c r="J16" i="2" l="1"/>
  <c r="I16" i="2"/>
  <c r="H16" i="2"/>
  <c r="G16" i="2"/>
  <c r="J2" i="2"/>
  <c r="I2" i="2"/>
  <c r="H2" i="2"/>
  <c r="G2" i="2"/>
  <c r="C17" i="1"/>
  <c r="C18" i="1" l="1"/>
  <c r="C14" i="1"/>
  <c r="C12" i="1"/>
  <c r="C13" i="1"/>
  <c r="M4" i="1" l="1"/>
  <c r="N4" i="1" s="1"/>
  <c r="M11" i="1"/>
  <c r="M12" i="1"/>
  <c r="M13" i="1"/>
  <c r="M14" i="1"/>
  <c r="M15" i="1"/>
  <c r="M10" i="1"/>
  <c r="O4" i="1" l="1"/>
  <c r="N10" i="1"/>
  <c r="M9" i="1"/>
  <c r="N9" i="1" s="1"/>
  <c r="M8" i="1"/>
  <c r="N15" i="1"/>
  <c r="M6" i="1"/>
  <c r="N6" i="1" s="1"/>
  <c r="N13" i="1"/>
  <c r="M5" i="1"/>
  <c r="N5" i="1" s="1"/>
  <c r="M7" i="1"/>
  <c r="N7" i="1" s="1"/>
  <c r="N12" i="1"/>
  <c r="N11" i="1"/>
  <c r="P4" i="1"/>
  <c r="Q4" i="1"/>
  <c r="R4" i="1"/>
  <c r="U4" i="1" l="1"/>
  <c r="I4" i="1" s="1"/>
  <c r="J4" i="1" s="1"/>
  <c r="O10" i="1"/>
  <c r="O9" i="1"/>
  <c r="V13" i="14"/>
  <c r="O7" i="1"/>
  <c r="V12" i="14"/>
  <c r="O6" i="1"/>
  <c r="O5" i="1"/>
  <c r="O11" i="1"/>
  <c r="V14" i="14"/>
  <c r="O15" i="1"/>
  <c r="V16" i="14"/>
  <c r="O13" i="1"/>
  <c r="V15" i="14"/>
  <c r="O12" i="1"/>
  <c r="S4" i="1"/>
  <c r="H4" i="1" s="1"/>
  <c r="T4" i="1"/>
  <c r="K4" i="1" s="1"/>
  <c r="N8" i="1"/>
  <c r="N14" i="1"/>
  <c r="P10" i="1"/>
  <c r="P9" i="1"/>
  <c r="Q9" i="1"/>
  <c r="P7" i="1"/>
  <c r="P6" i="1"/>
  <c r="P5" i="1"/>
  <c r="Q5" i="1"/>
  <c r="Q6" i="1"/>
  <c r="Q13" i="1"/>
  <c r="Q7" i="1"/>
  <c r="Q10" i="1"/>
  <c r="P12" i="1"/>
  <c r="R10" i="1"/>
  <c r="Q11" i="1"/>
  <c r="R12" i="1"/>
  <c r="P11" i="1"/>
  <c r="R13" i="1"/>
  <c r="R15" i="1"/>
  <c r="R5" i="1"/>
  <c r="P15" i="1"/>
  <c r="R7" i="1"/>
  <c r="Q15" i="1"/>
  <c r="R9" i="1"/>
  <c r="R11" i="1"/>
  <c r="R6" i="1"/>
  <c r="Q12" i="1"/>
  <c r="U12" i="1" l="1"/>
  <c r="I12" i="1" s="1"/>
  <c r="J12" i="1" s="1"/>
  <c r="U15" i="1"/>
  <c r="I15" i="1" s="1"/>
  <c r="J15" i="1" s="1"/>
  <c r="U11" i="1"/>
  <c r="I11" i="1" s="1"/>
  <c r="J11" i="1" s="1"/>
  <c r="U10" i="1"/>
  <c r="I10" i="1" s="1"/>
  <c r="J10" i="1" s="1"/>
  <c r="U7" i="1"/>
  <c r="I7" i="1" s="1"/>
  <c r="J7" i="1" s="1"/>
  <c r="U13" i="1"/>
  <c r="I13" i="1" s="1"/>
  <c r="J13" i="1" s="1"/>
  <c r="U6" i="1"/>
  <c r="I6" i="1" s="1"/>
  <c r="J6" i="1" s="1"/>
  <c r="U5" i="1"/>
  <c r="I5" i="1" s="1"/>
  <c r="J5" i="1" s="1"/>
  <c r="U9" i="1"/>
  <c r="I9" i="1" s="1"/>
  <c r="J9" i="1" s="1"/>
  <c r="S9" i="1"/>
  <c r="H9" i="1" s="1"/>
  <c r="Z13" i="14"/>
  <c r="AA13" i="14" s="1"/>
  <c r="W13" i="14"/>
  <c r="X13" i="14" s="1"/>
  <c r="Y13" i="14" s="1"/>
  <c r="Z23" i="14" s="1"/>
  <c r="O8" i="1"/>
  <c r="Z12" i="14"/>
  <c r="AA12" i="14" s="1"/>
  <c r="W12" i="14"/>
  <c r="X12" i="14" s="1"/>
  <c r="Y12" i="14" s="1"/>
  <c r="Z22" i="14" s="1"/>
  <c r="W11" i="14"/>
  <c r="X11" i="14" s="1"/>
  <c r="Y11" i="14" s="1"/>
  <c r="Z21" i="14" s="1"/>
  <c r="Z11" i="14"/>
  <c r="AA11" i="14" s="1"/>
  <c r="T10" i="1"/>
  <c r="K10" i="1" s="1"/>
  <c r="S10" i="1"/>
  <c r="H10" i="1" s="1"/>
  <c r="S5" i="1"/>
  <c r="H5" i="1" s="1"/>
  <c r="S11" i="1"/>
  <c r="H11" i="1" s="1"/>
  <c r="T11" i="1"/>
  <c r="K11" i="1" s="1"/>
  <c r="Z14" i="14"/>
  <c r="AA14" i="14" s="1"/>
  <c r="W14" i="14"/>
  <c r="X14" i="14" s="1"/>
  <c r="Y14" i="14" s="1"/>
  <c r="Z24" i="14" s="1"/>
  <c r="S15" i="1"/>
  <c r="H15" i="1" s="1"/>
  <c r="T15" i="1"/>
  <c r="K15" i="1" s="1"/>
  <c r="Z16" i="14"/>
  <c r="AA16" i="14" s="1"/>
  <c r="W16" i="14"/>
  <c r="X16" i="14" s="1"/>
  <c r="Y16" i="14" s="1"/>
  <c r="Z26" i="14" s="1"/>
  <c r="O14" i="1"/>
  <c r="Z15" i="14"/>
  <c r="AA15" i="14" s="1"/>
  <c r="W15" i="14"/>
  <c r="X15" i="14" s="1"/>
  <c r="Y15" i="14" s="1"/>
  <c r="Z25" i="14" s="1"/>
  <c r="S12" i="1"/>
  <c r="H12" i="1" s="1"/>
  <c r="T12" i="1"/>
  <c r="K12" i="1" s="1"/>
  <c r="S6" i="1"/>
  <c r="H6" i="1" s="1"/>
  <c r="T6" i="1"/>
  <c r="K6" i="1" s="1"/>
  <c r="T13" i="1"/>
  <c r="K13" i="1" s="1"/>
  <c r="S13" i="1"/>
  <c r="H13" i="1" s="1"/>
  <c r="T7" i="1"/>
  <c r="K7" i="1" s="1"/>
  <c r="T5" i="1"/>
  <c r="K5" i="1" s="1"/>
  <c r="T9" i="1"/>
  <c r="K9" i="1" s="1"/>
  <c r="S7" i="1"/>
  <c r="H7" i="1" s="1"/>
  <c r="W17" i="2"/>
  <c r="Q8" i="1"/>
  <c r="R8" i="1"/>
  <c r="P13" i="1"/>
  <c r="P8" i="1"/>
  <c r="Q14" i="1"/>
  <c r="U14" i="1" l="1"/>
  <c r="I14" i="1" s="1"/>
  <c r="J14" i="1" s="1"/>
  <c r="U8" i="1"/>
  <c r="I8" i="1" s="1"/>
  <c r="J8" i="1" s="1"/>
  <c r="AB13" i="14"/>
  <c r="AF23" i="14" s="1"/>
  <c r="AB12" i="14"/>
  <c r="AF22" i="14" s="1"/>
  <c r="AB11" i="14"/>
  <c r="AF21" i="14" s="1"/>
  <c r="AB14" i="14"/>
  <c r="AF24" i="14" s="1"/>
  <c r="AB16" i="14"/>
  <c r="AF26" i="14" s="1"/>
  <c r="AB15" i="14"/>
  <c r="AF25" i="14" s="1"/>
  <c r="T8" i="1"/>
  <c r="K8" i="1" s="1"/>
  <c r="S14" i="1"/>
  <c r="H14" i="1" s="1"/>
  <c r="S8" i="1"/>
  <c r="H8" i="1" s="1"/>
  <c r="W5" i="2"/>
  <c r="W6" i="2" s="1"/>
  <c r="P14" i="1"/>
  <c r="R14" i="1"/>
  <c r="T14" i="1" l="1"/>
  <c r="K14" i="1" s="1"/>
</calcChain>
</file>

<file path=xl/comments1.xml><?xml version="1.0" encoding="utf-8"?>
<comments xmlns="http://schemas.openxmlformats.org/spreadsheetml/2006/main">
  <authors>
    <author>Diego Montero</author>
  </authors>
  <commentList>
    <comment ref="Y21" authorId="0" shapeId="0">
      <text>
        <r>
          <rPr>
            <b/>
            <sz val="9"/>
            <color indexed="81"/>
            <rFont val="Segoe UI"/>
            <family val="2"/>
          </rPr>
          <t>Not converged</t>
        </r>
      </text>
    </comment>
  </commentList>
</comments>
</file>

<file path=xl/comments2.xml><?xml version="1.0" encoding="utf-8"?>
<comments xmlns="http://schemas.openxmlformats.org/spreadsheetml/2006/main">
  <authors>
    <author>Diego Montero</author>
    <author>DiegoSCMO</author>
  </authors>
  <commentList>
    <comment ref="Q3" authorId="0" shapeId="0">
      <text>
        <r>
          <rPr>
            <b/>
            <sz val="9"/>
            <color indexed="81"/>
            <rFont val="Segoe UI"/>
            <charset val="1"/>
          </rPr>
          <t>CP = (2*PI^4/8)*Pc</t>
        </r>
      </text>
    </comment>
    <comment ref="R3" authorId="0" shapeId="0">
      <text>
        <r>
          <rPr>
            <b/>
            <sz val="9"/>
            <color indexed="81"/>
            <rFont val="Segoe UI"/>
            <charset val="1"/>
          </rPr>
          <t>CT = (PI^3)/4 * Tc</t>
        </r>
      </text>
    </comment>
    <comment ref="S3" authorId="0" shapeId="0">
      <text>
        <r>
          <rPr>
            <b/>
            <sz val="9"/>
            <color indexed="81"/>
            <rFont val="Segoe UI"/>
            <family val="2"/>
          </rPr>
          <t>P = CP*dens*rps^2*D^5</t>
        </r>
      </text>
    </comment>
    <comment ref="T3" authorId="0" shapeId="0">
      <text>
        <r>
          <rPr>
            <b/>
            <sz val="9"/>
            <color indexed="81"/>
            <rFont val="Segoe UI"/>
            <family val="2"/>
          </rPr>
          <t>T = CT*dens*rps^2*D^4</t>
        </r>
      </text>
    </comment>
    <comment ref="U3" authorId="0" shapeId="0">
      <text>
        <r>
          <rPr>
            <b/>
            <sz val="9"/>
            <color indexed="81"/>
            <rFont val="Segoe UI"/>
            <family val="2"/>
          </rPr>
          <t>Cq = Cp/2pi
Q = Cq*dens*rps^2*D^5</t>
        </r>
      </text>
    </comment>
    <comment ref="C5" authorId="1" shapeId="0">
      <text>
        <r>
          <rPr>
            <b/>
            <sz val="9"/>
            <color indexed="81"/>
            <rFont val="Segoe UI"/>
            <charset val="1"/>
          </rPr>
          <t>Max = 53/12 (4,416667)</t>
        </r>
      </text>
    </comment>
  </commentList>
</comments>
</file>

<file path=xl/sharedStrings.xml><?xml version="1.0" encoding="utf-8"?>
<sst xmlns="http://schemas.openxmlformats.org/spreadsheetml/2006/main" count="158" uniqueCount="115">
  <si>
    <t>adv</t>
  </si>
  <si>
    <t>http://users.frii.com/katana/biketext.html</t>
  </si>
  <si>
    <t>Nm</t>
  </si>
  <si>
    <t>ft-lb</t>
  </si>
  <si>
    <t>Original source:</t>
  </si>
  <si>
    <t>Torque</t>
  </si>
  <si>
    <t>RPM</t>
  </si>
  <si>
    <t>a</t>
  </si>
  <si>
    <t>b</t>
  </si>
  <si>
    <t>c</t>
  </si>
  <si>
    <t>d</t>
  </si>
  <si>
    <t>Power</t>
  </si>
  <si>
    <t>hp</t>
  </si>
  <si>
    <t>W</t>
  </si>
  <si>
    <t>e</t>
  </si>
  <si>
    <t>effprop</t>
  </si>
  <si>
    <t>f</t>
  </si>
  <si>
    <t>RpmCrank</t>
  </si>
  <si>
    <t>Adv.Ratio</t>
  </si>
  <si>
    <t>Prop.Eff.</t>
  </si>
  <si>
    <t>Vn [mps]</t>
  </si>
  <si>
    <t>prop_dia</t>
  </si>
  <si>
    <t>Propeller</t>
  </si>
  <si>
    <t>Propeller data</t>
  </si>
  <si>
    <t>max eff</t>
  </si>
  <si>
    <t>diameter</t>
  </si>
  <si>
    <t>max. Eff</t>
  </si>
  <si>
    <t>Engine</t>
  </si>
  <si>
    <t>Input data</t>
  </si>
  <si>
    <t>Engine data</t>
  </si>
  <si>
    <t>Cadence Assumption</t>
  </si>
  <si>
    <t>Front Gear</t>
  </si>
  <si>
    <t>Rear Gear</t>
  </si>
  <si>
    <t>Drive Eff</t>
  </si>
  <si>
    <t>opt adv</t>
  </si>
  <si>
    <t>P @85rpm</t>
  </si>
  <si>
    <t>RPM Prop</t>
  </si>
  <si>
    <t>Gear Ratio</t>
  </si>
  <si>
    <t>poly</t>
  </si>
  <si>
    <t>max adv</t>
  </si>
  <si>
    <t>max Adv</t>
  </si>
  <si>
    <t>opt. Adv</t>
  </si>
  <si>
    <t>P.Crank [W]</t>
  </si>
  <si>
    <t>Prop.CP</t>
  </si>
  <si>
    <t>P.Prop [W]</t>
  </si>
  <si>
    <t>Prop. CT</t>
  </si>
  <si>
    <t>T.Prop [N]</t>
  </si>
  <si>
    <t>W.Dens</t>
  </si>
  <si>
    <t>Q.Crank [Nm]</t>
  </si>
  <si>
    <t>CP (Pc)</t>
  </si>
  <si>
    <t>CT (Tc)</t>
  </si>
  <si>
    <t>Pc</t>
  </si>
  <si>
    <t>Tc</t>
  </si>
  <si>
    <t>torque.rpm</t>
  </si>
  <si>
    <t>poly 4o</t>
  </si>
  <si>
    <t>power.rpm</t>
  </si>
  <si>
    <t>Prop. Motion</t>
  </si>
  <si>
    <t>Prop. Caracteristics</t>
  </si>
  <si>
    <t>Propeller Output</t>
  </si>
  <si>
    <t>wProp [rad/s]</t>
  </si>
  <si>
    <t>eff</t>
  </si>
  <si>
    <t>hEng</t>
  </si>
  <si>
    <t>nbe400</t>
  </si>
  <si>
    <t>radius</t>
  </si>
  <si>
    <t>beta</t>
  </si>
  <si>
    <t>Re</t>
  </si>
  <si>
    <t xml:space="preserve">Re  </t>
  </si>
  <si>
    <t xml:space="preserve">Re </t>
  </si>
  <si>
    <t>Cavitation check</t>
  </si>
  <si>
    <t>http://www.mh-aerotools.de/airfoils/hydrofoils.htm</t>
  </si>
  <si>
    <t>pvapor (Pa)</t>
  </si>
  <si>
    <t>h (m)</t>
  </si>
  <si>
    <t>g (m/s2)</t>
  </si>
  <si>
    <t>dens (kg/m3)</t>
  </si>
  <si>
    <t>pinf (Pa)</t>
  </si>
  <si>
    <t>Temp (°C)</t>
  </si>
  <si>
    <t>Cp</t>
  </si>
  <si>
    <t>Cp crit</t>
  </si>
  <si>
    <t>vboat</t>
  </si>
  <si>
    <t>omeg (rad/s)</t>
  </si>
  <si>
    <t>vtip</t>
  </si>
  <si>
    <t>w tip</t>
  </si>
  <si>
    <t>tip data</t>
  </si>
  <si>
    <t>alfa</t>
  </si>
  <si>
    <t>beta °</t>
  </si>
  <si>
    <t>chord (m)</t>
  </si>
  <si>
    <t>radius (m)</t>
  </si>
  <si>
    <t>v0,69375r</t>
  </si>
  <si>
    <t>w0,69375r</t>
  </si>
  <si>
    <t>0,69375r</t>
  </si>
  <si>
    <t>r</t>
  </si>
  <si>
    <t>BE50SM</t>
  </si>
  <si>
    <t>Corda</t>
  </si>
  <si>
    <t>Rota</t>
  </si>
  <si>
    <t>x</t>
  </si>
  <si>
    <t>y</t>
  </si>
  <si>
    <t>z</t>
  </si>
  <si>
    <t>angle</t>
  </si>
  <si>
    <t>insert</t>
  </si>
  <si>
    <t>Q.Prop [Nm]</t>
  </si>
  <si>
    <t>Needed Effort</t>
  </si>
  <si>
    <t>Prop Output</t>
  </si>
  <si>
    <t>Thrust [N]</t>
  </si>
  <si>
    <t>Keel-Chain</t>
  </si>
  <si>
    <t>Torque [Nm]</t>
  </si>
  <si>
    <t>Cl</t>
  </si>
  <si>
    <t>Cl=Cla*alfa + Cl0</t>
  </si>
  <si>
    <t>alfa = (Cl-Cl0)/Cla</t>
  </si>
  <si>
    <t>Cla</t>
  </si>
  <si>
    <t>Cl0</t>
  </si>
  <si>
    <t>Fsc</t>
  </si>
  <si>
    <t>Propeller Data:</t>
  </si>
  <si>
    <t>Summary of results:</t>
  </si>
  <si>
    <t>Prop Data: Loop1 Be50 prop</t>
  </si>
  <si>
    <t>Geometrical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</si>
</sst>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"/>
  </numFmts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u/>
      <sz val="11"/>
      <color theme="10"/>
      <name val="Calibri"/>
      <family val="2"/>
      <scheme val="minor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166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165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/>
    <xf numFmtId="0" fontId="0" fillId="3" borderId="4" xfId="0" applyFill="1" applyBorder="1"/>
    <xf numFmtId="0" fontId="0" fillId="2" borderId="3" xfId="0" applyFill="1" applyBorder="1" applyAlignment="1">
      <alignment horizontal="center" vertical="center"/>
    </xf>
    <xf numFmtId="1" fontId="0" fillId="2" borderId="3" xfId="0" applyNumberFormat="1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165" fontId="0" fillId="3" borderId="16" xfId="0" applyNumberForma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165" fontId="0" fillId="3" borderId="17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0" fontId="0" fillId="3" borderId="0" xfId="0" applyFill="1" applyAlignment="1">
      <alignment horizontal="right"/>
    </xf>
    <xf numFmtId="2" fontId="0" fillId="3" borderId="17" xfId="0" applyNumberFormat="1" applyFill="1" applyBorder="1" applyAlignment="1">
      <alignment horizontal="center"/>
    </xf>
    <xf numFmtId="0" fontId="0" fillId="3" borderId="18" xfId="0" applyFill="1" applyBorder="1"/>
    <xf numFmtId="2" fontId="0" fillId="3" borderId="5" xfId="0" applyNumberFormat="1" applyFill="1" applyBorder="1" applyAlignment="1">
      <alignment horizontal="center" vertical="center"/>
    </xf>
    <xf numFmtId="0" fontId="2" fillId="0" borderId="0" xfId="1"/>
    <xf numFmtId="2" fontId="0" fillId="0" borderId="0" xfId="0" applyNumberFormat="1"/>
    <xf numFmtId="2" fontId="0" fillId="3" borderId="16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10" xfId="0" applyNumberForma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165" fontId="0" fillId="3" borderId="12" xfId="0" applyNumberFormat="1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2" fontId="0" fillId="3" borderId="21" xfId="0" applyNumberForma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2" fontId="0" fillId="3" borderId="23" xfId="0" applyNumberFormat="1" applyFill="1" applyBorder="1" applyAlignment="1">
      <alignment horizontal="center"/>
    </xf>
    <xf numFmtId="2" fontId="0" fillId="3" borderId="24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2" fontId="0" fillId="3" borderId="19" xfId="0" applyNumberFormat="1" applyFill="1" applyBorder="1" applyAlignment="1">
      <alignment horizontal="center" vertical="center"/>
    </xf>
    <xf numFmtId="0" fontId="0" fillId="0" borderId="0" xfId="0" quotePrefix="1"/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5" xfId="0" applyFill="1" applyBorder="1" applyAlignment="1">
      <alignment horizontal="left"/>
    </xf>
    <xf numFmtId="165" fontId="0" fillId="3" borderId="5" xfId="0" applyNumberFormat="1" applyFill="1" applyBorder="1" applyAlignment="1">
      <alignment horizontal="center" vertical="center"/>
    </xf>
    <xf numFmtId="0" fontId="0" fillId="0" borderId="18" xfId="0" applyBorder="1"/>
    <xf numFmtId="0" fontId="0" fillId="0" borderId="26" xfId="0" applyBorder="1"/>
    <xf numFmtId="0" fontId="0" fillId="0" borderId="19" xfId="0" applyBorder="1"/>
    <xf numFmtId="0" fontId="0" fillId="0" borderId="2" xfId="0" applyBorder="1"/>
    <xf numFmtId="166" fontId="0" fillId="0" borderId="0" xfId="0" applyNumberFormat="1" applyBorder="1"/>
    <xf numFmtId="0" fontId="0" fillId="0" borderId="0" xfId="0" applyBorder="1"/>
    <xf numFmtId="0" fontId="0" fillId="0" borderId="3" xfId="0" applyBorder="1"/>
    <xf numFmtId="166" fontId="0" fillId="0" borderId="2" xfId="0" applyNumberFormat="1" applyBorder="1"/>
    <xf numFmtId="166" fontId="0" fillId="0" borderId="4" xfId="0" applyNumberFormat="1" applyBorder="1"/>
    <xf numFmtId="166" fontId="0" fillId="0" borderId="25" xfId="0" applyNumberFormat="1" applyBorder="1"/>
    <xf numFmtId="0" fontId="0" fillId="0" borderId="25" xfId="0" applyBorder="1"/>
    <xf numFmtId="0" fontId="0" fillId="0" borderId="5" xfId="0" applyBorder="1"/>
    <xf numFmtId="167" fontId="0" fillId="0" borderId="2" xfId="0" applyNumberFormat="1" applyBorder="1"/>
    <xf numFmtId="167" fontId="0" fillId="0" borderId="0" xfId="0" applyNumberFormat="1" applyBorder="1"/>
    <xf numFmtId="0" fontId="0" fillId="0" borderId="3" xfId="0" quotePrefix="1" applyBorder="1"/>
    <xf numFmtId="0" fontId="0" fillId="0" borderId="4" xfId="0" applyBorder="1"/>
    <xf numFmtId="4" fontId="0" fillId="0" borderId="0" xfId="0" applyNumberFormat="1" applyBorder="1"/>
    <xf numFmtId="2" fontId="0" fillId="0" borderId="0" xfId="0" applyNumberFormat="1" applyBorder="1"/>
    <xf numFmtId="165" fontId="0" fillId="0" borderId="0" xfId="0" applyNumberFormat="1" applyBorder="1"/>
    <xf numFmtId="0" fontId="0" fillId="0" borderId="0" xfId="0" quotePrefix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aseline="0"/>
              <a:t>Nemo  - BE50 Prop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594017826979548"/>
          <c:y val="0.18672353455818019"/>
          <c:w val="0.70913019144665745"/>
          <c:h val="0.61007987039897527"/>
        </c:manualLayout>
      </c:layout>
      <c:scatterChart>
        <c:scatterStyle val="lineMarker"/>
        <c:varyColors val="0"/>
        <c:ser>
          <c:idx val="0"/>
          <c:order val="0"/>
          <c:tx>
            <c:v>Eff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'nbe400'!$B$8:$B$29</c:f>
              <c:numCache>
                <c:formatCode>0.0000</c:formatCode>
                <c:ptCount val="22"/>
                <c:pt idx="0">
                  <c:v>0</c:v>
                </c:pt>
                <c:pt idx="1">
                  <c:v>3.1800000000000002E-2</c:v>
                </c:pt>
                <c:pt idx="2">
                  <c:v>6.3589999999999994E-2</c:v>
                </c:pt>
                <c:pt idx="3">
                  <c:v>9.5390000000000003E-2</c:v>
                </c:pt>
                <c:pt idx="4">
                  <c:v>0.12719</c:v>
                </c:pt>
                <c:pt idx="5">
                  <c:v>0.15898999999999999</c:v>
                </c:pt>
                <c:pt idx="6">
                  <c:v>0.19078000000000001</c:v>
                </c:pt>
                <c:pt idx="7">
                  <c:v>0.22258</c:v>
                </c:pt>
                <c:pt idx="8">
                  <c:v>0.25438</c:v>
                </c:pt>
                <c:pt idx="9">
                  <c:v>0.28616999999999998</c:v>
                </c:pt>
                <c:pt idx="10">
                  <c:v>0.31796999999999997</c:v>
                </c:pt>
                <c:pt idx="11">
                  <c:v>0.34977000000000003</c:v>
                </c:pt>
                <c:pt idx="12">
                  <c:v>0.38156000000000001</c:v>
                </c:pt>
                <c:pt idx="13">
                  <c:v>0.41336000000000001</c:v>
                </c:pt>
                <c:pt idx="14">
                  <c:v>0.44516</c:v>
                </c:pt>
                <c:pt idx="15">
                  <c:v>0.47696</c:v>
                </c:pt>
                <c:pt idx="16">
                  <c:v>0.50875000000000004</c:v>
                </c:pt>
                <c:pt idx="17">
                  <c:v>0.54054999999999997</c:v>
                </c:pt>
                <c:pt idx="18">
                  <c:v>0.57235000000000003</c:v>
                </c:pt>
                <c:pt idx="19">
                  <c:v>0.60414000000000001</c:v>
                </c:pt>
                <c:pt idx="20">
                  <c:v>0.63593999999999995</c:v>
                </c:pt>
                <c:pt idx="21">
                  <c:v>0.66774</c:v>
                </c:pt>
              </c:numCache>
            </c:numRef>
          </c:xVal>
          <c:yVal>
            <c:numRef>
              <c:f>'nbe400'!$C$8:$C$29</c:f>
              <c:numCache>
                <c:formatCode>0.0000</c:formatCode>
                <c:ptCount val="22"/>
                <c:pt idx="0">
                  <c:v>0</c:v>
                </c:pt>
                <c:pt idx="1">
                  <c:v>5.9700000000000003E-2</c:v>
                </c:pt>
                <c:pt idx="2">
                  <c:v>0.1235</c:v>
                </c:pt>
                <c:pt idx="3">
                  <c:v>0.19220000000000001</c:v>
                </c:pt>
                <c:pt idx="4">
                  <c:v>0.2656</c:v>
                </c:pt>
                <c:pt idx="5">
                  <c:v>0.34260000000000002</c:v>
                </c:pt>
                <c:pt idx="6">
                  <c:v>0.42120000000000002</c:v>
                </c:pt>
                <c:pt idx="7">
                  <c:v>0.49880000000000002</c:v>
                </c:pt>
                <c:pt idx="8">
                  <c:v>0.57310000000000005</c:v>
                </c:pt>
                <c:pt idx="9">
                  <c:v>0.64170000000000005</c:v>
                </c:pt>
                <c:pt idx="10">
                  <c:v>0.70299999999999996</c:v>
                </c:pt>
                <c:pt idx="11">
                  <c:v>0.75609999999999999</c:v>
                </c:pt>
                <c:pt idx="12">
                  <c:v>0.80049999999999999</c:v>
                </c:pt>
                <c:pt idx="13">
                  <c:v>0.83650000000000002</c:v>
                </c:pt>
                <c:pt idx="14">
                  <c:v>0.90269999999999995</c:v>
                </c:pt>
                <c:pt idx="15">
                  <c:v>0.91420000000000001</c:v>
                </c:pt>
                <c:pt idx="16">
                  <c:v>0.92259999999999998</c:v>
                </c:pt>
                <c:pt idx="17">
                  <c:v>0.92710000000000004</c:v>
                </c:pt>
                <c:pt idx="18">
                  <c:v>0.92620000000000002</c:v>
                </c:pt>
                <c:pt idx="19">
                  <c:v>0.91539999999999999</c:v>
                </c:pt>
                <c:pt idx="20">
                  <c:v>0.87839999999999996</c:v>
                </c:pt>
                <c:pt idx="21">
                  <c:v>0.7651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019344"/>
        <c:axId val="2088018800"/>
      </c:scatterChart>
      <c:scatterChart>
        <c:scatterStyle val="lineMarker"/>
        <c:varyColors val="0"/>
        <c:ser>
          <c:idx val="1"/>
          <c:order val="1"/>
          <c:tx>
            <c:v>CP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'nbe400'!$B$8:$B$29</c:f>
              <c:numCache>
                <c:formatCode>0.0000</c:formatCode>
                <c:ptCount val="22"/>
                <c:pt idx="0">
                  <c:v>0</c:v>
                </c:pt>
                <c:pt idx="1">
                  <c:v>3.1800000000000002E-2</c:v>
                </c:pt>
                <c:pt idx="2">
                  <c:v>6.3589999999999994E-2</c:v>
                </c:pt>
                <c:pt idx="3">
                  <c:v>9.5390000000000003E-2</c:v>
                </c:pt>
                <c:pt idx="4">
                  <c:v>0.12719</c:v>
                </c:pt>
                <c:pt idx="5">
                  <c:v>0.15898999999999999</c:v>
                </c:pt>
                <c:pt idx="6">
                  <c:v>0.19078000000000001</c:v>
                </c:pt>
                <c:pt idx="7">
                  <c:v>0.22258</c:v>
                </c:pt>
                <c:pt idx="8">
                  <c:v>0.25438</c:v>
                </c:pt>
                <c:pt idx="9">
                  <c:v>0.28616999999999998</c:v>
                </c:pt>
                <c:pt idx="10">
                  <c:v>0.31796999999999997</c:v>
                </c:pt>
                <c:pt idx="11">
                  <c:v>0.34977000000000003</c:v>
                </c:pt>
                <c:pt idx="12">
                  <c:v>0.38156000000000001</c:v>
                </c:pt>
                <c:pt idx="13">
                  <c:v>0.41336000000000001</c:v>
                </c:pt>
                <c:pt idx="14">
                  <c:v>0.44516</c:v>
                </c:pt>
                <c:pt idx="15">
                  <c:v>0.47696</c:v>
                </c:pt>
                <c:pt idx="16">
                  <c:v>0.50875000000000004</c:v>
                </c:pt>
                <c:pt idx="17">
                  <c:v>0.54054999999999997</c:v>
                </c:pt>
                <c:pt idx="18">
                  <c:v>0.57235000000000003</c:v>
                </c:pt>
                <c:pt idx="19">
                  <c:v>0.60414000000000001</c:v>
                </c:pt>
                <c:pt idx="20">
                  <c:v>0.63593999999999995</c:v>
                </c:pt>
                <c:pt idx="21">
                  <c:v>0.66774</c:v>
                </c:pt>
              </c:numCache>
            </c:numRef>
          </c:xVal>
          <c:yVal>
            <c:numRef>
              <c:f>'nbe400'!$E$8:$E$29</c:f>
              <c:numCache>
                <c:formatCode>0.0000</c:formatCode>
                <c:ptCount val="22"/>
                <c:pt idx="0">
                  <c:v>6.7229999999999998E-3</c:v>
                </c:pt>
                <c:pt idx="1">
                  <c:v>6.5760000000000002E-3</c:v>
                </c:pt>
                <c:pt idx="2">
                  <c:v>6.4359999999999999E-3</c:v>
                </c:pt>
                <c:pt idx="3">
                  <c:v>6.3270000000000002E-3</c:v>
                </c:pt>
                <c:pt idx="4">
                  <c:v>6.2690000000000003E-3</c:v>
                </c:pt>
                <c:pt idx="5">
                  <c:v>6.2740000000000001E-3</c:v>
                </c:pt>
                <c:pt idx="6">
                  <c:v>6.3509999999999999E-3</c:v>
                </c:pt>
                <c:pt idx="7">
                  <c:v>6.5040000000000002E-3</c:v>
                </c:pt>
                <c:pt idx="8">
                  <c:v>6.7369999999999999E-3</c:v>
                </c:pt>
                <c:pt idx="9">
                  <c:v>7.051E-3</c:v>
                </c:pt>
                <c:pt idx="10">
                  <c:v>7.4450000000000002E-3</c:v>
                </c:pt>
                <c:pt idx="11">
                  <c:v>7.9190000000000007E-3</c:v>
                </c:pt>
                <c:pt idx="12">
                  <c:v>8.4709999999999994E-3</c:v>
                </c:pt>
                <c:pt idx="13">
                  <c:v>9.1000000000000004E-3</c:v>
                </c:pt>
                <c:pt idx="14">
                  <c:v>9.221E-3</c:v>
                </c:pt>
                <c:pt idx="15">
                  <c:v>8.6090000000000003E-3</c:v>
                </c:pt>
                <c:pt idx="16">
                  <c:v>7.8759999999999993E-3</c:v>
                </c:pt>
                <c:pt idx="17">
                  <c:v>7.0179999999999999E-3</c:v>
                </c:pt>
                <c:pt idx="18">
                  <c:v>6.0309999999999999E-3</c:v>
                </c:pt>
                <c:pt idx="19">
                  <c:v>4.9170000000000004E-3</c:v>
                </c:pt>
                <c:pt idx="20">
                  <c:v>3.6849999999999999E-3</c:v>
                </c:pt>
                <c:pt idx="21">
                  <c:v>2.3310000000000002E-3</c:v>
                </c:pt>
              </c:numCache>
            </c:numRef>
          </c:yVal>
          <c:smooth val="0"/>
        </c:ser>
        <c:ser>
          <c:idx val="2"/>
          <c:order val="2"/>
          <c:tx>
            <c:v>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'nbe400'!$B$8:$B$29</c:f>
              <c:numCache>
                <c:formatCode>0.0000</c:formatCode>
                <c:ptCount val="22"/>
                <c:pt idx="0">
                  <c:v>0</c:v>
                </c:pt>
                <c:pt idx="1">
                  <c:v>3.1800000000000002E-2</c:v>
                </c:pt>
                <c:pt idx="2">
                  <c:v>6.3589999999999994E-2</c:v>
                </c:pt>
                <c:pt idx="3">
                  <c:v>9.5390000000000003E-2</c:v>
                </c:pt>
                <c:pt idx="4">
                  <c:v>0.12719</c:v>
                </c:pt>
                <c:pt idx="5">
                  <c:v>0.15898999999999999</c:v>
                </c:pt>
                <c:pt idx="6">
                  <c:v>0.19078000000000001</c:v>
                </c:pt>
                <c:pt idx="7">
                  <c:v>0.22258</c:v>
                </c:pt>
                <c:pt idx="8">
                  <c:v>0.25438</c:v>
                </c:pt>
                <c:pt idx="9">
                  <c:v>0.28616999999999998</c:v>
                </c:pt>
                <c:pt idx="10">
                  <c:v>0.31796999999999997</c:v>
                </c:pt>
                <c:pt idx="11">
                  <c:v>0.34977000000000003</c:v>
                </c:pt>
                <c:pt idx="12">
                  <c:v>0.38156000000000001</c:v>
                </c:pt>
                <c:pt idx="13">
                  <c:v>0.41336000000000001</c:v>
                </c:pt>
                <c:pt idx="14">
                  <c:v>0.44516</c:v>
                </c:pt>
                <c:pt idx="15">
                  <c:v>0.47696</c:v>
                </c:pt>
                <c:pt idx="16">
                  <c:v>0.50875000000000004</c:v>
                </c:pt>
                <c:pt idx="17">
                  <c:v>0.54054999999999997</c:v>
                </c:pt>
                <c:pt idx="18">
                  <c:v>0.57235000000000003</c:v>
                </c:pt>
                <c:pt idx="19">
                  <c:v>0.60414000000000001</c:v>
                </c:pt>
                <c:pt idx="20">
                  <c:v>0.63593999999999995</c:v>
                </c:pt>
                <c:pt idx="21">
                  <c:v>0.66774</c:v>
                </c:pt>
              </c:numCache>
            </c:numRef>
          </c:xVal>
          <c:yVal>
            <c:numRef>
              <c:f>'nbe400'!$D$8:$D$29</c:f>
              <c:numCache>
                <c:formatCode>0.0000</c:formatCode>
                <c:ptCount val="22"/>
                <c:pt idx="0">
                  <c:v>1.226E-2</c:v>
                </c:pt>
                <c:pt idx="1">
                  <c:v>1.234E-2</c:v>
                </c:pt>
                <c:pt idx="2">
                  <c:v>1.2500000000000001E-2</c:v>
                </c:pt>
                <c:pt idx="3">
                  <c:v>1.2749999999999999E-2</c:v>
                </c:pt>
                <c:pt idx="4">
                  <c:v>1.3089999999999999E-2</c:v>
                </c:pt>
                <c:pt idx="5">
                  <c:v>1.3520000000000001E-2</c:v>
                </c:pt>
                <c:pt idx="6">
                  <c:v>1.4019999999999999E-2</c:v>
                </c:pt>
                <c:pt idx="7">
                  <c:v>1.4579999999999999E-2</c:v>
                </c:pt>
                <c:pt idx="8">
                  <c:v>1.5180000000000001E-2</c:v>
                </c:pt>
                <c:pt idx="9">
                  <c:v>1.5810000000000001E-2</c:v>
                </c:pt>
                <c:pt idx="10">
                  <c:v>1.6459999999999999E-2</c:v>
                </c:pt>
                <c:pt idx="11">
                  <c:v>1.712E-2</c:v>
                </c:pt>
                <c:pt idx="12">
                  <c:v>1.7770000000000001E-2</c:v>
                </c:pt>
                <c:pt idx="13">
                  <c:v>1.8419999999999999E-2</c:v>
                </c:pt>
                <c:pt idx="14">
                  <c:v>1.8700000000000001E-2</c:v>
                </c:pt>
                <c:pt idx="15">
                  <c:v>1.6500000000000001E-2</c:v>
                </c:pt>
                <c:pt idx="16">
                  <c:v>1.4279999999999999E-2</c:v>
                </c:pt>
                <c:pt idx="17">
                  <c:v>1.204E-2</c:v>
                </c:pt>
                <c:pt idx="18">
                  <c:v>9.7599999999999996E-3</c:v>
                </c:pt>
                <c:pt idx="19">
                  <c:v>7.4510000000000002E-3</c:v>
                </c:pt>
                <c:pt idx="20">
                  <c:v>5.0889999999999998E-3</c:v>
                </c:pt>
                <c:pt idx="21">
                  <c:v>2.6700000000000001E-3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019888"/>
        <c:axId val="2088028048"/>
      </c:scatterChart>
      <c:valAx>
        <c:axId val="208801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Advance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8018800"/>
        <c:crosses val="autoZero"/>
        <c:crossBetween val="midCat"/>
      </c:valAx>
      <c:valAx>
        <c:axId val="20880188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8019344"/>
        <c:crosses val="autoZero"/>
        <c:crossBetween val="midCat"/>
      </c:valAx>
      <c:valAx>
        <c:axId val="2088028048"/>
        <c:scaling>
          <c:orientation val="minMax"/>
        </c:scaling>
        <c:delete val="0"/>
        <c:axPos val="r"/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8019888"/>
        <c:crosses val="max"/>
        <c:crossBetween val="midCat"/>
      </c:valAx>
      <c:valAx>
        <c:axId val="2088019888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2088028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Cp</a:t>
            </a:r>
            <a:r>
              <a:rPr lang="pt-BR" baseline="0"/>
              <a:t> crít vs Vboat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4580336832895888"/>
          <c:y val="0.14488444152814231"/>
          <c:w val="0.81730774278215224"/>
          <c:h val="0.70696741032370958"/>
        </c:manualLayout>
      </c:layout>
      <c:scatterChart>
        <c:scatterStyle val="smoothMarker"/>
        <c:varyColors val="0"/>
        <c:ser>
          <c:idx val="0"/>
          <c:order val="0"/>
          <c:tx>
            <c:v>Cp crit tip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'nbe400'!$U$11:$U$16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'nbe400'!$Y$11:$Y$16</c:f>
              <c:numCache>
                <c:formatCode>0.000</c:formatCode>
                <c:ptCount val="6"/>
                <c:pt idx="0">
                  <c:v>-3.2175506541603025</c:v>
                </c:pt>
                <c:pt idx="1">
                  <c:v>-3.0709032513775329</c:v>
                </c:pt>
                <c:pt idx="2">
                  <c:v>-2.854099477027924</c:v>
                </c:pt>
                <c:pt idx="3">
                  <c:v>-2.5973770881910325</c:v>
                </c:pt>
                <c:pt idx="4">
                  <c:v>-1.9773542595381293</c:v>
                </c:pt>
                <c:pt idx="5">
                  <c:v>-1.4884059817839226</c:v>
                </c:pt>
              </c:numCache>
            </c:numRef>
          </c:yVal>
          <c:smooth val="1"/>
        </c:ser>
        <c:ser>
          <c:idx val="1"/>
          <c:order val="1"/>
          <c:tx>
            <c:v>Cp crit 0,7r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'nbe400'!$U$11:$U$16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'nbe400'!$AB$11:$AB$16</c:f>
              <c:numCache>
                <c:formatCode>0.000</c:formatCode>
                <c:ptCount val="6"/>
                <c:pt idx="0">
                  <c:v>-6.5725212329187759</c:v>
                </c:pt>
                <c:pt idx="1">
                  <c:v>-5.9883722366806564</c:v>
                </c:pt>
                <c:pt idx="2">
                  <c:v>-5.2157655723285901</c:v>
                </c:pt>
                <c:pt idx="3">
                  <c:v>-4.4178006320596204</c:v>
                </c:pt>
                <c:pt idx="4">
                  <c:v>-3.2514508900101062</c:v>
                </c:pt>
                <c:pt idx="5">
                  <c:v>-2.4053426610502213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021520"/>
        <c:axId val="2088022608"/>
      </c:scatterChart>
      <c:valAx>
        <c:axId val="208802152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Velocidade (m/s)</a:t>
                </a:r>
              </a:p>
            </c:rich>
          </c:tx>
          <c:layout>
            <c:manualLayout>
              <c:xMode val="edge"/>
              <c:yMode val="edge"/>
              <c:x val="0.44459601924759407"/>
              <c:y val="0.861527777777777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8022608"/>
        <c:crosses val="autoZero"/>
        <c:crossBetween val="midCat"/>
      </c:valAx>
      <c:valAx>
        <c:axId val="208802260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Cp crítico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802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'nbe400'!$Q$3:$Q$13</c:f>
              <c:numCache>
                <c:formatCode>0.00000</c:formatCode>
                <c:ptCount val="11"/>
                <c:pt idx="0">
                  <c:v>1.0200000000000001E-2</c:v>
                </c:pt>
                <c:pt idx="1">
                  <c:v>1.41E-2</c:v>
                </c:pt>
                <c:pt idx="2">
                  <c:v>1.6799999999999999E-2</c:v>
                </c:pt>
                <c:pt idx="3">
                  <c:v>1.7999999999999999E-2</c:v>
                </c:pt>
                <c:pt idx="4">
                  <c:v>1.7999999999999999E-2</c:v>
                </c:pt>
                <c:pt idx="5">
                  <c:v>1.7100000000000001E-2</c:v>
                </c:pt>
                <c:pt idx="6">
                  <c:v>1.55E-2</c:v>
                </c:pt>
                <c:pt idx="7">
                  <c:v>1.32E-2</c:v>
                </c:pt>
                <c:pt idx="8">
                  <c:v>1.0200000000000001E-2</c:v>
                </c:pt>
                <c:pt idx="9">
                  <c:v>5.8300000000000001E-3</c:v>
                </c:pt>
                <c:pt idx="10">
                  <c:v>3.14E-3</c:v>
                </c:pt>
              </c:numCache>
            </c:numRef>
          </c:xVal>
          <c:yVal>
            <c:numRef>
              <c:f>'nbe400'!$P$3:$P$13</c:f>
              <c:numCache>
                <c:formatCode>0.00000</c:formatCode>
                <c:ptCount val="11"/>
                <c:pt idx="0">
                  <c:v>3.3799999999999997E-2</c:v>
                </c:pt>
                <c:pt idx="1">
                  <c:v>5.1299999999999998E-2</c:v>
                </c:pt>
                <c:pt idx="2">
                  <c:v>6.88E-2</c:v>
                </c:pt>
                <c:pt idx="3">
                  <c:v>8.6300000000000002E-2</c:v>
                </c:pt>
                <c:pt idx="4">
                  <c:v>0.10375</c:v>
                </c:pt>
                <c:pt idx="5">
                  <c:v>0.12125</c:v>
                </c:pt>
                <c:pt idx="6">
                  <c:v>0.13875000000000001</c:v>
                </c:pt>
                <c:pt idx="7">
                  <c:v>0.15625</c:v>
                </c:pt>
                <c:pt idx="8">
                  <c:v>0.17374999999999999</c:v>
                </c:pt>
                <c:pt idx="9">
                  <c:v>0.19125</c:v>
                </c:pt>
                <c:pt idx="10">
                  <c:v>0.2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60336"/>
        <c:axId val="200955984"/>
      </c:scatterChart>
      <c:valAx>
        <c:axId val="2009603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out"/>
        <c:minorTickMark val="none"/>
        <c:tickLblPos val="nextTo"/>
        <c:crossAx val="200955984"/>
        <c:crosses val="autoZero"/>
        <c:crossBetween val="midCat"/>
      </c:valAx>
      <c:valAx>
        <c:axId val="2009559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out"/>
        <c:minorTickMark val="none"/>
        <c:tickLblPos val="nextTo"/>
        <c:crossAx val="20096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Prop BE50 Reynolds vs Nemo</a:t>
            </a:r>
            <a:r>
              <a:rPr lang="pt-BR" baseline="0"/>
              <a:t> speed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'nbe400'!$B$33:$B$57</c:f>
              <c:numCache>
                <c:formatCode>General</c:formatCode>
                <c:ptCount val="25"/>
                <c:pt idx="0">
                  <c:v>3.7100000000000001E-2</c:v>
                </c:pt>
                <c:pt idx="1">
                  <c:v>4.3799999999999999E-2</c:v>
                </c:pt>
                <c:pt idx="2">
                  <c:v>5.04E-2</c:v>
                </c:pt>
                <c:pt idx="3">
                  <c:v>5.7099999999999998E-2</c:v>
                </c:pt>
                <c:pt idx="4">
                  <c:v>6.3700000000000007E-2</c:v>
                </c:pt>
                <c:pt idx="5">
                  <c:v>7.0400000000000004E-2</c:v>
                </c:pt>
                <c:pt idx="6">
                  <c:v>7.6999999999999999E-2</c:v>
                </c:pt>
                <c:pt idx="7">
                  <c:v>8.3699999999999997E-2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0.1036</c:v>
                </c:pt>
                <c:pt idx="11">
                  <c:v>0.1103</c:v>
                </c:pt>
                <c:pt idx="12">
                  <c:v>0.1169</c:v>
                </c:pt>
                <c:pt idx="13">
                  <c:v>0.1235</c:v>
                </c:pt>
                <c:pt idx="14">
                  <c:v>0.13020000000000001</c:v>
                </c:pt>
                <c:pt idx="15">
                  <c:v>0.1368</c:v>
                </c:pt>
                <c:pt idx="16">
                  <c:v>0.14349999999999999</c:v>
                </c:pt>
                <c:pt idx="17">
                  <c:v>0.15010000000000001</c:v>
                </c:pt>
                <c:pt idx="18">
                  <c:v>0.15679999999999999</c:v>
                </c:pt>
                <c:pt idx="19">
                  <c:v>0.16339999999999999</c:v>
                </c:pt>
                <c:pt idx="20">
                  <c:v>0.1701</c:v>
                </c:pt>
                <c:pt idx="21">
                  <c:v>0.1767</c:v>
                </c:pt>
                <c:pt idx="22">
                  <c:v>0.18340000000000001</c:v>
                </c:pt>
                <c:pt idx="23">
                  <c:v>0.19</c:v>
                </c:pt>
                <c:pt idx="24">
                  <c:v>0.19670000000000001</c:v>
                </c:pt>
              </c:numCache>
            </c:numRef>
          </c:xVal>
          <c:yVal>
            <c:numRef>
              <c:f>'nbe400'!$C$33:$C$57</c:f>
              <c:numCache>
                <c:formatCode>General</c:formatCode>
                <c:ptCount val="25"/>
                <c:pt idx="0">
                  <c:v>19940</c:v>
                </c:pt>
                <c:pt idx="1">
                  <c:v>25545</c:v>
                </c:pt>
                <c:pt idx="2">
                  <c:v>31606</c:v>
                </c:pt>
                <c:pt idx="3">
                  <c:v>38001</c:v>
                </c:pt>
                <c:pt idx="4">
                  <c:v>44541</c:v>
                </c:pt>
                <c:pt idx="5">
                  <c:v>50989</c:v>
                </c:pt>
                <c:pt idx="6">
                  <c:v>57132</c:v>
                </c:pt>
                <c:pt idx="7">
                  <c:v>62876</c:v>
                </c:pt>
                <c:pt idx="8">
                  <c:v>68166</c:v>
                </c:pt>
                <c:pt idx="9">
                  <c:v>72939</c:v>
                </c:pt>
                <c:pt idx="10">
                  <c:v>77129</c:v>
                </c:pt>
                <c:pt idx="11">
                  <c:v>80682</c:v>
                </c:pt>
                <c:pt idx="12">
                  <c:v>83565</c:v>
                </c:pt>
                <c:pt idx="13">
                  <c:v>85760</c:v>
                </c:pt>
                <c:pt idx="14">
                  <c:v>87219</c:v>
                </c:pt>
                <c:pt idx="15">
                  <c:v>87823</c:v>
                </c:pt>
                <c:pt idx="16">
                  <c:v>87452</c:v>
                </c:pt>
                <c:pt idx="17">
                  <c:v>86073</c:v>
                </c:pt>
                <c:pt idx="18">
                  <c:v>83721</c:v>
                </c:pt>
                <c:pt idx="19">
                  <c:v>80335</c:v>
                </c:pt>
                <c:pt idx="20">
                  <c:v>75478</c:v>
                </c:pt>
                <c:pt idx="21">
                  <c:v>68589</c:v>
                </c:pt>
                <c:pt idx="22">
                  <c:v>59318</c:v>
                </c:pt>
                <c:pt idx="23">
                  <c:v>47617</c:v>
                </c:pt>
                <c:pt idx="24">
                  <c:v>33458</c:v>
                </c:pt>
              </c:numCache>
            </c:numRef>
          </c:yVal>
          <c:smooth val="1"/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'nbe400'!$B$33:$B$57</c:f>
              <c:numCache>
                <c:formatCode>General</c:formatCode>
                <c:ptCount val="25"/>
                <c:pt idx="0">
                  <c:v>3.7100000000000001E-2</c:v>
                </c:pt>
                <c:pt idx="1">
                  <c:v>4.3799999999999999E-2</c:v>
                </c:pt>
                <c:pt idx="2">
                  <c:v>5.04E-2</c:v>
                </c:pt>
                <c:pt idx="3">
                  <c:v>5.7099999999999998E-2</c:v>
                </c:pt>
                <c:pt idx="4">
                  <c:v>6.3700000000000007E-2</c:v>
                </c:pt>
                <c:pt idx="5">
                  <c:v>7.0400000000000004E-2</c:v>
                </c:pt>
                <c:pt idx="6">
                  <c:v>7.6999999999999999E-2</c:v>
                </c:pt>
                <c:pt idx="7">
                  <c:v>8.3699999999999997E-2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0.1036</c:v>
                </c:pt>
                <c:pt idx="11">
                  <c:v>0.1103</c:v>
                </c:pt>
                <c:pt idx="12">
                  <c:v>0.1169</c:v>
                </c:pt>
                <c:pt idx="13">
                  <c:v>0.1235</c:v>
                </c:pt>
                <c:pt idx="14">
                  <c:v>0.13020000000000001</c:v>
                </c:pt>
                <c:pt idx="15">
                  <c:v>0.1368</c:v>
                </c:pt>
                <c:pt idx="16">
                  <c:v>0.14349999999999999</c:v>
                </c:pt>
                <c:pt idx="17">
                  <c:v>0.15010000000000001</c:v>
                </c:pt>
                <c:pt idx="18">
                  <c:v>0.15679999999999999</c:v>
                </c:pt>
                <c:pt idx="19">
                  <c:v>0.16339999999999999</c:v>
                </c:pt>
                <c:pt idx="20">
                  <c:v>0.1701</c:v>
                </c:pt>
                <c:pt idx="21">
                  <c:v>0.1767</c:v>
                </c:pt>
                <c:pt idx="22">
                  <c:v>0.18340000000000001</c:v>
                </c:pt>
                <c:pt idx="23">
                  <c:v>0.19</c:v>
                </c:pt>
                <c:pt idx="24">
                  <c:v>0.19670000000000001</c:v>
                </c:pt>
              </c:numCache>
            </c:numRef>
          </c:xVal>
          <c:yVal>
            <c:numRef>
              <c:f>'nbe400'!$D$33:$D$57</c:f>
              <c:numCache>
                <c:formatCode>General</c:formatCode>
                <c:ptCount val="25"/>
                <c:pt idx="0">
                  <c:v>27915</c:v>
                </c:pt>
                <c:pt idx="1">
                  <c:v>33878</c:v>
                </c:pt>
                <c:pt idx="2">
                  <c:v>40106</c:v>
                </c:pt>
                <c:pt idx="3">
                  <c:v>46524</c:v>
                </c:pt>
                <c:pt idx="4">
                  <c:v>52967</c:v>
                </c:pt>
                <c:pt idx="5">
                  <c:v>59211</c:v>
                </c:pt>
                <c:pt idx="6">
                  <c:v>65063</c:v>
                </c:pt>
                <c:pt idx="7">
                  <c:v>70457</c:v>
                </c:pt>
                <c:pt idx="8">
                  <c:v>75362</c:v>
                </c:pt>
                <c:pt idx="9">
                  <c:v>79732</c:v>
                </c:pt>
                <c:pt idx="10">
                  <c:v>83508</c:v>
                </c:pt>
                <c:pt idx="11">
                  <c:v>86644</c:v>
                </c:pt>
                <c:pt idx="12">
                  <c:v>89112</c:v>
                </c:pt>
                <c:pt idx="13">
                  <c:v>90900</c:v>
                </c:pt>
                <c:pt idx="14">
                  <c:v>91960</c:v>
                </c:pt>
                <c:pt idx="15">
                  <c:v>92172</c:v>
                </c:pt>
                <c:pt idx="16">
                  <c:v>91411</c:v>
                </c:pt>
                <c:pt idx="17">
                  <c:v>89648</c:v>
                </c:pt>
                <c:pt idx="18">
                  <c:v>86922</c:v>
                </c:pt>
                <c:pt idx="19">
                  <c:v>83172</c:v>
                </c:pt>
                <c:pt idx="20">
                  <c:v>77946</c:v>
                </c:pt>
                <c:pt idx="21">
                  <c:v>70671</c:v>
                </c:pt>
                <c:pt idx="22">
                  <c:v>60993</c:v>
                </c:pt>
                <c:pt idx="23">
                  <c:v>48872</c:v>
                </c:pt>
                <c:pt idx="24">
                  <c:v>34285</c:v>
                </c:pt>
              </c:numCache>
            </c:numRef>
          </c:yVal>
          <c:smooth val="1"/>
        </c:ser>
        <c:ser>
          <c:idx val="2"/>
          <c:order val="2"/>
          <c:tx>
            <c:v>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'nbe400'!$B$33:$B$57</c:f>
              <c:numCache>
                <c:formatCode>General</c:formatCode>
                <c:ptCount val="25"/>
                <c:pt idx="0">
                  <c:v>3.7100000000000001E-2</c:v>
                </c:pt>
                <c:pt idx="1">
                  <c:v>4.3799999999999999E-2</c:v>
                </c:pt>
                <c:pt idx="2">
                  <c:v>5.04E-2</c:v>
                </c:pt>
                <c:pt idx="3">
                  <c:v>5.7099999999999998E-2</c:v>
                </c:pt>
                <c:pt idx="4">
                  <c:v>6.3700000000000007E-2</c:v>
                </c:pt>
                <c:pt idx="5">
                  <c:v>7.0400000000000004E-2</c:v>
                </c:pt>
                <c:pt idx="6">
                  <c:v>7.6999999999999999E-2</c:v>
                </c:pt>
                <c:pt idx="7">
                  <c:v>8.3699999999999997E-2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0.1036</c:v>
                </c:pt>
                <c:pt idx="11">
                  <c:v>0.1103</c:v>
                </c:pt>
                <c:pt idx="12">
                  <c:v>0.1169</c:v>
                </c:pt>
                <c:pt idx="13">
                  <c:v>0.1235</c:v>
                </c:pt>
                <c:pt idx="14">
                  <c:v>0.13020000000000001</c:v>
                </c:pt>
                <c:pt idx="15">
                  <c:v>0.1368</c:v>
                </c:pt>
                <c:pt idx="16">
                  <c:v>0.14349999999999999</c:v>
                </c:pt>
                <c:pt idx="17">
                  <c:v>0.15010000000000001</c:v>
                </c:pt>
                <c:pt idx="18">
                  <c:v>0.15679999999999999</c:v>
                </c:pt>
                <c:pt idx="19">
                  <c:v>0.16339999999999999</c:v>
                </c:pt>
                <c:pt idx="20">
                  <c:v>0.1701</c:v>
                </c:pt>
                <c:pt idx="21">
                  <c:v>0.1767</c:v>
                </c:pt>
                <c:pt idx="22">
                  <c:v>0.18340000000000001</c:v>
                </c:pt>
                <c:pt idx="23">
                  <c:v>0.19</c:v>
                </c:pt>
                <c:pt idx="24">
                  <c:v>0.19670000000000001</c:v>
                </c:pt>
              </c:numCache>
            </c:numRef>
          </c:xVal>
          <c:yVal>
            <c:numRef>
              <c:f>'nbe400'!$E$33:$E$57</c:f>
              <c:numCache>
                <c:formatCode>General</c:formatCode>
                <c:ptCount val="25"/>
                <c:pt idx="0">
                  <c:v>37619</c:v>
                </c:pt>
                <c:pt idx="1">
                  <c:v>44415</c:v>
                </c:pt>
                <c:pt idx="2">
                  <c:v>51222</c:v>
                </c:pt>
                <c:pt idx="3">
                  <c:v>57997</c:v>
                </c:pt>
                <c:pt idx="4">
                  <c:v>64594</c:v>
                </c:pt>
                <c:pt idx="5">
                  <c:v>70798</c:v>
                </c:pt>
                <c:pt idx="6">
                  <c:v>76441</c:v>
                </c:pt>
                <c:pt idx="7">
                  <c:v>81500</c:v>
                </c:pt>
                <c:pt idx="8">
                  <c:v>85983</c:v>
                </c:pt>
                <c:pt idx="9">
                  <c:v>89869</c:v>
                </c:pt>
                <c:pt idx="10">
                  <c:v>93118</c:v>
                </c:pt>
                <c:pt idx="11">
                  <c:v>95700</c:v>
                </c:pt>
                <c:pt idx="12">
                  <c:v>97599</c:v>
                </c:pt>
                <c:pt idx="13">
                  <c:v>98814</c:v>
                </c:pt>
                <c:pt idx="14">
                  <c:v>99302</c:v>
                </c:pt>
                <c:pt idx="15">
                  <c:v>98939</c:v>
                </c:pt>
                <c:pt idx="16">
                  <c:v>97600</c:v>
                </c:pt>
                <c:pt idx="17">
                  <c:v>95261</c:v>
                </c:pt>
                <c:pt idx="18">
                  <c:v>91967</c:v>
                </c:pt>
                <c:pt idx="19">
                  <c:v>87657</c:v>
                </c:pt>
                <c:pt idx="20">
                  <c:v>81861</c:v>
                </c:pt>
                <c:pt idx="21">
                  <c:v>73984</c:v>
                </c:pt>
                <c:pt idx="22">
                  <c:v>63667</c:v>
                </c:pt>
                <c:pt idx="23">
                  <c:v>50879</c:v>
                </c:pt>
                <c:pt idx="24">
                  <c:v>35609</c:v>
                </c:pt>
              </c:numCache>
            </c:numRef>
          </c:yVal>
          <c:smooth val="1"/>
        </c:ser>
        <c:ser>
          <c:idx val="3"/>
          <c:order val="3"/>
          <c:tx>
            <c:v>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'nbe400'!$B$33:$B$57</c:f>
              <c:numCache>
                <c:formatCode>General</c:formatCode>
                <c:ptCount val="25"/>
                <c:pt idx="0">
                  <c:v>3.7100000000000001E-2</c:v>
                </c:pt>
                <c:pt idx="1">
                  <c:v>4.3799999999999999E-2</c:v>
                </c:pt>
                <c:pt idx="2">
                  <c:v>5.04E-2</c:v>
                </c:pt>
                <c:pt idx="3">
                  <c:v>5.7099999999999998E-2</c:v>
                </c:pt>
                <c:pt idx="4">
                  <c:v>6.3700000000000007E-2</c:v>
                </c:pt>
                <c:pt idx="5">
                  <c:v>7.0400000000000004E-2</c:v>
                </c:pt>
                <c:pt idx="6">
                  <c:v>7.6999999999999999E-2</c:v>
                </c:pt>
                <c:pt idx="7">
                  <c:v>8.3699999999999997E-2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0.1036</c:v>
                </c:pt>
                <c:pt idx="11">
                  <c:v>0.1103</c:v>
                </c:pt>
                <c:pt idx="12">
                  <c:v>0.1169</c:v>
                </c:pt>
                <c:pt idx="13">
                  <c:v>0.1235</c:v>
                </c:pt>
                <c:pt idx="14">
                  <c:v>0.13020000000000001</c:v>
                </c:pt>
                <c:pt idx="15">
                  <c:v>0.1368</c:v>
                </c:pt>
                <c:pt idx="16">
                  <c:v>0.14349999999999999</c:v>
                </c:pt>
                <c:pt idx="17">
                  <c:v>0.15010000000000001</c:v>
                </c:pt>
                <c:pt idx="18">
                  <c:v>0.15679999999999999</c:v>
                </c:pt>
                <c:pt idx="19">
                  <c:v>0.16339999999999999</c:v>
                </c:pt>
                <c:pt idx="20">
                  <c:v>0.1701</c:v>
                </c:pt>
                <c:pt idx="21">
                  <c:v>0.1767</c:v>
                </c:pt>
                <c:pt idx="22">
                  <c:v>0.18340000000000001</c:v>
                </c:pt>
                <c:pt idx="23">
                  <c:v>0.19</c:v>
                </c:pt>
                <c:pt idx="24">
                  <c:v>0.19670000000000001</c:v>
                </c:pt>
              </c:numCache>
            </c:numRef>
          </c:xVal>
          <c:yVal>
            <c:numRef>
              <c:f>'nbe400'!$F$33:$F$57</c:f>
              <c:numCache>
                <c:formatCode>General</c:formatCode>
                <c:ptCount val="25"/>
                <c:pt idx="0">
                  <c:v>48020</c:v>
                </c:pt>
                <c:pt idx="1">
                  <c:v>55931</c:v>
                </c:pt>
                <c:pt idx="2">
                  <c:v>63607</c:v>
                </c:pt>
                <c:pt idx="3">
                  <c:v>71021</c:v>
                </c:pt>
                <c:pt idx="4">
                  <c:v>78023</c:v>
                </c:pt>
                <c:pt idx="5">
                  <c:v>84400</c:v>
                </c:pt>
                <c:pt idx="6">
                  <c:v>89997</c:v>
                </c:pt>
                <c:pt idx="7">
                  <c:v>94836</c:v>
                </c:pt>
                <c:pt idx="8">
                  <c:v>98966</c:v>
                </c:pt>
                <c:pt idx="9">
                  <c:v>102399</c:v>
                </c:pt>
                <c:pt idx="10">
                  <c:v>105117</c:v>
                </c:pt>
                <c:pt idx="11">
                  <c:v>107110</c:v>
                </c:pt>
                <c:pt idx="12">
                  <c:v>108381</c:v>
                </c:pt>
                <c:pt idx="13">
                  <c:v>108942</c:v>
                </c:pt>
                <c:pt idx="14">
                  <c:v>108759</c:v>
                </c:pt>
                <c:pt idx="15">
                  <c:v>107710</c:v>
                </c:pt>
                <c:pt idx="16">
                  <c:v>105666</c:v>
                </c:pt>
                <c:pt idx="17">
                  <c:v>102611</c:v>
                </c:pt>
                <c:pt idx="18">
                  <c:v>98603</c:v>
                </c:pt>
                <c:pt idx="19">
                  <c:v>93582</c:v>
                </c:pt>
                <c:pt idx="20">
                  <c:v>87052</c:v>
                </c:pt>
                <c:pt idx="21">
                  <c:v>78392</c:v>
                </c:pt>
                <c:pt idx="22">
                  <c:v>67236</c:v>
                </c:pt>
                <c:pt idx="23">
                  <c:v>53568</c:v>
                </c:pt>
                <c:pt idx="24">
                  <c:v>37388</c:v>
                </c:pt>
              </c:numCache>
            </c:numRef>
          </c:yVal>
          <c:smooth val="1"/>
        </c:ser>
        <c:ser>
          <c:idx val="4"/>
          <c:order val="4"/>
          <c:tx>
            <c:v>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'nbe400'!$B$33:$B$57</c:f>
              <c:numCache>
                <c:formatCode>General</c:formatCode>
                <c:ptCount val="25"/>
                <c:pt idx="0">
                  <c:v>3.7100000000000001E-2</c:v>
                </c:pt>
                <c:pt idx="1">
                  <c:v>4.3799999999999999E-2</c:v>
                </c:pt>
                <c:pt idx="2">
                  <c:v>5.04E-2</c:v>
                </c:pt>
                <c:pt idx="3">
                  <c:v>5.7099999999999998E-2</c:v>
                </c:pt>
                <c:pt idx="4">
                  <c:v>6.3700000000000007E-2</c:v>
                </c:pt>
                <c:pt idx="5">
                  <c:v>7.0400000000000004E-2</c:v>
                </c:pt>
                <c:pt idx="6">
                  <c:v>7.6999999999999999E-2</c:v>
                </c:pt>
                <c:pt idx="7">
                  <c:v>8.3699999999999997E-2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0.1036</c:v>
                </c:pt>
                <c:pt idx="11">
                  <c:v>0.1103</c:v>
                </c:pt>
                <c:pt idx="12">
                  <c:v>0.1169</c:v>
                </c:pt>
                <c:pt idx="13">
                  <c:v>0.1235</c:v>
                </c:pt>
                <c:pt idx="14">
                  <c:v>0.13020000000000001</c:v>
                </c:pt>
                <c:pt idx="15">
                  <c:v>0.1368</c:v>
                </c:pt>
                <c:pt idx="16">
                  <c:v>0.14349999999999999</c:v>
                </c:pt>
                <c:pt idx="17">
                  <c:v>0.15010000000000001</c:v>
                </c:pt>
                <c:pt idx="18">
                  <c:v>0.15679999999999999</c:v>
                </c:pt>
                <c:pt idx="19">
                  <c:v>0.16339999999999999</c:v>
                </c:pt>
                <c:pt idx="20">
                  <c:v>0.1701</c:v>
                </c:pt>
                <c:pt idx="21">
                  <c:v>0.1767</c:v>
                </c:pt>
                <c:pt idx="22">
                  <c:v>0.18340000000000001</c:v>
                </c:pt>
                <c:pt idx="23">
                  <c:v>0.19</c:v>
                </c:pt>
                <c:pt idx="24">
                  <c:v>0.19670000000000001</c:v>
                </c:pt>
              </c:numCache>
            </c:numRef>
          </c:xVal>
          <c:yVal>
            <c:numRef>
              <c:f>'nbe400'!$G$33:$G$57</c:f>
              <c:numCache>
                <c:formatCode>General</c:formatCode>
                <c:ptCount val="25"/>
                <c:pt idx="0">
                  <c:v>59317</c:v>
                </c:pt>
                <c:pt idx="1">
                  <c:v>68814</c:v>
                </c:pt>
                <c:pt idx="2">
                  <c:v>77927</c:v>
                </c:pt>
                <c:pt idx="3">
                  <c:v>86627</c:v>
                </c:pt>
                <c:pt idx="4">
                  <c:v>94743</c:v>
                </c:pt>
                <c:pt idx="5">
                  <c:v>102031</c:v>
                </c:pt>
                <c:pt idx="6">
                  <c:v>108322</c:v>
                </c:pt>
                <c:pt idx="7">
                  <c:v>113663</c:v>
                </c:pt>
                <c:pt idx="8">
                  <c:v>118130</c:v>
                </c:pt>
                <c:pt idx="9">
                  <c:v>121753</c:v>
                </c:pt>
                <c:pt idx="10">
                  <c:v>124526</c:v>
                </c:pt>
                <c:pt idx="11">
                  <c:v>126446</c:v>
                </c:pt>
                <c:pt idx="12">
                  <c:v>127529</c:v>
                </c:pt>
                <c:pt idx="13">
                  <c:v>127799</c:v>
                </c:pt>
                <c:pt idx="14">
                  <c:v>127221</c:v>
                </c:pt>
                <c:pt idx="15">
                  <c:v>125658</c:v>
                </c:pt>
                <c:pt idx="16">
                  <c:v>122969</c:v>
                </c:pt>
                <c:pt idx="17">
                  <c:v>119139</c:v>
                </c:pt>
                <c:pt idx="18">
                  <c:v>114240</c:v>
                </c:pt>
                <c:pt idx="19">
                  <c:v>108207</c:v>
                </c:pt>
                <c:pt idx="20">
                  <c:v>100470</c:v>
                </c:pt>
                <c:pt idx="21">
                  <c:v>90319</c:v>
                </c:pt>
                <c:pt idx="22">
                  <c:v>77342</c:v>
                </c:pt>
                <c:pt idx="23">
                  <c:v>61526</c:v>
                </c:pt>
                <c:pt idx="24">
                  <c:v>42884</c:v>
                </c:pt>
              </c:numCache>
            </c:numRef>
          </c:yVal>
          <c:smooth val="1"/>
        </c:ser>
        <c:ser>
          <c:idx val="5"/>
          <c:order val="5"/>
          <c:tx>
            <c:v>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'nbe400'!$B$33:$B$57</c:f>
              <c:numCache>
                <c:formatCode>General</c:formatCode>
                <c:ptCount val="25"/>
                <c:pt idx="0">
                  <c:v>3.7100000000000001E-2</c:v>
                </c:pt>
                <c:pt idx="1">
                  <c:v>4.3799999999999999E-2</c:v>
                </c:pt>
                <c:pt idx="2">
                  <c:v>5.04E-2</c:v>
                </c:pt>
                <c:pt idx="3">
                  <c:v>5.7099999999999998E-2</c:v>
                </c:pt>
                <c:pt idx="4">
                  <c:v>6.3700000000000007E-2</c:v>
                </c:pt>
                <c:pt idx="5">
                  <c:v>7.0400000000000004E-2</c:v>
                </c:pt>
                <c:pt idx="6">
                  <c:v>7.6999999999999999E-2</c:v>
                </c:pt>
                <c:pt idx="7">
                  <c:v>8.3699999999999997E-2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0.1036</c:v>
                </c:pt>
                <c:pt idx="11">
                  <c:v>0.1103</c:v>
                </c:pt>
                <c:pt idx="12">
                  <c:v>0.1169</c:v>
                </c:pt>
                <c:pt idx="13">
                  <c:v>0.1235</c:v>
                </c:pt>
                <c:pt idx="14">
                  <c:v>0.13020000000000001</c:v>
                </c:pt>
                <c:pt idx="15">
                  <c:v>0.1368</c:v>
                </c:pt>
                <c:pt idx="16">
                  <c:v>0.14349999999999999</c:v>
                </c:pt>
                <c:pt idx="17">
                  <c:v>0.15010000000000001</c:v>
                </c:pt>
                <c:pt idx="18">
                  <c:v>0.15679999999999999</c:v>
                </c:pt>
                <c:pt idx="19">
                  <c:v>0.16339999999999999</c:v>
                </c:pt>
                <c:pt idx="20">
                  <c:v>0.1701</c:v>
                </c:pt>
                <c:pt idx="21">
                  <c:v>0.1767</c:v>
                </c:pt>
                <c:pt idx="22">
                  <c:v>0.18340000000000001</c:v>
                </c:pt>
                <c:pt idx="23">
                  <c:v>0.19</c:v>
                </c:pt>
                <c:pt idx="24">
                  <c:v>0.19670000000000001</c:v>
                </c:pt>
              </c:numCache>
            </c:numRef>
          </c:xVal>
          <c:yVal>
            <c:numRef>
              <c:f>'nbe400'!$H$33:$H$57</c:f>
              <c:numCache>
                <c:formatCode>General</c:formatCode>
                <c:ptCount val="25"/>
                <c:pt idx="0">
                  <c:v>70660</c:v>
                </c:pt>
                <c:pt idx="1">
                  <c:v>81767</c:v>
                </c:pt>
                <c:pt idx="2">
                  <c:v>92344</c:v>
                </c:pt>
                <c:pt idx="3">
                  <c:v>102359</c:v>
                </c:pt>
                <c:pt idx="4">
                  <c:v>111620</c:v>
                </c:pt>
                <c:pt idx="5">
                  <c:v>119847</c:v>
                </c:pt>
                <c:pt idx="6">
                  <c:v>126858</c:v>
                </c:pt>
                <c:pt idx="7">
                  <c:v>132724</c:v>
                </c:pt>
                <c:pt idx="8">
                  <c:v>137547</c:v>
                </c:pt>
                <c:pt idx="9">
                  <c:v>141374</c:v>
                </c:pt>
                <c:pt idx="10">
                  <c:v>144211</c:v>
                </c:pt>
                <c:pt idx="11">
                  <c:v>146066</c:v>
                </c:pt>
                <c:pt idx="12">
                  <c:v>146964</c:v>
                </c:pt>
                <c:pt idx="13">
                  <c:v>146940</c:v>
                </c:pt>
                <c:pt idx="14">
                  <c:v>145963</c:v>
                </c:pt>
                <c:pt idx="15">
                  <c:v>143879</c:v>
                </c:pt>
                <c:pt idx="16">
                  <c:v>140533</c:v>
                </c:pt>
                <c:pt idx="17">
                  <c:v>135914</c:v>
                </c:pt>
                <c:pt idx="18">
                  <c:v>130108</c:v>
                </c:pt>
                <c:pt idx="19">
                  <c:v>123044</c:v>
                </c:pt>
                <c:pt idx="20">
                  <c:v>114079</c:v>
                </c:pt>
                <c:pt idx="21">
                  <c:v>102413</c:v>
                </c:pt>
                <c:pt idx="22">
                  <c:v>87585</c:v>
                </c:pt>
                <c:pt idx="23">
                  <c:v>69592</c:v>
                </c:pt>
                <c:pt idx="24">
                  <c:v>48451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65232"/>
        <c:axId val="200956528"/>
      </c:scatterChart>
      <c:valAx>
        <c:axId val="200965232"/>
        <c:scaling>
          <c:orientation val="minMax"/>
          <c:max val="0.2"/>
          <c:min val="3.000000000000000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aseline="0"/>
                  <a:t>local radius (m)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0956528"/>
        <c:crosses val="autoZero"/>
        <c:crossBetween val="midCat"/>
      </c:valAx>
      <c:valAx>
        <c:axId val="2009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Reynolds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096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Torque vs RPM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772069444210266"/>
          <c:y val="0.18522358104165115"/>
          <c:w val="0.82419936265996729"/>
          <c:h val="0.6219724252775561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5.2829163452535161E-2"/>
                  <c:y val="-6.8552763380594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hEng!$B$3:$B$22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150</c:v>
                </c:pt>
              </c:numCache>
            </c:numRef>
          </c:xVal>
          <c:yVal>
            <c:numRef>
              <c:f>hEng!$C$3:$C$22</c:f>
              <c:numCache>
                <c:formatCode>0.00</c:formatCode>
                <c:ptCount val="20"/>
                <c:pt idx="0">
                  <c:v>0</c:v>
                </c:pt>
                <c:pt idx="1">
                  <c:v>8</c:v>
                </c:pt>
                <c:pt idx="2">
                  <c:v>15</c:v>
                </c:pt>
                <c:pt idx="3">
                  <c:v>21.5</c:v>
                </c:pt>
                <c:pt idx="4">
                  <c:v>26.8</c:v>
                </c:pt>
                <c:pt idx="5">
                  <c:v>28.1</c:v>
                </c:pt>
                <c:pt idx="6">
                  <c:v>29.8</c:v>
                </c:pt>
                <c:pt idx="7">
                  <c:v>31.8</c:v>
                </c:pt>
                <c:pt idx="8">
                  <c:v>31.8</c:v>
                </c:pt>
                <c:pt idx="9">
                  <c:v>29.8</c:v>
                </c:pt>
                <c:pt idx="10">
                  <c:v>23</c:v>
                </c:pt>
                <c:pt idx="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023152"/>
        <c:axId val="2088015536"/>
      </c:scatterChart>
      <c:valAx>
        <c:axId val="208802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RPM</a:t>
                </a:r>
              </a:p>
            </c:rich>
          </c:tx>
          <c:layout>
            <c:manualLayout>
              <c:xMode val="edge"/>
              <c:yMode val="edge"/>
              <c:x val="0.47822871177505383"/>
              <c:y val="0.8891484522850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8015536"/>
        <c:crosses val="autoZero"/>
        <c:crossBetween val="midCat"/>
      </c:valAx>
      <c:valAx>
        <c:axId val="2088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Torque [Nm]</a:t>
                </a:r>
              </a:p>
            </c:rich>
          </c:tx>
          <c:layout>
            <c:manualLayout>
              <c:xMode val="edge"/>
              <c:yMode val="edge"/>
              <c:x val="1.7130620985010708E-2"/>
              <c:y val="0.328951458816984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802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Power vs RPM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772069444210266"/>
          <c:y val="0.18522358104165115"/>
          <c:w val="0.82419936265996729"/>
          <c:h val="0.6219724252775561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5.2877077865266839E-2"/>
                  <c:y val="6.483277552452510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hEng!$B$3:$B$22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150</c:v>
                </c:pt>
              </c:numCache>
            </c:numRef>
          </c:xVal>
          <c:yVal>
            <c:numRef>
              <c:f>hEng!$D$3:$D$22</c:f>
              <c:numCache>
                <c:formatCode>0.00</c:formatCode>
                <c:ptCount val="20"/>
                <c:pt idx="0">
                  <c:v>0</c:v>
                </c:pt>
                <c:pt idx="1">
                  <c:v>16.755160819145562</c:v>
                </c:pt>
                <c:pt idx="2">
                  <c:v>62.831853071795862</c:v>
                </c:pt>
                <c:pt idx="3">
                  <c:v>135.0884841043611</c:v>
                </c:pt>
                <c:pt idx="4">
                  <c:v>224.51915497655054</c:v>
                </c:pt>
                <c:pt idx="5">
                  <c:v>250.12313510330736</c:v>
                </c:pt>
                <c:pt idx="6">
                  <c:v>280.85838323092753</c:v>
                </c:pt>
                <c:pt idx="7">
                  <c:v>333.00882128051802</c:v>
                </c:pt>
                <c:pt idx="8">
                  <c:v>366.30970340856987</c:v>
                </c:pt>
                <c:pt idx="9">
                  <c:v>374.4778443079033</c:v>
                </c:pt>
                <c:pt idx="10">
                  <c:v>313.11206780778269</c:v>
                </c:pt>
                <c:pt idx="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016080"/>
        <c:axId val="2088016624"/>
      </c:scatterChart>
      <c:valAx>
        <c:axId val="208801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RPM</a:t>
                </a:r>
              </a:p>
            </c:rich>
          </c:tx>
          <c:layout>
            <c:manualLayout>
              <c:xMode val="edge"/>
              <c:yMode val="edge"/>
              <c:x val="0.47822871177505383"/>
              <c:y val="0.8891484522850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8016624"/>
        <c:crosses val="autoZero"/>
        <c:crossBetween val="midCat"/>
      </c:valAx>
      <c:valAx>
        <c:axId val="208801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Power [W]</a:t>
                </a:r>
              </a:p>
            </c:rich>
          </c:tx>
          <c:layout>
            <c:manualLayout>
              <c:xMode val="edge"/>
              <c:yMode val="edge"/>
              <c:x val="1.7130620985010708E-2"/>
              <c:y val="0.328951458816984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801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draw!$J$2:$J$80</c:f>
              <c:numCache>
                <c:formatCode>General</c:formatCode>
                <c:ptCount val="79"/>
                <c:pt idx="0">
                  <c:v>1</c:v>
                </c:pt>
                <c:pt idx="1">
                  <c:v>0.99753999999999998</c:v>
                </c:pt>
                <c:pt idx="2">
                  <c:v>0.99070000000000003</c:v>
                </c:pt>
                <c:pt idx="3">
                  <c:v>0.98036999999999996</c:v>
                </c:pt>
                <c:pt idx="4">
                  <c:v>0.96697999999999995</c:v>
                </c:pt>
                <c:pt idx="5">
                  <c:v>0.95043999999999995</c:v>
                </c:pt>
                <c:pt idx="6">
                  <c:v>0.93064000000000002</c:v>
                </c:pt>
                <c:pt idx="7">
                  <c:v>0.90774999999999995</c:v>
                </c:pt>
                <c:pt idx="8">
                  <c:v>0.88202000000000003</c:v>
                </c:pt>
                <c:pt idx="9">
                  <c:v>0.85370000000000001</c:v>
                </c:pt>
                <c:pt idx="10">
                  <c:v>0.82308999999999999</c:v>
                </c:pt>
                <c:pt idx="11">
                  <c:v>0.79047999999999996</c:v>
                </c:pt>
                <c:pt idx="12">
                  <c:v>0.75616000000000005</c:v>
                </c:pt>
                <c:pt idx="13">
                  <c:v>0.72043000000000001</c:v>
                </c:pt>
                <c:pt idx="14">
                  <c:v>0.68359000000000003</c:v>
                </c:pt>
                <c:pt idx="15">
                  <c:v>0.64593999999999996</c:v>
                </c:pt>
                <c:pt idx="16">
                  <c:v>0.60777999999999999</c:v>
                </c:pt>
                <c:pt idx="17">
                  <c:v>0.56937000000000004</c:v>
                </c:pt>
                <c:pt idx="18">
                  <c:v>0.53098999999999996</c:v>
                </c:pt>
                <c:pt idx="19">
                  <c:v>0.49264999999999998</c:v>
                </c:pt>
                <c:pt idx="20">
                  <c:v>0.45434999999999998</c:v>
                </c:pt>
                <c:pt idx="21">
                  <c:v>0.41637999999999997</c:v>
                </c:pt>
                <c:pt idx="22">
                  <c:v>0.37886999999999998</c:v>
                </c:pt>
                <c:pt idx="23">
                  <c:v>0.34204000000000001</c:v>
                </c:pt>
                <c:pt idx="24">
                  <c:v>0.30608999999999997</c:v>
                </c:pt>
                <c:pt idx="25">
                  <c:v>0.2712</c:v>
                </c:pt>
                <c:pt idx="26">
                  <c:v>0.23760000000000001</c:v>
                </c:pt>
                <c:pt idx="27">
                  <c:v>0.20549000000000001</c:v>
                </c:pt>
                <c:pt idx="28">
                  <c:v>0.17504</c:v>
                </c:pt>
                <c:pt idx="29">
                  <c:v>0.14648</c:v>
                </c:pt>
                <c:pt idx="30">
                  <c:v>0.11999</c:v>
                </c:pt>
                <c:pt idx="31">
                  <c:v>9.5759999999999998E-2</c:v>
                </c:pt>
                <c:pt idx="32">
                  <c:v>7.3950000000000002E-2</c:v>
                </c:pt>
                <c:pt idx="33">
                  <c:v>5.4679999999999999E-2</c:v>
                </c:pt>
                <c:pt idx="34">
                  <c:v>3.8109999999999998E-2</c:v>
                </c:pt>
                <c:pt idx="35">
                  <c:v>2.4330000000000001E-2</c:v>
                </c:pt>
                <c:pt idx="36">
                  <c:v>1.338E-2</c:v>
                </c:pt>
                <c:pt idx="37">
                  <c:v>5.4799999999999996E-3</c:v>
                </c:pt>
                <c:pt idx="38">
                  <c:v>9.7999999999999997E-4</c:v>
                </c:pt>
                <c:pt idx="39">
                  <c:v>0</c:v>
                </c:pt>
                <c:pt idx="40">
                  <c:v>9.7999999999999997E-4</c:v>
                </c:pt>
                <c:pt idx="41">
                  <c:v>5.4799999999999996E-3</c:v>
                </c:pt>
                <c:pt idx="42">
                  <c:v>1.338E-2</c:v>
                </c:pt>
                <c:pt idx="43">
                  <c:v>2.4330000000000001E-2</c:v>
                </c:pt>
                <c:pt idx="44">
                  <c:v>3.8109999999999998E-2</c:v>
                </c:pt>
                <c:pt idx="45">
                  <c:v>5.4679999999999999E-2</c:v>
                </c:pt>
                <c:pt idx="46">
                  <c:v>7.3950000000000002E-2</c:v>
                </c:pt>
                <c:pt idx="47">
                  <c:v>9.5759999999999998E-2</c:v>
                </c:pt>
                <c:pt idx="48">
                  <c:v>0.11999</c:v>
                </c:pt>
                <c:pt idx="49">
                  <c:v>0.14648</c:v>
                </c:pt>
                <c:pt idx="50">
                  <c:v>0.17504</c:v>
                </c:pt>
                <c:pt idx="51">
                  <c:v>0.20549000000000001</c:v>
                </c:pt>
                <c:pt idx="52">
                  <c:v>0.23760000000000001</c:v>
                </c:pt>
                <c:pt idx="53">
                  <c:v>0.2712</c:v>
                </c:pt>
                <c:pt idx="54">
                  <c:v>0.30608999999999997</c:v>
                </c:pt>
                <c:pt idx="55">
                  <c:v>0.34204000000000001</c:v>
                </c:pt>
                <c:pt idx="56">
                  <c:v>0.37886999999999998</c:v>
                </c:pt>
                <c:pt idx="57">
                  <c:v>0.41637999999999997</c:v>
                </c:pt>
                <c:pt idx="58">
                  <c:v>0.45434999999999998</c:v>
                </c:pt>
                <c:pt idx="59">
                  <c:v>0.49264999999999998</c:v>
                </c:pt>
                <c:pt idx="60">
                  <c:v>0.53098999999999996</c:v>
                </c:pt>
                <c:pt idx="61">
                  <c:v>0.56937000000000004</c:v>
                </c:pt>
                <c:pt idx="62">
                  <c:v>0.60777999999999999</c:v>
                </c:pt>
                <c:pt idx="63">
                  <c:v>0.64593999999999996</c:v>
                </c:pt>
                <c:pt idx="64">
                  <c:v>0.68359000000000003</c:v>
                </c:pt>
                <c:pt idx="65">
                  <c:v>0.72043000000000001</c:v>
                </c:pt>
                <c:pt idx="66">
                  <c:v>0.75616000000000005</c:v>
                </c:pt>
                <c:pt idx="67">
                  <c:v>0.79047999999999996</c:v>
                </c:pt>
                <c:pt idx="68">
                  <c:v>0.82308999999999999</c:v>
                </c:pt>
                <c:pt idx="69">
                  <c:v>0.85370000000000001</c:v>
                </c:pt>
                <c:pt idx="70">
                  <c:v>0.88202000000000003</c:v>
                </c:pt>
                <c:pt idx="71">
                  <c:v>0.90774999999999995</c:v>
                </c:pt>
                <c:pt idx="72">
                  <c:v>0.93064000000000002</c:v>
                </c:pt>
                <c:pt idx="73">
                  <c:v>0.95043999999999995</c:v>
                </c:pt>
                <c:pt idx="74">
                  <c:v>0.96697999999999995</c:v>
                </c:pt>
                <c:pt idx="75">
                  <c:v>0.98036999999999996</c:v>
                </c:pt>
                <c:pt idx="76">
                  <c:v>0.99070000000000003</c:v>
                </c:pt>
                <c:pt idx="77">
                  <c:v>0.99753999999999998</c:v>
                </c:pt>
                <c:pt idx="78">
                  <c:v>1</c:v>
                </c:pt>
              </c:numCache>
            </c:numRef>
          </c:xVal>
          <c:yVal>
            <c:numRef>
              <c:f>draw!$K$2:$K$80</c:f>
              <c:numCache>
                <c:formatCode>General</c:formatCode>
                <c:ptCount val="79"/>
                <c:pt idx="0">
                  <c:v>1.2899999999999999E-3</c:v>
                </c:pt>
                <c:pt idx="1">
                  <c:v>1.7799999999999999E-3</c:v>
                </c:pt>
                <c:pt idx="2">
                  <c:v>3.14E-3</c:v>
                </c:pt>
                <c:pt idx="3">
                  <c:v>5.1700000000000001E-3</c:v>
                </c:pt>
                <c:pt idx="4">
                  <c:v>7.77E-3</c:v>
                </c:pt>
                <c:pt idx="5">
                  <c:v>1.091E-2</c:v>
                </c:pt>
                <c:pt idx="6">
                  <c:v>1.457E-2</c:v>
                </c:pt>
                <c:pt idx="7">
                  <c:v>1.865E-2</c:v>
                </c:pt>
                <c:pt idx="8">
                  <c:v>2.3050000000000001E-2</c:v>
                </c:pt>
                <c:pt idx="9">
                  <c:v>2.7660000000000001E-2</c:v>
                </c:pt>
                <c:pt idx="10">
                  <c:v>3.2379999999999999E-2</c:v>
                </c:pt>
                <c:pt idx="11">
                  <c:v>3.7100000000000001E-2</c:v>
                </c:pt>
                <c:pt idx="12">
                  <c:v>4.1759999999999999E-2</c:v>
                </c:pt>
                <c:pt idx="13">
                  <c:v>4.6269999999999999E-2</c:v>
                </c:pt>
                <c:pt idx="14">
                  <c:v>5.058E-2</c:v>
                </c:pt>
                <c:pt idx="15">
                  <c:v>5.4629999999999998E-2</c:v>
                </c:pt>
                <c:pt idx="16">
                  <c:v>5.8349999999999999E-2</c:v>
                </c:pt>
                <c:pt idx="17">
                  <c:v>6.1710000000000001E-2</c:v>
                </c:pt>
                <c:pt idx="18">
                  <c:v>6.4659999999999995E-2</c:v>
                </c:pt>
                <c:pt idx="19">
                  <c:v>6.7140000000000005E-2</c:v>
                </c:pt>
                <c:pt idx="20">
                  <c:v>6.9110000000000005E-2</c:v>
                </c:pt>
                <c:pt idx="21">
                  <c:v>7.0540000000000005E-2</c:v>
                </c:pt>
                <c:pt idx="22">
                  <c:v>7.1440000000000003E-2</c:v>
                </c:pt>
                <c:pt idx="23">
                  <c:v>7.1859999999999993E-2</c:v>
                </c:pt>
                <c:pt idx="24">
                  <c:v>7.1800000000000003E-2</c:v>
                </c:pt>
                <c:pt idx="25">
                  <c:v>7.1190000000000003E-2</c:v>
                </c:pt>
                <c:pt idx="26">
                  <c:v>6.9930000000000006E-2</c:v>
                </c:pt>
                <c:pt idx="27">
                  <c:v>6.7919999999999994E-2</c:v>
                </c:pt>
                <c:pt idx="28">
                  <c:v>6.5049999999999997E-2</c:v>
                </c:pt>
                <c:pt idx="29">
                  <c:v>6.1280000000000001E-2</c:v>
                </c:pt>
                <c:pt idx="30">
                  <c:v>5.6619999999999997E-2</c:v>
                </c:pt>
                <c:pt idx="31">
                  <c:v>5.1130000000000002E-2</c:v>
                </c:pt>
                <c:pt idx="32">
                  <c:v>4.4909999999999999E-2</c:v>
                </c:pt>
                <c:pt idx="33">
                  <c:v>3.8120000000000001E-2</c:v>
                </c:pt>
                <c:pt idx="34">
                  <c:v>3.0980000000000001E-2</c:v>
                </c:pt>
                <c:pt idx="35">
                  <c:v>2.3740000000000001E-2</c:v>
                </c:pt>
                <c:pt idx="36">
                  <c:v>1.6619999999999999E-2</c:v>
                </c:pt>
                <c:pt idx="37">
                  <c:v>9.8899999999999995E-3</c:v>
                </c:pt>
                <c:pt idx="38">
                  <c:v>3.82E-3</c:v>
                </c:pt>
                <c:pt idx="39">
                  <c:v>-3.0000000000000001E-5</c:v>
                </c:pt>
                <c:pt idx="40">
                  <c:v>-3.32E-3</c:v>
                </c:pt>
                <c:pt idx="41">
                  <c:v>-6.9499999999999996E-3</c:v>
                </c:pt>
                <c:pt idx="42">
                  <c:v>-9.5600000000000008E-3</c:v>
                </c:pt>
                <c:pt idx="43">
                  <c:v>-1.1270000000000001E-2</c:v>
                </c:pt>
                <c:pt idx="44">
                  <c:v>-1.2239999999999999E-2</c:v>
                </c:pt>
                <c:pt idx="45">
                  <c:v>-1.256E-2</c:v>
                </c:pt>
                <c:pt idx="46">
                  <c:v>-1.2290000000000001E-2</c:v>
                </c:pt>
                <c:pt idx="47">
                  <c:v>-1.1520000000000001E-2</c:v>
                </c:pt>
                <c:pt idx="48">
                  <c:v>-1.0330000000000001E-2</c:v>
                </c:pt>
                <c:pt idx="49">
                  <c:v>-8.8199999999999997E-3</c:v>
                </c:pt>
                <c:pt idx="50">
                  <c:v>-7.0899999999999999E-3</c:v>
                </c:pt>
                <c:pt idx="51">
                  <c:v>-5.2199999999999998E-3</c:v>
                </c:pt>
                <c:pt idx="52">
                  <c:v>-3.2299999999999998E-3</c:v>
                </c:pt>
                <c:pt idx="53">
                  <c:v>-1.15E-3</c:v>
                </c:pt>
                <c:pt idx="54">
                  <c:v>1.0200000000000001E-3</c:v>
                </c:pt>
                <c:pt idx="55">
                  <c:v>3.3E-3</c:v>
                </c:pt>
                <c:pt idx="56">
                  <c:v>5.6299999999999996E-3</c:v>
                </c:pt>
                <c:pt idx="57">
                  <c:v>7.92E-3</c:v>
                </c:pt>
                <c:pt idx="58">
                  <c:v>1.0019999999999999E-2</c:v>
                </c:pt>
                <c:pt idx="59">
                  <c:v>1.1769999999999999E-2</c:v>
                </c:pt>
                <c:pt idx="60">
                  <c:v>1.3100000000000001E-2</c:v>
                </c:pt>
                <c:pt idx="61">
                  <c:v>1.397E-2</c:v>
                </c:pt>
                <c:pt idx="62">
                  <c:v>1.44E-2</c:v>
                </c:pt>
                <c:pt idx="63">
                  <c:v>1.44E-2</c:v>
                </c:pt>
                <c:pt idx="64">
                  <c:v>1.4019999999999999E-2</c:v>
                </c:pt>
                <c:pt idx="65">
                  <c:v>1.3310000000000001E-2</c:v>
                </c:pt>
                <c:pt idx="66">
                  <c:v>1.2330000000000001E-2</c:v>
                </c:pt>
                <c:pt idx="67">
                  <c:v>1.1140000000000001E-2</c:v>
                </c:pt>
                <c:pt idx="68">
                  <c:v>9.7999999999999997E-3</c:v>
                </c:pt>
                <c:pt idx="69">
                  <c:v>8.3599999999999994E-3</c:v>
                </c:pt>
                <c:pt idx="70">
                  <c:v>6.8799999999999998E-3</c:v>
                </c:pt>
                <c:pt idx="71">
                  <c:v>5.4000000000000003E-3</c:v>
                </c:pt>
                <c:pt idx="72">
                  <c:v>3.98E-3</c:v>
                </c:pt>
                <c:pt idx="73">
                  <c:v>2.65E-3</c:v>
                </c:pt>
                <c:pt idx="74">
                  <c:v>1.4599999999999999E-3</c:v>
                </c:pt>
                <c:pt idx="75">
                  <c:v>4.0999999999999999E-4</c:v>
                </c:pt>
                <c:pt idx="76">
                  <c:v>-4.6000000000000001E-4</c:v>
                </c:pt>
                <c:pt idx="77">
                  <c:v>-1.07E-3</c:v>
                </c:pt>
                <c:pt idx="78">
                  <c:v>-1.2999999999999999E-3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017168"/>
        <c:axId val="2088018256"/>
      </c:scatterChart>
      <c:valAx>
        <c:axId val="20880171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8018256"/>
        <c:crosses val="autoZero"/>
        <c:crossBetween val="midCat"/>
      </c:valAx>
      <c:valAx>
        <c:axId val="2088018256"/>
        <c:scaling>
          <c:orientation val="minMax"/>
          <c:max val="0.2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801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draw!$M$2:$M$80</c:f>
              <c:numCache>
                <c:formatCode>General</c:formatCode>
                <c:ptCount val="79"/>
                <c:pt idx="0">
                  <c:v>0.75</c:v>
                </c:pt>
                <c:pt idx="1">
                  <c:v>0.74753999999999998</c:v>
                </c:pt>
                <c:pt idx="2">
                  <c:v>0.74070000000000003</c:v>
                </c:pt>
                <c:pt idx="3">
                  <c:v>0.73036999999999996</c:v>
                </c:pt>
                <c:pt idx="4">
                  <c:v>0.71697999999999995</c:v>
                </c:pt>
                <c:pt idx="5">
                  <c:v>0.70043999999999995</c:v>
                </c:pt>
                <c:pt idx="6">
                  <c:v>0.68064000000000002</c:v>
                </c:pt>
                <c:pt idx="7">
                  <c:v>0.65774999999999995</c:v>
                </c:pt>
                <c:pt idx="8">
                  <c:v>0.63202000000000003</c:v>
                </c:pt>
                <c:pt idx="9">
                  <c:v>0.60370000000000001</c:v>
                </c:pt>
                <c:pt idx="10">
                  <c:v>0.57308999999999999</c:v>
                </c:pt>
                <c:pt idx="11">
                  <c:v>0.54047999999999996</c:v>
                </c:pt>
                <c:pt idx="12">
                  <c:v>0.50616000000000005</c:v>
                </c:pt>
                <c:pt idx="13">
                  <c:v>0.47043000000000001</c:v>
                </c:pt>
                <c:pt idx="14">
                  <c:v>0.43359000000000003</c:v>
                </c:pt>
                <c:pt idx="15">
                  <c:v>0.39593999999999996</c:v>
                </c:pt>
                <c:pt idx="16">
                  <c:v>0.35777999999999999</c:v>
                </c:pt>
                <c:pt idx="17">
                  <c:v>0.31937000000000004</c:v>
                </c:pt>
                <c:pt idx="18">
                  <c:v>0.28098999999999996</c:v>
                </c:pt>
                <c:pt idx="19">
                  <c:v>0.24264999999999998</c:v>
                </c:pt>
                <c:pt idx="20">
                  <c:v>0.20434999999999998</c:v>
                </c:pt>
                <c:pt idx="21">
                  <c:v>0.16637999999999997</c:v>
                </c:pt>
                <c:pt idx="22">
                  <c:v>0.12886999999999998</c:v>
                </c:pt>
                <c:pt idx="23">
                  <c:v>9.2040000000000011E-2</c:v>
                </c:pt>
                <c:pt idx="24">
                  <c:v>5.6089999999999973E-2</c:v>
                </c:pt>
                <c:pt idx="25">
                  <c:v>2.1199999999999997E-2</c:v>
                </c:pt>
                <c:pt idx="26">
                  <c:v>-1.2399999999999994E-2</c:v>
                </c:pt>
                <c:pt idx="27">
                  <c:v>-4.4509999999999994E-2</c:v>
                </c:pt>
                <c:pt idx="28">
                  <c:v>-7.4959999999999999E-2</c:v>
                </c:pt>
                <c:pt idx="29">
                  <c:v>-0.10352</c:v>
                </c:pt>
                <c:pt idx="30">
                  <c:v>-0.13001000000000001</c:v>
                </c:pt>
                <c:pt idx="31">
                  <c:v>-0.15423999999999999</c:v>
                </c:pt>
                <c:pt idx="32">
                  <c:v>-0.17604999999999998</c:v>
                </c:pt>
                <c:pt idx="33">
                  <c:v>-0.19531999999999999</c:v>
                </c:pt>
                <c:pt idx="34">
                  <c:v>-0.21189</c:v>
                </c:pt>
                <c:pt idx="35">
                  <c:v>-0.22567000000000001</c:v>
                </c:pt>
                <c:pt idx="36">
                  <c:v>-0.23662</c:v>
                </c:pt>
                <c:pt idx="37">
                  <c:v>-0.24451999999999999</c:v>
                </c:pt>
                <c:pt idx="38">
                  <c:v>-0.24901999999999999</c:v>
                </c:pt>
                <c:pt idx="39">
                  <c:v>-0.25</c:v>
                </c:pt>
                <c:pt idx="40">
                  <c:v>-0.24901999999999999</c:v>
                </c:pt>
                <c:pt idx="41">
                  <c:v>-0.24451999999999999</c:v>
                </c:pt>
                <c:pt idx="42">
                  <c:v>-0.23662</c:v>
                </c:pt>
                <c:pt idx="43">
                  <c:v>-0.22567000000000001</c:v>
                </c:pt>
                <c:pt idx="44">
                  <c:v>-0.21189</c:v>
                </c:pt>
                <c:pt idx="45">
                  <c:v>-0.19531999999999999</c:v>
                </c:pt>
                <c:pt idx="46">
                  <c:v>-0.17604999999999998</c:v>
                </c:pt>
                <c:pt idx="47">
                  <c:v>-0.15423999999999999</c:v>
                </c:pt>
                <c:pt idx="48">
                  <c:v>-0.13001000000000001</c:v>
                </c:pt>
                <c:pt idx="49">
                  <c:v>-0.10352</c:v>
                </c:pt>
                <c:pt idx="50">
                  <c:v>-7.4959999999999999E-2</c:v>
                </c:pt>
                <c:pt idx="51">
                  <c:v>-4.4509999999999994E-2</c:v>
                </c:pt>
                <c:pt idx="52">
                  <c:v>-1.2399999999999994E-2</c:v>
                </c:pt>
                <c:pt idx="53">
                  <c:v>2.1199999999999997E-2</c:v>
                </c:pt>
                <c:pt idx="54">
                  <c:v>5.6089999999999973E-2</c:v>
                </c:pt>
                <c:pt idx="55">
                  <c:v>9.2040000000000011E-2</c:v>
                </c:pt>
                <c:pt idx="56">
                  <c:v>0.12886999999999998</c:v>
                </c:pt>
                <c:pt idx="57">
                  <c:v>0.16637999999999997</c:v>
                </c:pt>
                <c:pt idx="58">
                  <c:v>0.20434999999999998</c:v>
                </c:pt>
                <c:pt idx="59">
                  <c:v>0.24264999999999998</c:v>
                </c:pt>
                <c:pt idx="60">
                  <c:v>0.28098999999999996</c:v>
                </c:pt>
                <c:pt idx="61">
                  <c:v>0.31937000000000004</c:v>
                </c:pt>
                <c:pt idx="62">
                  <c:v>0.35777999999999999</c:v>
                </c:pt>
                <c:pt idx="63">
                  <c:v>0.39593999999999996</c:v>
                </c:pt>
                <c:pt idx="64">
                  <c:v>0.43359000000000003</c:v>
                </c:pt>
                <c:pt idx="65">
                  <c:v>0.47043000000000001</c:v>
                </c:pt>
                <c:pt idx="66">
                  <c:v>0.50616000000000005</c:v>
                </c:pt>
                <c:pt idx="67">
                  <c:v>0.54047999999999996</c:v>
                </c:pt>
                <c:pt idx="68">
                  <c:v>0.57308999999999999</c:v>
                </c:pt>
                <c:pt idx="69">
                  <c:v>0.60370000000000001</c:v>
                </c:pt>
                <c:pt idx="70">
                  <c:v>0.63202000000000003</c:v>
                </c:pt>
                <c:pt idx="71">
                  <c:v>0.65774999999999995</c:v>
                </c:pt>
                <c:pt idx="72">
                  <c:v>0.68064000000000002</c:v>
                </c:pt>
                <c:pt idx="73">
                  <c:v>0.70043999999999995</c:v>
                </c:pt>
                <c:pt idx="74">
                  <c:v>0.71697999999999995</c:v>
                </c:pt>
                <c:pt idx="75">
                  <c:v>0.73036999999999996</c:v>
                </c:pt>
                <c:pt idx="76">
                  <c:v>0.74070000000000003</c:v>
                </c:pt>
                <c:pt idx="77">
                  <c:v>0.74753999999999998</c:v>
                </c:pt>
                <c:pt idx="78">
                  <c:v>0.75</c:v>
                </c:pt>
              </c:numCache>
            </c:numRef>
          </c:xVal>
          <c:yVal>
            <c:numRef>
              <c:f>draw!$N$2:$N$80</c:f>
              <c:numCache>
                <c:formatCode>General</c:formatCode>
                <c:ptCount val="79"/>
                <c:pt idx="0">
                  <c:v>-3.3710000000000004E-2</c:v>
                </c:pt>
                <c:pt idx="1">
                  <c:v>-3.3220000000000006E-2</c:v>
                </c:pt>
                <c:pt idx="2">
                  <c:v>-3.1860000000000006E-2</c:v>
                </c:pt>
                <c:pt idx="3">
                  <c:v>-2.9830000000000002E-2</c:v>
                </c:pt>
                <c:pt idx="4">
                  <c:v>-2.7230000000000004E-2</c:v>
                </c:pt>
                <c:pt idx="5">
                  <c:v>-2.4090000000000004E-2</c:v>
                </c:pt>
                <c:pt idx="6">
                  <c:v>-2.0430000000000004E-2</c:v>
                </c:pt>
                <c:pt idx="7">
                  <c:v>-1.6350000000000003E-2</c:v>
                </c:pt>
                <c:pt idx="8">
                  <c:v>-1.1950000000000002E-2</c:v>
                </c:pt>
                <c:pt idx="9">
                  <c:v>-7.3400000000000028E-3</c:v>
                </c:pt>
                <c:pt idx="10">
                  <c:v>-2.6200000000000043E-3</c:v>
                </c:pt>
                <c:pt idx="11">
                  <c:v>2.0999999999999977E-3</c:v>
                </c:pt>
                <c:pt idx="12">
                  <c:v>6.7599999999999952E-3</c:v>
                </c:pt>
                <c:pt idx="13">
                  <c:v>1.1269999999999995E-2</c:v>
                </c:pt>
                <c:pt idx="14">
                  <c:v>1.5579999999999997E-2</c:v>
                </c:pt>
                <c:pt idx="15">
                  <c:v>1.9629999999999995E-2</c:v>
                </c:pt>
                <c:pt idx="16">
                  <c:v>2.3349999999999996E-2</c:v>
                </c:pt>
                <c:pt idx="17">
                  <c:v>2.6709999999999998E-2</c:v>
                </c:pt>
                <c:pt idx="18">
                  <c:v>2.9659999999999992E-2</c:v>
                </c:pt>
                <c:pt idx="19">
                  <c:v>3.2140000000000002E-2</c:v>
                </c:pt>
                <c:pt idx="20">
                  <c:v>3.4110000000000001E-2</c:v>
                </c:pt>
                <c:pt idx="21">
                  <c:v>3.5540000000000002E-2</c:v>
                </c:pt>
                <c:pt idx="22">
                  <c:v>3.644E-2</c:v>
                </c:pt>
                <c:pt idx="23">
                  <c:v>3.685999999999999E-2</c:v>
                </c:pt>
                <c:pt idx="24">
                  <c:v>3.6799999999999999E-2</c:v>
                </c:pt>
                <c:pt idx="25">
                  <c:v>3.619E-2</c:v>
                </c:pt>
                <c:pt idx="26">
                  <c:v>3.4930000000000003E-2</c:v>
                </c:pt>
                <c:pt idx="27">
                  <c:v>3.2919999999999991E-2</c:v>
                </c:pt>
                <c:pt idx="28">
                  <c:v>3.0049999999999993E-2</c:v>
                </c:pt>
                <c:pt idx="29">
                  <c:v>2.6279999999999998E-2</c:v>
                </c:pt>
                <c:pt idx="30">
                  <c:v>2.1619999999999993E-2</c:v>
                </c:pt>
                <c:pt idx="31">
                  <c:v>1.6129999999999999E-2</c:v>
                </c:pt>
                <c:pt idx="32">
                  <c:v>9.9099999999999952E-3</c:v>
                </c:pt>
                <c:pt idx="33">
                  <c:v>3.1199999999999978E-3</c:v>
                </c:pt>
                <c:pt idx="34">
                  <c:v>-4.0200000000000027E-3</c:v>
                </c:pt>
                <c:pt idx="35">
                  <c:v>-1.1260000000000003E-2</c:v>
                </c:pt>
                <c:pt idx="36">
                  <c:v>-1.8380000000000004E-2</c:v>
                </c:pt>
                <c:pt idx="37">
                  <c:v>-2.5110000000000004E-2</c:v>
                </c:pt>
                <c:pt idx="38">
                  <c:v>-3.1180000000000003E-2</c:v>
                </c:pt>
                <c:pt idx="39">
                  <c:v>-3.5030000000000006E-2</c:v>
                </c:pt>
                <c:pt idx="40">
                  <c:v>-3.8320000000000007E-2</c:v>
                </c:pt>
                <c:pt idx="41">
                  <c:v>-4.1950000000000001E-2</c:v>
                </c:pt>
                <c:pt idx="42">
                  <c:v>-4.4560000000000002E-2</c:v>
                </c:pt>
                <c:pt idx="43">
                  <c:v>-4.6270000000000006E-2</c:v>
                </c:pt>
                <c:pt idx="44">
                  <c:v>-4.7240000000000004E-2</c:v>
                </c:pt>
                <c:pt idx="45">
                  <c:v>-4.7560000000000005E-2</c:v>
                </c:pt>
                <c:pt idx="46">
                  <c:v>-4.7290000000000006E-2</c:v>
                </c:pt>
                <c:pt idx="47">
                  <c:v>-4.6520000000000006E-2</c:v>
                </c:pt>
                <c:pt idx="48">
                  <c:v>-4.5330000000000002E-2</c:v>
                </c:pt>
                <c:pt idx="49">
                  <c:v>-4.3820000000000005E-2</c:v>
                </c:pt>
                <c:pt idx="50">
                  <c:v>-4.2090000000000002E-2</c:v>
                </c:pt>
                <c:pt idx="51">
                  <c:v>-4.0220000000000006E-2</c:v>
                </c:pt>
                <c:pt idx="52">
                  <c:v>-3.823E-2</c:v>
                </c:pt>
                <c:pt idx="53">
                  <c:v>-3.6150000000000002E-2</c:v>
                </c:pt>
                <c:pt idx="54">
                  <c:v>-3.3980000000000003E-2</c:v>
                </c:pt>
                <c:pt idx="55">
                  <c:v>-3.1700000000000006E-2</c:v>
                </c:pt>
                <c:pt idx="56">
                  <c:v>-2.9370000000000004E-2</c:v>
                </c:pt>
                <c:pt idx="57">
                  <c:v>-2.7080000000000003E-2</c:v>
                </c:pt>
                <c:pt idx="58">
                  <c:v>-2.4980000000000002E-2</c:v>
                </c:pt>
                <c:pt idx="59">
                  <c:v>-2.3230000000000004E-2</c:v>
                </c:pt>
                <c:pt idx="60">
                  <c:v>-2.1900000000000003E-2</c:v>
                </c:pt>
                <c:pt idx="61">
                  <c:v>-2.1030000000000004E-2</c:v>
                </c:pt>
                <c:pt idx="62">
                  <c:v>-2.0600000000000004E-2</c:v>
                </c:pt>
                <c:pt idx="63">
                  <c:v>-2.0600000000000004E-2</c:v>
                </c:pt>
                <c:pt idx="64">
                  <c:v>-2.0980000000000006E-2</c:v>
                </c:pt>
                <c:pt idx="65">
                  <c:v>-2.1690000000000001E-2</c:v>
                </c:pt>
                <c:pt idx="66">
                  <c:v>-2.2670000000000003E-2</c:v>
                </c:pt>
                <c:pt idx="67">
                  <c:v>-2.3860000000000003E-2</c:v>
                </c:pt>
                <c:pt idx="68">
                  <c:v>-2.5200000000000004E-2</c:v>
                </c:pt>
                <c:pt idx="69">
                  <c:v>-2.6640000000000004E-2</c:v>
                </c:pt>
                <c:pt idx="70">
                  <c:v>-2.8120000000000003E-2</c:v>
                </c:pt>
                <c:pt idx="71">
                  <c:v>-2.9600000000000001E-2</c:v>
                </c:pt>
                <c:pt idx="72">
                  <c:v>-3.1020000000000002E-2</c:v>
                </c:pt>
                <c:pt idx="73">
                  <c:v>-3.2350000000000004E-2</c:v>
                </c:pt>
                <c:pt idx="74">
                  <c:v>-3.354E-2</c:v>
                </c:pt>
                <c:pt idx="75">
                  <c:v>-3.4590000000000003E-2</c:v>
                </c:pt>
                <c:pt idx="76">
                  <c:v>-3.5460000000000005E-2</c:v>
                </c:pt>
                <c:pt idx="77">
                  <c:v>-3.6070000000000005E-2</c:v>
                </c:pt>
                <c:pt idx="78">
                  <c:v>-3.6300000000000006E-2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317472"/>
        <c:axId val="2086318016"/>
      </c:scatterChart>
      <c:valAx>
        <c:axId val="2086317472"/>
        <c:scaling>
          <c:orientation val="minMax"/>
          <c:max val="0.75000000000000011"/>
          <c:min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6318016"/>
        <c:crosses val="autoZero"/>
        <c:crossBetween val="midCat"/>
      </c:valAx>
      <c:valAx>
        <c:axId val="2086318016"/>
        <c:scaling>
          <c:orientation val="minMax"/>
          <c:max val="0.2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631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draw!$P$2:$P$80</c:f>
              <c:numCache>
                <c:formatCode>General</c:formatCode>
                <c:ptCount val="79"/>
                <c:pt idx="0">
                  <c:v>2.355</c:v>
                </c:pt>
                <c:pt idx="1">
                  <c:v>2.3472756000000001</c:v>
                </c:pt>
                <c:pt idx="2">
                  <c:v>2.3257980000000003</c:v>
                </c:pt>
                <c:pt idx="3">
                  <c:v>2.2933618</c:v>
                </c:pt>
                <c:pt idx="4">
                  <c:v>2.2513171999999999</c:v>
                </c:pt>
                <c:pt idx="5">
                  <c:v>2.1993815999999997</c:v>
                </c:pt>
                <c:pt idx="6">
                  <c:v>2.1372096000000003</c:v>
                </c:pt>
                <c:pt idx="7">
                  <c:v>2.0653349999999997</c:v>
                </c:pt>
                <c:pt idx="8">
                  <c:v>1.9845428000000001</c:v>
                </c:pt>
                <c:pt idx="9">
                  <c:v>1.895618</c:v>
                </c:pt>
                <c:pt idx="10">
                  <c:v>1.7995026000000001</c:v>
                </c:pt>
                <c:pt idx="11">
                  <c:v>1.6971072</c:v>
                </c:pt>
                <c:pt idx="12">
                  <c:v>1.5893424000000003</c:v>
                </c:pt>
                <c:pt idx="13">
                  <c:v>1.4771502000000001</c:v>
                </c:pt>
                <c:pt idx="14">
                  <c:v>1.3614726000000001</c:v>
                </c:pt>
                <c:pt idx="15">
                  <c:v>1.2432516</c:v>
                </c:pt>
                <c:pt idx="16">
                  <c:v>1.1234291999999999</c:v>
                </c:pt>
                <c:pt idx="17">
                  <c:v>1.0028218000000002</c:v>
                </c:pt>
                <c:pt idx="18">
                  <c:v>0.88230859999999989</c:v>
                </c:pt>
                <c:pt idx="19">
                  <c:v>0.76192099999999996</c:v>
                </c:pt>
                <c:pt idx="20">
                  <c:v>0.64165899999999998</c:v>
                </c:pt>
                <c:pt idx="21">
                  <c:v>0.52243319999999993</c:v>
                </c:pt>
                <c:pt idx="22">
                  <c:v>0.40465179999999995</c:v>
                </c:pt>
                <c:pt idx="23">
                  <c:v>0.28900560000000003</c:v>
                </c:pt>
                <c:pt idx="24">
                  <c:v>0.17612259999999993</c:v>
                </c:pt>
                <c:pt idx="25">
                  <c:v>6.6567999999999988E-2</c:v>
                </c:pt>
                <c:pt idx="26">
                  <c:v>-3.8935999999999985E-2</c:v>
                </c:pt>
                <c:pt idx="27">
                  <c:v>-0.13976139999999998</c:v>
                </c:pt>
                <c:pt idx="28">
                  <c:v>-0.23537440000000001</c:v>
                </c:pt>
                <c:pt idx="29">
                  <c:v>-0.32505280000000003</c:v>
                </c:pt>
                <c:pt idx="30">
                  <c:v>-0.40823140000000008</c:v>
                </c:pt>
                <c:pt idx="31">
                  <c:v>-0.48431359999999996</c:v>
                </c:pt>
                <c:pt idx="32">
                  <c:v>-0.55279699999999998</c:v>
                </c:pt>
                <c:pt idx="33">
                  <c:v>-0.61330479999999998</c:v>
                </c:pt>
                <c:pt idx="34">
                  <c:v>-0.6653346</c:v>
                </c:pt>
                <c:pt idx="35">
                  <c:v>-0.70860380000000001</c:v>
                </c:pt>
                <c:pt idx="36">
                  <c:v>-0.74298680000000006</c:v>
                </c:pt>
                <c:pt idx="37">
                  <c:v>-0.76779279999999994</c:v>
                </c:pt>
                <c:pt idx="38">
                  <c:v>-0.78192280000000003</c:v>
                </c:pt>
                <c:pt idx="39">
                  <c:v>-0.78500000000000003</c:v>
                </c:pt>
                <c:pt idx="40">
                  <c:v>-0.78192280000000003</c:v>
                </c:pt>
                <c:pt idx="41">
                  <c:v>-0.76779279999999994</c:v>
                </c:pt>
                <c:pt idx="42">
                  <c:v>-0.74298680000000006</c:v>
                </c:pt>
                <c:pt idx="43">
                  <c:v>-0.70860380000000001</c:v>
                </c:pt>
                <c:pt idx="44">
                  <c:v>-0.6653346</c:v>
                </c:pt>
                <c:pt idx="45">
                  <c:v>-0.61330479999999998</c:v>
                </c:pt>
                <c:pt idx="46">
                  <c:v>-0.55279699999999998</c:v>
                </c:pt>
                <c:pt idx="47">
                  <c:v>-0.48431359999999996</c:v>
                </c:pt>
                <c:pt idx="48">
                  <c:v>-0.40823140000000008</c:v>
                </c:pt>
                <c:pt idx="49">
                  <c:v>-0.32505280000000003</c:v>
                </c:pt>
                <c:pt idx="50">
                  <c:v>-0.23537440000000001</c:v>
                </c:pt>
                <c:pt idx="51">
                  <c:v>-0.13976139999999998</c:v>
                </c:pt>
                <c:pt idx="52">
                  <c:v>-3.8935999999999985E-2</c:v>
                </c:pt>
                <c:pt idx="53">
                  <c:v>6.6567999999999988E-2</c:v>
                </c:pt>
                <c:pt idx="54">
                  <c:v>0.17612259999999993</c:v>
                </c:pt>
                <c:pt idx="55">
                  <c:v>0.28900560000000003</c:v>
                </c:pt>
                <c:pt idx="56">
                  <c:v>0.40465179999999995</c:v>
                </c:pt>
                <c:pt idx="57">
                  <c:v>0.52243319999999993</c:v>
                </c:pt>
                <c:pt idx="58">
                  <c:v>0.64165899999999998</c:v>
                </c:pt>
                <c:pt idx="59">
                  <c:v>0.76192099999999996</c:v>
                </c:pt>
                <c:pt idx="60">
                  <c:v>0.88230859999999989</c:v>
                </c:pt>
                <c:pt idx="61">
                  <c:v>1.0028218000000002</c:v>
                </c:pt>
                <c:pt idx="62">
                  <c:v>1.1234291999999999</c:v>
                </c:pt>
                <c:pt idx="63">
                  <c:v>1.2432516</c:v>
                </c:pt>
                <c:pt idx="64">
                  <c:v>1.3614726000000001</c:v>
                </c:pt>
                <c:pt idx="65">
                  <c:v>1.4771502000000001</c:v>
                </c:pt>
                <c:pt idx="66">
                  <c:v>1.5893424000000003</c:v>
                </c:pt>
                <c:pt idx="67">
                  <c:v>1.6971072</c:v>
                </c:pt>
                <c:pt idx="68">
                  <c:v>1.7995026000000001</c:v>
                </c:pt>
                <c:pt idx="69">
                  <c:v>1.895618</c:v>
                </c:pt>
                <c:pt idx="70">
                  <c:v>1.9845428000000001</c:v>
                </c:pt>
                <c:pt idx="71">
                  <c:v>2.0653349999999997</c:v>
                </c:pt>
                <c:pt idx="72">
                  <c:v>2.1372096000000003</c:v>
                </c:pt>
                <c:pt idx="73">
                  <c:v>2.1993815999999997</c:v>
                </c:pt>
                <c:pt idx="74">
                  <c:v>2.2513171999999999</c:v>
                </c:pt>
                <c:pt idx="75">
                  <c:v>2.2933618</c:v>
                </c:pt>
                <c:pt idx="76">
                  <c:v>2.3257980000000003</c:v>
                </c:pt>
                <c:pt idx="77">
                  <c:v>2.3472756000000001</c:v>
                </c:pt>
                <c:pt idx="78">
                  <c:v>2.355</c:v>
                </c:pt>
              </c:numCache>
            </c:numRef>
          </c:xVal>
          <c:yVal>
            <c:numRef>
              <c:f>draw!$Q$2:$Q$80</c:f>
              <c:numCache>
                <c:formatCode>General</c:formatCode>
                <c:ptCount val="79"/>
                <c:pt idx="0">
                  <c:v>-0.10584940000000001</c:v>
                </c:pt>
                <c:pt idx="1">
                  <c:v>-0.10431080000000002</c:v>
                </c:pt>
                <c:pt idx="2">
                  <c:v>-0.10004040000000003</c:v>
                </c:pt>
                <c:pt idx="3">
                  <c:v>-9.3666200000000005E-2</c:v>
                </c:pt>
                <c:pt idx="4">
                  <c:v>-8.5502200000000014E-2</c:v>
                </c:pt>
                <c:pt idx="5">
                  <c:v>-7.5642600000000018E-2</c:v>
                </c:pt>
                <c:pt idx="6">
                  <c:v>-6.4150200000000018E-2</c:v>
                </c:pt>
                <c:pt idx="7">
                  <c:v>-5.133900000000001E-2</c:v>
                </c:pt>
                <c:pt idx="8">
                  <c:v>-3.7523000000000008E-2</c:v>
                </c:pt>
                <c:pt idx="9">
                  <c:v>-2.3047600000000008E-2</c:v>
                </c:pt>
                <c:pt idx="10">
                  <c:v>-8.2268000000000133E-3</c:v>
                </c:pt>
                <c:pt idx="11">
                  <c:v>6.5939999999999931E-3</c:v>
                </c:pt>
                <c:pt idx="12">
                  <c:v>2.1226399999999986E-2</c:v>
                </c:pt>
                <c:pt idx="13">
                  <c:v>3.538779999999999E-2</c:v>
                </c:pt>
                <c:pt idx="14">
                  <c:v>4.8921199999999991E-2</c:v>
                </c:pt>
                <c:pt idx="15">
                  <c:v>6.1638199999999983E-2</c:v>
                </c:pt>
                <c:pt idx="16">
                  <c:v>7.3318999999999995E-2</c:v>
                </c:pt>
                <c:pt idx="17">
                  <c:v>8.3869399999999997E-2</c:v>
                </c:pt>
                <c:pt idx="18">
                  <c:v>9.3132399999999976E-2</c:v>
                </c:pt>
                <c:pt idx="19">
                  <c:v>0.10091960000000001</c:v>
                </c:pt>
                <c:pt idx="20">
                  <c:v>0.1071054</c:v>
                </c:pt>
                <c:pt idx="21">
                  <c:v>0.11159560000000002</c:v>
                </c:pt>
                <c:pt idx="22">
                  <c:v>0.1144216</c:v>
                </c:pt>
                <c:pt idx="23">
                  <c:v>0.11574039999999998</c:v>
                </c:pt>
                <c:pt idx="24">
                  <c:v>0.115552</c:v>
                </c:pt>
                <c:pt idx="25">
                  <c:v>0.1136366</c:v>
                </c:pt>
                <c:pt idx="26">
                  <c:v>0.10968020000000002</c:v>
                </c:pt>
                <c:pt idx="27">
                  <c:v>0.10336879999999997</c:v>
                </c:pt>
                <c:pt idx="28">
                  <c:v>9.4356999999999983E-2</c:v>
                </c:pt>
                <c:pt idx="29">
                  <c:v>8.2519200000000001E-2</c:v>
                </c:pt>
                <c:pt idx="30">
                  <c:v>6.7886799999999983E-2</c:v>
                </c:pt>
                <c:pt idx="31">
                  <c:v>5.0648199999999997E-2</c:v>
                </c:pt>
                <c:pt idx="32">
                  <c:v>3.1117399999999986E-2</c:v>
                </c:pt>
                <c:pt idx="33">
                  <c:v>9.7967999999999927E-3</c:v>
                </c:pt>
                <c:pt idx="34">
                  <c:v>-1.2622800000000009E-2</c:v>
                </c:pt>
                <c:pt idx="35">
                  <c:v>-3.535640000000001E-2</c:v>
                </c:pt>
                <c:pt idx="36">
                  <c:v>-5.7713200000000013E-2</c:v>
                </c:pt>
                <c:pt idx="37">
                  <c:v>-7.884540000000001E-2</c:v>
                </c:pt>
                <c:pt idx="38">
                  <c:v>-9.7905200000000012E-2</c:v>
                </c:pt>
                <c:pt idx="39">
                  <c:v>-0.10999420000000003</c:v>
                </c:pt>
                <c:pt idx="40">
                  <c:v>-0.12032480000000002</c:v>
                </c:pt>
                <c:pt idx="41">
                  <c:v>-0.13172300000000001</c:v>
                </c:pt>
                <c:pt idx="42">
                  <c:v>-0.13991840000000003</c:v>
                </c:pt>
                <c:pt idx="43">
                  <c:v>-0.14528780000000002</c:v>
                </c:pt>
                <c:pt idx="44">
                  <c:v>-0.14833360000000001</c:v>
                </c:pt>
                <c:pt idx="45">
                  <c:v>-0.14933840000000001</c:v>
                </c:pt>
                <c:pt idx="46">
                  <c:v>-0.14849060000000003</c:v>
                </c:pt>
                <c:pt idx="47">
                  <c:v>-0.14607280000000003</c:v>
                </c:pt>
                <c:pt idx="48">
                  <c:v>-0.14233620000000002</c:v>
                </c:pt>
                <c:pt idx="49">
                  <c:v>-0.13759480000000002</c:v>
                </c:pt>
                <c:pt idx="50">
                  <c:v>-0.13216260000000002</c:v>
                </c:pt>
                <c:pt idx="51">
                  <c:v>-0.12629080000000004</c:v>
                </c:pt>
                <c:pt idx="52">
                  <c:v>-0.1200422</c:v>
                </c:pt>
                <c:pt idx="53">
                  <c:v>-0.11351100000000001</c:v>
                </c:pt>
                <c:pt idx="54">
                  <c:v>-0.10669720000000002</c:v>
                </c:pt>
                <c:pt idx="55">
                  <c:v>-9.9538000000000029E-2</c:v>
                </c:pt>
                <c:pt idx="56">
                  <c:v>-9.222180000000002E-2</c:v>
                </c:pt>
                <c:pt idx="57">
                  <c:v>-8.5031200000000015E-2</c:v>
                </c:pt>
                <c:pt idx="58">
                  <c:v>-7.8437200000000012E-2</c:v>
                </c:pt>
                <c:pt idx="59">
                  <c:v>-7.2942200000000013E-2</c:v>
                </c:pt>
                <c:pt idx="60">
                  <c:v>-6.8766000000000008E-2</c:v>
                </c:pt>
                <c:pt idx="61">
                  <c:v>-6.6034200000000015E-2</c:v>
                </c:pt>
                <c:pt idx="62">
                  <c:v>-6.4684000000000019E-2</c:v>
                </c:pt>
                <c:pt idx="63">
                  <c:v>-6.4684000000000019E-2</c:v>
                </c:pt>
                <c:pt idx="64">
                  <c:v>-6.5877200000000025E-2</c:v>
                </c:pt>
                <c:pt idx="65">
                  <c:v>-6.8106600000000003E-2</c:v>
                </c:pt>
                <c:pt idx="66">
                  <c:v>-7.1183800000000005E-2</c:v>
                </c:pt>
                <c:pt idx="67">
                  <c:v>-7.4920400000000012E-2</c:v>
                </c:pt>
                <c:pt idx="68">
                  <c:v>-7.9128000000000018E-2</c:v>
                </c:pt>
                <c:pt idx="69">
                  <c:v>-8.3649600000000018E-2</c:v>
                </c:pt>
                <c:pt idx="70">
                  <c:v>-8.8296800000000009E-2</c:v>
                </c:pt>
                <c:pt idx="71">
                  <c:v>-9.2944000000000013E-2</c:v>
                </c:pt>
                <c:pt idx="72">
                  <c:v>-9.7402800000000012E-2</c:v>
                </c:pt>
                <c:pt idx="73">
                  <c:v>-0.10157900000000002</c:v>
                </c:pt>
                <c:pt idx="74">
                  <c:v>-0.10531560000000001</c:v>
                </c:pt>
                <c:pt idx="75">
                  <c:v>-0.10861260000000002</c:v>
                </c:pt>
                <c:pt idx="76">
                  <c:v>-0.11134440000000002</c:v>
                </c:pt>
                <c:pt idx="77">
                  <c:v>-0.11325980000000002</c:v>
                </c:pt>
                <c:pt idx="78">
                  <c:v>-0.11398200000000003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1840"/>
        <c:axId val="10429664"/>
      </c:scatterChart>
      <c:valAx>
        <c:axId val="1043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29664"/>
        <c:crosses val="autoZero"/>
        <c:crossBetween val="midCat"/>
      </c:valAx>
      <c:valAx>
        <c:axId val="1042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3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draw!$V$2:$V$80</c:f>
              <c:numCache>
                <c:formatCode>General</c:formatCode>
                <c:ptCount val="79"/>
                <c:pt idx="0">
                  <c:v>1.940092191229879</c:v>
                </c:pt>
                <c:pt idx="1">
                  <c:v>1.9343607737176369</c:v>
                </c:pt>
                <c:pt idx="2">
                  <c:v>1.9184205741109113</c:v>
                </c:pt>
                <c:pt idx="3">
                  <c:v>1.8943072993952668</c:v>
                </c:pt>
                <c:pt idx="4">
                  <c:v>1.8629988780868709</c:v>
                </c:pt>
                <c:pt idx="5">
                  <c:v>1.824205784081983</c:v>
                </c:pt>
                <c:pt idx="6">
                  <c:v>1.7776019167227237</c:v>
                </c:pt>
                <c:pt idx="7">
                  <c:v>1.7234731715972518</c:v>
                </c:pt>
                <c:pt idx="8">
                  <c:v>1.6623183775023467</c:v>
                </c:pt>
                <c:pt idx="9">
                  <c:v>1.5946197044867685</c:v>
                </c:pt>
                <c:pt idx="10">
                  <c:v>1.5210090646026819</c:v>
                </c:pt>
                <c:pt idx="11">
                  <c:v>1.4420750945031571</c:v>
                </c:pt>
                <c:pt idx="12">
                  <c:v>1.3584897245813417</c:v>
                </c:pt>
                <c:pt idx="13">
                  <c:v>1.2709015256374137</c:v>
                </c:pt>
                <c:pt idx="14">
                  <c:v>1.1800257034636128</c:v>
                </c:pt>
                <c:pt idx="15">
                  <c:v>1.0865608051041635</c:v>
                </c:pt>
                <c:pt idx="16">
                  <c:v>0.9911887188552746</c:v>
                </c:pt>
                <c:pt idx="17">
                  <c:v>0.894551501400908</c:v>
                </c:pt>
                <c:pt idx="18">
                  <c:v>0.79731112523114755</c:v>
                </c:pt>
                <c:pt idx="19">
                  <c:v>0.6993942545089803</c:v>
                </c:pt>
                <c:pt idx="20">
                  <c:v>0.60073425424234461</c:v>
                </c:pt>
                <c:pt idx="21">
                  <c:v>0.50205303106843346</c:v>
                </c:pt>
                <c:pt idx="22">
                  <c:v>0.40371326019926546</c:v>
                </c:pt>
                <c:pt idx="23">
                  <c:v>0.30638380169861523</c:v>
                </c:pt>
                <c:pt idx="24">
                  <c:v>0.2105969885880262</c:v>
                </c:pt>
                <c:pt idx="25">
                  <c:v>0.11671530935078142</c:v>
                </c:pt>
                <c:pt idx="26">
                  <c:v>2.5184359481503805E-2</c:v>
                </c:pt>
                <c:pt idx="27">
                  <c:v>-6.3630115478415281E-2</c:v>
                </c:pt>
                <c:pt idx="28">
                  <c:v>-0.14945887868883112</c:v>
                </c:pt>
                <c:pt idx="29">
                  <c:v>-0.23175638216702932</c:v>
                </c:pt>
                <c:pt idx="30">
                  <c:v>-0.31002686744560526</c:v>
                </c:pt>
                <c:pt idx="31">
                  <c:v>-0.38366466566600071</c:v>
                </c:pt>
                <c:pt idx="32">
                  <c:v>-0.45207732293082864</c:v>
                </c:pt>
                <c:pt idx="33">
                  <c:v>-0.51467889945891876</c:v>
                </c:pt>
                <c:pt idx="34">
                  <c:v>-0.57067703637670075</c:v>
                </c:pt>
                <c:pt idx="35">
                  <c:v>-0.61941571512409921</c:v>
                </c:pt>
                <c:pt idx="36">
                  <c:v>-0.6604219766404702</c:v>
                </c:pt>
                <c:pt idx="37">
                  <c:v>-0.69266046840570394</c:v>
                </c:pt>
                <c:pt idx="38">
                  <c:v>-0.71474982143568766</c:v>
                </c:pt>
                <c:pt idx="39">
                  <c:v>-0.72377187122711806</c:v>
                </c:pt>
                <c:pt idx="40">
                  <c:v>-0.72664416751856609</c:v>
                </c:pt>
                <c:pt idx="41">
                  <c:v>-0.72071380006336128</c:v>
                </c:pt>
                <c:pt idx="42">
                  <c:v>-0.70403457894435795</c:v>
                </c:pt>
                <c:pt idx="43">
                  <c:v>-0.67773799192544026</c:v>
                </c:pt>
                <c:pt idx="44">
                  <c:v>-0.64267614529855055</c:v>
                </c:pt>
                <c:pt idx="45">
                  <c:v>-0.59910543440013453</c:v>
                </c:pt>
                <c:pt idx="46">
                  <c:v>-0.54736536157797833</c:v>
                </c:pt>
                <c:pt idx="47">
                  <c:v>-0.48803172198145406</c:v>
                </c:pt>
                <c:pt idx="48">
                  <c:v>-0.42155718540761</c:v>
                </c:pt>
                <c:pt idx="49">
                  <c:v>-0.34853420575383343</c:v>
                </c:pt>
                <c:pt idx="50">
                  <c:v>-0.26963508687074333</c:v>
                </c:pt>
                <c:pt idx="51">
                  <c:v>-0.18547219846185109</c:v>
                </c:pt>
                <c:pt idx="52">
                  <c:v>-9.6691040997962482E-2</c:v>
                </c:pt>
                <c:pt idx="53">
                  <c:v>-3.7940737914355094E-3</c:v>
                </c:pt>
                <c:pt idx="54">
                  <c:v>9.268637013618608E-2</c:v>
                </c:pt>
                <c:pt idx="55">
                  <c:v>0.1921714253061575</c:v>
                </c:pt>
                <c:pt idx="56">
                  <c:v>0.29408203951099765</c:v>
                </c:pt>
                <c:pt idx="57">
                  <c:v>0.39773595099702586</c:v>
                </c:pt>
                <c:pt idx="58">
                  <c:v>0.50229771222031527</c:v>
                </c:pt>
                <c:pt idx="59">
                  <c:v>0.60715476674861879</c:v>
                </c:pt>
                <c:pt idx="60">
                  <c:v>0.71141862046459103</c:v>
                </c:pt>
                <c:pt idx="61">
                  <c:v>0.8150226383761715</c:v>
                </c:pt>
                <c:pt idx="62">
                  <c:v>0.91797352132831256</c:v>
                </c:pt>
                <c:pt idx="63">
                  <c:v>1.0195426618388692</c:v>
                </c:pt>
                <c:pt idx="64">
                  <c:v>1.1191213207199102</c:v>
                </c:pt>
                <c:pt idx="65">
                  <c:v>1.215994292179196</c:v>
                </c:pt>
                <c:pt idx="66">
                  <c:v>1.3094630291725022</c:v>
                </c:pt>
                <c:pt idx="67">
                  <c:v>1.3988289846556046</c:v>
                </c:pt>
                <c:pt idx="68">
                  <c:v>1.483393611584279</c:v>
                </c:pt>
                <c:pt idx="69">
                  <c:v>1.5624683208173631</c:v>
                </c:pt>
                <c:pt idx="70">
                  <c:v>1.6353811819617101</c:v>
                </c:pt>
                <c:pt idx="71">
                  <c:v>1.7014003304770642</c:v>
                </c:pt>
                <c:pt idx="72">
                  <c:v>1.7599603025745889</c:v>
                </c:pt>
                <c:pt idx="73">
                  <c:v>1.8104456582213979</c:v>
                </c:pt>
                <c:pt idx="74">
                  <c:v>1.8524872080892569</c:v>
                </c:pt>
                <c:pt idx="75">
                  <c:v>1.8863777353400144</c:v>
                </c:pt>
                <c:pt idx="76">
                  <c:v>1.9124234248254264</c:v>
                </c:pt>
                <c:pt idx="77">
                  <c:v>1.9296130305332946</c:v>
                </c:pt>
                <c:pt idx="78">
                  <c:v>1.9357775754939328</c:v>
                </c:pt>
              </c:numCache>
            </c:numRef>
          </c:xVal>
          <c:yVal>
            <c:numRef>
              <c:f>draw!$W$2:$W$80</c:f>
              <c:numCache>
                <c:formatCode>General</c:formatCode>
                <c:ptCount val="79"/>
                <c:pt idx="0">
                  <c:v>-1.3391308319239039</c:v>
                </c:pt>
                <c:pt idx="1">
                  <c:v>-1.3337285640093737</c:v>
                </c:pt>
                <c:pt idx="2">
                  <c:v>-1.3187141158204545</c:v>
                </c:pt>
                <c:pt idx="3">
                  <c:v>-1.2961024489520461</c:v>
                </c:pt>
                <c:pt idx="4">
                  <c:v>-1.2668760560795755</c:v>
                </c:pt>
                <c:pt idx="5">
                  <c:v>-1.2309648584241377</c:v>
                </c:pt>
                <c:pt idx="6">
                  <c:v>-1.1882388430597193</c:v>
                </c:pt>
                <c:pt idx="7">
                  <c:v>-1.1392473752133503</c:v>
                </c:pt>
                <c:pt idx="8">
                  <c:v>-1.084673090096185</c:v>
                </c:pt>
                <c:pt idx="9">
                  <c:v>-1.0252252395704522</c:v>
                </c:pt>
                <c:pt idx="10">
                  <c:v>-0.9616697525873813</c:v>
                </c:pt>
                <c:pt idx="11">
                  <c:v>-0.89478251600126324</c:v>
                </c:pt>
                <c:pt idx="12">
                  <c:v>-0.82520633341100302</c:v>
                </c:pt>
                <c:pt idx="13">
                  <c:v>-0.75368051711675232</c:v>
                </c:pt>
                <c:pt idx="14">
                  <c:v>-0.68083791281435424</c:v>
                </c:pt>
                <c:pt idx="15">
                  <c:v>-0.60733798285072882</c:v>
                </c:pt>
                <c:pt idx="16">
                  <c:v>-0.53386680622387384</c:v>
                </c:pt>
                <c:pt idx="17">
                  <c:v>-0.46093736033541677</c:v>
                </c:pt>
                <c:pt idx="18">
                  <c:v>-0.38914917338517008</c:v>
                </c:pt>
                <c:pt idx="19">
                  <c:v>-0.31867860402761233</c:v>
                </c:pt>
                <c:pt idx="20">
                  <c:v>-0.24963211886705222</c:v>
                </c:pt>
                <c:pt idx="21">
                  <c:v>-0.18257267154916307</c:v>
                </c:pt>
                <c:pt idx="22">
                  <c:v>-0.11769020914706592</c:v>
                </c:pt>
                <c:pt idx="23">
                  <c:v>-5.5218140861709994E-2</c:v>
                </c:pt>
                <c:pt idx="24">
                  <c:v>4.5103583466002267E-3</c:v>
                </c:pt>
                <c:pt idx="25">
                  <c:v>6.1009114456049875E-2</c:v>
                </c:pt>
                <c:pt idx="26">
                  <c:v>0.11362880975151676</c:v>
                </c:pt>
                <c:pt idx="27">
                  <c:v>0.16177010276192422</c:v>
                </c:pt>
                <c:pt idx="28">
                  <c:v>0.20485701160916425</c:v>
                </c:pt>
                <c:pt idx="29">
                  <c:v>0.24239991848457762</c:v>
                </c:pt>
                <c:pt idx="30">
                  <c:v>0.27412558257496722</c:v>
                </c:pt>
                <c:pt idx="31">
                  <c:v>0.29987718757450665</c:v>
                </c:pt>
                <c:pt idx="32">
                  <c:v>0.31965436002572417</c:v>
                </c:pt>
                <c:pt idx="33">
                  <c:v>0.33368306136967196</c:v>
                </c:pt>
                <c:pt idx="34">
                  <c:v>0.34228231796180442</c:v>
                </c:pt>
                <c:pt idx="35">
                  <c:v>0.34596761734691411</c:v>
                </c:pt>
                <c:pt idx="36">
                  <c:v>0.34525789085663827</c:v>
                </c:pt>
                <c:pt idx="37">
                  <c:v>0.34050529561372589</c:v>
                </c:pt>
                <c:pt idx="38">
                  <c:v>0.33184542501672787</c:v>
                </c:pt>
                <c:pt idx="39">
                  <c:v>0.32323057165750291</c:v>
                </c:pt>
                <c:pt idx="40">
                  <c:v>0.31284113614761427</c:v>
                </c:pt>
                <c:pt idx="41">
                  <c:v>0.29568285519973814</c:v>
                </c:pt>
                <c:pt idx="42">
                  <c:v>0.27557549833655526</c:v>
                </c:pt>
                <c:pt idx="43">
                  <c:v>0.25278272192567242</c:v>
                </c:pt>
                <c:pt idx="44">
                  <c:v>0.22724515200618983</c:v>
                </c:pt>
                <c:pt idx="45">
                  <c:v>0.19878987371047377</c:v>
                </c:pt>
                <c:pt idx="46">
                  <c:v>0.16740711586419815</c:v>
                </c:pt>
                <c:pt idx="47">
                  <c:v>0.13312386857591216</c:v>
                </c:pt>
                <c:pt idx="48">
                  <c:v>9.5927103613181075E-2</c:v>
                </c:pt>
                <c:pt idx="49">
                  <c:v>5.58171944334767E-2</c:v>
                </c:pt>
                <c:pt idx="50">
                  <c:v>1.284449073831663E-2</c:v>
                </c:pt>
                <c:pt idx="51">
                  <c:v>-3.2904083216642399E-2</c:v>
                </c:pt>
                <c:pt idx="52">
                  <c:v>-8.1098609529204252E-2</c:v>
                </c:pt>
                <c:pt idx="53">
                  <c:v>-0.13153573943634159</c:v>
                </c:pt>
                <c:pt idx="54">
                  <c:v>-0.18388229797774963</c:v>
                </c:pt>
                <c:pt idx="55">
                  <c:v>-0.23770190064692365</c:v>
                </c:pt>
                <c:pt idx="56">
                  <c:v>-0.29285438988605239</c:v>
                </c:pt>
                <c:pt idx="57">
                  <c:v>-0.34924614059452602</c:v>
                </c:pt>
                <c:pt idx="58">
                  <c:v>-0.40690991008216709</c:v>
                </c:pt>
                <c:pt idx="59">
                  <c:v>-0.46605500104201258</c:v>
                </c:pt>
                <c:pt idx="60">
                  <c:v>-0.52638462633916094</c:v>
                </c:pt>
                <c:pt idx="61">
                  <c:v>-0.58800525257792113</c:v>
                </c:pt>
                <c:pt idx="62">
                  <c:v>-0.65084698770812321</c:v>
                </c:pt>
                <c:pt idx="63">
                  <c:v>-0.71441677013426363</c:v>
                </c:pt>
                <c:pt idx="64">
                  <c:v>-0.77814838915256035</c:v>
                </c:pt>
                <c:pt idx="65">
                  <c:v>-0.84140899906717004</c:v>
                </c:pt>
                <c:pt idx="66">
                  <c:v>-0.90353913753117276</c:v>
                </c:pt>
                <c:pt idx="67">
                  <c:v>-0.96387934219764815</c:v>
                </c:pt>
                <c:pt idx="68">
                  <c:v>-1.0217701507196761</c:v>
                </c:pt>
                <c:pt idx="69">
                  <c:v>-1.0765953761494287</c:v>
                </c:pt>
                <c:pt idx="70">
                  <c:v>-1.127712214888001</c:v>
                </c:pt>
                <c:pt idx="71">
                  <c:v>-1.1745144378906269</c:v>
                </c:pt>
                <c:pt idx="72">
                  <c:v>-1.2164258765504634</c:v>
                </c:pt>
                <c:pt idx="73">
                  <c:v>-1.2529502122138967</c:v>
                </c:pt>
                <c:pt idx="74">
                  <c:v>-1.2836711629092825</c:v>
                </c:pt>
                <c:pt idx="75">
                  <c:v>-1.3087719748647884</c:v>
                </c:pt>
                <c:pt idx="76">
                  <c:v>-1.3282961102082429</c:v>
                </c:pt>
                <c:pt idx="77">
                  <c:v>-1.3413143095663729</c:v>
                </c:pt>
                <c:pt idx="78">
                  <c:v>-1.346024544552896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44352"/>
        <c:axId val="10438912"/>
      </c:scatterChart>
      <c:valAx>
        <c:axId val="1044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38912"/>
        <c:crosses val="autoZero"/>
        <c:crossBetween val="midCat"/>
      </c:valAx>
      <c:valAx>
        <c:axId val="1043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4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233795</xdr:colOff>
      <xdr:row>6</xdr:row>
      <xdr:rowOff>92651</xdr:rowOff>
    </xdr:from>
    <xdr:to>
      <xdr:col>13</xdr:col>
      <xdr:colOff>538596</xdr:colOff>
      <xdr:row>22</xdr:row>
      <xdr:rowOff>149802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174625</xdr:colOff>
      <xdr:row>0</xdr:row>
      <xdr:rowOff>15874</xdr:rowOff>
    </xdr:from>
    <xdr:to>
      <xdr:col>35</xdr:col>
      <xdr:colOff>508000</xdr:colOff>
      <xdr:row>13</xdr:row>
      <xdr:rowOff>111125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510598</xdr:colOff>
      <xdr:row>1</xdr:row>
      <xdr:rowOff>141432</xdr:rowOff>
    </xdr:from>
    <xdr:to>
      <xdr:col>26</xdr:col>
      <xdr:colOff>259505</xdr:colOff>
      <xdr:row>6</xdr:row>
      <xdr:rowOff>27027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99598" y="331932"/>
          <a:ext cx="2130157" cy="838095"/>
        </a:xfrm>
        <a:prstGeom prst="rect">
          <a:avLst/>
        </a:prstGeom>
      </xdr:spPr>
    </xdr:pic>
    <xdr:clientData/>
  </xdr:twoCellAnchor>
  <xdr:twoCellAnchor>
    <xdr:from>
      <xdr:col>18</xdr:col>
      <xdr:colOff>25979</xdr:colOff>
      <xdr:row>0</xdr:row>
      <xdr:rowOff>17319</xdr:rowOff>
    </xdr:from>
    <xdr:to>
      <xdr:col>18</xdr:col>
      <xdr:colOff>588818</xdr:colOff>
      <xdr:row>13</xdr:row>
      <xdr:rowOff>164523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111125</xdr:colOff>
      <xdr:row>34</xdr:row>
      <xdr:rowOff>158750</xdr:rowOff>
    </xdr:from>
    <xdr:to>
      <xdr:col>16</xdr:col>
      <xdr:colOff>339725</xdr:colOff>
      <xdr:row>50</xdr:row>
      <xdr:rowOff>134937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12</xdr:row>
      <xdr:rowOff>122583</xdr:rowOff>
    </xdr:from>
    <xdr:to>
      <xdr:col>21</xdr:col>
      <xdr:colOff>34479</xdr:colOff>
      <xdr:row>22</xdr:row>
      <xdr:rowOff>27333</xdr:rowOff>
    </xdr:to>
    <xdr:pic>
      <xdr:nvPicPr>
        <xdr:cNvPr id="2" name="Imagem 1" descr="http://users.frii.com/katana/biketw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18083"/>
          <a:ext cx="4301679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20</xdr:col>
      <xdr:colOff>600075</xdr:colOff>
      <xdr:row>12</xdr:row>
      <xdr:rowOff>74958</xdr:rowOff>
    </xdr:to>
    <xdr:pic>
      <xdr:nvPicPr>
        <xdr:cNvPr id="3" name="Imagem 2" descr="http://users.frii.com/katana/bikeone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1000"/>
          <a:ext cx="4257675" cy="17894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57149</xdr:colOff>
      <xdr:row>2</xdr:row>
      <xdr:rowOff>28575</xdr:rowOff>
    </xdr:from>
    <xdr:to>
      <xdr:col>11</xdr:col>
      <xdr:colOff>238124</xdr:colOff>
      <xdr:row>13</xdr:row>
      <xdr:rowOff>133351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590550</xdr:colOff>
      <xdr:row>16</xdr:row>
      <xdr:rowOff>38100</xdr:rowOff>
    </xdr:from>
    <xdr:to>
      <xdr:col>11</xdr:col>
      <xdr:colOff>161925</xdr:colOff>
      <xdr:row>27</xdr:row>
      <xdr:rowOff>142876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12</xdr:row>
      <xdr:rowOff>47625</xdr:rowOff>
    </xdr:from>
    <xdr:to>
      <xdr:col>14</xdr:col>
      <xdr:colOff>533400</xdr:colOff>
      <xdr:row>20</xdr:row>
      <xdr:rowOff>152400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133349</xdr:colOff>
      <xdr:row>21</xdr:row>
      <xdr:rowOff>47624</xdr:rowOff>
    </xdr:from>
    <xdr:to>
      <xdr:col>14</xdr:col>
      <xdr:colOff>523874</xdr:colOff>
      <xdr:row>30</xdr:row>
      <xdr:rowOff>85725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161925</xdr:colOff>
      <xdr:row>31</xdr:row>
      <xdr:rowOff>0</xdr:rowOff>
    </xdr:from>
    <xdr:to>
      <xdr:col>14</xdr:col>
      <xdr:colOff>571501</xdr:colOff>
      <xdr:row>35</xdr:row>
      <xdr:rowOff>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85725</xdr:colOff>
      <xdr:row>2</xdr:row>
      <xdr:rowOff>57150</xdr:rowOff>
    </xdr:from>
    <xdr:to>
      <xdr:col>14</xdr:col>
      <xdr:colOff>485776</xdr:colOff>
      <xdr:row>11</xdr:row>
      <xdr:rowOff>47626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users.frii.com/katana/biketext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57"/>
  <sheetViews>
    <sheetView tabSelected="1" zoomScaleNormal="100" workbookViewId="0">
      <selection activeCell="K33" sqref="K33"/>
    </sheetView>
  </sheetViews>
  <sheetFormatPr defaultRowHeight="15" x14ac:dyDescent="0.25"/>
  <cols>
    <col min="2" max="3" width="9.28515625" bestFit="1" customWidth="1"/>
    <col min="4" max="4" width="9.5703125" bestFit="1" customWidth="1"/>
    <col min="22" max="22" width="12.85546875" customWidth="1"/>
    <col min="23" max="23" width="9.28515625" bestFit="1" customWidth="1"/>
    <col min="24" max="28" width="8.85546875" customWidth="1"/>
  </cols>
  <sheetData>
    <row r="1" spans="2:36" x14ac:dyDescent="0.25">
      <c r="B1" s="53" t="s">
        <v>113</v>
      </c>
      <c r="C1" s="54"/>
      <c r="D1" s="54"/>
      <c r="E1" s="54"/>
      <c r="F1" s="54"/>
      <c r="G1" s="54"/>
      <c r="H1" s="54" t="s">
        <v>38</v>
      </c>
      <c r="I1" s="54" t="s">
        <v>7</v>
      </c>
      <c r="J1" s="54" t="s">
        <v>8</v>
      </c>
      <c r="K1" s="54" t="s">
        <v>9</v>
      </c>
      <c r="L1" s="54" t="s">
        <v>10</v>
      </c>
      <c r="M1" s="54" t="s">
        <v>14</v>
      </c>
      <c r="N1" s="55" t="s">
        <v>16</v>
      </c>
      <c r="P1" s="53" t="s">
        <v>114</v>
      </c>
      <c r="Q1" s="54"/>
      <c r="R1" s="54"/>
      <c r="S1" s="55"/>
      <c r="U1" s="53" t="s">
        <v>68</v>
      </c>
      <c r="V1" s="54"/>
      <c r="W1" s="54" t="s">
        <v>69</v>
      </c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5"/>
    </row>
    <row r="2" spans="2:36" x14ac:dyDescent="0.25">
      <c r="B2" s="56" t="s">
        <v>21</v>
      </c>
      <c r="C2" s="57">
        <v>0.4</v>
      </c>
      <c r="D2" s="58"/>
      <c r="E2" s="58"/>
      <c r="F2" s="58"/>
      <c r="G2" s="58"/>
      <c r="H2" s="58" t="s">
        <v>60</v>
      </c>
      <c r="I2" s="58">
        <f t="array" ref="I2:N2">LINEST($C$8:$C$29,$B$8:$B$29^{1,2,3,4,5})</f>
        <v>-37.338731560268933</v>
      </c>
      <c r="J2" s="58">
        <v>60.415543266473776</v>
      </c>
      <c r="K2" s="58">
        <v>-40.100332918376608</v>
      </c>
      <c r="L2" s="58">
        <v>10.861528210954219</v>
      </c>
      <c r="M2" s="58">
        <v>1.219433236209029</v>
      </c>
      <c r="N2" s="59">
        <v>5.6324387659485442E-3</v>
      </c>
      <c r="P2" s="60" t="s">
        <v>86</v>
      </c>
      <c r="Q2" s="57" t="s">
        <v>85</v>
      </c>
      <c r="R2" s="57" t="s">
        <v>84</v>
      </c>
      <c r="S2" s="59"/>
      <c r="U2" s="56" t="s">
        <v>75</v>
      </c>
      <c r="V2" s="58">
        <v>15</v>
      </c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9"/>
    </row>
    <row r="3" spans="2:36" x14ac:dyDescent="0.25">
      <c r="B3" s="56" t="s">
        <v>34</v>
      </c>
      <c r="C3" s="57">
        <f>B25</f>
        <v>0.54054999999999997</v>
      </c>
      <c r="D3" s="58"/>
      <c r="E3" s="58"/>
      <c r="F3" s="58"/>
      <c r="G3" s="58"/>
      <c r="H3" s="58"/>
      <c r="I3" s="58" t="s">
        <v>7</v>
      </c>
      <c r="J3" s="58" t="s">
        <v>8</v>
      </c>
      <c r="K3" s="58" t="s">
        <v>9</v>
      </c>
      <c r="L3" s="58" t="s">
        <v>10</v>
      </c>
      <c r="M3" s="58" t="s">
        <v>14</v>
      </c>
      <c r="N3" s="59" t="s">
        <v>16</v>
      </c>
      <c r="P3" s="65">
        <v>3.3799999999999997E-2</v>
      </c>
      <c r="Q3" s="66">
        <v>1.0200000000000001E-2</v>
      </c>
      <c r="R3" s="57">
        <v>76.447000000000003</v>
      </c>
      <c r="S3" s="59"/>
      <c r="U3" s="56" t="s">
        <v>70</v>
      </c>
      <c r="V3" s="69">
        <f>133.332*EXP(20.386-5132/($V$2+273.15))</f>
        <v>1752.2815195738651</v>
      </c>
      <c r="W3" s="69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9"/>
    </row>
    <row r="4" spans="2:36" x14ac:dyDescent="0.25">
      <c r="B4" s="56" t="s">
        <v>39</v>
      </c>
      <c r="C4" s="57">
        <f>B29</f>
        <v>0.66774</v>
      </c>
      <c r="D4" s="58"/>
      <c r="E4" s="58"/>
      <c r="F4" s="58"/>
      <c r="G4" s="58"/>
      <c r="H4" s="58" t="s">
        <v>51</v>
      </c>
      <c r="I4" s="58">
        <f t="array" ref="I4:N4">LINEST($E$8:$E$29,$B$8:$B$29^{1,2,3,4,5})</f>
        <v>1.50306123620251</v>
      </c>
      <c r="J4" s="58">
        <v>-2.5374984706278121</v>
      </c>
      <c r="K4" s="58">
        <v>1.3544276792550067</v>
      </c>
      <c r="L4" s="58">
        <v>-0.24697189759583005</v>
      </c>
      <c r="M4" s="58">
        <v>1.1368965427661736E-2</v>
      </c>
      <c r="N4" s="59">
        <v>6.5704869073511876E-3</v>
      </c>
      <c r="P4" s="65">
        <v>5.1299999999999998E-2</v>
      </c>
      <c r="Q4" s="66">
        <v>1.41E-2</v>
      </c>
      <c r="R4" s="57">
        <v>68.295599999999993</v>
      </c>
      <c r="S4" s="59"/>
      <c r="U4" s="56" t="s">
        <v>74</v>
      </c>
      <c r="V4" s="58">
        <f>101325+$V$5*$V$7*$V$6</f>
        <v>103335.36324999999</v>
      </c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9"/>
    </row>
    <row r="5" spans="2:36" x14ac:dyDescent="0.25">
      <c r="B5" s="56" t="s">
        <v>24</v>
      </c>
      <c r="C5" s="58">
        <f>LARGE(C8:C82,1)</f>
        <v>87823</v>
      </c>
      <c r="D5" s="58"/>
      <c r="E5" s="58"/>
      <c r="F5" s="58"/>
      <c r="G5" s="58"/>
      <c r="H5" s="58"/>
      <c r="I5" s="58" t="s">
        <v>7</v>
      </c>
      <c r="J5" s="58" t="s">
        <v>8</v>
      </c>
      <c r="K5" s="58" t="s">
        <v>9</v>
      </c>
      <c r="L5" s="58" t="s">
        <v>10</v>
      </c>
      <c r="M5" s="58" t="s">
        <v>14</v>
      </c>
      <c r="N5" s="59" t="s">
        <v>16</v>
      </c>
      <c r="P5" s="65">
        <v>6.88E-2</v>
      </c>
      <c r="Q5" s="66">
        <v>1.6799999999999999E-2</v>
      </c>
      <c r="R5" s="57">
        <v>61.126199999999997</v>
      </c>
      <c r="S5" s="59"/>
      <c r="U5" s="56" t="s">
        <v>73</v>
      </c>
      <c r="V5" s="58">
        <v>1025</v>
      </c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67"/>
    </row>
    <row r="6" spans="2:36" x14ac:dyDescent="0.25">
      <c r="B6" s="56"/>
      <c r="C6" s="58"/>
      <c r="D6" s="58"/>
      <c r="E6" s="58"/>
      <c r="F6" s="58"/>
      <c r="G6" s="58"/>
      <c r="H6" s="58" t="s">
        <v>52</v>
      </c>
      <c r="I6" s="58">
        <f t="array" ref="I6:N6">LINEST($D$8:$D$29,$B$8:$B$29^{1,2,3,4,5})</f>
        <v>3.0819874234095983</v>
      </c>
      <c r="J6" s="58">
        <v>-4.8794708765929578</v>
      </c>
      <c r="K6" s="58">
        <v>2.4204718865418942</v>
      </c>
      <c r="L6" s="58">
        <v>-0.42681862066952536</v>
      </c>
      <c r="M6" s="58">
        <v>3.2086211892149004E-2</v>
      </c>
      <c r="N6" s="59">
        <v>1.1964376934400264E-2</v>
      </c>
      <c r="P6" s="65">
        <v>8.6300000000000002E-2</v>
      </c>
      <c r="Q6" s="66">
        <v>1.7999999999999999E-2</v>
      </c>
      <c r="R6" s="57">
        <v>54.955500000000001</v>
      </c>
      <c r="S6" s="59"/>
      <c r="U6" s="56" t="s">
        <v>71</v>
      </c>
      <c r="V6" s="58">
        <v>0.2</v>
      </c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67"/>
    </row>
    <row r="7" spans="2:36" x14ac:dyDescent="0.25">
      <c r="B7" s="56" t="s">
        <v>0</v>
      </c>
      <c r="C7" s="58" t="s">
        <v>15</v>
      </c>
      <c r="D7" s="58" t="s">
        <v>50</v>
      </c>
      <c r="E7" s="58" t="s">
        <v>49</v>
      </c>
      <c r="F7" s="58"/>
      <c r="G7" s="58"/>
      <c r="H7" s="58"/>
      <c r="I7" s="58"/>
      <c r="J7" s="58"/>
      <c r="K7" s="58"/>
      <c r="L7" s="58"/>
      <c r="M7" s="58"/>
      <c r="N7" s="59"/>
      <c r="P7" s="65">
        <v>0.10375</v>
      </c>
      <c r="Q7" s="66">
        <v>1.7999999999999999E-2</v>
      </c>
      <c r="R7" s="57">
        <v>49.703699999999998</v>
      </c>
      <c r="S7" s="59"/>
      <c r="U7" s="56" t="s">
        <v>72</v>
      </c>
      <c r="V7" s="58">
        <v>9.8066499999999994</v>
      </c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9"/>
    </row>
    <row r="8" spans="2:36" x14ac:dyDescent="0.25">
      <c r="B8" s="60">
        <v>0</v>
      </c>
      <c r="C8" s="57">
        <v>0</v>
      </c>
      <c r="D8" s="57">
        <v>1.226E-2</v>
      </c>
      <c r="E8" s="57">
        <v>6.7229999999999998E-3</v>
      </c>
      <c r="F8" s="58"/>
      <c r="G8" s="58"/>
      <c r="H8" s="58"/>
      <c r="I8" s="58"/>
      <c r="J8" s="58"/>
      <c r="K8" s="58"/>
      <c r="L8" s="58"/>
      <c r="M8" s="58"/>
      <c r="N8" s="59"/>
      <c r="P8" s="65">
        <v>0.12125</v>
      </c>
      <c r="Q8" s="66">
        <v>1.7100000000000001E-2</v>
      </c>
      <c r="R8" s="57">
        <v>45.250300000000003</v>
      </c>
      <c r="S8" s="59"/>
      <c r="U8" s="56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9"/>
    </row>
    <row r="9" spans="2:36" x14ac:dyDescent="0.25">
      <c r="B9" s="60">
        <v>3.1800000000000002E-2</v>
      </c>
      <c r="C9" s="57">
        <v>5.9700000000000003E-2</v>
      </c>
      <c r="D9" s="57">
        <v>1.234E-2</v>
      </c>
      <c r="E9" s="57">
        <v>6.5760000000000002E-3</v>
      </c>
      <c r="F9" s="58"/>
      <c r="G9" s="58"/>
      <c r="H9" s="58"/>
      <c r="I9" s="58"/>
      <c r="J9" s="58"/>
      <c r="K9" s="58"/>
      <c r="L9" s="58"/>
      <c r="M9" s="58"/>
      <c r="N9" s="59"/>
      <c r="P9" s="65">
        <v>0.13875000000000001</v>
      </c>
      <c r="Q9" s="66">
        <v>1.55E-2</v>
      </c>
      <c r="R9" s="57">
        <v>41.469200000000001</v>
      </c>
      <c r="S9" s="59"/>
      <c r="U9" s="56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9"/>
    </row>
    <row r="10" spans="2:36" x14ac:dyDescent="0.25">
      <c r="B10" s="60">
        <v>6.3589999999999994E-2</v>
      </c>
      <c r="C10" s="57">
        <v>0.1235</v>
      </c>
      <c r="D10" s="57">
        <v>1.2500000000000001E-2</v>
      </c>
      <c r="E10" s="57">
        <v>6.4359999999999999E-3</v>
      </c>
      <c r="F10" s="57"/>
      <c r="G10" s="57"/>
      <c r="H10" s="58"/>
      <c r="I10" s="58"/>
      <c r="J10" s="57"/>
      <c r="K10" s="58"/>
      <c r="L10" s="58"/>
      <c r="M10" s="58"/>
      <c r="N10" s="59"/>
      <c r="P10" s="65">
        <v>0.15625</v>
      </c>
      <c r="Q10" s="66">
        <v>1.32E-2</v>
      </c>
      <c r="R10" s="57">
        <v>38.2453</v>
      </c>
      <c r="S10" s="67"/>
      <c r="U10" s="56" t="s">
        <v>78</v>
      </c>
      <c r="V10" s="58" t="s">
        <v>79</v>
      </c>
      <c r="W10" s="58" t="s">
        <v>80</v>
      </c>
      <c r="X10" s="58" t="s">
        <v>81</v>
      </c>
      <c r="Y10" s="58" t="s">
        <v>77</v>
      </c>
      <c r="Z10" s="58" t="s">
        <v>87</v>
      </c>
      <c r="AA10" s="58" t="s">
        <v>88</v>
      </c>
      <c r="AB10" s="58" t="s">
        <v>77</v>
      </c>
      <c r="AC10" s="58"/>
      <c r="AD10" s="58"/>
      <c r="AE10" s="58"/>
      <c r="AF10" s="58"/>
      <c r="AG10" s="58"/>
      <c r="AH10" s="58"/>
      <c r="AI10" s="58"/>
      <c r="AJ10" s="59"/>
    </row>
    <row r="11" spans="2:36" x14ac:dyDescent="0.25">
      <c r="B11" s="60">
        <v>9.5390000000000003E-2</v>
      </c>
      <c r="C11" s="57">
        <v>0.19220000000000001</v>
      </c>
      <c r="D11" s="57">
        <v>1.2749999999999999E-2</v>
      </c>
      <c r="E11" s="57">
        <v>6.3270000000000002E-3</v>
      </c>
      <c r="F11" s="57"/>
      <c r="G11" s="57"/>
      <c r="H11" s="58"/>
      <c r="I11" s="58"/>
      <c r="J11" s="57"/>
      <c r="K11" s="58"/>
      <c r="L11" s="58"/>
      <c r="M11" s="58"/>
      <c r="N11" s="59"/>
      <c r="P11" s="65">
        <v>0.17374999999999999</v>
      </c>
      <c r="Q11" s="66">
        <v>1.0200000000000001E-2</v>
      </c>
      <c r="R11" s="57">
        <v>35.4803</v>
      </c>
      <c r="S11" s="59"/>
      <c r="U11" s="56">
        <v>1</v>
      </c>
      <c r="V11" s="70">
        <f>drive_train!N5</f>
        <v>39.313541401172273</v>
      </c>
      <c r="W11" s="71">
        <f t="shared" ref="W11:W16" si="0">V11*0.2</f>
        <v>7.8627082802344548</v>
      </c>
      <c r="X11" s="71">
        <f t="shared" ref="X11:X16" si="1">SQRT(W11^2+U11^2)</f>
        <v>7.9260445053044872</v>
      </c>
      <c r="Y11" s="71">
        <f>($V$3-$V$4-$V$5*$V$6*$V$7)/(0.5*$V$5*X11^2)</f>
        <v>-3.2175506541603025</v>
      </c>
      <c r="Z11" s="71">
        <f t="shared" ref="Z11:Z16" si="2">0.69375*0.2*V11</f>
        <v>5.4547538694126532</v>
      </c>
      <c r="AA11" s="71">
        <f t="shared" ref="AA11:AA16" si="3">SQRT(Z11^2+U11^2)</f>
        <v>5.5456595438119276</v>
      </c>
      <c r="AB11" s="71">
        <f>($V$3-$V$4-$V$5*$V$6*$V$7)/(0.5*$V$5*AA11^2)</f>
        <v>-6.5725212329187759</v>
      </c>
      <c r="AC11" s="58"/>
      <c r="AD11" s="58"/>
      <c r="AE11" s="58"/>
      <c r="AF11" s="58"/>
      <c r="AG11" s="58"/>
      <c r="AH11" s="58"/>
      <c r="AI11" s="58"/>
      <c r="AJ11" s="59"/>
    </row>
    <row r="12" spans="2:36" x14ac:dyDescent="0.25">
      <c r="B12" s="60">
        <v>0.12719</v>
      </c>
      <c r="C12" s="57">
        <v>0.2656</v>
      </c>
      <c r="D12" s="57">
        <v>1.3089999999999999E-2</v>
      </c>
      <c r="E12" s="57">
        <v>6.2690000000000003E-3</v>
      </c>
      <c r="F12" s="57"/>
      <c r="G12" s="57"/>
      <c r="H12" s="58"/>
      <c r="I12" s="58"/>
      <c r="J12" s="57"/>
      <c r="K12" s="58"/>
      <c r="L12" s="58"/>
      <c r="M12" s="58"/>
      <c r="N12" s="59"/>
      <c r="P12" s="65">
        <v>0.19125</v>
      </c>
      <c r="Q12" s="66">
        <v>5.8300000000000001E-3</v>
      </c>
      <c r="R12" s="57">
        <v>33.093299999999999</v>
      </c>
      <c r="S12" s="59"/>
      <c r="U12" s="56">
        <v>2</v>
      </c>
      <c r="V12" s="70">
        <f>drive_train!N7</f>
        <v>39.313541401172273</v>
      </c>
      <c r="W12" s="71">
        <f t="shared" si="0"/>
        <v>7.8627082802344548</v>
      </c>
      <c r="X12" s="71">
        <f t="shared" si="1"/>
        <v>8.1130870511826423</v>
      </c>
      <c r="Y12" s="71">
        <f>($V$3-$V$4-$V$5*$V$6*$V$7)/(0.5*$V$5*X12^2)</f>
        <v>-3.0709032513775329</v>
      </c>
      <c r="Z12" s="71">
        <f t="shared" si="2"/>
        <v>5.4547538694126532</v>
      </c>
      <c r="AA12" s="71">
        <f t="shared" si="3"/>
        <v>5.8098485157422397</v>
      </c>
      <c r="AB12" s="71">
        <f>($V$3-$V$4-$V$5*$V$6*$V$7)/(0.5*$V$5*AA12^2)</f>
        <v>-5.9883722366806564</v>
      </c>
      <c r="AC12" s="58"/>
      <c r="AD12" s="58"/>
      <c r="AE12" s="58"/>
      <c r="AF12" s="58"/>
      <c r="AG12" s="58"/>
      <c r="AH12" s="58"/>
      <c r="AI12" s="58"/>
      <c r="AJ12" s="59"/>
    </row>
    <row r="13" spans="2:36" x14ac:dyDescent="0.25">
      <c r="B13" s="60">
        <v>0.15898999999999999</v>
      </c>
      <c r="C13" s="57">
        <v>0.34260000000000002</v>
      </c>
      <c r="D13" s="57">
        <v>1.3520000000000001E-2</v>
      </c>
      <c r="E13" s="57">
        <v>6.2740000000000001E-3</v>
      </c>
      <c r="F13" s="57"/>
      <c r="G13" s="57"/>
      <c r="H13" s="58"/>
      <c r="I13" s="58"/>
      <c r="J13" s="57"/>
      <c r="K13" s="58"/>
      <c r="L13" s="58"/>
      <c r="M13" s="58"/>
      <c r="N13" s="59"/>
      <c r="P13" s="65">
        <v>0.2</v>
      </c>
      <c r="Q13" s="66">
        <v>3.14E-3</v>
      </c>
      <c r="R13" s="57">
        <v>32.041499999999999</v>
      </c>
      <c r="S13" s="59"/>
      <c r="U13" s="56">
        <v>3</v>
      </c>
      <c r="V13" s="70">
        <f>drive_train!N9</f>
        <v>39.313541401172273</v>
      </c>
      <c r="W13" s="71">
        <f t="shared" si="0"/>
        <v>7.8627082802344548</v>
      </c>
      <c r="X13" s="71">
        <f t="shared" si="1"/>
        <v>8.4155915716049012</v>
      </c>
      <c r="Y13" s="71">
        <f>($V$3-$V$4-$V$5*$V$6*$V$7)/(0.5*$V$5*X13^2)</f>
        <v>-2.854099477027924</v>
      </c>
      <c r="Z13" s="71">
        <f t="shared" si="2"/>
        <v>5.4547538694126532</v>
      </c>
      <c r="AA13" s="71">
        <f t="shared" si="3"/>
        <v>6.2252983684215737</v>
      </c>
      <c r="AB13" s="71">
        <f>($V$3-$V$4-$V$5*$V$6*$V$7)/(0.5*$V$5*AA13^2)</f>
        <v>-5.2157655723285901</v>
      </c>
      <c r="AC13" s="58"/>
      <c r="AD13" s="58"/>
      <c r="AE13" s="58"/>
      <c r="AF13" s="58"/>
      <c r="AG13" s="58"/>
      <c r="AH13" s="58"/>
      <c r="AI13" s="58"/>
      <c r="AJ13" s="59"/>
    </row>
    <row r="14" spans="2:36" ht="15.75" thickBot="1" x14ac:dyDescent="0.3">
      <c r="B14" s="60">
        <v>0.19078000000000001</v>
      </c>
      <c r="C14" s="57">
        <v>0.42120000000000002</v>
      </c>
      <c r="D14" s="57">
        <v>1.4019999999999999E-2</v>
      </c>
      <c r="E14" s="57">
        <v>6.3509999999999999E-3</v>
      </c>
      <c r="F14" s="57"/>
      <c r="G14" s="57"/>
      <c r="H14" s="58"/>
      <c r="I14" s="58"/>
      <c r="J14" s="57"/>
      <c r="K14" s="58"/>
      <c r="L14" s="58"/>
      <c r="M14" s="58"/>
      <c r="N14" s="59"/>
      <c r="P14" s="68"/>
      <c r="Q14" s="63"/>
      <c r="R14" s="63"/>
      <c r="S14" s="64"/>
      <c r="U14" s="56">
        <v>4</v>
      </c>
      <c r="V14" s="70">
        <f>drive_train!N11</f>
        <v>39.313541401172273</v>
      </c>
      <c r="W14" s="71">
        <f t="shared" si="0"/>
        <v>7.8627082802344548</v>
      </c>
      <c r="X14" s="71">
        <f t="shared" si="1"/>
        <v>8.8216881321018974</v>
      </c>
      <c r="Y14" s="71">
        <f>($V$3-$V$4-$V$5*$V$6*$V$7)/(0.5*$V$5*X14^2)</f>
        <v>-2.5973770881910325</v>
      </c>
      <c r="Z14" s="71">
        <f t="shared" si="2"/>
        <v>5.4547538694126532</v>
      </c>
      <c r="AA14" s="71">
        <f t="shared" si="3"/>
        <v>6.7641954270905202</v>
      </c>
      <c r="AB14" s="71">
        <f>($V$3-$V$4-$V$5*$V$6*$V$7)/(0.5*$V$5*AA14^2)</f>
        <v>-4.4178006320596204</v>
      </c>
      <c r="AC14" s="58"/>
      <c r="AD14" s="58"/>
      <c r="AE14" s="58"/>
      <c r="AF14" s="58"/>
      <c r="AG14" s="58"/>
      <c r="AH14" s="58"/>
      <c r="AI14" s="58"/>
      <c r="AJ14" s="59"/>
    </row>
    <row r="15" spans="2:36" x14ac:dyDescent="0.25">
      <c r="B15" s="60">
        <v>0.22258</v>
      </c>
      <c r="C15" s="57">
        <v>0.49880000000000002</v>
      </c>
      <c r="D15" s="57">
        <v>1.4579999999999999E-2</v>
      </c>
      <c r="E15" s="57">
        <v>6.5040000000000002E-3</v>
      </c>
      <c r="F15" s="57"/>
      <c r="G15" s="57"/>
      <c r="H15" s="58"/>
      <c r="I15" s="58"/>
      <c r="J15" s="57"/>
      <c r="K15" s="58"/>
      <c r="L15" s="58"/>
      <c r="M15" s="58"/>
      <c r="N15" s="59"/>
      <c r="U15" s="56">
        <v>5</v>
      </c>
      <c r="V15" s="70">
        <f>drive_train!N13</f>
        <v>43.938663918957246</v>
      </c>
      <c r="W15" s="71">
        <f t="shared" si="0"/>
        <v>8.7877327837914496</v>
      </c>
      <c r="X15" s="71">
        <f t="shared" si="1"/>
        <v>10.1106007476966</v>
      </c>
      <c r="Y15" s="71">
        <f>($V$3-$V$4-$V$5*$V$6*$V$7)/(0.5*$V$5*X15^2)</f>
        <v>-1.9773542595381293</v>
      </c>
      <c r="Z15" s="71">
        <f t="shared" si="2"/>
        <v>6.0964896187553181</v>
      </c>
      <c r="AA15" s="71">
        <f t="shared" si="3"/>
        <v>7.8846170275791687</v>
      </c>
      <c r="AB15" s="71">
        <f>($V$3-$V$4-$V$5*$V$6*$V$7)/(0.5*$V$5*AA15^2)</f>
        <v>-3.2514508900101062</v>
      </c>
      <c r="AC15" s="58"/>
      <c r="AD15" s="58" t="s">
        <v>108</v>
      </c>
      <c r="AE15" s="58">
        <v>6.3526999999999996</v>
      </c>
      <c r="AF15" s="72" t="s">
        <v>106</v>
      </c>
      <c r="AG15" s="72"/>
      <c r="AH15" s="58"/>
      <c r="AI15" s="58"/>
      <c r="AJ15" s="59"/>
    </row>
    <row r="16" spans="2:36" x14ac:dyDescent="0.25">
      <c r="B16" s="60">
        <v>0.25438</v>
      </c>
      <c r="C16" s="57">
        <v>0.57310000000000005</v>
      </c>
      <c r="D16" s="57">
        <v>1.5180000000000001E-2</v>
      </c>
      <c r="E16" s="57">
        <v>6.7369999999999999E-3</v>
      </c>
      <c r="F16" s="57"/>
      <c r="G16" s="57"/>
      <c r="H16" s="58"/>
      <c r="I16" s="58"/>
      <c r="J16" s="57"/>
      <c r="K16" s="58"/>
      <c r="L16" s="58"/>
      <c r="M16" s="58"/>
      <c r="N16" s="59"/>
      <c r="U16" s="56">
        <v>6</v>
      </c>
      <c r="V16" s="70">
        <f>drive_train!N15</f>
        <v>49.951323192077716</v>
      </c>
      <c r="W16" s="71">
        <f t="shared" si="0"/>
        <v>9.9902646384155442</v>
      </c>
      <c r="X16" s="71">
        <f t="shared" si="1"/>
        <v>11.65355686241656</v>
      </c>
      <c r="Y16" s="71">
        <f>($V$3-$V$4-$V$5*$V$6*$V$7)/(0.5*$V$5*X16^2)</f>
        <v>-1.4884059817839226</v>
      </c>
      <c r="Z16" s="71">
        <f t="shared" si="2"/>
        <v>6.930746092900784</v>
      </c>
      <c r="AA16" s="71">
        <f t="shared" si="3"/>
        <v>9.1670737645259237</v>
      </c>
      <c r="AB16" s="71">
        <f>($V$3-$V$4-$V$5*$V$6*$V$7)/(0.5*$V$5*AA16^2)</f>
        <v>-2.4053426610502213</v>
      </c>
      <c r="AC16" s="58"/>
      <c r="AD16" s="58" t="s">
        <v>109</v>
      </c>
      <c r="AE16" s="58">
        <v>0.43209999999999998</v>
      </c>
      <c r="AF16" s="72" t="s">
        <v>107</v>
      </c>
      <c r="AG16" s="72"/>
      <c r="AH16" s="58"/>
      <c r="AI16" s="58"/>
      <c r="AJ16" s="59"/>
    </row>
    <row r="17" spans="2:36" x14ac:dyDescent="0.25">
      <c r="B17" s="60">
        <v>0.28616999999999998</v>
      </c>
      <c r="C17" s="57">
        <v>0.64170000000000005</v>
      </c>
      <c r="D17" s="57">
        <v>1.5810000000000001E-2</v>
      </c>
      <c r="E17" s="57">
        <v>7.051E-3</v>
      </c>
      <c r="F17" s="57"/>
      <c r="G17" s="57"/>
      <c r="H17" s="58"/>
      <c r="I17" s="58"/>
      <c r="J17" s="57"/>
      <c r="K17" s="58"/>
      <c r="L17" s="58"/>
      <c r="M17" s="58"/>
      <c r="N17" s="59"/>
      <c r="U17" s="56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9"/>
    </row>
    <row r="18" spans="2:36" x14ac:dyDescent="0.25">
      <c r="B18" s="60">
        <v>0.31796999999999997</v>
      </c>
      <c r="C18" s="57">
        <v>0.70299999999999996</v>
      </c>
      <c r="D18" s="57">
        <v>1.6459999999999999E-2</v>
      </c>
      <c r="E18" s="57">
        <v>7.4450000000000002E-3</v>
      </c>
      <c r="F18" s="57"/>
      <c r="G18" s="57"/>
      <c r="H18" s="58"/>
      <c r="I18" s="58"/>
      <c r="J18" s="57"/>
      <c r="K18" s="58"/>
      <c r="L18" s="58"/>
      <c r="M18" s="58"/>
      <c r="N18" s="59"/>
      <c r="U18" s="56"/>
      <c r="V18" s="58"/>
      <c r="W18" s="58"/>
      <c r="X18" s="58"/>
      <c r="Y18" s="58"/>
      <c r="Z18" s="58"/>
      <c r="AA18" s="58"/>
      <c r="AB18" s="58">
        <v>0.13875000000000001</v>
      </c>
      <c r="AC18" s="58"/>
      <c r="AD18" s="58"/>
      <c r="AE18" s="58"/>
      <c r="AF18" s="58"/>
      <c r="AG18" s="58"/>
      <c r="AH18" s="58"/>
      <c r="AI18" s="58"/>
      <c r="AJ18" s="59"/>
    </row>
    <row r="19" spans="2:36" x14ac:dyDescent="0.25">
      <c r="B19" s="60">
        <v>0.34977000000000003</v>
      </c>
      <c r="C19" s="57">
        <v>0.75609999999999999</v>
      </c>
      <c r="D19" s="57">
        <v>1.712E-2</v>
      </c>
      <c r="E19" s="57">
        <v>7.9190000000000007E-3</v>
      </c>
      <c r="F19" s="57"/>
      <c r="G19" s="57"/>
      <c r="H19" s="58"/>
      <c r="I19" s="58"/>
      <c r="J19" s="57"/>
      <c r="K19" s="58"/>
      <c r="L19" s="58"/>
      <c r="M19" s="58"/>
      <c r="N19" s="59"/>
      <c r="U19" s="56" t="s">
        <v>82</v>
      </c>
      <c r="V19" s="58" t="s">
        <v>64</v>
      </c>
      <c r="W19" s="58"/>
      <c r="X19" s="58">
        <v>32.045000000000002</v>
      </c>
      <c r="Y19" s="58"/>
      <c r="Z19" s="58"/>
      <c r="AA19" s="58"/>
      <c r="AB19" s="58" t="s">
        <v>89</v>
      </c>
      <c r="AC19" s="58"/>
      <c r="AD19" s="58" t="s">
        <v>64</v>
      </c>
      <c r="AE19" s="58">
        <v>41.469200000000001</v>
      </c>
      <c r="AF19" s="58"/>
      <c r="AG19" s="58"/>
      <c r="AH19" s="58"/>
      <c r="AI19" s="58"/>
      <c r="AJ19" s="59"/>
    </row>
    <row r="20" spans="2:36" x14ac:dyDescent="0.25">
      <c r="B20" s="60">
        <v>0.38156000000000001</v>
      </c>
      <c r="C20" s="57">
        <v>0.80049999999999999</v>
      </c>
      <c r="D20" s="57">
        <v>1.7770000000000001E-2</v>
      </c>
      <c r="E20" s="57">
        <v>8.4709999999999994E-3</v>
      </c>
      <c r="F20" s="57"/>
      <c r="G20" s="57"/>
      <c r="H20" s="58"/>
      <c r="I20" s="58"/>
      <c r="J20" s="57"/>
      <c r="K20" s="58"/>
      <c r="L20" s="58"/>
      <c r="M20" s="58"/>
      <c r="N20" s="59"/>
      <c r="U20" s="56" t="s">
        <v>78</v>
      </c>
      <c r="V20" s="58" t="s">
        <v>65</v>
      </c>
      <c r="W20" s="58" t="s">
        <v>105</v>
      </c>
      <c r="X20" s="58" t="s">
        <v>83</v>
      </c>
      <c r="Y20" s="58" t="s">
        <v>76</v>
      </c>
      <c r="Z20" s="58" t="s">
        <v>110</v>
      </c>
      <c r="AA20" s="58"/>
      <c r="AB20" s="58" t="s">
        <v>65</v>
      </c>
      <c r="AC20" s="58" t="s">
        <v>105</v>
      </c>
      <c r="AD20" s="58" t="s">
        <v>83</v>
      </c>
      <c r="AE20" s="58" t="s">
        <v>76</v>
      </c>
      <c r="AF20" s="58" t="s">
        <v>110</v>
      </c>
      <c r="AG20" s="58"/>
      <c r="AH20" s="58"/>
      <c r="AI20" s="58"/>
      <c r="AJ20" s="59"/>
    </row>
    <row r="21" spans="2:36" x14ac:dyDescent="0.25">
      <c r="B21" s="60">
        <v>0.41336000000000001</v>
      </c>
      <c r="C21" s="57">
        <v>0.83650000000000002</v>
      </c>
      <c r="D21" s="57">
        <v>1.8419999999999999E-2</v>
      </c>
      <c r="E21" s="57">
        <v>9.1000000000000004E-3</v>
      </c>
      <c r="F21" s="57"/>
      <c r="G21" s="57"/>
      <c r="H21" s="58"/>
      <c r="I21" s="58"/>
      <c r="J21" s="57"/>
      <c r="K21" s="58"/>
      <c r="L21" s="58"/>
      <c r="M21" s="58"/>
      <c r="N21" s="59"/>
      <c r="U21" s="56">
        <v>1</v>
      </c>
      <c r="V21" s="58">
        <v>33458</v>
      </c>
      <c r="W21" s="58">
        <v>1.899</v>
      </c>
      <c r="X21" s="58">
        <f>(180/PI())*(W21-$AE$16)/$AE$15</f>
        <v>13.230150796943105</v>
      </c>
      <c r="Y21" s="58">
        <v>-4</v>
      </c>
      <c r="Z21" s="58">
        <f>Y11/Y21</f>
        <v>0.80438766354007563</v>
      </c>
      <c r="AA21" s="58"/>
      <c r="AB21" s="58">
        <v>87823</v>
      </c>
      <c r="AC21" s="58">
        <v>1.1518999999999999</v>
      </c>
      <c r="AD21" s="58">
        <f>(180/PI())*(AC21-$AE$16)/$AE$15</f>
        <v>6.4919643763307979</v>
      </c>
      <c r="AE21" s="58">
        <v>-3</v>
      </c>
      <c r="AF21" s="58">
        <f>AB11/AE21</f>
        <v>2.1908404109729251</v>
      </c>
      <c r="AG21" s="58"/>
      <c r="AH21" s="58"/>
      <c r="AI21" s="58"/>
      <c r="AJ21" s="59"/>
    </row>
    <row r="22" spans="2:36" x14ac:dyDescent="0.25">
      <c r="B22" s="60">
        <v>0.44516</v>
      </c>
      <c r="C22" s="57">
        <v>0.90269999999999995</v>
      </c>
      <c r="D22" s="57">
        <v>1.8700000000000001E-2</v>
      </c>
      <c r="E22" s="57">
        <v>9.221E-3</v>
      </c>
      <c r="F22" s="57"/>
      <c r="G22" s="57"/>
      <c r="H22" s="58"/>
      <c r="I22" s="58"/>
      <c r="J22" s="57"/>
      <c r="K22" s="58"/>
      <c r="L22" s="58"/>
      <c r="M22" s="58"/>
      <c r="N22" s="59"/>
      <c r="U22" s="56">
        <v>2</v>
      </c>
      <c r="V22" s="58">
        <v>34285</v>
      </c>
      <c r="W22" s="58">
        <v>1.2309000000000001</v>
      </c>
      <c r="X22" s="58">
        <f>(180/PI())*(W22-$AE$16)/$AE$15</f>
        <v>7.2044750539219811</v>
      </c>
      <c r="Y22" s="58">
        <v>-3</v>
      </c>
      <c r="Z22" s="58">
        <f>Y12/Y22</f>
        <v>1.0236344171258442</v>
      </c>
      <c r="AA22" s="58"/>
      <c r="AB22" s="58">
        <v>92172</v>
      </c>
      <c r="AC22" s="58">
        <v>1.2205999999999999</v>
      </c>
      <c r="AD22" s="58">
        <f>(180/PI())*(AC22-$AE$16)/$AE$15</f>
        <v>7.1115780921600917</v>
      </c>
      <c r="AE22" s="58">
        <v>-3</v>
      </c>
      <c r="AF22" s="58">
        <f>AB12/AE22</f>
        <v>1.9961240788935521</v>
      </c>
      <c r="AG22" s="58"/>
      <c r="AH22" s="58"/>
      <c r="AI22" s="58"/>
      <c r="AJ22" s="59"/>
    </row>
    <row r="23" spans="2:36" x14ac:dyDescent="0.25">
      <c r="B23" s="60">
        <v>0.47696</v>
      </c>
      <c r="C23" s="57">
        <v>0.91420000000000001</v>
      </c>
      <c r="D23" s="57">
        <v>1.6500000000000001E-2</v>
      </c>
      <c r="E23" s="57">
        <v>8.6090000000000003E-3</v>
      </c>
      <c r="F23" s="57"/>
      <c r="G23" s="57"/>
      <c r="H23" s="58"/>
      <c r="I23" s="58"/>
      <c r="J23" s="57"/>
      <c r="K23" s="58"/>
      <c r="L23" s="58"/>
      <c r="M23" s="58"/>
      <c r="N23" s="59"/>
      <c r="U23" s="56">
        <v>3</v>
      </c>
      <c r="V23" s="58">
        <v>35609</v>
      </c>
      <c r="W23" s="58">
        <v>1.2548999999999999</v>
      </c>
      <c r="X23" s="58">
        <f>(180/PI())*(W23-$AE$16)/$AE$15</f>
        <v>7.4209339939496815</v>
      </c>
      <c r="Y23" s="58">
        <v>-2.75</v>
      </c>
      <c r="Z23" s="58">
        <f>Y13/Y23</f>
        <v>1.0378543552828814</v>
      </c>
      <c r="AA23" s="58"/>
      <c r="AB23" s="58">
        <v>98939</v>
      </c>
      <c r="AC23" s="58">
        <v>1.2571000000000001</v>
      </c>
      <c r="AD23" s="58">
        <f>(180/PI())*(AC23-$AE$16)/$AE$15</f>
        <v>7.4407760634522218</v>
      </c>
      <c r="AE23" s="58">
        <v>-3</v>
      </c>
      <c r="AF23" s="58">
        <f>AB13/AE23</f>
        <v>1.73858852410953</v>
      </c>
      <c r="AG23" s="58"/>
      <c r="AH23" s="58"/>
      <c r="AI23" s="58"/>
      <c r="AJ23" s="59"/>
    </row>
    <row r="24" spans="2:36" x14ac:dyDescent="0.25">
      <c r="B24" s="60">
        <v>0.50875000000000004</v>
      </c>
      <c r="C24" s="57">
        <v>0.92259999999999998</v>
      </c>
      <c r="D24" s="57">
        <v>1.4279999999999999E-2</v>
      </c>
      <c r="E24" s="57">
        <v>7.8759999999999993E-3</v>
      </c>
      <c r="F24" s="57"/>
      <c r="G24" s="57"/>
      <c r="H24" s="58"/>
      <c r="I24" s="58"/>
      <c r="J24" s="57"/>
      <c r="K24" s="58"/>
      <c r="L24" s="58"/>
      <c r="M24" s="58"/>
      <c r="N24" s="59"/>
      <c r="U24" s="56">
        <v>4</v>
      </c>
      <c r="V24" s="58">
        <v>37388</v>
      </c>
      <c r="W24" s="58">
        <v>0.83440000000000003</v>
      </c>
      <c r="X24" s="58">
        <f>(180/PI())*(W24-$AE$16)/$AE$15</f>
        <v>3.6283929822143377</v>
      </c>
      <c r="Y24" s="58">
        <v>-1.3</v>
      </c>
      <c r="Z24" s="58">
        <f>Y14/Y24</f>
        <v>1.9979823755315633</v>
      </c>
      <c r="AA24" s="58"/>
      <c r="AB24" s="58">
        <v>107710</v>
      </c>
      <c r="AC24" s="58">
        <v>0.89049999999999996</v>
      </c>
      <c r="AD24" s="58">
        <f>(180/PI())*(AC24-$AE$16)/$AE$15</f>
        <v>4.1343657545290879</v>
      </c>
      <c r="AE24" s="58">
        <v>-1.5</v>
      </c>
      <c r="AF24" s="58">
        <f>AB14/AE24</f>
        <v>2.9452004213730802</v>
      </c>
      <c r="AG24" s="58"/>
      <c r="AH24" s="58"/>
      <c r="AI24" s="58"/>
      <c r="AJ24" s="59"/>
    </row>
    <row r="25" spans="2:36" x14ac:dyDescent="0.25">
      <c r="B25" s="60">
        <v>0.54054999999999997</v>
      </c>
      <c r="C25" s="57">
        <v>0.92710000000000004</v>
      </c>
      <c r="D25" s="57">
        <v>1.204E-2</v>
      </c>
      <c r="E25" s="57">
        <v>7.0179999999999999E-3</v>
      </c>
      <c r="F25" s="57"/>
      <c r="G25" s="57"/>
      <c r="H25" s="58"/>
      <c r="I25" s="58"/>
      <c r="J25" s="57"/>
      <c r="K25" s="58"/>
      <c r="L25" s="58"/>
      <c r="M25" s="58"/>
      <c r="N25" s="59"/>
      <c r="U25" s="56">
        <v>5</v>
      </c>
      <c r="V25" s="58">
        <v>42884</v>
      </c>
      <c r="W25" s="58">
        <v>0.55869999999999997</v>
      </c>
      <c r="X25" s="58">
        <f>(180/PI())*(W25-$AE$16)/$AE$15</f>
        <v>1.1418209086461224</v>
      </c>
      <c r="Y25" s="58">
        <v>-0.9</v>
      </c>
      <c r="Z25" s="58">
        <f>Y15/Y25</f>
        <v>2.1970602883756993</v>
      </c>
      <c r="AA25" s="58"/>
      <c r="AB25" s="58">
        <v>125658</v>
      </c>
      <c r="AC25" s="58">
        <v>0.58919999999999995</v>
      </c>
      <c r="AD25" s="58">
        <f>(180/PI())*(AC25-$AE$16)/$AE$15</f>
        <v>1.4169041449313255</v>
      </c>
      <c r="AE25" s="58">
        <v>-0.9</v>
      </c>
      <c r="AF25" s="58">
        <f>AB15/AE25</f>
        <v>3.61272321112234</v>
      </c>
      <c r="AG25" s="58"/>
      <c r="AH25" s="58"/>
      <c r="AI25" s="58"/>
      <c r="AJ25" s="59"/>
    </row>
    <row r="26" spans="2:36" ht="15.75" thickBot="1" x14ac:dyDescent="0.3">
      <c r="B26" s="60">
        <v>0.57235000000000003</v>
      </c>
      <c r="C26" s="57">
        <v>0.92620000000000002</v>
      </c>
      <c r="D26" s="57">
        <v>9.7599999999999996E-3</v>
      </c>
      <c r="E26" s="57">
        <v>6.0309999999999999E-3</v>
      </c>
      <c r="F26" s="57"/>
      <c r="G26" s="57"/>
      <c r="H26" s="58"/>
      <c r="I26" s="58"/>
      <c r="J26" s="58"/>
      <c r="K26" s="58"/>
      <c r="L26" s="58"/>
      <c r="M26" s="58"/>
      <c r="N26" s="59"/>
      <c r="U26" s="68">
        <v>6</v>
      </c>
      <c r="V26" s="63">
        <v>48451</v>
      </c>
      <c r="W26" s="63">
        <v>0.34420000000000001</v>
      </c>
      <c r="X26" s="63">
        <f>(180/PI())*(W26-$AE$16)/$AE$15</f>
        <v>-0.79278086785145452</v>
      </c>
      <c r="Y26" s="63">
        <v>-1</v>
      </c>
      <c r="Z26" s="63">
        <f>Y16/Y26</f>
        <v>1.4884059817839226</v>
      </c>
      <c r="AA26" s="63"/>
      <c r="AB26" s="63">
        <v>143879</v>
      </c>
      <c r="AC26" s="63">
        <v>0.35170000000000001</v>
      </c>
      <c r="AD26" s="63">
        <f>(180/PI())*(AC26-$AE$16)/$AE$15</f>
        <v>-0.72513744909279787</v>
      </c>
      <c r="AE26" s="63">
        <v>-0.7</v>
      </c>
      <c r="AF26" s="63">
        <f>AB16/AE26</f>
        <v>3.4362038015003162</v>
      </c>
      <c r="AG26" s="63"/>
      <c r="AH26" s="63"/>
      <c r="AI26" s="63"/>
      <c r="AJ26" s="64"/>
    </row>
    <row r="27" spans="2:36" x14ac:dyDescent="0.25">
      <c r="B27" s="60">
        <v>0.60414000000000001</v>
      </c>
      <c r="C27" s="57">
        <v>0.91539999999999999</v>
      </c>
      <c r="D27" s="57">
        <v>7.4510000000000002E-3</v>
      </c>
      <c r="E27" s="57">
        <v>4.9170000000000004E-3</v>
      </c>
      <c r="F27" s="57"/>
      <c r="G27" s="57"/>
      <c r="H27" s="58"/>
      <c r="I27" s="58"/>
      <c r="J27" s="58"/>
      <c r="K27" s="58"/>
      <c r="L27" s="58"/>
      <c r="M27" s="58"/>
      <c r="N27" s="59"/>
    </row>
    <row r="28" spans="2:36" x14ac:dyDescent="0.25">
      <c r="B28" s="60">
        <v>0.63593999999999995</v>
      </c>
      <c r="C28" s="57">
        <v>0.87839999999999996</v>
      </c>
      <c r="D28" s="57">
        <v>5.0889999999999998E-3</v>
      </c>
      <c r="E28" s="57">
        <v>3.6849999999999999E-3</v>
      </c>
      <c r="F28" s="57"/>
      <c r="G28" s="57"/>
      <c r="H28" s="58"/>
      <c r="I28" s="58"/>
      <c r="J28" s="58"/>
      <c r="K28" s="58"/>
      <c r="L28" s="58"/>
      <c r="M28" s="58"/>
      <c r="N28" s="59"/>
    </row>
    <row r="29" spans="2:36" ht="15.75" thickBot="1" x14ac:dyDescent="0.3">
      <c r="B29" s="61">
        <v>0.66774</v>
      </c>
      <c r="C29" s="62">
        <v>0.7651</v>
      </c>
      <c r="D29" s="62">
        <v>2.6700000000000001E-3</v>
      </c>
      <c r="E29" s="62">
        <v>2.3310000000000002E-3</v>
      </c>
      <c r="F29" s="62"/>
      <c r="G29" s="62"/>
      <c r="H29" s="63"/>
      <c r="I29" s="63"/>
      <c r="J29" s="63"/>
      <c r="K29" s="63"/>
      <c r="L29" s="63"/>
      <c r="M29" s="63"/>
      <c r="N29" s="64"/>
    </row>
    <row r="30" spans="2:36" ht="15.75" thickBot="1" x14ac:dyDescent="0.3">
      <c r="F30" s="1"/>
      <c r="G30" s="1"/>
    </row>
    <row r="31" spans="2:36" x14ac:dyDescent="0.25">
      <c r="B31" s="53"/>
      <c r="C31" s="54">
        <v>1</v>
      </c>
      <c r="D31" s="54">
        <v>2</v>
      </c>
      <c r="E31" s="54">
        <v>3</v>
      </c>
      <c r="F31" s="54">
        <v>4</v>
      </c>
      <c r="G31" s="54">
        <v>5</v>
      </c>
      <c r="H31" s="54">
        <v>6</v>
      </c>
      <c r="I31" s="54"/>
      <c r="J31" s="54"/>
      <c r="K31" s="54"/>
      <c r="L31" s="54"/>
      <c r="M31" s="54"/>
      <c r="N31" s="54"/>
      <c r="O31" s="54"/>
      <c r="P31" s="54"/>
      <c r="Q31" s="55"/>
    </row>
    <row r="32" spans="2:36" x14ac:dyDescent="0.25">
      <c r="B32" s="56" t="s">
        <v>63</v>
      </c>
      <c r="C32" s="58" t="s">
        <v>65</v>
      </c>
      <c r="D32" s="58" t="s">
        <v>66</v>
      </c>
      <c r="E32" s="58" t="s">
        <v>65</v>
      </c>
      <c r="F32" s="58" t="s">
        <v>67</v>
      </c>
      <c r="G32" s="58" t="s">
        <v>65</v>
      </c>
      <c r="H32" s="58" t="s">
        <v>65</v>
      </c>
      <c r="I32" s="58"/>
      <c r="J32" s="58"/>
      <c r="K32" s="58"/>
      <c r="L32" s="58"/>
      <c r="M32" s="58"/>
      <c r="N32" s="58"/>
      <c r="O32" s="58"/>
      <c r="P32" s="58"/>
      <c r="Q32" s="59"/>
    </row>
    <row r="33" spans="2:17" x14ac:dyDescent="0.25">
      <c r="B33" s="56">
        <v>3.7100000000000001E-2</v>
      </c>
      <c r="C33" s="58">
        <v>19940</v>
      </c>
      <c r="D33" s="58">
        <v>27915</v>
      </c>
      <c r="E33" s="58">
        <v>37619</v>
      </c>
      <c r="F33" s="58">
        <v>48020</v>
      </c>
      <c r="G33" s="58">
        <v>59317</v>
      </c>
      <c r="H33" s="58">
        <v>70660</v>
      </c>
      <c r="I33" s="58"/>
      <c r="J33" s="58"/>
      <c r="K33" s="58"/>
      <c r="L33" s="58"/>
      <c r="M33" s="58"/>
      <c r="N33" s="58"/>
      <c r="O33" s="58"/>
      <c r="P33" s="58"/>
      <c r="Q33" s="59"/>
    </row>
    <row r="34" spans="2:17" x14ac:dyDescent="0.25">
      <c r="B34" s="56">
        <v>4.3799999999999999E-2</v>
      </c>
      <c r="C34" s="58">
        <v>25545</v>
      </c>
      <c r="D34" s="58">
        <v>33878</v>
      </c>
      <c r="E34" s="58">
        <v>44415</v>
      </c>
      <c r="F34" s="58">
        <v>55931</v>
      </c>
      <c r="G34" s="58">
        <v>68814</v>
      </c>
      <c r="H34" s="58">
        <v>81767</v>
      </c>
      <c r="I34" s="58"/>
      <c r="J34" s="58"/>
      <c r="K34" s="58"/>
      <c r="L34" s="58"/>
      <c r="M34" s="58"/>
      <c r="N34" s="58"/>
      <c r="O34" s="58"/>
      <c r="P34" s="58"/>
      <c r="Q34" s="59"/>
    </row>
    <row r="35" spans="2:17" x14ac:dyDescent="0.25">
      <c r="B35" s="56">
        <v>5.04E-2</v>
      </c>
      <c r="C35" s="58">
        <v>31606</v>
      </c>
      <c r="D35" s="58">
        <v>40106</v>
      </c>
      <c r="E35" s="58">
        <v>51222</v>
      </c>
      <c r="F35" s="58">
        <v>63607</v>
      </c>
      <c r="G35" s="58">
        <v>77927</v>
      </c>
      <c r="H35" s="58">
        <v>92344</v>
      </c>
      <c r="I35" s="58"/>
      <c r="J35" s="58"/>
      <c r="K35" s="58"/>
      <c r="L35" s="58"/>
      <c r="M35" s="58"/>
      <c r="N35" s="58"/>
      <c r="O35" s="58"/>
      <c r="P35" s="58"/>
      <c r="Q35" s="59"/>
    </row>
    <row r="36" spans="2:17" x14ac:dyDescent="0.25">
      <c r="B36" s="56">
        <v>5.7099999999999998E-2</v>
      </c>
      <c r="C36" s="58">
        <v>38001</v>
      </c>
      <c r="D36" s="58">
        <v>46524</v>
      </c>
      <c r="E36" s="58">
        <v>57997</v>
      </c>
      <c r="F36" s="58">
        <v>71021</v>
      </c>
      <c r="G36" s="58">
        <v>86627</v>
      </c>
      <c r="H36" s="58">
        <v>102359</v>
      </c>
      <c r="I36" s="58"/>
      <c r="J36" s="58"/>
      <c r="K36" s="58"/>
      <c r="L36" s="58"/>
      <c r="M36" s="58"/>
      <c r="N36" s="58"/>
      <c r="O36" s="58"/>
      <c r="P36" s="58"/>
      <c r="Q36" s="59"/>
    </row>
    <row r="37" spans="2:17" x14ac:dyDescent="0.25">
      <c r="B37" s="56">
        <v>6.3700000000000007E-2</v>
      </c>
      <c r="C37" s="58">
        <v>44541</v>
      </c>
      <c r="D37" s="58">
        <v>52967</v>
      </c>
      <c r="E37" s="58">
        <v>64594</v>
      </c>
      <c r="F37" s="58">
        <v>78023</v>
      </c>
      <c r="G37" s="58">
        <v>94743</v>
      </c>
      <c r="H37" s="58">
        <v>111620</v>
      </c>
      <c r="I37" s="58"/>
      <c r="J37" s="58"/>
      <c r="K37" s="58"/>
      <c r="L37" s="58"/>
      <c r="M37" s="58"/>
      <c r="N37" s="58"/>
      <c r="O37" s="58"/>
      <c r="P37" s="58"/>
      <c r="Q37" s="59"/>
    </row>
    <row r="38" spans="2:17" x14ac:dyDescent="0.25">
      <c r="B38" s="56">
        <v>7.0400000000000004E-2</v>
      </c>
      <c r="C38" s="58">
        <v>50989</v>
      </c>
      <c r="D38" s="58">
        <v>59211</v>
      </c>
      <c r="E38" s="58">
        <v>70798</v>
      </c>
      <c r="F38" s="58">
        <v>84400</v>
      </c>
      <c r="G38" s="58">
        <v>102031</v>
      </c>
      <c r="H38" s="58">
        <v>119847</v>
      </c>
      <c r="I38" s="58"/>
      <c r="J38" s="58"/>
      <c r="K38" s="58"/>
      <c r="L38" s="58"/>
      <c r="M38" s="58"/>
      <c r="N38" s="58"/>
      <c r="O38" s="58"/>
      <c r="P38" s="58"/>
      <c r="Q38" s="59"/>
    </row>
    <row r="39" spans="2:17" x14ac:dyDescent="0.25">
      <c r="B39" s="56">
        <v>7.6999999999999999E-2</v>
      </c>
      <c r="C39" s="58">
        <v>57132</v>
      </c>
      <c r="D39" s="58">
        <v>65063</v>
      </c>
      <c r="E39" s="58">
        <v>76441</v>
      </c>
      <c r="F39" s="58">
        <v>89997</v>
      </c>
      <c r="G39" s="58">
        <v>108322</v>
      </c>
      <c r="H39" s="58">
        <v>126858</v>
      </c>
      <c r="I39" s="58"/>
      <c r="J39" s="58"/>
      <c r="K39" s="58"/>
      <c r="L39" s="58"/>
      <c r="M39" s="58"/>
      <c r="N39" s="58"/>
      <c r="O39" s="58"/>
      <c r="P39" s="58"/>
      <c r="Q39" s="59"/>
    </row>
    <row r="40" spans="2:17" x14ac:dyDescent="0.25">
      <c r="B40" s="56">
        <v>8.3699999999999997E-2</v>
      </c>
      <c r="C40" s="58">
        <v>62876</v>
      </c>
      <c r="D40" s="58">
        <v>70457</v>
      </c>
      <c r="E40" s="58">
        <v>81500</v>
      </c>
      <c r="F40" s="58">
        <v>94836</v>
      </c>
      <c r="G40" s="58">
        <v>113663</v>
      </c>
      <c r="H40" s="58">
        <v>132724</v>
      </c>
      <c r="I40" s="58"/>
      <c r="J40" s="58"/>
      <c r="K40" s="58"/>
      <c r="L40" s="58"/>
      <c r="M40" s="58"/>
      <c r="N40" s="58"/>
      <c r="O40" s="58"/>
      <c r="P40" s="58"/>
      <c r="Q40" s="59"/>
    </row>
    <row r="41" spans="2:17" x14ac:dyDescent="0.25">
      <c r="B41" s="56">
        <v>9.0300000000000005E-2</v>
      </c>
      <c r="C41" s="58">
        <v>68166</v>
      </c>
      <c r="D41" s="58">
        <v>75362</v>
      </c>
      <c r="E41" s="58">
        <v>85983</v>
      </c>
      <c r="F41" s="58">
        <v>98966</v>
      </c>
      <c r="G41" s="58">
        <v>118130</v>
      </c>
      <c r="H41" s="58">
        <v>137547</v>
      </c>
      <c r="I41" s="58"/>
      <c r="J41" s="58"/>
      <c r="K41" s="58"/>
      <c r="L41" s="58"/>
      <c r="M41" s="58"/>
      <c r="N41" s="58"/>
      <c r="O41" s="58"/>
      <c r="P41" s="58"/>
      <c r="Q41" s="59"/>
    </row>
    <row r="42" spans="2:17" x14ac:dyDescent="0.25">
      <c r="B42" s="56">
        <v>9.7000000000000003E-2</v>
      </c>
      <c r="C42" s="58">
        <v>72939</v>
      </c>
      <c r="D42" s="58">
        <v>79732</v>
      </c>
      <c r="E42" s="58">
        <v>89869</v>
      </c>
      <c r="F42" s="58">
        <v>102399</v>
      </c>
      <c r="G42" s="58">
        <v>121753</v>
      </c>
      <c r="H42" s="58">
        <v>141374</v>
      </c>
      <c r="I42" s="58"/>
      <c r="J42" s="58"/>
      <c r="K42" s="58"/>
      <c r="L42" s="58"/>
      <c r="M42" s="58"/>
      <c r="N42" s="58"/>
      <c r="O42" s="58"/>
      <c r="P42" s="58"/>
      <c r="Q42" s="59"/>
    </row>
    <row r="43" spans="2:17" x14ac:dyDescent="0.25">
      <c r="B43" s="56">
        <v>0.1036</v>
      </c>
      <c r="C43" s="58">
        <v>77129</v>
      </c>
      <c r="D43" s="58">
        <v>83508</v>
      </c>
      <c r="E43" s="58">
        <v>93118</v>
      </c>
      <c r="F43" s="58">
        <v>105117</v>
      </c>
      <c r="G43" s="58">
        <v>124526</v>
      </c>
      <c r="H43" s="58">
        <v>144211</v>
      </c>
      <c r="I43" s="58"/>
      <c r="J43" s="58"/>
      <c r="K43" s="58"/>
      <c r="L43" s="58"/>
      <c r="M43" s="58"/>
      <c r="N43" s="58"/>
      <c r="O43" s="58"/>
      <c r="P43" s="58"/>
      <c r="Q43" s="59"/>
    </row>
    <row r="44" spans="2:17" x14ac:dyDescent="0.25">
      <c r="B44" s="56">
        <v>0.1103</v>
      </c>
      <c r="C44" s="58">
        <v>80682</v>
      </c>
      <c r="D44" s="58">
        <v>86644</v>
      </c>
      <c r="E44" s="58">
        <v>95700</v>
      </c>
      <c r="F44" s="58">
        <v>107110</v>
      </c>
      <c r="G44" s="58">
        <v>126446</v>
      </c>
      <c r="H44" s="58">
        <v>146066</v>
      </c>
      <c r="I44" s="58"/>
      <c r="J44" s="58"/>
      <c r="K44" s="58"/>
      <c r="L44" s="58"/>
      <c r="M44" s="58"/>
      <c r="N44" s="58"/>
      <c r="O44" s="58"/>
      <c r="P44" s="58"/>
      <c r="Q44" s="59"/>
    </row>
    <row r="45" spans="2:17" x14ac:dyDescent="0.25">
      <c r="B45" s="56">
        <v>0.1169</v>
      </c>
      <c r="C45" s="58">
        <v>83565</v>
      </c>
      <c r="D45" s="58">
        <v>89112</v>
      </c>
      <c r="E45" s="58">
        <v>97599</v>
      </c>
      <c r="F45" s="58">
        <v>108381</v>
      </c>
      <c r="G45" s="58">
        <v>127529</v>
      </c>
      <c r="H45" s="58">
        <v>146964</v>
      </c>
      <c r="I45" s="58"/>
      <c r="J45" s="58"/>
      <c r="K45" s="58"/>
      <c r="L45" s="58"/>
      <c r="M45" s="58"/>
      <c r="N45" s="58"/>
      <c r="O45" s="58"/>
      <c r="P45" s="58"/>
      <c r="Q45" s="59"/>
    </row>
    <row r="46" spans="2:17" x14ac:dyDescent="0.25">
      <c r="B46" s="56">
        <v>0.1235</v>
      </c>
      <c r="C46" s="58">
        <v>85760</v>
      </c>
      <c r="D46" s="58">
        <v>90900</v>
      </c>
      <c r="E46" s="58">
        <v>98814</v>
      </c>
      <c r="F46" s="58">
        <v>108942</v>
      </c>
      <c r="G46" s="58">
        <v>127799</v>
      </c>
      <c r="H46" s="58">
        <v>146940</v>
      </c>
      <c r="I46" s="58"/>
      <c r="J46" s="58"/>
      <c r="K46" s="58"/>
      <c r="L46" s="58"/>
      <c r="M46" s="58"/>
      <c r="N46" s="58"/>
      <c r="O46" s="58"/>
      <c r="P46" s="58"/>
      <c r="Q46" s="59"/>
    </row>
    <row r="47" spans="2:17" x14ac:dyDescent="0.25">
      <c r="B47" s="56">
        <v>0.13020000000000001</v>
      </c>
      <c r="C47" s="58">
        <v>87219</v>
      </c>
      <c r="D47" s="58">
        <v>91960</v>
      </c>
      <c r="E47" s="58">
        <v>99302</v>
      </c>
      <c r="F47" s="58">
        <v>108759</v>
      </c>
      <c r="G47" s="58">
        <v>127221</v>
      </c>
      <c r="H47" s="58">
        <v>145963</v>
      </c>
      <c r="I47" s="58"/>
      <c r="J47" s="58"/>
      <c r="K47" s="58"/>
      <c r="L47" s="58"/>
      <c r="M47" s="58"/>
      <c r="N47" s="58"/>
      <c r="O47" s="58"/>
      <c r="P47" s="58"/>
      <c r="Q47" s="59"/>
    </row>
    <row r="48" spans="2:17" x14ac:dyDescent="0.25">
      <c r="B48" s="56">
        <v>0.1368</v>
      </c>
      <c r="C48" s="58">
        <v>87823</v>
      </c>
      <c r="D48" s="58">
        <v>92172</v>
      </c>
      <c r="E48" s="58">
        <v>98939</v>
      </c>
      <c r="F48" s="58">
        <v>107710</v>
      </c>
      <c r="G48" s="58">
        <v>125658</v>
      </c>
      <c r="H48" s="58">
        <v>143879</v>
      </c>
      <c r="I48" s="58"/>
      <c r="J48" s="58"/>
      <c r="K48" s="58"/>
      <c r="L48" s="58"/>
      <c r="M48" s="58"/>
      <c r="N48" s="58"/>
      <c r="O48" s="58"/>
      <c r="P48" s="58"/>
      <c r="Q48" s="59"/>
    </row>
    <row r="49" spans="2:17" x14ac:dyDescent="0.25">
      <c r="B49" s="56">
        <v>0.14349999999999999</v>
      </c>
      <c r="C49" s="58">
        <v>87452</v>
      </c>
      <c r="D49" s="58">
        <v>91411</v>
      </c>
      <c r="E49" s="58">
        <v>97600</v>
      </c>
      <c r="F49" s="58">
        <v>105666</v>
      </c>
      <c r="G49" s="58">
        <v>122969</v>
      </c>
      <c r="H49" s="58">
        <v>140533</v>
      </c>
      <c r="I49" s="58"/>
      <c r="J49" s="58"/>
      <c r="K49" s="58"/>
      <c r="L49" s="58"/>
      <c r="M49" s="58"/>
      <c r="N49" s="58"/>
      <c r="O49" s="58"/>
      <c r="P49" s="58"/>
      <c r="Q49" s="59"/>
    </row>
    <row r="50" spans="2:17" x14ac:dyDescent="0.25">
      <c r="B50" s="56">
        <v>0.15010000000000001</v>
      </c>
      <c r="C50" s="58">
        <v>86073</v>
      </c>
      <c r="D50" s="58">
        <v>89648</v>
      </c>
      <c r="E50" s="58">
        <v>95261</v>
      </c>
      <c r="F50" s="58">
        <v>102611</v>
      </c>
      <c r="G50" s="58">
        <v>119139</v>
      </c>
      <c r="H50" s="58">
        <v>135914</v>
      </c>
      <c r="I50" s="58"/>
      <c r="J50" s="58"/>
      <c r="K50" s="58"/>
      <c r="L50" s="58"/>
      <c r="M50" s="58"/>
      <c r="N50" s="58"/>
      <c r="O50" s="58"/>
      <c r="P50" s="58"/>
      <c r="Q50" s="59"/>
    </row>
    <row r="51" spans="2:17" x14ac:dyDescent="0.25">
      <c r="B51" s="56">
        <v>0.15679999999999999</v>
      </c>
      <c r="C51" s="58">
        <v>83721</v>
      </c>
      <c r="D51" s="58">
        <v>86922</v>
      </c>
      <c r="E51" s="58">
        <v>91967</v>
      </c>
      <c r="F51" s="58">
        <v>98603</v>
      </c>
      <c r="G51" s="58">
        <v>114240</v>
      </c>
      <c r="H51" s="58">
        <v>130108</v>
      </c>
      <c r="I51" s="58"/>
      <c r="J51" s="58"/>
      <c r="K51" s="58"/>
      <c r="L51" s="58"/>
      <c r="M51" s="58"/>
      <c r="N51" s="58"/>
      <c r="O51" s="58"/>
      <c r="P51" s="58"/>
      <c r="Q51" s="59"/>
    </row>
    <row r="52" spans="2:17" x14ac:dyDescent="0.25">
      <c r="B52" s="56">
        <v>0.16339999999999999</v>
      </c>
      <c r="C52" s="58">
        <v>80335</v>
      </c>
      <c r="D52" s="58">
        <v>83172</v>
      </c>
      <c r="E52" s="58">
        <v>87657</v>
      </c>
      <c r="F52" s="58">
        <v>93582</v>
      </c>
      <c r="G52" s="58">
        <v>108207</v>
      </c>
      <c r="H52" s="58">
        <v>123044</v>
      </c>
      <c r="I52" s="58"/>
      <c r="J52" s="58"/>
      <c r="K52" s="58"/>
      <c r="L52" s="58"/>
      <c r="M52" s="58"/>
      <c r="N52" s="58"/>
      <c r="O52" s="58"/>
      <c r="P52" s="58"/>
      <c r="Q52" s="59"/>
    </row>
    <row r="53" spans="2:17" x14ac:dyDescent="0.25">
      <c r="B53" s="56">
        <v>0.1701</v>
      </c>
      <c r="C53" s="58">
        <v>75478</v>
      </c>
      <c r="D53" s="58">
        <v>77946</v>
      </c>
      <c r="E53" s="58">
        <v>81861</v>
      </c>
      <c r="F53" s="58">
        <v>87052</v>
      </c>
      <c r="G53" s="58">
        <v>100470</v>
      </c>
      <c r="H53" s="58">
        <v>114079</v>
      </c>
      <c r="I53" s="58"/>
      <c r="J53" s="58"/>
      <c r="K53" s="58"/>
      <c r="L53" s="58"/>
      <c r="M53" s="58"/>
      <c r="N53" s="58"/>
      <c r="O53" s="58"/>
      <c r="P53" s="58"/>
      <c r="Q53" s="59"/>
    </row>
    <row r="54" spans="2:17" x14ac:dyDescent="0.25">
      <c r="B54" s="56">
        <v>0.1767</v>
      </c>
      <c r="C54" s="58">
        <v>68589</v>
      </c>
      <c r="D54" s="58">
        <v>70671</v>
      </c>
      <c r="E54" s="58">
        <v>73984</v>
      </c>
      <c r="F54" s="58">
        <v>78392</v>
      </c>
      <c r="G54" s="58">
        <v>90319</v>
      </c>
      <c r="H54" s="58">
        <v>102413</v>
      </c>
      <c r="I54" s="58"/>
      <c r="J54" s="58"/>
      <c r="K54" s="58"/>
      <c r="L54" s="58"/>
      <c r="M54" s="58"/>
      <c r="N54" s="58"/>
      <c r="O54" s="58"/>
      <c r="P54" s="58"/>
      <c r="Q54" s="59"/>
    </row>
    <row r="55" spans="2:17" x14ac:dyDescent="0.25">
      <c r="B55" s="56">
        <v>0.18340000000000001</v>
      </c>
      <c r="C55" s="58">
        <v>59318</v>
      </c>
      <c r="D55" s="58">
        <v>60993</v>
      </c>
      <c r="E55" s="58">
        <v>63667</v>
      </c>
      <c r="F55" s="58">
        <v>67236</v>
      </c>
      <c r="G55" s="58">
        <v>77342</v>
      </c>
      <c r="H55" s="58">
        <v>87585</v>
      </c>
      <c r="I55" s="58"/>
      <c r="J55" s="58"/>
      <c r="K55" s="58"/>
      <c r="L55" s="58"/>
      <c r="M55" s="58"/>
      <c r="N55" s="58"/>
      <c r="O55" s="58"/>
      <c r="P55" s="58"/>
      <c r="Q55" s="59"/>
    </row>
    <row r="56" spans="2:17" x14ac:dyDescent="0.25">
      <c r="B56" s="56">
        <v>0.19</v>
      </c>
      <c r="C56" s="58">
        <v>47617</v>
      </c>
      <c r="D56" s="58">
        <v>48872</v>
      </c>
      <c r="E56" s="58">
        <v>50879</v>
      </c>
      <c r="F56" s="58">
        <v>53568</v>
      </c>
      <c r="G56" s="58">
        <v>61526</v>
      </c>
      <c r="H56" s="58">
        <v>69592</v>
      </c>
      <c r="I56" s="58"/>
      <c r="J56" s="58"/>
      <c r="K56" s="58"/>
      <c r="L56" s="58"/>
      <c r="M56" s="58"/>
      <c r="N56" s="58"/>
      <c r="O56" s="58"/>
      <c r="P56" s="58"/>
      <c r="Q56" s="59"/>
    </row>
    <row r="57" spans="2:17" ht="15.75" thickBot="1" x14ac:dyDescent="0.3">
      <c r="B57" s="68">
        <v>0.19670000000000001</v>
      </c>
      <c r="C57" s="63">
        <v>33458</v>
      </c>
      <c r="D57" s="63">
        <v>34285</v>
      </c>
      <c r="E57" s="63">
        <v>35609</v>
      </c>
      <c r="F57" s="63">
        <v>37388</v>
      </c>
      <c r="G57" s="63">
        <v>42884</v>
      </c>
      <c r="H57" s="63">
        <v>48451</v>
      </c>
      <c r="I57" s="63"/>
      <c r="J57" s="63"/>
      <c r="K57" s="63"/>
      <c r="L57" s="63"/>
      <c r="M57" s="63"/>
      <c r="N57" s="63"/>
      <c r="O57" s="63"/>
      <c r="P57" s="63"/>
      <c r="Q57" s="64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18"/>
  <sheetViews>
    <sheetView zoomScaleNormal="100" workbookViewId="0">
      <selection activeCell="E17" sqref="E17"/>
    </sheetView>
  </sheetViews>
  <sheetFormatPr defaultColWidth="8.7109375" defaultRowHeight="15" x14ac:dyDescent="0.25"/>
  <cols>
    <col min="1" max="1" width="4.140625" style="2" customWidth="1"/>
    <col min="2" max="2" width="9.85546875" style="2" customWidth="1"/>
    <col min="3" max="3" width="12.85546875" style="6" customWidth="1"/>
    <col min="4" max="4" width="5.5703125" style="2" customWidth="1"/>
    <col min="5" max="5" width="9.7109375" style="2" customWidth="1"/>
    <col min="6" max="6" width="9.28515625" style="3" customWidth="1"/>
    <col min="7" max="7" width="5.7109375" style="3" customWidth="1"/>
    <col min="8" max="9" width="12.42578125" style="3" customWidth="1"/>
    <col min="10" max="10" width="12.140625" style="3" customWidth="1"/>
    <col min="11" max="11" width="12.42578125" style="3" customWidth="1"/>
    <col min="12" max="12" width="5.7109375" style="3" customWidth="1"/>
    <col min="13" max="13" width="11.42578125" style="3" customWidth="1"/>
    <col min="14" max="14" width="12.5703125" style="3" customWidth="1"/>
    <col min="15" max="15" width="11.42578125" style="4" customWidth="1"/>
    <col min="16" max="16" width="11.42578125" style="3" customWidth="1"/>
    <col min="17" max="20" width="11.42578125" style="4" customWidth="1"/>
    <col min="21" max="21" width="12.140625" style="4" customWidth="1"/>
    <col min="22" max="16384" width="8.7109375" style="2"/>
  </cols>
  <sheetData>
    <row r="1" spans="2:21" ht="15.75" thickBot="1" x14ac:dyDescent="0.3">
      <c r="F1" s="2"/>
      <c r="G1" s="2"/>
      <c r="H1" s="51" t="s">
        <v>112</v>
      </c>
      <c r="I1" s="51"/>
      <c r="J1" s="51"/>
      <c r="K1" s="51"/>
      <c r="L1" s="2"/>
      <c r="M1" s="2" t="s">
        <v>111</v>
      </c>
      <c r="N1" s="2"/>
      <c r="O1" s="2"/>
      <c r="P1" s="2"/>
      <c r="Q1" s="2"/>
      <c r="R1" s="2"/>
      <c r="S1" s="2"/>
      <c r="T1" s="2"/>
      <c r="U1" s="2"/>
    </row>
    <row r="2" spans="2:21" ht="15.75" thickBot="1" x14ac:dyDescent="0.3">
      <c r="B2" s="47" t="s">
        <v>28</v>
      </c>
      <c r="C2" s="48"/>
      <c r="E2" s="50" t="s">
        <v>30</v>
      </c>
      <c r="F2" s="50"/>
      <c r="H2" s="47" t="s">
        <v>100</v>
      </c>
      <c r="I2" s="48"/>
      <c r="J2" s="46" t="s">
        <v>103</v>
      </c>
      <c r="K2" s="46" t="s">
        <v>101</v>
      </c>
      <c r="L2" s="2"/>
      <c r="M2" s="47" t="s">
        <v>56</v>
      </c>
      <c r="N2" s="49"/>
      <c r="O2" s="48"/>
      <c r="P2" s="47" t="s">
        <v>57</v>
      </c>
      <c r="Q2" s="49"/>
      <c r="R2" s="48"/>
      <c r="S2" s="47" t="s">
        <v>58</v>
      </c>
      <c r="T2" s="49"/>
      <c r="U2" s="48"/>
    </row>
    <row r="3" spans="2:21" x14ac:dyDescent="0.25">
      <c r="B3" s="7" t="s">
        <v>22</v>
      </c>
      <c r="C3" s="9" t="s">
        <v>62</v>
      </c>
      <c r="E3" s="11" t="s">
        <v>17</v>
      </c>
      <c r="F3" s="12" t="s">
        <v>20</v>
      </c>
      <c r="H3" s="11" t="s">
        <v>42</v>
      </c>
      <c r="I3" s="38" t="s">
        <v>48</v>
      </c>
      <c r="J3" s="38" t="s">
        <v>104</v>
      </c>
      <c r="K3" s="38" t="s">
        <v>102</v>
      </c>
      <c r="L3" s="2"/>
      <c r="M3" s="11" t="s">
        <v>36</v>
      </c>
      <c r="N3" s="36" t="s">
        <v>59</v>
      </c>
      <c r="O3" s="29" t="s">
        <v>18</v>
      </c>
      <c r="P3" s="11" t="s">
        <v>19</v>
      </c>
      <c r="Q3" s="15" t="s">
        <v>43</v>
      </c>
      <c r="R3" s="29" t="s">
        <v>45</v>
      </c>
      <c r="S3" s="31" t="s">
        <v>44</v>
      </c>
      <c r="T3" s="15" t="s">
        <v>46</v>
      </c>
      <c r="U3" s="29" t="s">
        <v>99</v>
      </c>
    </row>
    <row r="4" spans="2:21" x14ac:dyDescent="0.25">
      <c r="B4" s="7" t="s">
        <v>27</v>
      </c>
      <c r="C4" s="9" t="s">
        <v>61</v>
      </c>
      <c r="E4" s="20">
        <v>85</v>
      </c>
      <c r="F4" s="13">
        <v>0.5</v>
      </c>
      <c r="H4" s="16">
        <f ca="1">S4/$C$7</f>
        <v>215.23651909889853</v>
      </c>
      <c r="I4" s="39">
        <f ca="1">$C$18*U4/$C$7</f>
        <v>24.18067478716436</v>
      </c>
      <c r="J4" s="39">
        <f ca="1">I4/$C$18</f>
        <v>5.4748697631315526</v>
      </c>
      <c r="K4" s="39">
        <f ca="1">T4</f>
        <v>51.061441373488108</v>
      </c>
      <c r="L4" s="2"/>
      <c r="M4" s="16">
        <f>E4*$C$18</f>
        <v>375.41666666666669</v>
      </c>
      <c r="N4" s="37">
        <f>M4*PI()/30</f>
        <v>39.313541401172273</v>
      </c>
      <c r="O4" s="33">
        <f ca="1">F4/(N4*($C$11/2))</f>
        <v>6.3591320214297808E-2</v>
      </c>
      <c r="P4" s="32">
        <f t="shared" ref="P4:P15" ca="1" si="0">IF(O4&gt;$C$13,0,INDIRECT($C$3&amp;"!$I$2")*O4^5+INDIRECT($C$3&amp;"!$J$2")*O4^4+INDIRECT($C$3&amp;"!$K$2")*O4^3+INDIRECT($C$3&amp;"!$L$2")*O4^2+INDIRECT($C$3&amp;"!$M$2")*O4+INDIRECT($C$3&amp;"!$N$2"))</f>
        <v>0.11773743078537185</v>
      </c>
      <c r="Q4" s="17">
        <f ca="1">((2*PI()^4/16))*IF(O4&gt;$C$13,0,INDIRECT($C$3&amp;"!$I$4")*O4^5+INDIRECT($C$3&amp;"!$J$4")*O4^4+INDIRECT($C$3&amp;"!$K$4")*O4^3+INDIRECT($C$3&amp;"!$L$4")*O4^2+INDIRECT($C$3&amp;"!$M$4")*O4+INDIRECT($C$3&amp;"!$N$4"))</f>
        <v>8.0400248771561975E-2</v>
      </c>
      <c r="R4" s="33">
        <f ca="1">(PI()^3/8)*IF(O4&gt;$C$13,0,INDIRECT($C$3&amp;"!$I$6")*O4^5+INDIRECT($C$3&amp;"!$J$6")*O4^4+INDIRECT($C$3&amp;"!$K$6")*O4^3+INDIRECT($C$3&amp;"!$L$6")*O4^2+INDIRECT($C$3&amp;"!$M$6")*O4+INDIRECT($C$3&amp;"!$N$6"))</f>
        <v>4.970552228335106E-2</v>
      </c>
      <c r="S4" s="16">
        <f t="shared" ref="S4:S15" ca="1" si="1">Q4*$C$8*(M4/60)^3*$C$11^5</f>
        <v>206.71315294258213</v>
      </c>
      <c r="T4" s="28">
        <f t="shared" ref="T4:T15" ca="1" si="2">R4*$C$8*(M4/60)^2*$C$11^4</f>
        <v>51.061441373488108</v>
      </c>
      <c r="U4" s="30">
        <f ca="1">(Q4/(2*PI()))*$C$8*(M4/60)^2*$C$11^5</f>
        <v>5.2580649205115426</v>
      </c>
    </row>
    <row r="5" spans="2:21" x14ac:dyDescent="0.25">
      <c r="B5" s="7" t="s">
        <v>31</v>
      </c>
      <c r="C5" s="10">
        <v>53</v>
      </c>
      <c r="E5" s="20">
        <v>85</v>
      </c>
      <c r="F5" s="13">
        <v>1</v>
      </c>
      <c r="H5" s="16">
        <f t="shared" ref="H5:H15" ca="1" si="3">S5/$C$7</f>
        <v>201.9018606719612</v>
      </c>
      <c r="I5" s="39">
        <f t="shared" ref="I5:I15" ca="1" si="4">$C$18*U5/$C$7</f>
        <v>22.682597043807359</v>
      </c>
      <c r="J5" s="39">
        <f t="shared" ref="J5:J15" ca="1" si="5">I5/$C$18</f>
        <v>5.1356823495412884</v>
      </c>
      <c r="K5" s="39">
        <f t="shared" ref="K5:K15" ca="1" si="6">T5</f>
        <v>51.546891833590131</v>
      </c>
      <c r="L5" s="2"/>
      <c r="M5" s="16">
        <f>E5*$C$18</f>
        <v>375.41666666666669</v>
      </c>
      <c r="N5" s="37">
        <f t="shared" ref="N5:N15" si="7">M5*PI()/30</f>
        <v>39.313541401172273</v>
      </c>
      <c r="O5" s="33">
        <f ca="1">F5/(N5*($C$11/2))</f>
        <v>0.12718264042859562</v>
      </c>
      <c r="P5" s="32">
        <f t="shared" ca="1" si="0"/>
        <v>0.26848214661844183</v>
      </c>
      <c r="Q5" s="17">
        <f t="shared" ref="Q5:Q15" ca="1" si="8">((2*PI()^4/16))*IF(O5&gt;$C$13,0,INDIRECT($C$3&amp;"!$I$4")*O5^5+INDIRECT($C$3&amp;"!$J$4")*O5^4+INDIRECT($C$3&amp;"!$K$4")*O5^3+INDIRECT($C$3&amp;"!$L$4")*O5^2+INDIRECT($C$3&amp;"!$M$4")*O5+INDIRECT($C$3&amp;"!$N$4"))</f>
        <v>7.5419170935430713E-2</v>
      </c>
      <c r="R5" s="33">
        <f t="shared" ref="R5:R15" ca="1" si="9">(PI()^3/8)*IF(O5&gt;$C$13,0,INDIRECT($C$3&amp;"!$I$6")*O5^5+INDIRECT($C$3&amp;"!$J$6")*O5^4+INDIRECT($C$3&amp;"!$K$6")*O5^3+INDIRECT($C$3&amp;"!$L$6")*O5^2+INDIRECT($C$3&amp;"!$M$6")*O5+INDIRECT($C$3&amp;"!$N$6"))</f>
        <v>5.0178081772723267E-2</v>
      </c>
      <c r="S5" s="16">
        <f t="shared" ca="1" si="1"/>
        <v>193.90654698935151</v>
      </c>
      <c r="T5" s="28">
        <f t="shared" ca="1" si="2"/>
        <v>51.546891833590131</v>
      </c>
      <c r="U5" s="30">
        <f t="shared" ref="U5:U15" ca="1" si="10">(Q5/(2*PI()))*$C$8*(M5/60)^2*$C$11^5</f>
        <v>4.9323093284994535</v>
      </c>
    </row>
    <row r="6" spans="2:21" x14ac:dyDescent="0.25">
      <c r="B6" s="7" t="s">
        <v>32</v>
      </c>
      <c r="C6" s="9">
        <v>12</v>
      </c>
      <c r="E6" s="20">
        <v>85</v>
      </c>
      <c r="F6" s="13">
        <v>1.5</v>
      </c>
      <c r="H6" s="16">
        <f t="shared" ca="1" si="3"/>
        <v>201.23772026074619</v>
      </c>
      <c r="I6" s="39">
        <f t="shared" ca="1" si="4"/>
        <v>22.607984411323635</v>
      </c>
      <c r="J6" s="39">
        <f t="shared" ca="1" si="5"/>
        <v>5.1187889233185588</v>
      </c>
      <c r="K6" s="39">
        <f t="shared" ca="1" si="6"/>
        <v>54.439055800826381</v>
      </c>
      <c r="L6" s="2"/>
      <c r="M6" s="16">
        <f>E6*$C$18</f>
        <v>375.41666666666669</v>
      </c>
      <c r="N6" s="37">
        <f t="shared" si="7"/>
        <v>39.313541401172273</v>
      </c>
      <c r="O6" s="33">
        <f ca="1">F6/(N6*($C$11/2))</f>
        <v>0.1907739606428934</v>
      </c>
      <c r="P6" s="32">
        <f t="shared" ca="1" si="0"/>
        <v>0.42573715218954539</v>
      </c>
      <c r="Q6" s="17">
        <f t="shared" ca="1" si="8"/>
        <v>7.5171085459487863E-2</v>
      </c>
      <c r="R6" s="33">
        <f t="shared" ca="1" si="9"/>
        <v>5.2993445316205361E-2</v>
      </c>
      <c r="S6" s="16">
        <f t="shared" ca="1" si="1"/>
        <v>193.26870653842062</v>
      </c>
      <c r="T6" s="28">
        <f t="shared" ca="1" si="2"/>
        <v>54.439055800826381</v>
      </c>
      <c r="U6" s="30">
        <f t="shared" ca="1" si="10"/>
        <v>4.9160848819551433</v>
      </c>
    </row>
    <row r="7" spans="2:21" x14ac:dyDescent="0.25">
      <c r="B7" s="7" t="s">
        <v>33</v>
      </c>
      <c r="C7" s="43">
        <f>0.98*0.98</f>
        <v>0.96039999999999992</v>
      </c>
      <c r="E7" s="20">
        <v>85</v>
      </c>
      <c r="F7" s="13">
        <v>2</v>
      </c>
      <c r="H7" s="16">
        <f t="shared" ca="1" si="3"/>
        <v>220.07796951002237</v>
      </c>
      <c r="I7" s="39">
        <f t="shared" ca="1" si="4"/>
        <v>24.724585915162926</v>
      </c>
      <c r="J7" s="39">
        <f t="shared" ca="1" si="5"/>
        <v>5.5980194524897184</v>
      </c>
      <c r="K7" s="39">
        <f t="shared" ca="1" si="6"/>
        <v>60.522135912721588</v>
      </c>
      <c r="L7" s="2"/>
      <c r="M7" s="16">
        <f>E7*$C$18</f>
        <v>375.41666666666669</v>
      </c>
      <c r="N7" s="37">
        <f t="shared" si="7"/>
        <v>39.313541401172273</v>
      </c>
      <c r="O7" s="33">
        <f ca="1">F7/(N7*($C$11/2))</f>
        <v>0.25436528085719123</v>
      </c>
      <c r="P7" s="32">
        <f t="shared" ca="1" si="0"/>
        <v>0.57176529066792714</v>
      </c>
      <c r="Q7" s="17">
        <f t="shared" ca="1" si="8"/>
        <v>8.2208742140155625E-2</v>
      </c>
      <c r="R7" s="33">
        <f t="shared" ca="1" si="9"/>
        <v>5.8914991318825799E-2</v>
      </c>
      <c r="S7" s="16">
        <f t="shared" ca="1" si="1"/>
        <v>211.36288191742545</v>
      </c>
      <c r="T7" s="28">
        <f t="shared" ca="1" si="2"/>
        <v>60.522135912721588</v>
      </c>
      <c r="U7" s="30">
        <f t="shared" ca="1" si="10"/>
        <v>5.3763378821711258</v>
      </c>
    </row>
    <row r="8" spans="2:21" ht="15.75" thickBot="1" x14ac:dyDescent="0.3">
      <c r="B8" s="8" t="s">
        <v>47</v>
      </c>
      <c r="C8" s="42">
        <v>1025</v>
      </c>
      <c r="E8" s="20">
        <v>85</v>
      </c>
      <c r="F8" s="13">
        <v>2.5</v>
      </c>
      <c r="H8" s="16">
        <f t="shared" ca="1" si="3"/>
        <v>251.13595851265057</v>
      </c>
      <c r="I8" s="39">
        <f t="shared" ca="1" si="4"/>
        <v>28.21378530734788</v>
      </c>
      <c r="J8" s="39">
        <f t="shared" ca="1" si="5"/>
        <v>6.3880268620410288</v>
      </c>
      <c r="K8" s="39">
        <f t="shared" ca="1" si="6"/>
        <v>67.549408254000028</v>
      </c>
      <c r="L8" s="2"/>
      <c r="M8" s="16">
        <f>E8*$C$18</f>
        <v>375.41666666666669</v>
      </c>
      <c r="N8" s="37">
        <f t="shared" si="7"/>
        <v>39.313541401172273</v>
      </c>
      <c r="O8" s="33">
        <f ca="1">F8/(N8*($C$11/2))</f>
        <v>0.31795660107148904</v>
      </c>
      <c r="P8" s="32">
        <f t="shared" ca="1" si="0"/>
        <v>0.69856228227207828</v>
      </c>
      <c r="Q8" s="17">
        <f t="shared" ca="1" si="8"/>
        <v>9.3810258707185651E-2</v>
      </c>
      <c r="R8" s="33">
        <f t="shared" ca="1" si="9"/>
        <v>6.5755656849508431E-2</v>
      </c>
      <c r="S8" s="16">
        <f t="shared" ca="1" si="1"/>
        <v>241.19097455554959</v>
      </c>
      <c r="T8" s="28">
        <f t="shared" ca="1" si="2"/>
        <v>67.549408254000028</v>
      </c>
      <c r="U8" s="30">
        <f t="shared" ca="1" si="10"/>
        <v>6.1350609983042039</v>
      </c>
    </row>
    <row r="9" spans="2:21" ht="15.75" thickBot="1" x14ac:dyDescent="0.3">
      <c r="E9" s="20">
        <v>85</v>
      </c>
      <c r="F9" s="13">
        <v>3</v>
      </c>
      <c r="H9" s="16">
        <f t="shared" ca="1" si="3"/>
        <v>279.11837171480749</v>
      </c>
      <c r="I9" s="39">
        <f t="shared" ca="1" si="4"/>
        <v>31.357460164357185</v>
      </c>
      <c r="J9" s="39">
        <f t="shared" ca="1" si="5"/>
        <v>7.0998023013638907</v>
      </c>
      <c r="K9" s="39">
        <f t="shared" ca="1" si="6"/>
        <v>71.774483897466766</v>
      </c>
      <c r="L9" s="2"/>
      <c r="M9" s="16">
        <f>E9*$C$18</f>
        <v>375.41666666666669</v>
      </c>
      <c r="N9" s="37">
        <f t="shared" si="7"/>
        <v>39.313541401172273</v>
      </c>
      <c r="O9" s="33">
        <f ca="1">F9/(N9*($C$11/2))</f>
        <v>0.3815479212857868</v>
      </c>
      <c r="P9" s="32">
        <f t="shared" ca="1" si="0"/>
        <v>0.80319732407412725</v>
      </c>
      <c r="Q9" s="17">
        <f t="shared" ca="1" si="8"/>
        <v>0.10426291326646285</v>
      </c>
      <c r="R9" s="33">
        <f t="shared" ca="1" si="9"/>
        <v>6.9868537056102437E-2</v>
      </c>
      <c r="S9" s="16">
        <f t="shared" ca="1" si="1"/>
        <v>268.0652841949011</v>
      </c>
      <c r="T9" s="28">
        <f t="shared" ca="1" si="2"/>
        <v>71.774483897466766</v>
      </c>
      <c r="U9" s="30">
        <f t="shared" ca="1" si="10"/>
        <v>6.8186501302298801</v>
      </c>
    </row>
    <row r="10" spans="2:21" ht="15.75" thickBot="1" x14ac:dyDescent="0.3">
      <c r="B10" s="47" t="s">
        <v>23</v>
      </c>
      <c r="C10" s="48"/>
      <c r="E10" s="20">
        <v>85</v>
      </c>
      <c r="F10" s="13">
        <v>3.5</v>
      </c>
      <c r="H10" s="16">
        <f t="shared" ca="1" si="3"/>
        <v>286.83908382120552</v>
      </c>
      <c r="I10" s="39">
        <f t="shared" ca="1" si="4"/>
        <v>32.224840985008491</v>
      </c>
      <c r="J10" s="39">
        <f t="shared" ca="1" si="5"/>
        <v>7.2961904117000351</v>
      </c>
      <c r="K10" s="39">
        <f t="shared" ca="1" si="6"/>
        <v>69.482570444887813</v>
      </c>
      <c r="L10" s="2"/>
      <c r="M10" s="16">
        <f>E10*$C$18</f>
        <v>375.41666666666669</v>
      </c>
      <c r="N10" s="37">
        <f t="shared" si="7"/>
        <v>39.313541401172273</v>
      </c>
      <c r="O10" s="33">
        <f ca="1">F10/(N10*($C$11/2))</f>
        <v>0.4451392415000846</v>
      </c>
      <c r="P10" s="32">
        <f t="shared" ca="1" si="0"/>
        <v>0.8831536898042267</v>
      </c>
      <c r="Q10" s="17">
        <f t="shared" ca="1" si="8"/>
        <v>0.1071469367428079</v>
      </c>
      <c r="R10" s="33">
        <f t="shared" ca="1" si="9"/>
        <v>6.7637484580411369E-2</v>
      </c>
      <c r="S10" s="16">
        <f t="shared" ca="1" si="1"/>
        <v>275.48025610188574</v>
      </c>
      <c r="T10" s="28">
        <f t="shared" ca="1" si="2"/>
        <v>69.482570444887813</v>
      </c>
      <c r="U10" s="30">
        <f t="shared" ca="1" si="10"/>
        <v>7.0072612713967128</v>
      </c>
    </row>
    <row r="11" spans="2:21" x14ac:dyDescent="0.25">
      <c r="B11" s="7" t="s">
        <v>25</v>
      </c>
      <c r="C11" s="41">
        <f ca="1">INDIRECT($C$3&amp;"!$c$2")</f>
        <v>0.4</v>
      </c>
      <c r="E11" s="20">
        <v>85</v>
      </c>
      <c r="F11" s="13">
        <v>4</v>
      </c>
      <c r="H11" s="16">
        <f t="shared" ca="1" si="3"/>
        <v>261.33301570031284</v>
      </c>
      <c r="I11" s="39">
        <f t="shared" ca="1" si="4"/>
        <v>29.359370288341196</v>
      </c>
      <c r="J11" s="39">
        <f t="shared" ca="1" si="5"/>
        <v>6.6474045935866855</v>
      </c>
      <c r="K11" s="39">
        <f t="shared" ca="1" si="6"/>
        <v>58.521733567870704</v>
      </c>
      <c r="L11" s="2"/>
      <c r="M11" s="16">
        <f>E11*$C$18</f>
        <v>375.41666666666669</v>
      </c>
      <c r="N11" s="37">
        <f t="shared" si="7"/>
        <v>39.313541401172273</v>
      </c>
      <c r="O11" s="33">
        <f ca="1">F11/(N11*($C$11/2))</f>
        <v>0.50873056171438247</v>
      </c>
      <c r="P11" s="32">
        <f t="shared" ca="1" si="0"/>
        <v>0.93166932965494709</v>
      </c>
      <c r="Q11" s="17">
        <f t="shared" ca="1" si="8"/>
        <v>9.7619305322779654E-2</v>
      </c>
      <c r="R11" s="33">
        <f t="shared" ca="1" si="9"/>
        <v>5.6967708973222453E-2</v>
      </c>
      <c r="S11" s="16">
        <f t="shared" ca="1" si="1"/>
        <v>250.98422827858045</v>
      </c>
      <c r="T11" s="28">
        <f t="shared" ca="1" si="2"/>
        <v>58.521733567870704</v>
      </c>
      <c r="U11" s="30">
        <f t="shared" ca="1" si="10"/>
        <v>6.3841673716806522</v>
      </c>
    </row>
    <row r="12" spans="2:21" x14ac:dyDescent="0.25">
      <c r="B12" s="7" t="s">
        <v>41</v>
      </c>
      <c r="C12" s="41">
        <f ca="1">INDIRECT($C$3&amp;"!$c$3")</f>
        <v>0.54054999999999997</v>
      </c>
      <c r="E12" s="20">
        <v>90</v>
      </c>
      <c r="F12" s="13">
        <v>4.5</v>
      </c>
      <c r="H12" s="16">
        <f t="shared" ca="1" si="3"/>
        <v>278.63395034269183</v>
      </c>
      <c r="I12" s="39">
        <f t="shared" ca="1" si="4"/>
        <v>29.563980340174073</v>
      </c>
      <c r="J12" s="39">
        <f t="shared" ca="1" si="5"/>
        <v>6.6937313977752613</v>
      </c>
      <c r="K12" s="39">
        <f t="shared" ca="1" si="6"/>
        <v>55.968104478003703</v>
      </c>
      <c r="L12" s="2"/>
      <c r="M12" s="16">
        <f>E12*$C$18</f>
        <v>397.5</v>
      </c>
      <c r="N12" s="37">
        <f t="shared" si="7"/>
        <v>41.626102660064753</v>
      </c>
      <c r="O12" s="33">
        <f ca="1">F12/(N12*($C$11/2))</f>
        <v>0.54052622182153143</v>
      </c>
      <c r="P12" s="32">
        <f t="shared" ca="1" si="0"/>
        <v>0.9397162568890195</v>
      </c>
      <c r="Q12" s="17">
        <f t="shared" ca="1" si="8"/>
        <v>8.7680842413903323E-2</v>
      </c>
      <c r="R12" s="33">
        <f t="shared" ca="1" si="9"/>
        <v>4.859650120953006E-2</v>
      </c>
      <c r="S12" s="16">
        <f t="shared" ca="1" si="1"/>
        <v>267.60004590912121</v>
      </c>
      <c r="T12" s="28">
        <f t="shared" ca="1" si="2"/>
        <v>55.968104478003703</v>
      </c>
      <c r="U12" s="30">
        <f t="shared" ca="1" si="10"/>
        <v>6.4286596344233606</v>
      </c>
    </row>
    <row r="13" spans="2:21" x14ac:dyDescent="0.25">
      <c r="B13" s="7" t="s">
        <v>40</v>
      </c>
      <c r="C13" s="41">
        <f ca="1">INDIRECT($C$3&amp;"!$c$4")</f>
        <v>0.66774</v>
      </c>
      <c r="E13" s="20">
        <v>95</v>
      </c>
      <c r="F13" s="13">
        <v>5</v>
      </c>
      <c r="H13" s="16">
        <f t="shared" ca="1" si="3"/>
        <v>284.74041179485744</v>
      </c>
      <c r="I13" s="39">
        <f t="shared" ca="1" si="4"/>
        <v>28.621796232741083</v>
      </c>
      <c r="J13" s="39">
        <f t="shared" ca="1" si="5"/>
        <v>6.4804066942055281</v>
      </c>
      <c r="K13" s="39">
        <f t="shared" ca="1" si="6"/>
        <v>51.144319208876553</v>
      </c>
      <c r="L13" s="2"/>
      <c r="M13" s="16">
        <f>E13*$C$18</f>
        <v>419.58333333333337</v>
      </c>
      <c r="N13" s="37">
        <f t="shared" si="7"/>
        <v>43.938663918957246</v>
      </c>
      <c r="O13" s="33">
        <f ca="1">F13/(N13*($C$11/2))</f>
        <v>0.56897497033845401</v>
      </c>
      <c r="P13" s="32">
        <f t="shared" ca="1" si="0"/>
        <v>0.93458136696203109</v>
      </c>
      <c r="Q13" s="17">
        <f t="shared" ca="1" si="8"/>
        <v>7.6186233383767038E-2</v>
      </c>
      <c r="R13" s="33">
        <f t="shared" ca="1" si="9"/>
        <v>3.9856541842859403E-2</v>
      </c>
      <c r="S13" s="16">
        <f t="shared" ca="1" si="1"/>
        <v>273.46469148778107</v>
      </c>
      <c r="T13" s="28">
        <f t="shared" ca="1" si="2"/>
        <v>51.144319208876553</v>
      </c>
      <c r="U13" s="30">
        <f t="shared" ca="1" si="10"/>
        <v>6.2237825891149887</v>
      </c>
    </row>
    <row r="14" spans="2:21" ht="15.75" thickBot="1" x14ac:dyDescent="0.3">
      <c r="B14" s="8" t="s">
        <v>26</v>
      </c>
      <c r="C14" s="52">
        <f ca="1">INDIRECT($C$3&amp;"!$c$5")</f>
        <v>87823</v>
      </c>
      <c r="E14" s="20">
        <v>102</v>
      </c>
      <c r="F14" s="13">
        <v>5.5</v>
      </c>
      <c r="H14" s="16">
        <f t="shared" ca="1" si="3"/>
        <v>323.01461120829691</v>
      </c>
      <c r="I14" s="39">
        <f t="shared" ca="1" si="4"/>
        <v>30.240807096886584</v>
      </c>
      <c r="J14" s="39">
        <f t="shared" ca="1" si="5"/>
        <v>6.8469751917479051</v>
      </c>
      <c r="K14" s="39">
        <f t="shared" ca="1" si="6"/>
        <v>52.239508360786857</v>
      </c>
      <c r="L14" s="2"/>
      <c r="M14" s="16">
        <f>E14*$C$18</f>
        <v>450.50000000000006</v>
      </c>
      <c r="N14" s="37">
        <f t="shared" si="7"/>
        <v>47.17624968140673</v>
      </c>
      <c r="O14" s="33">
        <f ca="1">F14/(N14*($C$11/2))</f>
        <v>0.58292043529772986</v>
      </c>
      <c r="P14" s="32">
        <f t="shared" ca="1" si="0"/>
        <v>0.92692137446722445</v>
      </c>
      <c r="Q14" s="17">
        <f t="shared" ca="1" si="8"/>
        <v>6.9826433799440618E-2</v>
      </c>
      <c r="R14" s="33">
        <f t="shared" ca="1" si="9"/>
        <v>3.5314101461958777E-2</v>
      </c>
      <c r="S14" s="16">
        <f t="shared" ca="1" si="1"/>
        <v>310.22323260444836</v>
      </c>
      <c r="T14" s="28">
        <f t="shared" ca="1" si="2"/>
        <v>52.239508360786857</v>
      </c>
      <c r="U14" s="30">
        <f t="shared" ca="1" si="10"/>
        <v>6.575834974154688</v>
      </c>
    </row>
    <row r="15" spans="2:21" ht="15.75" thickBot="1" x14ac:dyDescent="0.3">
      <c r="E15" s="21">
        <v>108</v>
      </c>
      <c r="F15" s="14">
        <v>6</v>
      </c>
      <c r="H15" s="18">
        <f t="shared" ca="1" si="3"/>
        <v>336.50760692005372</v>
      </c>
      <c r="I15" s="40">
        <f t="shared" ca="1" si="4"/>
        <v>29.753805016306124</v>
      </c>
      <c r="J15" s="40">
        <f t="shared" ca="1" si="5"/>
        <v>6.7367105697296878</v>
      </c>
      <c r="K15" s="40">
        <f t="shared" ca="1" si="6"/>
        <v>48.913269908728729</v>
      </c>
      <c r="L15" s="2"/>
      <c r="M15" s="18">
        <f>E15*$C$18</f>
        <v>477.00000000000006</v>
      </c>
      <c r="N15" s="19">
        <f t="shared" si="7"/>
        <v>49.951323192077716</v>
      </c>
      <c r="O15" s="35">
        <f ca="1">F15/(N15*($C$11/2))</f>
        <v>0.60058469091281252</v>
      </c>
      <c r="P15" s="34">
        <f t="shared" ca="1" si="0"/>
        <v>0.9115465008757172</v>
      </c>
      <c r="Q15" s="19">
        <f t="shared" ca="1" si="8"/>
        <v>6.1280433591036236E-2</v>
      </c>
      <c r="R15" s="35">
        <f t="shared" ca="1" si="9"/>
        <v>2.9493655886330749E-2</v>
      </c>
      <c r="S15" s="18">
        <f t="shared" ca="1" si="1"/>
        <v>323.18190568601955</v>
      </c>
      <c r="T15" s="23">
        <f t="shared" ca="1" si="2"/>
        <v>48.913269908728729</v>
      </c>
      <c r="U15" s="30">
        <f t="shared" ca="1" si="10"/>
        <v>6.4699368311683916</v>
      </c>
    </row>
    <row r="16" spans="2:21" ht="15.75" thickBot="1" x14ac:dyDescent="0.3">
      <c r="B16" s="47" t="s">
        <v>29</v>
      </c>
      <c r="C16" s="48"/>
      <c r="E16" s="5"/>
      <c r="L16" s="2"/>
    </row>
    <row r="17" spans="2:21" x14ac:dyDescent="0.25">
      <c r="B17" s="24" t="s">
        <v>35</v>
      </c>
      <c r="C17" s="44">
        <f ca="1">INDIRECT($C$4&amp;"!$F$16")*85^4+INDIRECT($C$4&amp;"!$G$16")*85^3+INDIRECT($C$4&amp;"!$H$16")*85^2+INDIRECT($C$4&amp;"!$I$16")*85+INDIRECT($C$4&amp;"!$J$16")</f>
        <v>257.30190670440129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2"/>
      <c r="Q17" s="2"/>
      <c r="R17" s="2"/>
      <c r="S17" s="2"/>
      <c r="T17" s="2"/>
      <c r="U17" s="2"/>
    </row>
    <row r="18" spans="2:21" ht="15.75" thickBot="1" x14ac:dyDescent="0.3">
      <c r="B18" s="8" t="s">
        <v>37</v>
      </c>
      <c r="C18" s="25">
        <f>C5/C6</f>
        <v>4.416666666666667</v>
      </c>
    </row>
  </sheetData>
  <mergeCells count="9">
    <mergeCell ref="H1:K1"/>
    <mergeCell ref="B16:C16"/>
    <mergeCell ref="P2:R2"/>
    <mergeCell ref="S2:U2"/>
    <mergeCell ref="B10:C10"/>
    <mergeCell ref="B2:C2"/>
    <mergeCell ref="E2:F2"/>
    <mergeCell ref="M2:O2"/>
    <mergeCell ref="H2:I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2"/>
  <sheetViews>
    <sheetView workbookViewId="0">
      <selection activeCell="C24" sqref="C24"/>
    </sheetView>
  </sheetViews>
  <sheetFormatPr defaultRowHeight="15" x14ac:dyDescent="0.25"/>
  <cols>
    <col min="5" max="5" width="12.7109375" bestFit="1" customWidth="1"/>
    <col min="6" max="6" width="12.85546875" bestFit="1" customWidth="1"/>
    <col min="7" max="7" width="12" bestFit="1" customWidth="1"/>
    <col min="8" max="10" width="9.28515625" bestFit="1" customWidth="1"/>
  </cols>
  <sheetData>
    <row r="1" spans="2:23" x14ac:dyDescent="0.25">
      <c r="E1" t="s">
        <v>54</v>
      </c>
      <c r="F1" t="s">
        <v>7</v>
      </c>
      <c r="G1" t="s">
        <v>8</v>
      </c>
      <c r="H1" t="s">
        <v>9</v>
      </c>
      <c r="I1" t="s">
        <v>10</v>
      </c>
      <c r="J1" t="s">
        <v>14</v>
      </c>
      <c r="O1" t="s">
        <v>4</v>
      </c>
    </row>
    <row r="2" spans="2:23" x14ac:dyDescent="0.25">
      <c r="B2" t="s">
        <v>6</v>
      </c>
      <c r="C2" t="s">
        <v>5</v>
      </c>
      <c r="D2" t="s">
        <v>11</v>
      </c>
      <c r="E2" t="s">
        <v>53</v>
      </c>
      <c r="F2">
        <f t="array" ref="F2:J2">LINEST($C$3:$C$14,$B$3:$B$14^{1,2,3,4})</f>
        <v>-5.3500065541115732E-7</v>
      </c>
      <c r="G2">
        <v>1.0613490988644552E-4</v>
      </c>
      <c r="H2">
        <v>-7.4285620249907452E-3</v>
      </c>
      <c r="I2">
        <v>0.53152785410563419</v>
      </c>
      <c r="J2">
        <v>-8.6937668286608982E-2</v>
      </c>
      <c r="O2" s="26" t="s">
        <v>1</v>
      </c>
    </row>
    <row r="3" spans="2:23" x14ac:dyDescent="0.25">
      <c r="B3">
        <v>0</v>
      </c>
      <c r="C3" s="27">
        <v>0</v>
      </c>
      <c r="D3" s="27">
        <f>C3*B3*PI()/30</f>
        <v>0</v>
      </c>
    </row>
    <row r="4" spans="2:23" x14ac:dyDescent="0.25">
      <c r="B4">
        <v>20</v>
      </c>
      <c r="C4" s="27">
        <v>8</v>
      </c>
      <c r="D4" s="27">
        <f>C4*B4*PI()/30</f>
        <v>16.755160819145562</v>
      </c>
      <c r="V4" t="s">
        <v>3</v>
      </c>
      <c r="W4" t="s">
        <v>2</v>
      </c>
    </row>
    <row r="5" spans="2:23" x14ac:dyDescent="0.25">
      <c r="B5">
        <v>40</v>
      </c>
      <c r="C5" s="27">
        <v>15</v>
      </c>
      <c r="D5" s="27">
        <f>C5*B5*(PI()/30)</f>
        <v>62.831853071795862</v>
      </c>
      <c r="V5">
        <v>1</v>
      </c>
      <c r="W5">
        <f>1.35581794833</f>
        <v>1.3558179483299999</v>
      </c>
    </row>
    <row r="6" spans="2:23" x14ac:dyDescent="0.25">
      <c r="B6">
        <v>60</v>
      </c>
      <c r="C6" s="27">
        <v>21.5</v>
      </c>
      <c r="D6" s="27">
        <f>C6*B6*PI()/30</f>
        <v>135.0884841043611</v>
      </c>
      <c r="V6">
        <v>150</v>
      </c>
      <c r="W6">
        <f>W5*V6</f>
        <v>203.37269224949998</v>
      </c>
    </row>
    <row r="7" spans="2:23" x14ac:dyDescent="0.25">
      <c r="B7">
        <v>80</v>
      </c>
      <c r="C7" s="27">
        <v>26.8</v>
      </c>
      <c r="D7" s="27">
        <f>C7*B7*PI()/30</f>
        <v>224.51915497655054</v>
      </c>
    </row>
    <row r="8" spans="2:23" x14ac:dyDescent="0.25">
      <c r="B8">
        <v>85</v>
      </c>
      <c r="C8" s="27">
        <v>28.1</v>
      </c>
      <c r="D8" s="27">
        <f>C8*B8*PI()/30</f>
        <v>250.12313510330736</v>
      </c>
    </row>
    <row r="9" spans="2:23" x14ac:dyDescent="0.25">
      <c r="B9">
        <v>90</v>
      </c>
      <c r="C9" s="27">
        <v>29.8</v>
      </c>
      <c r="D9" s="27">
        <f>C9*B9*PI()/30</f>
        <v>280.85838323092753</v>
      </c>
    </row>
    <row r="10" spans="2:23" x14ac:dyDescent="0.25">
      <c r="B10">
        <v>100</v>
      </c>
      <c r="C10" s="27">
        <v>31.8</v>
      </c>
      <c r="D10" s="27">
        <f>C10*B10*PI()/30</f>
        <v>333.00882128051802</v>
      </c>
    </row>
    <row r="11" spans="2:23" x14ac:dyDescent="0.25">
      <c r="B11">
        <v>110</v>
      </c>
      <c r="C11" s="27">
        <v>31.8</v>
      </c>
      <c r="D11" s="27">
        <f>C11*B11*PI()/30</f>
        <v>366.30970340856987</v>
      </c>
    </row>
    <row r="12" spans="2:23" x14ac:dyDescent="0.25">
      <c r="B12">
        <v>120</v>
      </c>
      <c r="C12" s="27">
        <v>29.8</v>
      </c>
      <c r="D12" s="27">
        <f>C12*B12*PI()/30</f>
        <v>374.4778443079033</v>
      </c>
    </row>
    <row r="13" spans="2:23" x14ac:dyDescent="0.25">
      <c r="B13">
        <v>130</v>
      </c>
      <c r="C13" s="27">
        <v>23</v>
      </c>
      <c r="D13" s="27">
        <f>C13*B13*PI()/30</f>
        <v>313.11206780778269</v>
      </c>
    </row>
    <row r="14" spans="2:23" x14ac:dyDescent="0.25">
      <c r="B14">
        <v>150</v>
      </c>
      <c r="C14" s="27">
        <v>0</v>
      </c>
      <c r="D14" s="27">
        <f>C14*B14*PI()/30</f>
        <v>0</v>
      </c>
    </row>
    <row r="15" spans="2:23" x14ac:dyDescent="0.25">
      <c r="C15" s="27"/>
      <c r="D15" s="27"/>
      <c r="E15" t="s">
        <v>54</v>
      </c>
      <c r="F15" t="s">
        <v>7</v>
      </c>
      <c r="G15" t="s">
        <v>8</v>
      </c>
      <c r="H15" t="s">
        <v>9</v>
      </c>
      <c r="I15" t="s">
        <v>10</v>
      </c>
      <c r="J15" t="s">
        <v>14</v>
      </c>
    </row>
    <row r="16" spans="2:23" x14ac:dyDescent="0.25">
      <c r="C16" s="27"/>
      <c r="D16" s="27"/>
      <c r="E16" t="s">
        <v>55</v>
      </c>
      <c r="F16">
        <f t="array" ref="F16:J16">LINEST($D$3:$D$14,$B$3:$B$14^{1,2,3,4})</f>
        <v>-1.0192275893841418E-5</v>
      </c>
      <c r="G16">
        <v>2.0628495524477571E-3</v>
      </c>
      <c r="H16">
        <v>-9.8585881603892589E-2</v>
      </c>
      <c r="I16">
        <v>2.8042808360156237</v>
      </c>
      <c r="J16">
        <v>-3.5832793348258747</v>
      </c>
      <c r="V16" t="s">
        <v>12</v>
      </c>
      <c r="W16" t="s">
        <v>13</v>
      </c>
    </row>
    <row r="17" spans="3:23" x14ac:dyDescent="0.25">
      <c r="C17" s="27"/>
      <c r="D17" s="27"/>
      <c r="V17">
        <v>1</v>
      </c>
      <c r="W17">
        <f>745.699872</f>
        <v>745.69987200000003</v>
      </c>
    </row>
    <row r="18" spans="3:23" x14ac:dyDescent="0.25">
      <c r="C18" s="27"/>
      <c r="D18" s="27"/>
    </row>
    <row r="19" spans="3:23" x14ac:dyDescent="0.25">
      <c r="C19" s="27"/>
      <c r="D19" s="27"/>
    </row>
    <row r="20" spans="3:23" x14ac:dyDescent="0.25">
      <c r="C20" s="27"/>
      <c r="D20" s="27"/>
    </row>
    <row r="21" spans="3:23" x14ac:dyDescent="0.25">
      <c r="C21" s="27"/>
      <c r="D21" s="27"/>
    </row>
    <row r="22" spans="3:23" x14ac:dyDescent="0.25">
      <c r="C22" s="27"/>
      <c r="D22" s="27"/>
    </row>
  </sheetData>
  <hyperlinks>
    <hyperlink ref="O2" r:id="rId1"/>
  </hyperlinks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workbookViewId="0">
      <selection activeCell="C5" sqref="C5"/>
    </sheetView>
  </sheetViews>
  <sheetFormatPr defaultRowHeight="15" x14ac:dyDescent="0.25"/>
  <sheetData>
    <row r="1" spans="1:24" x14ac:dyDescent="0.25">
      <c r="A1" t="s">
        <v>98</v>
      </c>
      <c r="B1" t="s">
        <v>90</v>
      </c>
      <c r="C1" t="s">
        <v>9</v>
      </c>
      <c r="D1" t="s">
        <v>64</v>
      </c>
      <c r="F1" t="s">
        <v>94</v>
      </c>
      <c r="G1" t="s">
        <v>95</v>
      </c>
      <c r="H1" t="s">
        <v>96</v>
      </c>
      <c r="J1" t="s">
        <v>91</v>
      </c>
      <c r="M1" s="45">
        <v>-0.25</v>
      </c>
      <c r="N1">
        <v>-3.5000000000000003E-2</v>
      </c>
      <c r="P1" t="s">
        <v>92</v>
      </c>
      <c r="Q1">
        <f>C2</f>
        <v>3.14</v>
      </c>
      <c r="S1" t="s">
        <v>93</v>
      </c>
      <c r="T1" s="1">
        <f>D2</f>
        <v>32.041499999999999</v>
      </c>
      <c r="V1" t="s">
        <v>94</v>
      </c>
      <c r="W1" t="s">
        <v>95</v>
      </c>
      <c r="X1" t="s">
        <v>96</v>
      </c>
    </row>
    <row r="2" spans="1:24" x14ac:dyDescent="0.25">
      <c r="B2">
        <v>200</v>
      </c>
      <c r="C2">
        <v>3.14</v>
      </c>
      <c r="D2" s="1">
        <v>32.041499999999999</v>
      </c>
      <c r="E2" s="1"/>
      <c r="F2" s="1">
        <f>V2</f>
        <v>1.940092191229879</v>
      </c>
      <c r="G2" s="1">
        <f t="shared" ref="G2:H2" si="0">W2</f>
        <v>-1.3391308319239039</v>
      </c>
      <c r="H2" s="1">
        <f t="shared" si="0"/>
        <v>200</v>
      </c>
      <c r="J2">
        <v>1</v>
      </c>
      <c r="K2">
        <v>1.2899999999999999E-3</v>
      </c>
      <c r="M2">
        <f>J2+$M$1</f>
        <v>0.75</v>
      </c>
      <c r="N2">
        <f>K2+$N$1</f>
        <v>-3.3710000000000004E-2</v>
      </c>
      <c r="P2">
        <f>M2*$Q$1</f>
        <v>2.355</v>
      </c>
      <c r="Q2">
        <f>N2*$Q$1</f>
        <v>-0.10584940000000001</v>
      </c>
      <c r="S2" t="s">
        <v>97</v>
      </c>
      <c r="T2">
        <f>T1</f>
        <v>32.041499999999999</v>
      </c>
      <c r="V2">
        <f t="array" ref="V2:W2">MMULT(P2:Q2,$S$3:$T$4)</f>
        <v>1.940092191229879</v>
      </c>
      <c r="W2">
        <v>-1.3391308319239039</v>
      </c>
      <c r="X2">
        <f>B2</f>
        <v>200</v>
      </c>
    </row>
    <row r="3" spans="1:24" x14ac:dyDescent="0.25">
      <c r="B3" t="s">
        <v>90</v>
      </c>
      <c r="C3" t="s">
        <v>9</v>
      </c>
      <c r="D3" t="s">
        <v>64</v>
      </c>
      <c r="F3" s="1">
        <f t="shared" ref="F3:F66" si="1">V3</f>
        <v>1.9343607737176369</v>
      </c>
      <c r="G3" s="1">
        <f t="shared" ref="G3:G66" si="2">W3</f>
        <v>-1.3337285640093737</v>
      </c>
      <c r="H3" s="1">
        <f t="shared" ref="H3:H66" si="3">X3</f>
        <v>200</v>
      </c>
      <c r="J3">
        <v>0.99753999999999998</v>
      </c>
      <c r="K3">
        <v>1.7799999999999999E-3</v>
      </c>
      <c r="M3">
        <f t="shared" ref="M3:M66" si="4">J3+$M$1</f>
        <v>0.74753999999999998</v>
      </c>
      <c r="N3">
        <f t="shared" ref="N3:N66" si="5">K3+$N$1</f>
        <v>-3.3220000000000006E-2</v>
      </c>
      <c r="P3">
        <f t="shared" ref="P3:P66" si="6">M3*$Q$1</f>
        <v>2.3472756000000001</v>
      </c>
      <c r="Q3">
        <f t="shared" ref="Q3:Q66" si="7">N3*$Q$1</f>
        <v>-0.10431080000000002</v>
      </c>
      <c r="S3">
        <f>COS(PI()*$T$2/180)</f>
        <v>0.84766404704426301</v>
      </c>
      <c r="T3">
        <f>-SIN(PI()*$T$2/180)</f>
        <v>-0.53053337628139996</v>
      </c>
      <c r="V3">
        <f t="array" ref="V3:W3">MMULT(P3:Q3,$S$3:$T$4)</f>
        <v>1.9343607737176369</v>
      </c>
      <c r="W3">
        <v>-1.3337285640093737</v>
      </c>
      <c r="X3">
        <f>X2</f>
        <v>200</v>
      </c>
    </row>
    <row r="4" spans="1:24" x14ac:dyDescent="0.25">
      <c r="A4">
        <v>1</v>
      </c>
      <c r="B4">
        <v>33.799999999999997</v>
      </c>
      <c r="C4">
        <v>10.200000000000001</v>
      </c>
      <c r="D4" s="1">
        <v>76.447000000000003</v>
      </c>
      <c r="E4" s="1"/>
      <c r="F4" s="1">
        <f t="shared" si="1"/>
        <v>1.9184205741109113</v>
      </c>
      <c r="G4" s="1">
        <f t="shared" si="2"/>
        <v>-1.3187141158204545</v>
      </c>
      <c r="H4" s="1">
        <f t="shared" si="3"/>
        <v>200</v>
      </c>
      <c r="J4">
        <v>0.99070000000000003</v>
      </c>
      <c r="K4">
        <v>3.14E-3</v>
      </c>
      <c r="M4">
        <f t="shared" si="4"/>
        <v>0.74070000000000003</v>
      </c>
      <c r="N4">
        <f t="shared" si="5"/>
        <v>-3.1860000000000006E-2</v>
      </c>
      <c r="P4">
        <f t="shared" si="6"/>
        <v>2.3257980000000003</v>
      </c>
      <c r="Q4">
        <f t="shared" si="7"/>
        <v>-0.10004040000000003</v>
      </c>
      <c r="S4">
        <f>SIN(PI()*$T$2/180)</f>
        <v>0.53053337628139996</v>
      </c>
      <c r="T4">
        <f>COS(PI()*$T$2/180)</f>
        <v>0.84766404704426301</v>
      </c>
      <c r="V4">
        <f t="array" ref="V4:W4">MMULT(P4:Q4,$S$3:$T$4)</f>
        <v>1.9184205741109113</v>
      </c>
      <c r="W4">
        <v>-1.3187141158204545</v>
      </c>
      <c r="X4">
        <f t="shared" ref="X4:X67" si="8">X3</f>
        <v>200</v>
      </c>
    </row>
    <row r="5" spans="1:24" x14ac:dyDescent="0.25">
      <c r="A5">
        <v>2</v>
      </c>
      <c r="B5">
        <v>51.3</v>
      </c>
      <c r="C5">
        <v>14.1</v>
      </c>
      <c r="D5" s="1">
        <v>68.295599999999993</v>
      </c>
      <c r="E5" s="1"/>
      <c r="F5" s="1">
        <f t="shared" si="1"/>
        <v>1.8943072993952668</v>
      </c>
      <c r="G5" s="1">
        <f t="shared" si="2"/>
        <v>-1.2961024489520461</v>
      </c>
      <c r="H5" s="1">
        <f t="shared" si="3"/>
        <v>200</v>
      </c>
      <c r="J5">
        <v>0.98036999999999996</v>
      </c>
      <c r="K5">
        <v>5.1700000000000001E-3</v>
      </c>
      <c r="M5">
        <f t="shared" si="4"/>
        <v>0.73036999999999996</v>
      </c>
      <c r="N5">
        <f t="shared" si="5"/>
        <v>-2.9830000000000002E-2</v>
      </c>
      <c r="P5">
        <f t="shared" si="6"/>
        <v>2.2933618</v>
      </c>
      <c r="Q5">
        <f t="shared" si="7"/>
        <v>-9.3666200000000005E-2</v>
      </c>
      <c r="V5">
        <f t="array" ref="V5:W5">MMULT(P5:Q5,$S$3:$T$4)</f>
        <v>1.8943072993952668</v>
      </c>
      <c r="W5">
        <v>-1.2961024489520461</v>
      </c>
      <c r="X5">
        <f t="shared" si="8"/>
        <v>200</v>
      </c>
    </row>
    <row r="6" spans="1:24" x14ac:dyDescent="0.25">
      <c r="A6">
        <v>3</v>
      </c>
      <c r="B6">
        <v>68.8</v>
      </c>
      <c r="C6">
        <v>16.8</v>
      </c>
      <c r="D6" s="1">
        <v>61.126199999999997</v>
      </c>
      <c r="E6" s="1"/>
      <c r="F6" s="1">
        <f t="shared" si="1"/>
        <v>1.8629988780868709</v>
      </c>
      <c r="G6" s="1">
        <f t="shared" si="2"/>
        <v>-1.2668760560795755</v>
      </c>
      <c r="H6" s="1">
        <f t="shared" si="3"/>
        <v>200</v>
      </c>
      <c r="J6">
        <v>0.96697999999999995</v>
      </c>
      <c r="K6">
        <v>7.77E-3</v>
      </c>
      <c r="M6">
        <f t="shared" si="4"/>
        <v>0.71697999999999995</v>
      </c>
      <c r="N6">
        <f t="shared" si="5"/>
        <v>-2.7230000000000004E-2</v>
      </c>
      <c r="P6">
        <f t="shared" si="6"/>
        <v>2.2513171999999999</v>
      </c>
      <c r="Q6">
        <f t="shared" si="7"/>
        <v>-8.5502200000000014E-2</v>
      </c>
      <c r="V6">
        <f t="array" ref="V6:W6">MMULT(P6:Q6,$S$3:$T$4)</f>
        <v>1.8629988780868709</v>
      </c>
      <c r="W6">
        <v>-1.2668760560795755</v>
      </c>
      <c r="X6">
        <f t="shared" si="8"/>
        <v>200</v>
      </c>
    </row>
    <row r="7" spans="1:24" x14ac:dyDescent="0.25">
      <c r="A7">
        <v>4</v>
      </c>
      <c r="B7">
        <v>86.3</v>
      </c>
      <c r="C7">
        <v>18</v>
      </c>
      <c r="D7" s="1">
        <v>54.955500000000001</v>
      </c>
      <c r="E7" s="1"/>
      <c r="F7" s="1">
        <f t="shared" si="1"/>
        <v>1.824205784081983</v>
      </c>
      <c r="G7" s="1">
        <f t="shared" si="2"/>
        <v>-1.2309648584241377</v>
      </c>
      <c r="H7" s="1">
        <f t="shared" si="3"/>
        <v>200</v>
      </c>
      <c r="J7">
        <v>0.95043999999999995</v>
      </c>
      <c r="K7">
        <v>1.091E-2</v>
      </c>
      <c r="M7">
        <f t="shared" si="4"/>
        <v>0.70043999999999995</v>
      </c>
      <c r="N7">
        <f t="shared" si="5"/>
        <v>-2.4090000000000004E-2</v>
      </c>
      <c r="P7">
        <f t="shared" si="6"/>
        <v>2.1993815999999997</v>
      </c>
      <c r="Q7">
        <f t="shared" si="7"/>
        <v>-7.5642600000000018E-2</v>
      </c>
      <c r="V7">
        <f t="array" ref="V7:W7">MMULT(P7:Q7,$S$3:$T$4)</f>
        <v>1.824205784081983</v>
      </c>
      <c r="W7">
        <v>-1.2309648584241377</v>
      </c>
      <c r="X7">
        <f t="shared" si="8"/>
        <v>200</v>
      </c>
    </row>
    <row r="8" spans="1:24" x14ac:dyDescent="0.25">
      <c r="A8">
        <v>5</v>
      </c>
      <c r="B8">
        <v>103.75</v>
      </c>
      <c r="C8">
        <v>18</v>
      </c>
      <c r="D8" s="1">
        <v>49.703699999999998</v>
      </c>
      <c r="E8" s="1"/>
      <c r="F8" s="1">
        <f t="shared" si="1"/>
        <v>1.7776019167227237</v>
      </c>
      <c r="G8" s="1">
        <f t="shared" si="2"/>
        <v>-1.1882388430597193</v>
      </c>
      <c r="H8" s="1">
        <f t="shared" si="3"/>
        <v>200</v>
      </c>
      <c r="J8">
        <v>0.93064000000000002</v>
      </c>
      <c r="K8">
        <v>1.457E-2</v>
      </c>
      <c r="M8">
        <f t="shared" si="4"/>
        <v>0.68064000000000002</v>
      </c>
      <c r="N8">
        <f t="shared" si="5"/>
        <v>-2.0430000000000004E-2</v>
      </c>
      <c r="P8">
        <f t="shared" si="6"/>
        <v>2.1372096000000003</v>
      </c>
      <c r="Q8">
        <f t="shared" si="7"/>
        <v>-6.4150200000000018E-2</v>
      </c>
      <c r="V8">
        <f t="array" ref="V8:W8">MMULT(P8:Q8,$S$3:$T$4)</f>
        <v>1.7776019167227237</v>
      </c>
      <c r="W8">
        <v>-1.1882388430597193</v>
      </c>
      <c r="X8">
        <f t="shared" si="8"/>
        <v>200</v>
      </c>
    </row>
    <row r="9" spans="1:24" x14ac:dyDescent="0.25">
      <c r="A9">
        <v>6</v>
      </c>
      <c r="B9">
        <v>121.25</v>
      </c>
      <c r="C9">
        <v>17.100000000000001</v>
      </c>
      <c r="D9" s="1">
        <v>45.250300000000003</v>
      </c>
      <c r="E9" s="1"/>
      <c r="F9" s="1">
        <f t="shared" si="1"/>
        <v>1.7234731715972518</v>
      </c>
      <c r="G9" s="1">
        <f t="shared" si="2"/>
        <v>-1.1392473752133503</v>
      </c>
      <c r="H9" s="1">
        <f t="shared" si="3"/>
        <v>200</v>
      </c>
      <c r="J9">
        <v>0.90774999999999995</v>
      </c>
      <c r="K9">
        <v>1.865E-2</v>
      </c>
      <c r="M9">
        <f t="shared" si="4"/>
        <v>0.65774999999999995</v>
      </c>
      <c r="N9">
        <f t="shared" si="5"/>
        <v>-1.6350000000000003E-2</v>
      </c>
      <c r="P9">
        <f t="shared" si="6"/>
        <v>2.0653349999999997</v>
      </c>
      <c r="Q9">
        <f t="shared" si="7"/>
        <v>-5.133900000000001E-2</v>
      </c>
      <c r="V9">
        <f t="array" ref="V9:W9">MMULT(P9:Q9,$S$3:$T$4)</f>
        <v>1.7234731715972518</v>
      </c>
      <c r="W9">
        <v>-1.1392473752133503</v>
      </c>
      <c r="X9">
        <f t="shared" si="8"/>
        <v>200</v>
      </c>
    </row>
    <row r="10" spans="1:24" x14ac:dyDescent="0.25">
      <c r="A10">
        <v>7</v>
      </c>
      <c r="B10">
        <v>138.75</v>
      </c>
      <c r="C10">
        <v>15.5</v>
      </c>
      <c r="D10" s="1">
        <v>41.469200000000001</v>
      </c>
      <c r="E10" s="1"/>
      <c r="F10" s="1">
        <f t="shared" si="1"/>
        <v>1.6623183775023467</v>
      </c>
      <c r="G10" s="1">
        <f t="shared" si="2"/>
        <v>-1.084673090096185</v>
      </c>
      <c r="H10" s="1">
        <f t="shared" si="3"/>
        <v>200</v>
      </c>
      <c r="J10">
        <v>0.88202000000000003</v>
      </c>
      <c r="K10">
        <v>2.3050000000000001E-2</v>
      </c>
      <c r="M10">
        <f t="shared" si="4"/>
        <v>0.63202000000000003</v>
      </c>
      <c r="N10">
        <f t="shared" si="5"/>
        <v>-1.1950000000000002E-2</v>
      </c>
      <c r="P10">
        <f t="shared" si="6"/>
        <v>1.9845428000000001</v>
      </c>
      <c r="Q10">
        <f t="shared" si="7"/>
        <v>-3.7523000000000008E-2</v>
      </c>
      <c r="V10">
        <f t="array" ref="V10:W10">MMULT(P10:Q10,$S$3:$T$4)</f>
        <v>1.6623183775023467</v>
      </c>
      <c r="W10">
        <v>-1.084673090096185</v>
      </c>
      <c r="X10">
        <f t="shared" si="8"/>
        <v>200</v>
      </c>
    </row>
    <row r="11" spans="1:24" x14ac:dyDescent="0.25">
      <c r="A11">
        <v>8</v>
      </c>
      <c r="B11">
        <v>156.25</v>
      </c>
      <c r="C11">
        <v>13.2</v>
      </c>
      <c r="D11" s="1">
        <v>38.2453</v>
      </c>
      <c r="E11" s="1"/>
      <c r="F11" s="1">
        <f t="shared" si="1"/>
        <v>1.5946197044867685</v>
      </c>
      <c r="G11" s="1">
        <f t="shared" si="2"/>
        <v>-1.0252252395704522</v>
      </c>
      <c r="H11" s="1">
        <f t="shared" si="3"/>
        <v>200</v>
      </c>
      <c r="J11">
        <v>0.85370000000000001</v>
      </c>
      <c r="K11">
        <v>2.7660000000000001E-2</v>
      </c>
      <c r="M11">
        <f t="shared" si="4"/>
        <v>0.60370000000000001</v>
      </c>
      <c r="N11">
        <f t="shared" si="5"/>
        <v>-7.3400000000000028E-3</v>
      </c>
      <c r="P11">
        <f t="shared" si="6"/>
        <v>1.895618</v>
      </c>
      <c r="Q11">
        <f t="shared" si="7"/>
        <v>-2.3047600000000008E-2</v>
      </c>
      <c r="V11">
        <f t="array" ref="V11:W11">MMULT(P11:Q11,$S$3:$T$4)</f>
        <v>1.5946197044867685</v>
      </c>
      <c r="W11">
        <v>-1.0252252395704522</v>
      </c>
      <c r="X11">
        <f t="shared" si="8"/>
        <v>200</v>
      </c>
    </row>
    <row r="12" spans="1:24" x14ac:dyDescent="0.25">
      <c r="A12">
        <v>9</v>
      </c>
      <c r="B12">
        <v>173.75</v>
      </c>
      <c r="C12">
        <v>10.200000000000001</v>
      </c>
      <c r="D12" s="1">
        <v>35.4803</v>
      </c>
      <c r="E12" s="1"/>
      <c r="F12" s="1">
        <f t="shared" si="1"/>
        <v>1.5210090646026819</v>
      </c>
      <c r="G12" s="1">
        <f t="shared" si="2"/>
        <v>-0.9616697525873813</v>
      </c>
      <c r="H12" s="1">
        <f t="shared" si="3"/>
        <v>200</v>
      </c>
      <c r="J12">
        <v>0.82308999999999999</v>
      </c>
      <c r="K12">
        <v>3.2379999999999999E-2</v>
      </c>
      <c r="M12">
        <f t="shared" si="4"/>
        <v>0.57308999999999999</v>
      </c>
      <c r="N12">
        <f t="shared" si="5"/>
        <v>-2.6200000000000043E-3</v>
      </c>
      <c r="P12">
        <f t="shared" si="6"/>
        <v>1.7995026000000001</v>
      </c>
      <c r="Q12">
        <f t="shared" si="7"/>
        <v>-8.2268000000000133E-3</v>
      </c>
      <c r="V12">
        <f t="array" ref="V12:W12">MMULT(P12:Q12,$S$3:$T$4)</f>
        <v>1.5210090646026819</v>
      </c>
      <c r="W12">
        <v>-0.9616697525873813</v>
      </c>
      <c r="X12">
        <f t="shared" si="8"/>
        <v>200</v>
      </c>
    </row>
    <row r="13" spans="1:24" x14ac:dyDescent="0.25">
      <c r="A13">
        <v>10</v>
      </c>
      <c r="B13">
        <v>191.25</v>
      </c>
      <c r="C13">
        <v>5.83</v>
      </c>
      <c r="D13" s="1">
        <v>33.093299999999999</v>
      </c>
      <c r="E13" s="1"/>
      <c r="F13" s="1">
        <f t="shared" si="1"/>
        <v>1.4420750945031571</v>
      </c>
      <c r="G13" s="1">
        <f t="shared" si="2"/>
        <v>-0.89478251600126324</v>
      </c>
      <c r="H13" s="1">
        <f t="shared" si="3"/>
        <v>200</v>
      </c>
      <c r="J13">
        <v>0.79047999999999996</v>
      </c>
      <c r="K13">
        <v>3.7100000000000001E-2</v>
      </c>
      <c r="M13">
        <f t="shared" si="4"/>
        <v>0.54047999999999996</v>
      </c>
      <c r="N13">
        <f t="shared" si="5"/>
        <v>2.0999999999999977E-3</v>
      </c>
      <c r="P13">
        <f t="shared" si="6"/>
        <v>1.6971072</v>
      </c>
      <c r="Q13">
        <f t="shared" si="7"/>
        <v>6.5939999999999931E-3</v>
      </c>
      <c r="V13">
        <f t="array" ref="V13:W13">MMULT(P13:Q13,$S$3:$T$4)</f>
        <v>1.4420750945031571</v>
      </c>
      <c r="W13">
        <v>-0.89478251600126324</v>
      </c>
      <c r="X13">
        <f t="shared" si="8"/>
        <v>200</v>
      </c>
    </row>
    <row r="14" spans="1:24" x14ac:dyDescent="0.25">
      <c r="A14">
        <v>11</v>
      </c>
      <c r="B14">
        <v>200</v>
      </c>
      <c r="C14">
        <v>3.14</v>
      </c>
      <c r="D14" s="1">
        <v>32.041499999999999</v>
      </c>
      <c r="E14" s="1"/>
      <c r="F14" s="1">
        <f t="shared" si="1"/>
        <v>1.3584897245813417</v>
      </c>
      <c r="G14" s="1">
        <f t="shared" si="2"/>
        <v>-0.82520633341100302</v>
      </c>
      <c r="H14" s="1">
        <f t="shared" si="3"/>
        <v>200</v>
      </c>
      <c r="J14">
        <v>0.75616000000000005</v>
      </c>
      <c r="K14">
        <v>4.1759999999999999E-2</v>
      </c>
      <c r="M14">
        <f t="shared" si="4"/>
        <v>0.50616000000000005</v>
      </c>
      <c r="N14">
        <f t="shared" si="5"/>
        <v>6.7599999999999952E-3</v>
      </c>
      <c r="P14">
        <f t="shared" si="6"/>
        <v>1.5893424000000003</v>
      </c>
      <c r="Q14">
        <f t="shared" si="7"/>
        <v>2.1226399999999986E-2</v>
      </c>
      <c r="V14">
        <f t="array" ref="V14:W14">MMULT(P14:Q14,$S$3:$T$4)</f>
        <v>1.3584897245813417</v>
      </c>
      <c r="W14">
        <v>-0.82520633341100302</v>
      </c>
      <c r="X14">
        <f t="shared" si="8"/>
        <v>200</v>
      </c>
    </row>
    <row r="15" spans="1:24" x14ac:dyDescent="0.25">
      <c r="F15" s="1">
        <f t="shared" si="1"/>
        <v>1.2709015256374137</v>
      </c>
      <c r="G15" s="1">
        <f t="shared" si="2"/>
        <v>-0.75368051711675232</v>
      </c>
      <c r="H15" s="1">
        <f t="shared" si="3"/>
        <v>200</v>
      </c>
      <c r="J15">
        <v>0.72043000000000001</v>
      </c>
      <c r="K15">
        <v>4.6269999999999999E-2</v>
      </c>
      <c r="M15">
        <f t="shared" si="4"/>
        <v>0.47043000000000001</v>
      </c>
      <c r="N15">
        <f t="shared" si="5"/>
        <v>1.1269999999999995E-2</v>
      </c>
      <c r="P15">
        <f t="shared" si="6"/>
        <v>1.4771502000000001</v>
      </c>
      <c r="Q15">
        <f t="shared" si="7"/>
        <v>3.538779999999999E-2</v>
      </c>
      <c r="V15">
        <f t="array" ref="V15:W15">MMULT(P15:Q15,$S$3:$T$4)</f>
        <v>1.2709015256374137</v>
      </c>
      <c r="W15">
        <v>-0.75368051711675232</v>
      </c>
      <c r="X15">
        <f t="shared" si="8"/>
        <v>200</v>
      </c>
    </row>
    <row r="16" spans="1:24" x14ac:dyDescent="0.25">
      <c r="F16" s="1">
        <f t="shared" si="1"/>
        <v>1.1800257034636128</v>
      </c>
      <c r="G16" s="1">
        <f t="shared" si="2"/>
        <v>-0.68083791281435424</v>
      </c>
      <c r="H16" s="1">
        <f t="shared" si="3"/>
        <v>200</v>
      </c>
      <c r="J16">
        <v>0.68359000000000003</v>
      </c>
      <c r="K16">
        <v>5.058E-2</v>
      </c>
      <c r="M16">
        <f t="shared" si="4"/>
        <v>0.43359000000000003</v>
      </c>
      <c r="N16">
        <f t="shared" si="5"/>
        <v>1.5579999999999997E-2</v>
      </c>
      <c r="P16">
        <f t="shared" si="6"/>
        <v>1.3614726000000001</v>
      </c>
      <c r="Q16">
        <f t="shared" si="7"/>
        <v>4.8921199999999991E-2</v>
      </c>
      <c r="V16">
        <f t="array" ref="V16:W16">MMULT(P16:Q16,$S$3:$T$4)</f>
        <v>1.1800257034636128</v>
      </c>
      <c r="W16">
        <v>-0.68083791281435424</v>
      </c>
      <c r="X16">
        <f t="shared" si="8"/>
        <v>200</v>
      </c>
    </row>
    <row r="17" spans="6:24" x14ac:dyDescent="0.25">
      <c r="F17" s="1">
        <f t="shared" si="1"/>
        <v>1.0865608051041635</v>
      </c>
      <c r="G17" s="1">
        <f t="shared" si="2"/>
        <v>-0.60733798285072882</v>
      </c>
      <c r="H17" s="1">
        <f t="shared" si="3"/>
        <v>200</v>
      </c>
      <c r="J17">
        <v>0.64593999999999996</v>
      </c>
      <c r="K17">
        <v>5.4629999999999998E-2</v>
      </c>
      <c r="M17">
        <f t="shared" si="4"/>
        <v>0.39593999999999996</v>
      </c>
      <c r="N17">
        <f t="shared" si="5"/>
        <v>1.9629999999999995E-2</v>
      </c>
      <c r="P17">
        <f t="shared" si="6"/>
        <v>1.2432516</v>
      </c>
      <c r="Q17">
        <f t="shared" si="7"/>
        <v>6.1638199999999983E-2</v>
      </c>
      <c r="V17">
        <f t="array" ref="V17:W17">MMULT(P17:Q17,$S$3:$T$4)</f>
        <v>1.0865608051041635</v>
      </c>
      <c r="W17">
        <v>-0.60733798285072882</v>
      </c>
      <c r="X17">
        <f t="shared" si="8"/>
        <v>200</v>
      </c>
    </row>
    <row r="18" spans="6:24" x14ac:dyDescent="0.25">
      <c r="F18" s="1">
        <f t="shared" si="1"/>
        <v>0.9911887188552746</v>
      </c>
      <c r="G18" s="1">
        <f t="shared" si="2"/>
        <v>-0.53386680622387384</v>
      </c>
      <c r="H18" s="1">
        <f t="shared" si="3"/>
        <v>200</v>
      </c>
      <c r="J18">
        <v>0.60777999999999999</v>
      </c>
      <c r="K18">
        <v>5.8349999999999999E-2</v>
      </c>
      <c r="M18">
        <f t="shared" si="4"/>
        <v>0.35777999999999999</v>
      </c>
      <c r="N18">
        <f t="shared" si="5"/>
        <v>2.3349999999999996E-2</v>
      </c>
      <c r="P18">
        <f t="shared" si="6"/>
        <v>1.1234291999999999</v>
      </c>
      <c r="Q18">
        <f t="shared" si="7"/>
        <v>7.3318999999999995E-2</v>
      </c>
      <c r="V18">
        <f t="array" ref="V18:W18">MMULT(P18:Q18,$S$3:$T$4)</f>
        <v>0.9911887188552746</v>
      </c>
      <c r="W18">
        <v>-0.53386680622387384</v>
      </c>
      <c r="X18">
        <f t="shared" si="8"/>
        <v>200</v>
      </c>
    </row>
    <row r="19" spans="6:24" x14ac:dyDescent="0.25">
      <c r="F19" s="1">
        <f t="shared" si="1"/>
        <v>0.894551501400908</v>
      </c>
      <c r="G19" s="1">
        <f t="shared" si="2"/>
        <v>-0.46093736033541677</v>
      </c>
      <c r="H19" s="1">
        <f t="shared" si="3"/>
        <v>200</v>
      </c>
      <c r="J19">
        <v>0.56937000000000004</v>
      </c>
      <c r="K19">
        <v>6.1710000000000001E-2</v>
      </c>
      <c r="M19">
        <f t="shared" si="4"/>
        <v>0.31937000000000004</v>
      </c>
      <c r="N19">
        <f t="shared" si="5"/>
        <v>2.6709999999999998E-2</v>
      </c>
      <c r="P19">
        <f t="shared" si="6"/>
        <v>1.0028218000000002</v>
      </c>
      <c r="Q19">
        <f t="shared" si="7"/>
        <v>8.3869399999999997E-2</v>
      </c>
      <c r="V19">
        <f t="array" ref="V19:W19">MMULT(P19:Q19,$S$3:$T$4)</f>
        <v>0.894551501400908</v>
      </c>
      <c r="W19">
        <v>-0.46093736033541677</v>
      </c>
      <c r="X19">
        <f t="shared" si="8"/>
        <v>200</v>
      </c>
    </row>
    <row r="20" spans="6:24" x14ac:dyDescent="0.25">
      <c r="F20" s="1">
        <f t="shared" si="1"/>
        <v>0.79731112523114755</v>
      </c>
      <c r="G20" s="1">
        <f t="shared" si="2"/>
        <v>-0.38914917338517008</v>
      </c>
      <c r="H20" s="1">
        <f t="shared" si="3"/>
        <v>200</v>
      </c>
      <c r="J20">
        <v>0.53098999999999996</v>
      </c>
      <c r="K20">
        <v>6.4659999999999995E-2</v>
      </c>
      <c r="M20">
        <f t="shared" si="4"/>
        <v>0.28098999999999996</v>
      </c>
      <c r="N20">
        <f t="shared" si="5"/>
        <v>2.9659999999999992E-2</v>
      </c>
      <c r="P20">
        <f t="shared" si="6"/>
        <v>0.88230859999999989</v>
      </c>
      <c r="Q20">
        <f t="shared" si="7"/>
        <v>9.3132399999999976E-2</v>
      </c>
      <c r="V20">
        <f t="array" ref="V20:W20">MMULT(P20:Q20,$S$3:$T$4)</f>
        <v>0.79731112523114755</v>
      </c>
      <c r="W20">
        <v>-0.38914917338517008</v>
      </c>
      <c r="X20">
        <f t="shared" si="8"/>
        <v>200</v>
      </c>
    </row>
    <row r="21" spans="6:24" x14ac:dyDescent="0.25">
      <c r="F21" s="1">
        <f t="shared" si="1"/>
        <v>0.6993942545089803</v>
      </c>
      <c r="G21" s="1">
        <f t="shared" si="2"/>
        <v>-0.31867860402761233</v>
      </c>
      <c r="H21" s="1">
        <f t="shared" si="3"/>
        <v>200</v>
      </c>
      <c r="J21">
        <v>0.49264999999999998</v>
      </c>
      <c r="K21">
        <v>6.7140000000000005E-2</v>
      </c>
      <c r="M21">
        <f t="shared" si="4"/>
        <v>0.24264999999999998</v>
      </c>
      <c r="N21">
        <f t="shared" si="5"/>
        <v>3.2140000000000002E-2</v>
      </c>
      <c r="P21">
        <f t="shared" si="6"/>
        <v>0.76192099999999996</v>
      </c>
      <c r="Q21">
        <f t="shared" si="7"/>
        <v>0.10091960000000001</v>
      </c>
      <c r="V21">
        <f t="array" ref="V21:W21">MMULT(P21:Q21,$S$3:$T$4)</f>
        <v>0.6993942545089803</v>
      </c>
      <c r="W21">
        <v>-0.31867860402761233</v>
      </c>
      <c r="X21">
        <f t="shared" si="8"/>
        <v>200</v>
      </c>
    </row>
    <row r="22" spans="6:24" x14ac:dyDescent="0.25">
      <c r="F22" s="1">
        <f t="shared" si="1"/>
        <v>0.60073425424234461</v>
      </c>
      <c r="G22" s="1">
        <f t="shared" si="2"/>
        <v>-0.24963211886705222</v>
      </c>
      <c r="H22" s="1">
        <f t="shared" si="3"/>
        <v>200</v>
      </c>
      <c r="J22">
        <v>0.45434999999999998</v>
      </c>
      <c r="K22">
        <v>6.9110000000000005E-2</v>
      </c>
      <c r="M22">
        <f t="shared" si="4"/>
        <v>0.20434999999999998</v>
      </c>
      <c r="N22">
        <f t="shared" si="5"/>
        <v>3.4110000000000001E-2</v>
      </c>
      <c r="P22">
        <f t="shared" si="6"/>
        <v>0.64165899999999998</v>
      </c>
      <c r="Q22">
        <f t="shared" si="7"/>
        <v>0.1071054</v>
      </c>
      <c r="V22">
        <f t="array" ref="V22:W22">MMULT(P22:Q22,$S$3:$T$4)</f>
        <v>0.60073425424234461</v>
      </c>
      <c r="W22">
        <v>-0.24963211886705222</v>
      </c>
      <c r="X22">
        <f t="shared" si="8"/>
        <v>200</v>
      </c>
    </row>
    <row r="23" spans="6:24" x14ac:dyDescent="0.25">
      <c r="F23" s="1">
        <f t="shared" si="1"/>
        <v>0.50205303106843346</v>
      </c>
      <c r="G23" s="1">
        <f t="shared" si="2"/>
        <v>-0.18257267154916307</v>
      </c>
      <c r="H23" s="1">
        <f t="shared" si="3"/>
        <v>200</v>
      </c>
      <c r="J23">
        <v>0.41637999999999997</v>
      </c>
      <c r="K23">
        <v>7.0540000000000005E-2</v>
      </c>
      <c r="M23">
        <f t="shared" si="4"/>
        <v>0.16637999999999997</v>
      </c>
      <c r="N23">
        <f t="shared" si="5"/>
        <v>3.5540000000000002E-2</v>
      </c>
      <c r="P23">
        <f t="shared" si="6"/>
        <v>0.52243319999999993</v>
      </c>
      <c r="Q23">
        <f t="shared" si="7"/>
        <v>0.11159560000000002</v>
      </c>
      <c r="V23">
        <f t="array" ref="V23:W23">MMULT(P23:Q23,$S$3:$T$4)</f>
        <v>0.50205303106843346</v>
      </c>
      <c r="W23">
        <v>-0.18257267154916307</v>
      </c>
      <c r="X23">
        <f t="shared" si="8"/>
        <v>200</v>
      </c>
    </row>
    <row r="24" spans="6:24" x14ac:dyDescent="0.25">
      <c r="F24" s="1">
        <f t="shared" si="1"/>
        <v>0.40371326019926546</v>
      </c>
      <c r="G24" s="1">
        <f t="shared" si="2"/>
        <v>-0.11769020914706592</v>
      </c>
      <c r="H24" s="1">
        <f t="shared" si="3"/>
        <v>200</v>
      </c>
      <c r="J24">
        <v>0.37886999999999998</v>
      </c>
      <c r="K24">
        <v>7.1440000000000003E-2</v>
      </c>
      <c r="M24">
        <f t="shared" si="4"/>
        <v>0.12886999999999998</v>
      </c>
      <c r="N24">
        <f t="shared" si="5"/>
        <v>3.644E-2</v>
      </c>
      <c r="P24">
        <f t="shared" si="6"/>
        <v>0.40465179999999995</v>
      </c>
      <c r="Q24">
        <f t="shared" si="7"/>
        <v>0.1144216</v>
      </c>
      <c r="V24">
        <f t="array" ref="V24:W24">MMULT(P24:Q24,$S$3:$T$4)</f>
        <v>0.40371326019926546</v>
      </c>
      <c r="W24">
        <v>-0.11769020914706592</v>
      </c>
      <c r="X24">
        <f t="shared" si="8"/>
        <v>200</v>
      </c>
    </row>
    <row r="25" spans="6:24" x14ac:dyDescent="0.25">
      <c r="F25" s="1">
        <f t="shared" si="1"/>
        <v>0.30638380169861523</v>
      </c>
      <c r="G25" s="1">
        <f t="shared" si="2"/>
        <v>-5.5218140861709994E-2</v>
      </c>
      <c r="H25" s="1">
        <f t="shared" si="3"/>
        <v>200</v>
      </c>
      <c r="J25">
        <v>0.34204000000000001</v>
      </c>
      <c r="K25">
        <v>7.1859999999999993E-2</v>
      </c>
      <c r="M25">
        <f t="shared" si="4"/>
        <v>9.2040000000000011E-2</v>
      </c>
      <c r="N25">
        <f t="shared" si="5"/>
        <v>3.685999999999999E-2</v>
      </c>
      <c r="P25">
        <f t="shared" si="6"/>
        <v>0.28900560000000003</v>
      </c>
      <c r="Q25">
        <f t="shared" si="7"/>
        <v>0.11574039999999998</v>
      </c>
      <c r="V25">
        <f t="array" ref="V25:W25">MMULT(P25:Q25,$S$3:$T$4)</f>
        <v>0.30638380169861523</v>
      </c>
      <c r="W25">
        <v>-5.5218140861709994E-2</v>
      </c>
      <c r="X25">
        <f t="shared" si="8"/>
        <v>200</v>
      </c>
    </row>
    <row r="26" spans="6:24" x14ac:dyDescent="0.25">
      <c r="F26" s="1">
        <f t="shared" si="1"/>
        <v>0.2105969885880262</v>
      </c>
      <c r="G26" s="1">
        <f t="shared" si="2"/>
        <v>4.5103583466002267E-3</v>
      </c>
      <c r="H26" s="1">
        <f t="shared" si="3"/>
        <v>200</v>
      </c>
      <c r="J26">
        <v>0.30608999999999997</v>
      </c>
      <c r="K26">
        <v>7.1800000000000003E-2</v>
      </c>
      <c r="M26">
        <f t="shared" si="4"/>
        <v>5.6089999999999973E-2</v>
      </c>
      <c r="N26">
        <f t="shared" si="5"/>
        <v>3.6799999999999999E-2</v>
      </c>
      <c r="P26">
        <f t="shared" si="6"/>
        <v>0.17612259999999993</v>
      </c>
      <c r="Q26">
        <f t="shared" si="7"/>
        <v>0.115552</v>
      </c>
      <c r="V26">
        <f t="array" ref="V26:W26">MMULT(P26:Q26,$S$3:$T$4)</f>
        <v>0.2105969885880262</v>
      </c>
      <c r="W26">
        <v>4.5103583466002267E-3</v>
      </c>
      <c r="X26">
        <f t="shared" si="8"/>
        <v>200</v>
      </c>
    </row>
    <row r="27" spans="6:24" x14ac:dyDescent="0.25">
      <c r="F27" s="1">
        <f t="shared" si="1"/>
        <v>0.11671530935078142</v>
      </c>
      <c r="G27" s="1">
        <f t="shared" si="2"/>
        <v>6.1009114456049875E-2</v>
      </c>
      <c r="H27" s="1">
        <f t="shared" si="3"/>
        <v>200</v>
      </c>
      <c r="J27">
        <v>0.2712</v>
      </c>
      <c r="K27">
        <v>7.1190000000000003E-2</v>
      </c>
      <c r="M27">
        <f t="shared" si="4"/>
        <v>2.1199999999999997E-2</v>
      </c>
      <c r="N27">
        <f t="shared" si="5"/>
        <v>3.619E-2</v>
      </c>
      <c r="P27">
        <f t="shared" si="6"/>
        <v>6.6567999999999988E-2</v>
      </c>
      <c r="Q27">
        <f t="shared" si="7"/>
        <v>0.1136366</v>
      </c>
      <c r="V27">
        <f t="array" ref="V27:W27">MMULT(P27:Q27,$S$3:$T$4)</f>
        <v>0.11671530935078142</v>
      </c>
      <c r="W27">
        <v>6.1009114456049875E-2</v>
      </c>
      <c r="X27">
        <f t="shared" si="8"/>
        <v>200</v>
      </c>
    </row>
    <row r="28" spans="6:24" x14ac:dyDescent="0.25">
      <c r="F28" s="1">
        <f t="shared" si="1"/>
        <v>2.5184359481503805E-2</v>
      </c>
      <c r="G28" s="1">
        <f t="shared" si="2"/>
        <v>0.11362880975151676</v>
      </c>
      <c r="H28" s="1">
        <f t="shared" si="3"/>
        <v>200</v>
      </c>
      <c r="J28">
        <v>0.23760000000000001</v>
      </c>
      <c r="K28">
        <v>6.9930000000000006E-2</v>
      </c>
      <c r="M28">
        <f t="shared" si="4"/>
        <v>-1.2399999999999994E-2</v>
      </c>
      <c r="N28">
        <f t="shared" si="5"/>
        <v>3.4930000000000003E-2</v>
      </c>
      <c r="P28">
        <f t="shared" si="6"/>
        <v>-3.8935999999999985E-2</v>
      </c>
      <c r="Q28">
        <f t="shared" si="7"/>
        <v>0.10968020000000002</v>
      </c>
      <c r="V28">
        <f t="array" ref="V28:W28">MMULT(P28:Q28,$S$3:$T$4)</f>
        <v>2.5184359481503805E-2</v>
      </c>
      <c r="W28">
        <v>0.11362880975151676</v>
      </c>
      <c r="X28">
        <f t="shared" si="8"/>
        <v>200</v>
      </c>
    </row>
    <row r="29" spans="6:24" x14ac:dyDescent="0.25">
      <c r="F29" s="1">
        <f t="shared" si="1"/>
        <v>-6.3630115478415281E-2</v>
      </c>
      <c r="G29" s="1">
        <f t="shared" si="2"/>
        <v>0.16177010276192422</v>
      </c>
      <c r="H29" s="1">
        <f t="shared" si="3"/>
        <v>200</v>
      </c>
      <c r="J29">
        <v>0.20549000000000001</v>
      </c>
      <c r="K29">
        <v>6.7919999999999994E-2</v>
      </c>
      <c r="M29">
        <f t="shared" si="4"/>
        <v>-4.4509999999999994E-2</v>
      </c>
      <c r="N29">
        <f t="shared" si="5"/>
        <v>3.2919999999999991E-2</v>
      </c>
      <c r="P29">
        <f t="shared" si="6"/>
        <v>-0.13976139999999998</v>
      </c>
      <c r="Q29">
        <f t="shared" si="7"/>
        <v>0.10336879999999997</v>
      </c>
      <c r="V29">
        <f t="array" ref="V29:W29">MMULT(P29:Q29,$S$3:$T$4)</f>
        <v>-6.3630115478415281E-2</v>
      </c>
      <c r="W29">
        <v>0.16177010276192422</v>
      </c>
      <c r="X29">
        <f t="shared" si="8"/>
        <v>200</v>
      </c>
    </row>
    <row r="30" spans="6:24" x14ac:dyDescent="0.25">
      <c r="F30" s="1">
        <f t="shared" si="1"/>
        <v>-0.14945887868883112</v>
      </c>
      <c r="G30" s="1">
        <f t="shared" si="2"/>
        <v>0.20485701160916425</v>
      </c>
      <c r="H30" s="1">
        <f t="shared" si="3"/>
        <v>200</v>
      </c>
      <c r="J30">
        <v>0.17504</v>
      </c>
      <c r="K30">
        <v>6.5049999999999997E-2</v>
      </c>
      <c r="M30">
        <f t="shared" si="4"/>
        <v>-7.4959999999999999E-2</v>
      </c>
      <c r="N30">
        <f t="shared" si="5"/>
        <v>3.0049999999999993E-2</v>
      </c>
      <c r="P30">
        <f t="shared" si="6"/>
        <v>-0.23537440000000001</v>
      </c>
      <c r="Q30">
        <f t="shared" si="7"/>
        <v>9.4356999999999983E-2</v>
      </c>
      <c r="V30">
        <f t="array" ref="V30:W30">MMULT(P30:Q30,$S$3:$T$4)</f>
        <v>-0.14945887868883112</v>
      </c>
      <c r="W30">
        <v>0.20485701160916425</v>
      </c>
      <c r="X30">
        <f t="shared" si="8"/>
        <v>200</v>
      </c>
    </row>
    <row r="31" spans="6:24" x14ac:dyDescent="0.25">
      <c r="F31" s="1">
        <f t="shared" si="1"/>
        <v>-0.23175638216702932</v>
      </c>
      <c r="G31" s="1">
        <f t="shared" si="2"/>
        <v>0.24239991848457762</v>
      </c>
      <c r="H31" s="1">
        <f t="shared" si="3"/>
        <v>200</v>
      </c>
      <c r="J31">
        <v>0.14648</v>
      </c>
      <c r="K31">
        <v>6.1280000000000001E-2</v>
      </c>
      <c r="M31">
        <f t="shared" si="4"/>
        <v>-0.10352</v>
      </c>
      <c r="N31">
        <f t="shared" si="5"/>
        <v>2.6279999999999998E-2</v>
      </c>
      <c r="P31">
        <f t="shared" si="6"/>
        <v>-0.32505280000000003</v>
      </c>
      <c r="Q31">
        <f t="shared" si="7"/>
        <v>8.2519200000000001E-2</v>
      </c>
      <c r="V31">
        <f t="array" ref="V31:W31">MMULT(P31:Q31,$S$3:$T$4)</f>
        <v>-0.23175638216702932</v>
      </c>
      <c r="W31">
        <v>0.24239991848457762</v>
      </c>
      <c r="X31">
        <f t="shared" si="8"/>
        <v>200</v>
      </c>
    </row>
    <row r="32" spans="6:24" x14ac:dyDescent="0.25">
      <c r="F32" s="1">
        <f t="shared" si="1"/>
        <v>-0.31002686744560526</v>
      </c>
      <c r="G32" s="1">
        <f t="shared" si="2"/>
        <v>0.27412558257496722</v>
      </c>
      <c r="H32" s="1">
        <f t="shared" si="3"/>
        <v>200</v>
      </c>
      <c r="J32">
        <v>0.11999</v>
      </c>
      <c r="K32">
        <v>5.6619999999999997E-2</v>
      </c>
      <c r="M32">
        <f t="shared" si="4"/>
        <v>-0.13001000000000001</v>
      </c>
      <c r="N32">
        <f t="shared" si="5"/>
        <v>2.1619999999999993E-2</v>
      </c>
      <c r="P32">
        <f t="shared" si="6"/>
        <v>-0.40823140000000008</v>
      </c>
      <c r="Q32">
        <f t="shared" si="7"/>
        <v>6.7886799999999983E-2</v>
      </c>
      <c r="V32">
        <f t="array" ref="V32:W32">MMULT(P32:Q32,$S$3:$T$4)</f>
        <v>-0.31002686744560526</v>
      </c>
      <c r="W32">
        <v>0.27412558257496722</v>
      </c>
      <c r="X32">
        <f t="shared" si="8"/>
        <v>200</v>
      </c>
    </row>
    <row r="33" spans="6:24" x14ac:dyDescent="0.25">
      <c r="F33" s="1">
        <f t="shared" si="1"/>
        <v>-0.38366466566600071</v>
      </c>
      <c r="G33" s="1">
        <f t="shared" si="2"/>
        <v>0.29987718757450665</v>
      </c>
      <c r="H33" s="1">
        <f t="shared" si="3"/>
        <v>200</v>
      </c>
      <c r="J33">
        <v>9.5759999999999998E-2</v>
      </c>
      <c r="K33">
        <v>5.1130000000000002E-2</v>
      </c>
      <c r="M33">
        <f t="shared" si="4"/>
        <v>-0.15423999999999999</v>
      </c>
      <c r="N33">
        <f t="shared" si="5"/>
        <v>1.6129999999999999E-2</v>
      </c>
      <c r="P33">
        <f t="shared" si="6"/>
        <v>-0.48431359999999996</v>
      </c>
      <c r="Q33">
        <f t="shared" si="7"/>
        <v>5.0648199999999997E-2</v>
      </c>
      <c r="V33">
        <f t="array" ref="V33:W33">MMULT(P33:Q33,$S$3:$T$4)</f>
        <v>-0.38366466566600071</v>
      </c>
      <c r="W33">
        <v>0.29987718757450665</v>
      </c>
      <c r="X33">
        <f t="shared" si="8"/>
        <v>200</v>
      </c>
    </row>
    <row r="34" spans="6:24" x14ac:dyDescent="0.25">
      <c r="F34" s="1">
        <f t="shared" si="1"/>
        <v>-0.45207732293082864</v>
      </c>
      <c r="G34" s="1">
        <f t="shared" si="2"/>
        <v>0.31965436002572417</v>
      </c>
      <c r="H34" s="1">
        <f t="shared" si="3"/>
        <v>200</v>
      </c>
      <c r="J34">
        <v>7.3950000000000002E-2</v>
      </c>
      <c r="K34">
        <v>4.4909999999999999E-2</v>
      </c>
      <c r="M34">
        <f t="shared" si="4"/>
        <v>-0.17604999999999998</v>
      </c>
      <c r="N34">
        <f t="shared" si="5"/>
        <v>9.9099999999999952E-3</v>
      </c>
      <c r="P34">
        <f t="shared" si="6"/>
        <v>-0.55279699999999998</v>
      </c>
      <c r="Q34">
        <f t="shared" si="7"/>
        <v>3.1117399999999986E-2</v>
      </c>
      <c r="V34">
        <f t="array" ref="V34:W34">MMULT(P34:Q34,$S$3:$T$4)</f>
        <v>-0.45207732293082864</v>
      </c>
      <c r="W34">
        <v>0.31965436002572417</v>
      </c>
      <c r="X34">
        <f t="shared" si="8"/>
        <v>200</v>
      </c>
    </row>
    <row r="35" spans="6:24" x14ac:dyDescent="0.25">
      <c r="F35" s="1">
        <f t="shared" si="1"/>
        <v>-0.51467889945891876</v>
      </c>
      <c r="G35" s="1">
        <f t="shared" si="2"/>
        <v>0.33368306136967196</v>
      </c>
      <c r="H35" s="1">
        <f t="shared" si="3"/>
        <v>200</v>
      </c>
      <c r="J35">
        <v>5.4679999999999999E-2</v>
      </c>
      <c r="K35">
        <v>3.8120000000000001E-2</v>
      </c>
      <c r="M35">
        <f t="shared" si="4"/>
        <v>-0.19531999999999999</v>
      </c>
      <c r="N35">
        <f t="shared" si="5"/>
        <v>3.1199999999999978E-3</v>
      </c>
      <c r="P35">
        <f t="shared" si="6"/>
        <v>-0.61330479999999998</v>
      </c>
      <c r="Q35">
        <f t="shared" si="7"/>
        <v>9.7967999999999927E-3</v>
      </c>
      <c r="V35">
        <f t="array" ref="V35:W35">MMULT(P35:Q35,$S$3:$T$4)</f>
        <v>-0.51467889945891876</v>
      </c>
      <c r="W35">
        <v>0.33368306136967196</v>
      </c>
      <c r="X35">
        <f t="shared" si="8"/>
        <v>200</v>
      </c>
    </row>
    <row r="36" spans="6:24" x14ac:dyDescent="0.25">
      <c r="F36" s="1">
        <f t="shared" si="1"/>
        <v>-0.57067703637670075</v>
      </c>
      <c r="G36" s="1">
        <f t="shared" si="2"/>
        <v>0.34228231796180442</v>
      </c>
      <c r="H36" s="1">
        <f t="shared" si="3"/>
        <v>200</v>
      </c>
      <c r="J36">
        <v>3.8109999999999998E-2</v>
      </c>
      <c r="K36">
        <v>3.0980000000000001E-2</v>
      </c>
      <c r="M36">
        <f t="shared" si="4"/>
        <v>-0.21189</v>
      </c>
      <c r="N36">
        <f t="shared" si="5"/>
        <v>-4.0200000000000027E-3</v>
      </c>
      <c r="P36">
        <f t="shared" si="6"/>
        <v>-0.6653346</v>
      </c>
      <c r="Q36">
        <f t="shared" si="7"/>
        <v>-1.2622800000000009E-2</v>
      </c>
      <c r="V36">
        <f t="array" ref="V36:W36">MMULT(P36:Q36,$S$3:$T$4)</f>
        <v>-0.57067703637670075</v>
      </c>
      <c r="W36">
        <v>0.34228231796180442</v>
      </c>
      <c r="X36">
        <f t="shared" si="8"/>
        <v>200</v>
      </c>
    </row>
    <row r="37" spans="6:24" x14ac:dyDescent="0.25">
      <c r="F37" s="1">
        <f t="shared" si="1"/>
        <v>-0.61941571512409921</v>
      </c>
      <c r="G37" s="1">
        <f t="shared" si="2"/>
        <v>0.34596761734691411</v>
      </c>
      <c r="H37" s="1">
        <f t="shared" si="3"/>
        <v>200</v>
      </c>
      <c r="J37">
        <v>2.4330000000000001E-2</v>
      </c>
      <c r="K37">
        <v>2.3740000000000001E-2</v>
      </c>
      <c r="M37">
        <f t="shared" si="4"/>
        <v>-0.22567000000000001</v>
      </c>
      <c r="N37">
        <f t="shared" si="5"/>
        <v>-1.1260000000000003E-2</v>
      </c>
      <c r="P37">
        <f t="shared" si="6"/>
        <v>-0.70860380000000001</v>
      </c>
      <c r="Q37">
        <f t="shared" si="7"/>
        <v>-3.535640000000001E-2</v>
      </c>
      <c r="V37">
        <f t="array" ref="V37:W37">MMULT(P37:Q37,$S$3:$T$4)</f>
        <v>-0.61941571512409921</v>
      </c>
      <c r="W37">
        <v>0.34596761734691411</v>
      </c>
      <c r="X37">
        <f t="shared" si="8"/>
        <v>200</v>
      </c>
    </row>
    <row r="38" spans="6:24" x14ac:dyDescent="0.25">
      <c r="F38" s="1">
        <f t="shared" si="1"/>
        <v>-0.6604219766404702</v>
      </c>
      <c r="G38" s="1">
        <f t="shared" si="2"/>
        <v>0.34525789085663827</v>
      </c>
      <c r="H38" s="1">
        <f t="shared" si="3"/>
        <v>200</v>
      </c>
      <c r="J38">
        <v>1.338E-2</v>
      </c>
      <c r="K38">
        <v>1.6619999999999999E-2</v>
      </c>
      <c r="M38">
        <f t="shared" si="4"/>
        <v>-0.23662</v>
      </c>
      <c r="N38">
        <f t="shared" si="5"/>
        <v>-1.8380000000000004E-2</v>
      </c>
      <c r="P38">
        <f t="shared" si="6"/>
        <v>-0.74298680000000006</v>
      </c>
      <c r="Q38">
        <f t="shared" si="7"/>
        <v>-5.7713200000000013E-2</v>
      </c>
      <c r="V38">
        <f t="array" ref="V38:W38">MMULT(P38:Q38,$S$3:$T$4)</f>
        <v>-0.6604219766404702</v>
      </c>
      <c r="W38">
        <v>0.34525789085663827</v>
      </c>
      <c r="X38">
        <f t="shared" si="8"/>
        <v>200</v>
      </c>
    </row>
    <row r="39" spans="6:24" x14ac:dyDescent="0.25">
      <c r="F39" s="1">
        <f t="shared" si="1"/>
        <v>-0.69266046840570394</v>
      </c>
      <c r="G39" s="1">
        <f t="shared" si="2"/>
        <v>0.34050529561372589</v>
      </c>
      <c r="H39" s="1">
        <f t="shared" si="3"/>
        <v>200</v>
      </c>
      <c r="J39">
        <v>5.4799999999999996E-3</v>
      </c>
      <c r="K39">
        <v>9.8899999999999995E-3</v>
      </c>
      <c r="M39">
        <f t="shared" si="4"/>
        <v>-0.24451999999999999</v>
      </c>
      <c r="N39">
        <f t="shared" si="5"/>
        <v>-2.5110000000000004E-2</v>
      </c>
      <c r="P39">
        <f t="shared" si="6"/>
        <v>-0.76779279999999994</v>
      </c>
      <c r="Q39">
        <f t="shared" si="7"/>
        <v>-7.884540000000001E-2</v>
      </c>
      <c r="V39">
        <f t="array" ref="V39:W39">MMULT(P39:Q39,$S$3:$T$4)</f>
        <v>-0.69266046840570394</v>
      </c>
      <c r="W39">
        <v>0.34050529561372589</v>
      </c>
      <c r="X39">
        <f t="shared" si="8"/>
        <v>200</v>
      </c>
    </row>
    <row r="40" spans="6:24" x14ac:dyDescent="0.25">
      <c r="F40" s="1">
        <f t="shared" si="1"/>
        <v>-0.71474982143568766</v>
      </c>
      <c r="G40" s="1">
        <f t="shared" si="2"/>
        <v>0.33184542501672787</v>
      </c>
      <c r="H40" s="1">
        <f t="shared" si="3"/>
        <v>200</v>
      </c>
      <c r="J40">
        <v>9.7999999999999997E-4</v>
      </c>
      <c r="K40">
        <v>3.82E-3</v>
      </c>
      <c r="M40">
        <f t="shared" si="4"/>
        <v>-0.24901999999999999</v>
      </c>
      <c r="N40">
        <f t="shared" si="5"/>
        <v>-3.1180000000000003E-2</v>
      </c>
      <c r="P40">
        <f t="shared" si="6"/>
        <v>-0.78192280000000003</v>
      </c>
      <c r="Q40">
        <f t="shared" si="7"/>
        <v>-9.7905200000000012E-2</v>
      </c>
      <c r="V40">
        <f t="array" ref="V40:W40">MMULT(P40:Q40,$S$3:$T$4)</f>
        <v>-0.71474982143568766</v>
      </c>
      <c r="W40">
        <v>0.33184542501672787</v>
      </c>
      <c r="X40">
        <f t="shared" si="8"/>
        <v>200</v>
      </c>
    </row>
    <row r="41" spans="6:24" x14ac:dyDescent="0.25">
      <c r="F41" s="1">
        <f t="shared" si="1"/>
        <v>-0.72377187122711806</v>
      </c>
      <c r="G41" s="1">
        <f t="shared" si="2"/>
        <v>0.32323057165750291</v>
      </c>
      <c r="H41" s="1">
        <f t="shared" si="3"/>
        <v>200</v>
      </c>
      <c r="J41">
        <v>0</v>
      </c>
      <c r="K41">
        <v>-3.0000000000000001E-5</v>
      </c>
      <c r="M41">
        <f t="shared" si="4"/>
        <v>-0.25</v>
      </c>
      <c r="N41">
        <f t="shared" si="5"/>
        <v>-3.5030000000000006E-2</v>
      </c>
      <c r="P41">
        <f t="shared" si="6"/>
        <v>-0.78500000000000003</v>
      </c>
      <c r="Q41">
        <f t="shared" si="7"/>
        <v>-0.10999420000000003</v>
      </c>
      <c r="V41">
        <f t="array" ref="V41:W41">MMULT(P41:Q41,$S$3:$T$4)</f>
        <v>-0.72377187122711806</v>
      </c>
      <c r="W41">
        <v>0.32323057165750291</v>
      </c>
      <c r="X41">
        <f t="shared" si="8"/>
        <v>200</v>
      </c>
    </row>
    <row r="42" spans="6:24" x14ac:dyDescent="0.25">
      <c r="F42" s="1">
        <f t="shared" si="1"/>
        <v>-0.72664416751856609</v>
      </c>
      <c r="G42" s="1">
        <f t="shared" si="2"/>
        <v>0.31284113614761427</v>
      </c>
      <c r="H42" s="1">
        <f t="shared" si="3"/>
        <v>200</v>
      </c>
      <c r="J42">
        <v>9.7999999999999997E-4</v>
      </c>
      <c r="K42">
        <v>-3.32E-3</v>
      </c>
      <c r="M42">
        <f t="shared" si="4"/>
        <v>-0.24901999999999999</v>
      </c>
      <c r="N42">
        <f t="shared" si="5"/>
        <v>-3.8320000000000007E-2</v>
      </c>
      <c r="P42">
        <f t="shared" si="6"/>
        <v>-0.78192280000000003</v>
      </c>
      <c r="Q42">
        <f t="shared" si="7"/>
        <v>-0.12032480000000002</v>
      </c>
      <c r="V42">
        <f t="array" ref="V42:W42">MMULT(P42:Q42,$S$3:$T$4)</f>
        <v>-0.72664416751856609</v>
      </c>
      <c r="W42">
        <v>0.31284113614761427</v>
      </c>
      <c r="X42">
        <f t="shared" si="8"/>
        <v>200</v>
      </c>
    </row>
    <row r="43" spans="6:24" x14ac:dyDescent="0.25">
      <c r="F43" s="1">
        <f t="shared" si="1"/>
        <v>-0.72071380006336128</v>
      </c>
      <c r="G43" s="1">
        <f t="shared" si="2"/>
        <v>0.29568285519973814</v>
      </c>
      <c r="H43" s="1">
        <f t="shared" si="3"/>
        <v>200</v>
      </c>
      <c r="J43">
        <v>5.4799999999999996E-3</v>
      </c>
      <c r="K43">
        <v>-6.9499999999999996E-3</v>
      </c>
      <c r="M43">
        <f t="shared" si="4"/>
        <v>-0.24451999999999999</v>
      </c>
      <c r="N43">
        <f t="shared" si="5"/>
        <v>-4.1950000000000001E-2</v>
      </c>
      <c r="P43">
        <f t="shared" si="6"/>
        <v>-0.76779279999999994</v>
      </c>
      <c r="Q43">
        <f t="shared" si="7"/>
        <v>-0.13172300000000001</v>
      </c>
      <c r="V43">
        <f t="array" ref="V43:W43">MMULT(P43:Q43,$S$3:$T$4)</f>
        <v>-0.72071380006336128</v>
      </c>
      <c r="W43">
        <v>0.29568285519973814</v>
      </c>
      <c r="X43">
        <f t="shared" si="8"/>
        <v>200</v>
      </c>
    </row>
    <row r="44" spans="6:24" x14ac:dyDescent="0.25">
      <c r="F44" s="1">
        <f t="shared" si="1"/>
        <v>-0.70403457894435795</v>
      </c>
      <c r="G44" s="1">
        <f t="shared" si="2"/>
        <v>0.27557549833655526</v>
      </c>
      <c r="H44" s="1">
        <f t="shared" si="3"/>
        <v>200</v>
      </c>
      <c r="J44">
        <v>1.338E-2</v>
      </c>
      <c r="K44">
        <v>-9.5600000000000008E-3</v>
      </c>
      <c r="M44">
        <f t="shared" si="4"/>
        <v>-0.23662</v>
      </c>
      <c r="N44">
        <f t="shared" si="5"/>
        <v>-4.4560000000000002E-2</v>
      </c>
      <c r="P44">
        <f t="shared" si="6"/>
        <v>-0.74298680000000006</v>
      </c>
      <c r="Q44">
        <f t="shared" si="7"/>
        <v>-0.13991840000000003</v>
      </c>
      <c r="V44">
        <f t="array" ref="V44:W44">MMULT(P44:Q44,$S$3:$T$4)</f>
        <v>-0.70403457894435795</v>
      </c>
      <c r="W44">
        <v>0.27557549833655526</v>
      </c>
      <c r="X44">
        <f t="shared" si="8"/>
        <v>200</v>
      </c>
    </row>
    <row r="45" spans="6:24" x14ac:dyDescent="0.25">
      <c r="F45" s="1">
        <f t="shared" si="1"/>
        <v>-0.67773799192544026</v>
      </c>
      <c r="G45" s="1">
        <f t="shared" si="2"/>
        <v>0.25278272192567242</v>
      </c>
      <c r="H45" s="1">
        <f t="shared" si="3"/>
        <v>200</v>
      </c>
      <c r="J45">
        <v>2.4330000000000001E-2</v>
      </c>
      <c r="K45">
        <v>-1.1270000000000001E-2</v>
      </c>
      <c r="M45">
        <f t="shared" si="4"/>
        <v>-0.22567000000000001</v>
      </c>
      <c r="N45">
        <f t="shared" si="5"/>
        <v>-4.6270000000000006E-2</v>
      </c>
      <c r="P45">
        <f t="shared" si="6"/>
        <v>-0.70860380000000001</v>
      </c>
      <c r="Q45">
        <f t="shared" si="7"/>
        <v>-0.14528780000000002</v>
      </c>
      <c r="V45">
        <f t="array" ref="V45:W45">MMULT(P45:Q45,$S$3:$T$4)</f>
        <v>-0.67773799192544026</v>
      </c>
      <c r="W45">
        <v>0.25278272192567242</v>
      </c>
      <c r="X45">
        <f t="shared" si="8"/>
        <v>200</v>
      </c>
    </row>
    <row r="46" spans="6:24" x14ac:dyDescent="0.25">
      <c r="F46" s="1">
        <f t="shared" si="1"/>
        <v>-0.64267614529855055</v>
      </c>
      <c r="G46" s="1">
        <f t="shared" si="2"/>
        <v>0.22724515200618983</v>
      </c>
      <c r="H46" s="1">
        <f t="shared" si="3"/>
        <v>200</v>
      </c>
      <c r="J46">
        <v>3.8109999999999998E-2</v>
      </c>
      <c r="K46">
        <v>-1.2239999999999999E-2</v>
      </c>
      <c r="M46">
        <f t="shared" si="4"/>
        <v>-0.21189</v>
      </c>
      <c r="N46">
        <f t="shared" si="5"/>
        <v>-4.7240000000000004E-2</v>
      </c>
      <c r="P46">
        <f t="shared" si="6"/>
        <v>-0.6653346</v>
      </c>
      <c r="Q46">
        <f t="shared" si="7"/>
        <v>-0.14833360000000001</v>
      </c>
      <c r="V46">
        <f t="array" ref="V46:W46">MMULT(P46:Q46,$S$3:$T$4)</f>
        <v>-0.64267614529855055</v>
      </c>
      <c r="W46">
        <v>0.22724515200618983</v>
      </c>
      <c r="X46">
        <f t="shared" si="8"/>
        <v>200</v>
      </c>
    </row>
    <row r="47" spans="6:24" x14ac:dyDescent="0.25">
      <c r="F47" s="1">
        <f t="shared" si="1"/>
        <v>-0.59910543440013453</v>
      </c>
      <c r="G47" s="1">
        <f t="shared" si="2"/>
        <v>0.19878987371047377</v>
      </c>
      <c r="H47" s="1">
        <f t="shared" si="3"/>
        <v>200</v>
      </c>
      <c r="J47">
        <v>5.4679999999999999E-2</v>
      </c>
      <c r="K47">
        <v>-1.256E-2</v>
      </c>
      <c r="M47">
        <f t="shared" si="4"/>
        <v>-0.19531999999999999</v>
      </c>
      <c r="N47">
        <f t="shared" si="5"/>
        <v>-4.7560000000000005E-2</v>
      </c>
      <c r="P47">
        <f t="shared" si="6"/>
        <v>-0.61330479999999998</v>
      </c>
      <c r="Q47">
        <f t="shared" si="7"/>
        <v>-0.14933840000000001</v>
      </c>
      <c r="V47">
        <f t="array" ref="V47:W47">MMULT(P47:Q47,$S$3:$T$4)</f>
        <v>-0.59910543440013453</v>
      </c>
      <c r="W47">
        <v>0.19878987371047377</v>
      </c>
      <c r="X47">
        <f t="shared" si="8"/>
        <v>200</v>
      </c>
    </row>
    <row r="48" spans="6:24" x14ac:dyDescent="0.25">
      <c r="F48" s="1">
        <f t="shared" si="1"/>
        <v>-0.54736536157797833</v>
      </c>
      <c r="G48" s="1">
        <f t="shared" si="2"/>
        <v>0.16740711586419815</v>
      </c>
      <c r="H48" s="1">
        <f t="shared" si="3"/>
        <v>200</v>
      </c>
      <c r="J48">
        <v>7.3950000000000002E-2</v>
      </c>
      <c r="K48">
        <v>-1.2290000000000001E-2</v>
      </c>
      <c r="M48">
        <f t="shared" si="4"/>
        <v>-0.17604999999999998</v>
      </c>
      <c r="N48">
        <f t="shared" si="5"/>
        <v>-4.7290000000000006E-2</v>
      </c>
      <c r="P48">
        <f t="shared" si="6"/>
        <v>-0.55279699999999998</v>
      </c>
      <c r="Q48">
        <f t="shared" si="7"/>
        <v>-0.14849060000000003</v>
      </c>
      <c r="V48">
        <f t="array" ref="V48:W48">MMULT(P48:Q48,$S$3:$T$4)</f>
        <v>-0.54736536157797833</v>
      </c>
      <c r="W48">
        <v>0.16740711586419815</v>
      </c>
      <c r="X48">
        <f t="shared" si="8"/>
        <v>200</v>
      </c>
    </row>
    <row r="49" spans="6:24" x14ac:dyDescent="0.25">
      <c r="F49" s="1">
        <f t="shared" si="1"/>
        <v>-0.48803172198145406</v>
      </c>
      <c r="G49" s="1">
        <f t="shared" si="2"/>
        <v>0.13312386857591216</v>
      </c>
      <c r="H49" s="1">
        <f t="shared" si="3"/>
        <v>200</v>
      </c>
      <c r="J49">
        <v>9.5759999999999998E-2</v>
      </c>
      <c r="K49">
        <v>-1.1520000000000001E-2</v>
      </c>
      <c r="M49">
        <f t="shared" si="4"/>
        <v>-0.15423999999999999</v>
      </c>
      <c r="N49">
        <f t="shared" si="5"/>
        <v>-4.6520000000000006E-2</v>
      </c>
      <c r="P49">
        <f t="shared" si="6"/>
        <v>-0.48431359999999996</v>
      </c>
      <c r="Q49">
        <f t="shared" si="7"/>
        <v>-0.14607280000000003</v>
      </c>
      <c r="V49">
        <f t="array" ref="V49:W49">MMULT(P49:Q49,$S$3:$T$4)</f>
        <v>-0.48803172198145406</v>
      </c>
      <c r="W49">
        <v>0.13312386857591216</v>
      </c>
      <c r="X49">
        <f t="shared" si="8"/>
        <v>200</v>
      </c>
    </row>
    <row r="50" spans="6:24" x14ac:dyDescent="0.25">
      <c r="F50" s="1">
        <f t="shared" si="1"/>
        <v>-0.42155718540761</v>
      </c>
      <c r="G50" s="1">
        <f t="shared" si="2"/>
        <v>9.5927103613181075E-2</v>
      </c>
      <c r="H50" s="1">
        <f t="shared" si="3"/>
        <v>200</v>
      </c>
      <c r="J50">
        <v>0.11999</v>
      </c>
      <c r="K50">
        <v>-1.0330000000000001E-2</v>
      </c>
      <c r="M50">
        <f t="shared" si="4"/>
        <v>-0.13001000000000001</v>
      </c>
      <c r="N50">
        <f t="shared" si="5"/>
        <v>-4.5330000000000002E-2</v>
      </c>
      <c r="P50">
        <f t="shared" si="6"/>
        <v>-0.40823140000000008</v>
      </c>
      <c r="Q50">
        <f t="shared" si="7"/>
        <v>-0.14233620000000002</v>
      </c>
      <c r="V50">
        <f t="array" ref="V50:W50">MMULT(P50:Q50,$S$3:$T$4)</f>
        <v>-0.42155718540761</v>
      </c>
      <c r="W50">
        <v>9.5927103613181075E-2</v>
      </c>
      <c r="X50">
        <f t="shared" si="8"/>
        <v>200</v>
      </c>
    </row>
    <row r="51" spans="6:24" x14ac:dyDescent="0.25">
      <c r="F51" s="1">
        <f t="shared" si="1"/>
        <v>-0.34853420575383343</v>
      </c>
      <c r="G51" s="1">
        <f t="shared" si="2"/>
        <v>5.58171944334767E-2</v>
      </c>
      <c r="H51" s="1">
        <f t="shared" si="3"/>
        <v>200</v>
      </c>
      <c r="J51">
        <v>0.14648</v>
      </c>
      <c r="K51">
        <v>-8.8199999999999997E-3</v>
      </c>
      <c r="M51">
        <f t="shared" si="4"/>
        <v>-0.10352</v>
      </c>
      <c r="N51">
        <f t="shared" si="5"/>
        <v>-4.3820000000000005E-2</v>
      </c>
      <c r="P51">
        <f t="shared" si="6"/>
        <v>-0.32505280000000003</v>
      </c>
      <c r="Q51">
        <f t="shared" si="7"/>
        <v>-0.13759480000000002</v>
      </c>
      <c r="V51">
        <f t="array" ref="V51:W51">MMULT(P51:Q51,$S$3:$T$4)</f>
        <v>-0.34853420575383343</v>
      </c>
      <c r="W51">
        <v>5.58171944334767E-2</v>
      </c>
      <c r="X51">
        <f t="shared" si="8"/>
        <v>200</v>
      </c>
    </row>
    <row r="52" spans="6:24" x14ac:dyDescent="0.25">
      <c r="F52" s="1">
        <f t="shared" si="1"/>
        <v>-0.26963508687074333</v>
      </c>
      <c r="G52" s="1">
        <f t="shared" si="2"/>
        <v>1.284449073831663E-2</v>
      </c>
      <c r="H52" s="1">
        <f t="shared" si="3"/>
        <v>200</v>
      </c>
      <c r="J52">
        <v>0.17504</v>
      </c>
      <c r="K52">
        <v>-7.0899999999999999E-3</v>
      </c>
      <c r="M52">
        <f t="shared" si="4"/>
        <v>-7.4959999999999999E-2</v>
      </c>
      <c r="N52">
        <f t="shared" si="5"/>
        <v>-4.2090000000000002E-2</v>
      </c>
      <c r="P52">
        <f t="shared" si="6"/>
        <v>-0.23537440000000001</v>
      </c>
      <c r="Q52">
        <f t="shared" si="7"/>
        <v>-0.13216260000000002</v>
      </c>
      <c r="V52">
        <f t="array" ref="V52:W52">MMULT(P52:Q52,$S$3:$T$4)</f>
        <v>-0.26963508687074333</v>
      </c>
      <c r="W52">
        <v>1.284449073831663E-2</v>
      </c>
      <c r="X52">
        <f t="shared" si="8"/>
        <v>200</v>
      </c>
    </row>
    <row r="53" spans="6:24" x14ac:dyDescent="0.25">
      <c r="F53" s="1">
        <f t="shared" si="1"/>
        <v>-0.18547219846185109</v>
      </c>
      <c r="G53" s="1">
        <f t="shared" si="2"/>
        <v>-3.2904083216642399E-2</v>
      </c>
      <c r="H53" s="1">
        <f t="shared" si="3"/>
        <v>200</v>
      </c>
      <c r="J53">
        <v>0.20549000000000001</v>
      </c>
      <c r="K53">
        <v>-5.2199999999999998E-3</v>
      </c>
      <c r="M53">
        <f t="shared" si="4"/>
        <v>-4.4509999999999994E-2</v>
      </c>
      <c r="N53">
        <f t="shared" si="5"/>
        <v>-4.0220000000000006E-2</v>
      </c>
      <c r="P53">
        <f t="shared" si="6"/>
        <v>-0.13976139999999998</v>
      </c>
      <c r="Q53">
        <f t="shared" si="7"/>
        <v>-0.12629080000000004</v>
      </c>
      <c r="V53">
        <f t="array" ref="V53:W53">MMULT(P53:Q53,$S$3:$T$4)</f>
        <v>-0.18547219846185109</v>
      </c>
      <c r="W53">
        <v>-3.2904083216642399E-2</v>
      </c>
      <c r="X53">
        <f t="shared" si="8"/>
        <v>200</v>
      </c>
    </row>
    <row r="54" spans="6:24" x14ac:dyDescent="0.25">
      <c r="F54" s="1">
        <f t="shared" si="1"/>
        <v>-9.6691040997962482E-2</v>
      </c>
      <c r="G54" s="1">
        <f t="shared" si="2"/>
        <v>-8.1098609529204252E-2</v>
      </c>
      <c r="H54" s="1">
        <f t="shared" si="3"/>
        <v>200</v>
      </c>
      <c r="J54">
        <v>0.23760000000000001</v>
      </c>
      <c r="K54">
        <v>-3.2299999999999998E-3</v>
      </c>
      <c r="M54">
        <f t="shared" si="4"/>
        <v>-1.2399999999999994E-2</v>
      </c>
      <c r="N54">
        <f t="shared" si="5"/>
        <v>-3.823E-2</v>
      </c>
      <c r="P54">
        <f t="shared" si="6"/>
        <v>-3.8935999999999985E-2</v>
      </c>
      <c r="Q54">
        <f t="shared" si="7"/>
        <v>-0.1200422</v>
      </c>
      <c r="V54">
        <f t="array" ref="V54:W54">MMULT(P54:Q54,$S$3:$T$4)</f>
        <v>-9.6691040997962482E-2</v>
      </c>
      <c r="W54">
        <v>-8.1098609529204252E-2</v>
      </c>
      <c r="X54">
        <f t="shared" si="8"/>
        <v>200</v>
      </c>
    </row>
    <row r="55" spans="6:24" x14ac:dyDescent="0.25">
      <c r="F55" s="1">
        <f t="shared" si="1"/>
        <v>-3.7940737914355094E-3</v>
      </c>
      <c r="G55" s="1">
        <f t="shared" si="2"/>
        <v>-0.13153573943634159</v>
      </c>
      <c r="H55" s="1">
        <f t="shared" si="3"/>
        <v>200</v>
      </c>
      <c r="J55">
        <v>0.2712</v>
      </c>
      <c r="K55">
        <v>-1.15E-3</v>
      </c>
      <c r="M55">
        <f t="shared" si="4"/>
        <v>2.1199999999999997E-2</v>
      </c>
      <c r="N55">
        <f t="shared" si="5"/>
        <v>-3.6150000000000002E-2</v>
      </c>
      <c r="P55">
        <f t="shared" si="6"/>
        <v>6.6567999999999988E-2</v>
      </c>
      <c r="Q55">
        <f t="shared" si="7"/>
        <v>-0.11351100000000001</v>
      </c>
      <c r="V55">
        <f t="array" ref="V55:W55">MMULT(P55:Q55,$S$3:$T$4)</f>
        <v>-3.7940737914355094E-3</v>
      </c>
      <c r="W55">
        <v>-0.13153573943634159</v>
      </c>
      <c r="X55">
        <f t="shared" si="8"/>
        <v>200</v>
      </c>
    </row>
    <row r="56" spans="6:24" x14ac:dyDescent="0.25">
      <c r="F56" s="1">
        <f t="shared" si="1"/>
        <v>9.268637013618608E-2</v>
      </c>
      <c r="G56" s="1">
        <f t="shared" si="2"/>
        <v>-0.18388229797774963</v>
      </c>
      <c r="H56" s="1">
        <f t="shared" si="3"/>
        <v>200</v>
      </c>
      <c r="J56">
        <v>0.30608999999999997</v>
      </c>
      <c r="K56">
        <v>1.0200000000000001E-3</v>
      </c>
      <c r="M56">
        <f t="shared" si="4"/>
        <v>5.6089999999999973E-2</v>
      </c>
      <c r="N56">
        <f t="shared" si="5"/>
        <v>-3.3980000000000003E-2</v>
      </c>
      <c r="P56">
        <f t="shared" si="6"/>
        <v>0.17612259999999993</v>
      </c>
      <c r="Q56">
        <f t="shared" si="7"/>
        <v>-0.10669720000000002</v>
      </c>
      <c r="V56">
        <f t="array" ref="V56:W56">MMULT(P56:Q56,$S$3:$T$4)</f>
        <v>9.268637013618608E-2</v>
      </c>
      <c r="W56">
        <v>-0.18388229797774963</v>
      </c>
      <c r="X56">
        <f t="shared" si="8"/>
        <v>200</v>
      </c>
    </row>
    <row r="57" spans="6:24" x14ac:dyDescent="0.25">
      <c r="F57" s="1">
        <f t="shared" si="1"/>
        <v>0.1921714253061575</v>
      </c>
      <c r="G57" s="1">
        <f t="shared" si="2"/>
        <v>-0.23770190064692365</v>
      </c>
      <c r="H57" s="1">
        <f t="shared" si="3"/>
        <v>200</v>
      </c>
      <c r="J57">
        <v>0.34204000000000001</v>
      </c>
      <c r="K57">
        <v>3.3E-3</v>
      </c>
      <c r="M57">
        <f t="shared" si="4"/>
        <v>9.2040000000000011E-2</v>
      </c>
      <c r="N57">
        <f t="shared" si="5"/>
        <v>-3.1700000000000006E-2</v>
      </c>
      <c r="P57">
        <f t="shared" si="6"/>
        <v>0.28900560000000003</v>
      </c>
      <c r="Q57">
        <f t="shared" si="7"/>
        <v>-9.9538000000000029E-2</v>
      </c>
      <c r="V57">
        <f t="array" ref="V57:W57">MMULT(P57:Q57,$S$3:$T$4)</f>
        <v>0.1921714253061575</v>
      </c>
      <c r="W57">
        <v>-0.23770190064692365</v>
      </c>
      <c r="X57">
        <f t="shared" si="8"/>
        <v>200</v>
      </c>
    </row>
    <row r="58" spans="6:24" x14ac:dyDescent="0.25">
      <c r="F58" s="1">
        <f t="shared" si="1"/>
        <v>0.29408203951099765</v>
      </c>
      <c r="G58" s="1">
        <f t="shared" si="2"/>
        <v>-0.29285438988605239</v>
      </c>
      <c r="H58" s="1">
        <f t="shared" si="3"/>
        <v>200</v>
      </c>
      <c r="J58">
        <v>0.37886999999999998</v>
      </c>
      <c r="K58">
        <v>5.6299999999999996E-3</v>
      </c>
      <c r="M58">
        <f t="shared" si="4"/>
        <v>0.12886999999999998</v>
      </c>
      <c r="N58">
        <f t="shared" si="5"/>
        <v>-2.9370000000000004E-2</v>
      </c>
      <c r="P58">
        <f t="shared" si="6"/>
        <v>0.40465179999999995</v>
      </c>
      <c r="Q58">
        <f t="shared" si="7"/>
        <v>-9.222180000000002E-2</v>
      </c>
      <c r="V58">
        <f t="array" ref="V58:W58">MMULT(P58:Q58,$S$3:$T$4)</f>
        <v>0.29408203951099765</v>
      </c>
      <c r="W58">
        <v>-0.29285438988605239</v>
      </c>
      <c r="X58">
        <f t="shared" si="8"/>
        <v>200</v>
      </c>
    </row>
    <row r="59" spans="6:24" x14ac:dyDescent="0.25">
      <c r="F59" s="1">
        <f t="shared" si="1"/>
        <v>0.39773595099702586</v>
      </c>
      <c r="G59" s="1">
        <f t="shared" si="2"/>
        <v>-0.34924614059452602</v>
      </c>
      <c r="H59" s="1">
        <f t="shared" si="3"/>
        <v>200</v>
      </c>
      <c r="J59">
        <v>0.41637999999999997</v>
      </c>
      <c r="K59">
        <v>7.92E-3</v>
      </c>
      <c r="M59">
        <f t="shared" si="4"/>
        <v>0.16637999999999997</v>
      </c>
      <c r="N59">
        <f t="shared" si="5"/>
        <v>-2.7080000000000003E-2</v>
      </c>
      <c r="P59">
        <f t="shared" si="6"/>
        <v>0.52243319999999993</v>
      </c>
      <c r="Q59">
        <f t="shared" si="7"/>
        <v>-8.5031200000000015E-2</v>
      </c>
      <c r="V59">
        <f t="array" ref="V59:W59">MMULT(P59:Q59,$S$3:$T$4)</f>
        <v>0.39773595099702586</v>
      </c>
      <c r="W59">
        <v>-0.34924614059452602</v>
      </c>
      <c r="X59">
        <f t="shared" si="8"/>
        <v>200</v>
      </c>
    </row>
    <row r="60" spans="6:24" x14ac:dyDescent="0.25">
      <c r="F60" s="1">
        <f t="shared" si="1"/>
        <v>0.50229771222031527</v>
      </c>
      <c r="G60" s="1">
        <f t="shared" si="2"/>
        <v>-0.40690991008216709</v>
      </c>
      <c r="H60" s="1">
        <f t="shared" si="3"/>
        <v>200</v>
      </c>
      <c r="J60">
        <v>0.45434999999999998</v>
      </c>
      <c r="K60">
        <v>1.0019999999999999E-2</v>
      </c>
      <c r="M60">
        <f t="shared" si="4"/>
        <v>0.20434999999999998</v>
      </c>
      <c r="N60">
        <f t="shared" si="5"/>
        <v>-2.4980000000000002E-2</v>
      </c>
      <c r="P60">
        <f t="shared" si="6"/>
        <v>0.64165899999999998</v>
      </c>
      <c r="Q60">
        <f t="shared" si="7"/>
        <v>-7.8437200000000012E-2</v>
      </c>
      <c r="V60">
        <f t="array" ref="V60:W60">MMULT(P60:Q60,$S$3:$T$4)</f>
        <v>0.50229771222031527</v>
      </c>
      <c r="W60">
        <v>-0.40690991008216709</v>
      </c>
      <c r="X60">
        <f t="shared" si="8"/>
        <v>200</v>
      </c>
    </row>
    <row r="61" spans="6:24" x14ac:dyDescent="0.25">
      <c r="F61" s="1">
        <f t="shared" si="1"/>
        <v>0.60715476674861879</v>
      </c>
      <c r="G61" s="1">
        <f t="shared" si="2"/>
        <v>-0.46605500104201258</v>
      </c>
      <c r="H61" s="1">
        <f t="shared" si="3"/>
        <v>200</v>
      </c>
      <c r="J61">
        <v>0.49264999999999998</v>
      </c>
      <c r="K61">
        <v>1.1769999999999999E-2</v>
      </c>
      <c r="M61">
        <f t="shared" si="4"/>
        <v>0.24264999999999998</v>
      </c>
      <c r="N61">
        <f t="shared" si="5"/>
        <v>-2.3230000000000004E-2</v>
      </c>
      <c r="P61">
        <f t="shared" si="6"/>
        <v>0.76192099999999996</v>
      </c>
      <c r="Q61">
        <f t="shared" si="7"/>
        <v>-7.2942200000000013E-2</v>
      </c>
      <c r="V61">
        <f t="array" ref="V61:W61">MMULT(P61:Q61,$S$3:$T$4)</f>
        <v>0.60715476674861879</v>
      </c>
      <c r="W61">
        <v>-0.46605500104201258</v>
      </c>
      <c r="X61">
        <f t="shared" si="8"/>
        <v>200</v>
      </c>
    </row>
    <row r="62" spans="6:24" x14ac:dyDescent="0.25">
      <c r="F62" s="1">
        <f t="shared" si="1"/>
        <v>0.71141862046459103</v>
      </c>
      <c r="G62" s="1">
        <f t="shared" si="2"/>
        <v>-0.52638462633916094</v>
      </c>
      <c r="H62" s="1">
        <f t="shared" si="3"/>
        <v>200</v>
      </c>
      <c r="J62">
        <v>0.53098999999999996</v>
      </c>
      <c r="K62">
        <v>1.3100000000000001E-2</v>
      </c>
      <c r="M62">
        <f t="shared" si="4"/>
        <v>0.28098999999999996</v>
      </c>
      <c r="N62">
        <f t="shared" si="5"/>
        <v>-2.1900000000000003E-2</v>
      </c>
      <c r="P62">
        <f t="shared" si="6"/>
        <v>0.88230859999999989</v>
      </c>
      <c r="Q62">
        <f t="shared" si="7"/>
        <v>-6.8766000000000008E-2</v>
      </c>
      <c r="V62">
        <f t="array" ref="V62:W62">MMULT(P62:Q62,$S$3:$T$4)</f>
        <v>0.71141862046459103</v>
      </c>
      <c r="W62">
        <v>-0.52638462633916094</v>
      </c>
      <c r="X62">
        <f t="shared" si="8"/>
        <v>200</v>
      </c>
    </row>
    <row r="63" spans="6:24" x14ac:dyDescent="0.25">
      <c r="F63" s="1">
        <f t="shared" si="1"/>
        <v>0.8150226383761715</v>
      </c>
      <c r="G63" s="1">
        <f t="shared" si="2"/>
        <v>-0.58800525257792113</v>
      </c>
      <c r="H63" s="1">
        <f t="shared" si="3"/>
        <v>200</v>
      </c>
      <c r="J63">
        <v>0.56937000000000004</v>
      </c>
      <c r="K63">
        <v>1.397E-2</v>
      </c>
      <c r="M63">
        <f t="shared" si="4"/>
        <v>0.31937000000000004</v>
      </c>
      <c r="N63">
        <f t="shared" si="5"/>
        <v>-2.1030000000000004E-2</v>
      </c>
      <c r="P63">
        <f t="shared" si="6"/>
        <v>1.0028218000000002</v>
      </c>
      <c r="Q63">
        <f t="shared" si="7"/>
        <v>-6.6034200000000015E-2</v>
      </c>
      <c r="V63">
        <f t="array" ref="V63:W63">MMULT(P63:Q63,$S$3:$T$4)</f>
        <v>0.8150226383761715</v>
      </c>
      <c r="W63">
        <v>-0.58800525257792113</v>
      </c>
      <c r="X63">
        <f t="shared" si="8"/>
        <v>200</v>
      </c>
    </row>
    <row r="64" spans="6:24" x14ac:dyDescent="0.25">
      <c r="F64" s="1">
        <f t="shared" si="1"/>
        <v>0.91797352132831256</v>
      </c>
      <c r="G64" s="1">
        <f t="shared" si="2"/>
        <v>-0.65084698770812321</v>
      </c>
      <c r="H64" s="1">
        <f t="shared" si="3"/>
        <v>200</v>
      </c>
      <c r="J64">
        <v>0.60777999999999999</v>
      </c>
      <c r="K64">
        <v>1.44E-2</v>
      </c>
      <c r="M64">
        <f t="shared" si="4"/>
        <v>0.35777999999999999</v>
      </c>
      <c r="N64">
        <f t="shared" si="5"/>
        <v>-2.0600000000000004E-2</v>
      </c>
      <c r="P64">
        <f t="shared" si="6"/>
        <v>1.1234291999999999</v>
      </c>
      <c r="Q64">
        <f t="shared" si="7"/>
        <v>-6.4684000000000019E-2</v>
      </c>
      <c r="V64">
        <f t="array" ref="V64:W64">MMULT(P64:Q64,$S$3:$T$4)</f>
        <v>0.91797352132831256</v>
      </c>
      <c r="W64">
        <v>-0.65084698770812321</v>
      </c>
      <c r="X64">
        <f t="shared" si="8"/>
        <v>200</v>
      </c>
    </row>
    <row r="65" spans="6:24" x14ac:dyDescent="0.25">
      <c r="F65" s="1">
        <f t="shared" si="1"/>
        <v>1.0195426618388692</v>
      </c>
      <c r="G65" s="1">
        <f t="shared" si="2"/>
        <v>-0.71441677013426363</v>
      </c>
      <c r="H65" s="1">
        <f t="shared" si="3"/>
        <v>200</v>
      </c>
      <c r="J65">
        <v>0.64593999999999996</v>
      </c>
      <c r="K65">
        <v>1.44E-2</v>
      </c>
      <c r="M65">
        <f t="shared" si="4"/>
        <v>0.39593999999999996</v>
      </c>
      <c r="N65">
        <f t="shared" si="5"/>
        <v>-2.0600000000000004E-2</v>
      </c>
      <c r="P65">
        <f t="shared" si="6"/>
        <v>1.2432516</v>
      </c>
      <c r="Q65">
        <f t="shared" si="7"/>
        <v>-6.4684000000000019E-2</v>
      </c>
      <c r="V65">
        <f t="array" ref="V65:W65">MMULT(P65:Q65,$S$3:$T$4)</f>
        <v>1.0195426618388692</v>
      </c>
      <c r="W65">
        <v>-0.71441677013426363</v>
      </c>
      <c r="X65">
        <f t="shared" si="8"/>
        <v>200</v>
      </c>
    </row>
    <row r="66" spans="6:24" x14ac:dyDescent="0.25">
      <c r="F66" s="1">
        <f t="shared" si="1"/>
        <v>1.1191213207199102</v>
      </c>
      <c r="G66" s="1">
        <f t="shared" si="2"/>
        <v>-0.77814838915256035</v>
      </c>
      <c r="H66" s="1">
        <f t="shared" si="3"/>
        <v>200</v>
      </c>
      <c r="J66">
        <v>0.68359000000000003</v>
      </c>
      <c r="K66">
        <v>1.4019999999999999E-2</v>
      </c>
      <c r="M66">
        <f t="shared" si="4"/>
        <v>0.43359000000000003</v>
      </c>
      <c r="N66">
        <f t="shared" si="5"/>
        <v>-2.0980000000000006E-2</v>
      </c>
      <c r="P66">
        <f t="shared" si="6"/>
        <v>1.3614726000000001</v>
      </c>
      <c r="Q66">
        <f t="shared" si="7"/>
        <v>-6.5877200000000025E-2</v>
      </c>
      <c r="V66">
        <f t="array" ref="V66:W66">MMULT(P66:Q66,$S$3:$T$4)</f>
        <v>1.1191213207199102</v>
      </c>
      <c r="W66">
        <v>-0.77814838915256035</v>
      </c>
      <c r="X66">
        <f t="shared" si="8"/>
        <v>200</v>
      </c>
    </row>
    <row r="67" spans="6:24" x14ac:dyDescent="0.25">
      <c r="F67" s="1">
        <f t="shared" ref="F67:F80" si="9">V67</f>
        <v>1.215994292179196</v>
      </c>
      <c r="G67" s="1">
        <f t="shared" ref="G67:G80" si="10">W67</f>
        <v>-0.84140899906717004</v>
      </c>
      <c r="H67" s="1">
        <f t="shared" ref="H67:H80" si="11">X67</f>
        <v>200</v>
      </c>
      <c r="J67">
        <v>0.72043000000000001</v>
      </c>
      <c r="K67">
        <v>1.3310000000000001E-2</v>
      </c>
      <c r="M67">
        <f t="shared" ref="M67:M80" si="12">J67+$M$1</f>
        <v>0.47043000000000001</v>
      </c>
      <c r="N67">
        <f t="shared" ref="N67:N80" si="13">K67+$N$1</f>
        <v>-2.1690000000000001E-2</v>
      </c>
      <c r="P67">
        <f t="shared" ref="P67:P80" si="14">M67*$Q$1</f>
        <v>1.4771502000000001</v>
      </c>
      <c r="Q67">
        <f t="shared" ref="Q67:Q80" si="15">N67*$Q$1</f>
        <v>-6.8106600000000003E-2</v>
      </c>
      <c r="V67">
        <f t="array" ref="V67:W67">MMULT(P67:Q67,$S$3:$T$4)</f>
        <v>1.215994292179196</v>
      </c>
      <c r="W67">
        <v>-0.84140899906717004</v>
      </c>
      <c r="X67">
        <f t="shared" si="8"/>
        <v>200</v>
      </c>
    </row>
    <row r="68" spans="6:24" x14ac:dyDescent="0.25">
      <c r="F68" s="1">
        <f t="shared" si="9"/>
        <v>1.3094630291725022</v>
      </c>
      <c r="G68" s="1">
        <f t="shared" si="10"/>
        <v>-0.90353913753117276</v>
      </c>
      <c r="H68" s="1">
        <f t="shared" si="11"/>
        <v>200</v>
      </c>
      <c r="J68">
        <v>0.75616000000000005</v>
      </c>
      <c r="K68">
        <v>1.2330000000000001E-2</v>
      </c>
      <c r="M68">
        <f t="shared" si="12"/>
        <v>0.50616000000000005</v>
      </c>
      <c r="N68">
        <f t="shared" si="13"/>
        <v>-2.2670000000000003E-2</v>
      </c>
      <c r="P68">
        <f t="shared" si="14"/>
        <v>1.5893424000000003</v>
      </c>
      <c r="Q68">
        <f t="shared" si="15"/>
        <v>-7.1183800000000005E-2</v>
      </c>
      <c r="V68">
        <f t="array" ref="V68:W68">MMULT(P68:Q68,$S$3:$T$4)</f>
        <v>1.3094630291725022</v>
      </c>
      <c r="W68">
        <v>-0.90353913753117276</v>
      </c>
      <c r="X68">
        <f t="shared" ref="X68:X80" si="16">X67</f>
        <v>200</v>
      </c>
    </row>
    <row r="69" spans="6:24" x14ac:dyDescent="0.25">
      <c r="F69" s="1">
        <f t="shared" si="9"/>
        <v>1.3988289846556046</v>
      </c>
      <c r="G69" s="1">
        <f t="shared" si="10"/>
        <v>-0.96387934219764815</v>
      </c>
      <c r="H69" s="1">
        <f t="shared" si="11"/>
        <v>200</v>
      </c>
      <c r="J69">
        <v>0.79047999999999996</v>
      </c>
      <c r="K69">
        <v>1.1140000000000001E-2</v>
      </c>
      <c r="M69">
        <f t="shared" si="12"/>
        <v>0.54047999999999996</v>
      </c>
      <c r="N69">
        <f t="shared" si="13"/>
        <v>-2.3860000000000003E-2</v>
      </c>
      <c r="P69">
        <f t="shared" si="14"/>
        <v>1.6971072</v>
      </c>
      <c r="Q69">
        <f t="shared" si="15"/>
        <v>-7.4920400000000012E-2</v>
      </c>
      <c r="V69">
        <f t="array" ref="V69:W69">MMULT(P69:Q69,$S$3:$T$4)</f>
        <v>1.3988289846556046</v>
      </c>
      <c r="W69">
        <v>-0.96387934219764815</v>
      </c>
      <c r="X69">
        <f t="shared" si="16"/>
        <v>200</v>
      </c>
    </row>
    <row r="70" spans="6:24" x14ac:dyDescent="0.25">
      <c r="F70" s="1">
        <f t="shared" si="9"/>
        <v>1.483393611584279</v>
      </c>
      <c r="G70" s="1">
        <f t="shared" si="10"/>
        <v>-1.0217701507196761</v>
      </c>
      <c r="H70" s="1">
        <f t="shared" si="11"/>
        <v>200</v>
      </c>
      <c r="J70">
        <v>0.82308999999999999</v>
      </c>
      <c r="K70">
        <v>9.7999999999999997E-3</v>
      </c>
      <c r="M70">
        <f t="shared" si="12"/>
        <v>0.57308999999999999</v>
      </c>
      <c r="N70">
        <f t="shared" si="13"/>
        <v>-2.5200000000000004E-2</v>
      </c>
      <c r="P70">
        <f t="shared" si="14"/>
        <v>1.7995026000000001</v>
      </c>
      <c r="Q70">
        <f t="shared" si="15"/>
        <v>-7.9128000000000018E-2</v>
      </c>
      <c r="V70">
        <f t="array" ref="V70:W70">MMULT(P70:Q70,$S$3:$T$4)</f>
        <v>1.483393611584279</v>
      </c>
      <c r="W70">
        <v>-1.0217701507196761</v>
      </c>
      <c r="X70">
        <f t="shared" si="16"/>
        <v>200</v>
      </c>
    </row>
    <row r="71" spans="6:24" x14ac:dyDescent="0.25">
      <c r="F71" s="1">
        <f t="shared" si="9"/>
        <v>1.5624683208173631</v>
      </c>
      <c r="G71" s="1">
        <f t="shared" si="10"/>
        <v>-1.0765953761494287</v>
      </c>
      <c r="H71" s="1">
        <f t="shared" si="11"/>
        <v>200</v>
      </c>
      <c r="J71">
        <v>0.85370000000000001</v>
      </c>
      <c r="K71">
        <v>8.3599999999999994E-3</v>
      </c>
      <c r="M71">
        <f t="shared" si="12"/>
        <v>0.60370000000000001</v>
      </c>
      <c r="N71">
        <f t="shared" si="13"/>
        <v>-2.6640000000000004E-2</v>
      </c>
      <c r="P71">
        <f t="shared" si="14"/>
        <v>1.895618</v>
      </c>
      <c r="Q71">
        <f t="shared" si="15"/>
        <v>-8.3649600000000018E-2</v>
      </c>
      <c r="V71">
        <f t="array" ref="V71:W71">MMULT(P71:Q71,$S$3:$T$4)</f>
        <v>1.5624683208173631</v>
      </c>
      <c r="W71">
        <v>-1.0765953761494287</v>
      </c>
      <c r="X71">
        <f t="shared" si="16"/>
        <v>200</v>
      </c>
    </row>
    <row r="72" spans="6:24" x14ac:dyDescent="0.25">
      <c r="F72" s="1">
        <f t="shared" si="9"/>
        <v>1.6353811819617101</v>
      </c>
      <c r="G72" s="1">
        <f t="shared" si="10"/>
        <v>-1.127712214888001</v>
      </c>
      <c r="H72" s="1">
        <f t="shared" si="11"/>
        <v>200</v>
      </c>
      <c r="J72">
        <v>0.88202000000000003</v>
      </c>
      <c r="K72">
        <v>6.8799999999999998E-3</v>
      </c>
      <c r="M72">
        <f t="shared" si="12"/>
        <v>0.63202000000000003</v>
      </c>
      <c r="N72">
        <f t="shared" si="13"/>
        <v>-2.8120000000000003E-2</v>
      </c>
      <c r="P72">
        <f t="shared" si="14"/>
        <v>1.9845428000000001</v>
      </c>
      <c r="Q72">
        <f t="shared" si="15"/>
        <v>-8.8296800000000009E-2</v>
      </c>
      <c r="V72">
        <f t="array" ref="V72:W72">MMULT(P72:Q72,$S$3:$T$4)</f>
        <v>1.6353811819617101</v>
      </c>
      <c r="W72">
        <v>-1.127712214888001</v>
      </c>
      <c r="X72">
        <f t="shared" si="16"/>
        <v>200</v>
      </c>
    </row>
    <row r="73" spans="6:24" x14ac:dyDescent="0.25">
      <c r="F73" s="1">
        <f t="shared" si="9"/>
        <v>1.7014003304770642</v>
      </c>
      <c r="G73" s="1">
        <f t="shared" si="10"/>
        <v>-1.1745144378906269</v>
      </c>
      <c r="H73" s="1">
        <f t="shared" si="11"/>
        <v>200</v>
      </c>
      <c r="J73">
        <v>0.90774999999999995</v>
      </c>
      <c r="K73">
        <v>5.4000000000000003E-3</v>
      </c>
      <c r="M73">
        <f t="shared" si="12"/>
        <v>0.65774999999999995</v>
      </c>
      <c r="N73">
        <f t="shared" si="13"/>
        <v>-2.9600000000000001E-2</v>
      </c>
      <c r="P73">
        <f t="shared" si="14"/>
        <v>2.0653349999999997</v>
      </c>
      <c r="Q73">
        <f t="shared" si="15"/>
        <v>-9.2944000000000013E-2</v>
      </c>
      <c r="V73">
        <f t="array" ref="V73:W73">MMULT(P73:Q73,$S$3:$T$4)</f>
        <v>1.7014003304770642</v>
      </c>
      <c r="W73">
        <v>-1.1745144378906269</v>
      </c>
      <c r="X73">
        <f t="shared" si="16"/>
        <v>200</v>
      </c>
    </row>
    <row r="74" spans="6:24" x14ac:dyDescent="0.25">
      <c r="F74" s="1">
        <f t="shared" si="9"/>
        <v>1.7599603025745889</v>
      </c>
      <c r="G74" s="1">
        <f t="shared" si="10"/>
        <v>-1.2164258765504634</v>
      </c>
      <c r="H74" s="1">
        <f t="shared" si="11"/>
        <v>200</v>
      </c>
      <c r="J74">
        <v>0.93064000000000002</v>
      </c>
      <c r="K74">
        <v>3.98E-3</v>
      </c>
      <c r="M74">
        <f t="shared" si="12"/>
        <v>0.68064000000000002</v>
      </c>
      <c r="N74">
        <f t="shared" si="13"/>
        <v>-3.1020000000000002E-2</v>
      </c>
      <c r="P74">
        <f t="shared" si="14"/>
        <v>2.1372096000000003</v>
      </c>
      <c r="Q74">
        <f t="shared" si="15"/>
        <v>-9.7402800000000012E-2</v>
      </c>
      <c r="V74">
        <f t="array" ref="V74:W74">MMULT(P74:Q74,$S$3:$T$4)</f>
        <v>1.7599603025745889</v>
      </c>
      <c r="W74">
        <v>-1.2164258765504634</v>
      </c>
      <c r="X74">
        <f t="shared" si="16"/>
        <v>200</v>
      </c>
    </row>
    <row r="75" spans="6:24" x14ac:dyDescent="0.25">
      <c r="F75" s="1">
        <f t="shared" si="9"/>
        <v>1.8104456582213979</v>
      </c>
      <c r="G75" s="1">
        <f t="shared" si="10"/>
        <v>-1.2529502122138967</v>
      </c>
      <c r="H75" s="1">
        <f t="shared" si="11"/>
        <v>200</v>
      </c>
      <c r="J75">
        <v>0.95043999999999995</v>
      </c>
      <c r="K75">
        <v>2.65E-3</v>
      </c>
      <c r="M75">
        <f t="shared" si="12"/>
        <v>0.70043999999999995</v>
      </c>
      <c r="N75">
        <f t="shared" si="13"/>
        <v>-3.2350000000000004E-2</v>
      </c>
      <c r="P75">
        <f t="shared" si="14"/>
        <v>2.1993815999999997</v>
      </c>
      <c r="Q75">
        <f t="shared" si="15"/>
        <v>-0.10157900000000002</v>
      </c>
      <c r="V75">
        <f t="array" ref="V75:W75">MMULT(P75:Q75,$S$3:$T$4)</f>
        <v>1.8104456582213979</v>
      </c>
      <c r="W75">
        <v>-1.2529502122138967</v>
      </c>
      <c r="X75">
        <f t="shared" si="16"/>
        <v>200</v>
      </c>
    </row>
    <row r="76" spans="6:24" x14ac:dyDescent="0.25">
      <c r="F76" s="1">
        <f t="shared" si="9"/>
        <v>1.8524872080892569</v>
      </c>
      <c r="G76" s="1">
        <f t="shared" si="10"/>
        <v>-1.2836711629092825</v>
      </c>
      <c r="H76" s="1">
        <f t="shared" si="11"/>
        <v>200</v>
      </c>
      <c r="J76">
        <v>0.96697999999999995</v>
      </c>
      <c r="K76">
        <v>1.4599999999999999E-3</v>
      </c>
      <c r="M76">
        <f t="shared" si="12"/>
        <v>0.71697999999999995</v>
      </c>
      <c r="N76">
        <f t="shared" si="13"/>
        <v>-3.354E-2</v>
      </c>
      <c r="P76">
        <f t="shared" si="14"/>
        <v>2.2513171999999999</v>
      </c>
      <c r="Q76">
        <f t="shared" si="15"/>
        <v>-0.10531560000000001</v>
      </c>
      <c r="V76">
        <f t="array" ref="V76:W76">MMULT(P76:Q76,$S$3:$T$4)</f>
        <v>1.8524872080892569</v>
      </c>
      <c r="W76">
        <v>-1.2836711629092825</v>
      </c>
      <c r="X76">
        <f t="shared" si="16"/>
        <v>200</v>
      </c>
    </row>
    <row r="77" spans="6:24" x14ac:dyDescent="0.25">
      <c r="F77" s="1">
        <f t="shared" si="9"/>
        <v>1.8863777353400144</v>
      </c>
      <c r="G77" s="1">
        <f t="shared" si="10"/>
        <v>-1.3087719748647884</v>
      </c>
      <c r="H77" s="1">
        <f t="shared" si="11"/>
        <v>200</v>
      </c>
      <c r="J77">
        <v>0.98036999999999996</v>
      </c>
      <c r="K77">
        <v>4.0999999999999999E-4</v>
      </c>
      <c r="M77">
        <f t="shared" si="12"/>
        <v>0.73036999999999996</v>
      </c>
      <c r="N77">
        <f t="shared" si="13"/>
        <v>-3.4590000000000003E-2</v>
      </c>
      <c r="P77">
        <f t="shared" si="14"/>
        <v>2.2933618</v>
      </c>
      <c r="Q77">
        <f t="shared" si="15"/>
        <v>-0.10861260000000002</v>
      </c>
      <c r="V77">
        <f t="array" ref="V77:W77">MMULT(P77:Q77,$S$3:$T$4)</f>
        <v>1.8863777353400144</v>
      </c>
      <c r="W77">
        <v>-1.3087719748647884</v>
      </c>
      <c r="X77">
        <f t="shared" si="16"/>
        <v>200</v>
      </c>
    </row>
    <row r="78" spans="6:24" x14ac:dyDescent="0.25">
      <c r="F78" s="1">
        <f t="shared" si="9"/>
        <v>1.9124234248254264</v>
      </c>
      <c r="G78" s="1">
        <f t="shared" si="10"/>
        <v>-1.3282961102082429</v>
      </c>
      <c r="H78" s="1">
        <f t="shared" si="11"/>
        <v>200</v>
      </c>
      <c r="J78">
        <v>0.99070000000000003</v>
      </c>
      <c r="K78">
        <v>-4.6000000000000001E-4</v>
      </c>
      <c r="M78">
        <f t="shared" si="12"/>
        <v>0.74070000000000003</v>
      </c>
      <c r="N78">
        <f t="shared" si="13"/>
        <v>-3.5460000000000005E-2</v>
      </c>
      <c r="P78">
        <f t="shared" si="14"/>
        <v>2.3257980000000003</v>
      </c>
      <c r="Q78">
        <f t="shared" si="15"/>
        <v>-0.11134440000000002</v>
      </c>
      <c r="V78">
        <f t="array" ref="V78:W78">MMULT(P78:Q78,$S$3:$T$4)</f>
        <v>1.9124234248254264</v>
      </c>
      <c r="W78">
        <v>-1.3282961102082429</v>
      </c>
      <c r="X78">
        <f t="shared" si="16"/>
        <v>200</v>
      </c>
    </row>
    <row r="79" spans="6:24" x14ac:dyDescent="0.25">
      <c r="F79" s="1">
        <f t="shared" si="9"/>
        <v>1.9296130305332946</v>
      </c>
      <c r="G79" s="1">
        <f t="shared" si="10"/>
        <v>-1.3413143095663729</v>
      </c>
      <c r="H79" s="1">
        <f t="shared" si="11"/>
        <v>200</v>
      </c>
      <c r="J79">
        <v>0.99753999999999998</v>
      </c>
      <c r="K79">
        <v>-1.07E-3</v>
      </c>
      <c r="M79">
        <f t="shared" si="12"/>
        <v>0.74753999999999998</v>
      </c>
      <c r="N79">
        <f t="shared" si="13"/>
        <v>-3.6070000000000005E-2</v>
      </c>
      <c r="P79">
        <f t="shared" si="14"/>
        <v>2.3472756000000001</v>
      </c>
      <c r="Q79">
        <f t="shared" si="15"/>
        <v>-0.11325980000000002</v>
      </c>
      <c r="V79">
        <f t="array" ref="V79:W79">MMULT(P79:Q79,$S$3:$T$4)</f>
        <v>1.9296130305332946</v>
      </c>
      <c r="W79">
        <v>-1.3413143095663729</v>
      </c>
      <c r="X79">
        <f t="shared" si="16"/>
        <v>200</v>
      </c>
    </row>
    <row r="80" spans="6:24" x14ac:dyDescent="0.25">
      <c r="F80" s="1">
        <f t="shared" si="9"/>
        <v>1.9357775754939328</v>
      </c>
      <c r="G80" s="1">
        <f t="shared" si="10"/>
        <v>-1.346024544552896</v>
      </c>
      <c r="H80" s="1">
        <f t="shared" si="11"/>
        <v>200</v>
      </c>
      <c r="J80">
        <v>1</v>
      </c>
      <c r="K80">
        <v>-1.2999999999999999E-3</v>
      </c>
      <c r="M80">
        <f t="shared" si="12"/>
        <v>0.75</v>
      </c>
      <c r="N80">
        <f t="shared" si="13"/>
        <v>-3.6300000000000006E-2</v>
      </c>
      <c r="P80">
        <f t="shared" si="14"/>
        <v>2.355</v>
      </c>
      <c r="Q80">
        <f t="shared" si="15"/>
        <v>-0.11398200000000003</v>
      </c>
      <c r="V80">
        <f t="array" ref="V80:W80">MMULT(P80:Q80,$S$3:$T$4)</f>
        <v>1.9357775754939328</v>
      </c>
      <c r="W80">
        <v>-1.346024544552896</v>
      </c>
      <c r="X80">
        <f t="shared" si="16"/>
        <v>200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nbe400</vt:lpstr>
      <vt:lpstr>drive_train</vt:lpstr>
      <vt:lpstr>hEng</vt:lpstr>
      <vt:lpstr>draw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Montero</dc:creator>
  <cp:lastModifiedBy>Diego Montero</cp:lastModifiedBy>
  <dcterms:created xsi:type="dcterms:W3CDTF">2016-06-30T21:01:44Z</dcterms:created>
  <dcterms:modified xsi:type="dcterms:W3CDTF">2016-07-16T15:49:29Z</dcterms:modified>
</cp:coreProperties>
</file>