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Montero\Dropbox\GitHub\nemo\drive\"/>
    </mc:Choice>
  </mc:AlternateContent>
  <bookViews>
    <workbookView xWindow="0" yWindow="0" windowWidth="20490" windowHeight="7755"/>
  </bookViews>
  <sheets>
    <sheet name="PowerOutput" sheetId="1" r:id="rId1"/>
    <sheet name="HumanEngine" sheetId="2" r:id="rId2"/>
    <sheet name="Prop_B2" sheetId="3" r:id="rId3"/>
    <sheet name="Nemo_CR" sheetId="4" r:id="rId4"/>
    <sheet name="Plan3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4" l="1" a="1"/>
  <c r="I6" i="4" s="1"/>
  <c r="I4" i="4" a="1"/>
  <c r="I4" i="4" s="1"/>
  <c r="I2" i="4" a="1"/>
  <c r="I2" i="4" s="1"/>
  <c r="C17" i="1"/>
  <c r="C11" i="1"/>
  <c r="K6" i="4" l="1"/>
  <c r="L6" i="4"/>
  <c r="J6" i="4"/>
  <c r="N6" i="4"/>
  <c r="M6" i="4"/>
  <c r="K4" i="4"/>
  <c r="J4" i="4"/>
  <c r="N4" i="4"/>
  <c r="M4" i="4"/>
  <c r="L4" i="4"/>
  <c r="K2" i="4"/>
  <c r="M2" i="4"/>
  <c r="J2" i="4"/>
  <c r="N2" i="4"/>
  <c r="L2" i="4"/>
  <c r="F16" i="2" a="1"/>
  <c r="F16" i="2" s="1"/>
  <c r="F2" i="2" a="1"/>
  <c r="F2" i="2" s="1"/>
  <c r="D4" i="2"/>
  <c r="D5" i="2"/>
  <c r="D6" i="2"/>
  <c r="D7" i="2"/>
  <c r="D8" i="2"/>
  <c r="D9" i="2"/>
  <c r="D10" i="2"/>
  <c r="D11" i="2"/>
  <c r="D12" i="2"/>
  <c r="D13" i="2"/>
  <c r="D14" i="2"/>
  <c r="D3" i="2"/>
  <c r="I5" i="1"/>
  <c r="I13" i="1"/>
  <c r="I6" i="1"/>
  <c r="I14" i="1"/>
  <c r="I7" i="1"/>
  <c r="I15" i="1"/>
  <c r="I8" i="1"/>
  <c r="I9" i="1"/>
  <c r="I10" i="1"/>
  <c r="I11" i="1"/>
  <c r="I12" i="1"/>
  <c r="I4" i="1"/>
  <c r="H5" i="1"/>
  <c r="H13" i="1"/>
  <c r="H11" i="1"/>
  <c r="H6" i="1"/>
  <c r="H14" i="1"/>
  <c r="H7" i="1"/>
  <c r="H15" i="1"/>
  <c r="H8" i="1"/>
  <c r="H9" i="1"/>
  <c r="H12" i="1"/>
  <c r="H10" i="1"/>
  <c r="H4" i="1"/>
  <c r="J16" i="2" l="1"/>
  <c r="I16" i="2"/>
  <c r="H16" i="2"/>
  <c r="G16" i="2"/>
  <c r="J2" i="2"/>
  <c r="I2" i="2"/>
  <c r="H2" i="2"/>
  <c r="G2" i="2"/>
  <c r="H11" i="3"/>
  <c r="H12" i="3"/>
  <c r="H13" i="3"/>
  <c r="H14" i="3"/>
  <c r="H15" i="3"/>
  <c r="H16" i="3"/>
  <c r="H17" i="3"/>
  <c r="H18" i="3"/>
  <c r="H19" i="3"/>
  <c r="H20" i="3"/>
  <c r="H21" i="3"/>
  <c r="H22" i="3"/>
  <c r="H10" i="3"/>
  <c r="C18" i="1" l="1"/>
  <c r="J4" i="1" s="1"/>
  <c r="K4" i="1" s="1"/>
  <c r="L4" i="1" s="1"/>
  <c r="C5" i="4"/>
  <c r="C12" i="1"/>
  <c r="C13" i="1"/>
  <c r="C14" i="1"/>
  <c r="M4" i="1"/>
  <c r="N4" i="1"/>
  <c r="O4" i="1"/>
  <c r="Q4" i="1" l="1"/>
  <c r="S4" i="1"/>
  <c r="U4" i="1" s="1"/>
  <c r="P4" i="1"/>
  <c r="J10" i="1"/>
  <c r="K10" i="1" l="1"/>
  <c r="L10" i="1" s="1"/>
  <c r="R4" i="1"/>
  <c r="T4" i="1"/>
  <c r="J9" i="1"/>
  <c r="K9" i="1" s="1"/>
  <c r="L9" i="1" s="1"/>
  <c r="J8" i="1"/>
  <c r="J15" i="1"/>
  <c r="K15" i="1" s="1"/>
  <c r="L15" i="1" s="1"/>
  <c r="J6" i="1"/>
  <c r="K6" i="1" s="1"/>
  <c r="L6" i="1" s="1"/>
  <c r="J13" i="1"/>
  <c r="K13" i="1" s="1"/>
  <c r="L13" i="1" s="1"/>
  <c r="J5" i="1"/>
  <c r="K5" i="1" s="1"/>
  <c r="L5" i="1" s="1"/>
  <c r="J7" i="1"/>
  <c r="K7" i="1" s="1"/>
  <c r="L7" i="1" s="1"/>
  <c r="J14" i="1"/>
  <c r="J12" i="1"/>
  <c r="K12" i="1" s="1"/>
  <c r="L12" i="1" s="1"/>
  <c r="J11" i="1"/>
  <c r="K11" i="1" s="1"/>
  <c r="L11" i="1" s="1"/>
  <c r="C5" i="3"/>
  <c r="C7" i="1"/>
  <c r="O6" i="1"/>
  <c r="N6" i="1"/>
  <c r="M6" i="1"/>
  <c r="O10" i="1"/>
  <c r="N10" i="1"/>
  <c r="M10" i="1"/>
  <c r="O7" i="1"/>
  <c r="N7" i="1"/>
  <c r="M7" i="1"/>
  <c r="O12" i="1"/>
  <c r="N12" i="1"/>
  <c r="M12" i="1"/>
  <c r="O15" i="1"/>
  <c r="N15" i="1"/>
  <c r="M15" i="1"/>
  <c r="O13" i="1"/>
  <c r="N13" i="1"/>
  <c r="M13" i="1"/>
  <c r="O5" i="1"/>
  <c r="N5" i="1"/>
  <c r="M5" i="1"/>
  <c r="O11" i="1"/>
  <c r="N11" i="1"/>
  <c r="M11" i="1"/>
  <c r="O9" i="1"/>
  <c r="N9" i="1"/>
  <c r="M9" i="1"/>
  <c r="S11" i="1" l="1"/>
  <c r="T11" i="1" s="1"/>
  <c r="S5" i="1"/>
  <c r="T5" i="1" s="1"/>
  <c r="S13" i="1"/>
  <c r="U13" i="1" s="1"/>
  <c r="S15" i="1"/>
  <c r="U15" i="1" s="1"/>
  <c r="S12" i="1"/>
  <c r="T12" i="1" s="1"/>
  <c r="S7" i="1"/>
  <c r="U7" i="1" s="1"/>
  <c r="S10" i="1"/>
  <c r="U10" i="1" s="1"/>
  <c r="P10" i="1"/>
  <c r="R10" i="1" s="1"/>
  <c r="Q10" i="1"/>
  <c r="S6" i="1"/>
  <c r="U6" i="1" s="1"/>
  <c r="K8" i="1"/>
  <c r="L8" i="1" s="1"/>
  <c r="K14" i="1"/>
  <c r="L14" i="1" s="1"/>
  <c r="S9" i="1"/>
  <c r="T9" i="1" s="1"/>
  <c r="Q9" i="1"/>
  <c r="P9" i="1"/>
  <c r="R9" i="1" s="1"/>
  <c r="Q15" i="1"/>
  <c r="P15" i="1"/>
  <c r="R15" i="1" s="1"/>
  <c r="Q12" i="1"/>
  <c r="P12" i="1"/>
  <c r="R12" i="1" s="1"/>
  <c r="Q5" i="1"/>
  <c r="P5" i="1"/>
  <c r="R5" i="1" s="1"/>
  <c r="P13" i="1"/>
  <c r="R13" i="1" s="1"/>
  <c r="Q13" i="1"/>
  <c r="Q6" i="1"/>
  <c r="P6" i="1"/>
  <c r="R6" i="1" s="1"/>
  <c r="Q11" i="1"/>
  <c r="P11" i="1"/>
  <c r="R11" i="1" s="1"/>
  <c r="P7" i="1"/>
  <c r="R7" i="1" s="1"/>
  <c r="Q7" i="1"/>
  <c r="I5" i="3" a="1"/>
  <c r="J5" i="3" s="1"/>
  <c r="I2" i="3" a="1"/>
  <c r="J2" i="3" s="1"/>
  <c r="O8" i="1"/>
  <c r="N8" i="1"/>
  <c r="M8" i="1"/>
  <c r="O14" i="1"/>
  <c r="N14" i="1"/>
  <c r="M14" i="1"/>
  <c r="U5" i="1" l="1"/>
  <c r="T7" i="1"/>
  <c r="T15" i="1"/>
  <c r="S14" i="1"/>
  <c r="U14" i="1" s="1"/>
  <c r="P14" i="1"/>
  <c r="R14" i="1" s="1"/>
  <c r="Q14" i="1"/>
  <c r="S8" i="1"/>
  <c r="U8" i="1" s="1"/>
  <c r="P8" i="1"/>
  <c r="R8" i="1" s="1"/>
  <c r="Q8" i="1"/>
  <c r="T10" i="1"/>
  <c r="T13" i="1"/>
  <c r="U11" i="1"/>
  <c r="U12" i="1"/>
  <c r="T6" i="1"/>
  <c r="U9" i="1"/>
  <c r="N5" i="3"/>
  <c r="M5" i="3"/>
  <c r="L5" i="3"/>
  <c r="I5" i="3"/>
  <c r="P5" i="3"/>
  <c r="O5" i="3"/>
  <c r="K5" i="3"/>
  <c r="N2" i="3"/>
  <c r="K2" i="3"/>
  <c r="I2" i="3"/>
  <c r="M2" i="3"/>
  <c r="L2" i="3"/>
  <c r="W17" i="2"/>
  <c r="T14" i="1" l="1"/>
  <c r="T8" i="1"/>
  <c r="W5" i="2"/>
</calcChain>
</file>

<file path=xl/comments1.xml><?xml version="1.0" encoding="utf-8"?>
<comments xmlns="http://schemas.openxmlformats.org/spreadsheetml/2006/main">
  <authors>
    <author>Diego Montero</author>
    <author>DiegoSCMO</author>
  </authors>
  <commentList>
    <comment ref="N3" authorId="0" shapeId="0">
      <text>
        <r>
          <rPr>
            <b/>
            <sz val="9"/>
            <color indexed="81"/>
            <rFont val="Segoe UI"/>
            <charset val="1"/>
          </rPr>
          <t>CP = (2*PI^4/8)*Pc</t>
        </r>
      </text>
    </comment>
    <comment ref="O3" authorId="0" shapeId="0">
      <text>
        <r>
          <rPr>
            <b/>
            <sz val="9"/>
            <color indexed="81"/>
            <rFont val="Segoe UI"/>
            <charset val="1"/>
          </rPr>
          <t>CT = (PI^3)/4 * Tc</t>
        </r>
      </text>
    </comment>
    <comment ref="P3" authorId="0" shapeId="0">
      <text>
        <r>
          <rPr>
            <b/>
            <sz val="9"/>
            <color indexed="81"/>
            <rFont val="Segoe UI"/>
            <family val="2"/>
          </rPr>
          <t>P = CP*dens*rps^2*D^5</t>
        </r>
      </text>
    </comment>
    <comment ref="Q3" authorId="0" shapeId="0">
      <text>
        <r>
          <rPr>
            <b/>
            <sz val="9"/>
            <color indexed="81"/>
            <rFont val="Segoe UI"/>
            <family val="2"/>
          </rPr>
          <t>T = CT*dens*rps^2*D^4</t>
        </r>
      </text>
    </comment>
    <comment ref="R3" authorId="0" shapeId="0">
      <text>
        <r>
          <rPr>
            <b/>
            <sz val="9"/>
            <color indexed="81"/>
            <rFont val="Segoe UI"/>
            <family val="2"/>
          </rPr>
          <t>Q= P/w(rad/s)</t>
        </r>
      </text>
    </comment>
    <comment ref="C5" authorId="1" shapeId="0">
      <text>
        <r>
          <rPr>
            <b/>
            <sz val="9"/>
            <color indexed="81"/>
            <rFont val="Segoe UI"/>
            <charset val="1"/>
          </rPr>
          <t>Max = 53/12 (4,416667)</t>
        </r>
      </text>
    </comment>
  </commentList>
</comments>
</file>

<file path=xl/sharedStrings.xml><?xml version="1.0" encoding="utf-8"?>
<sst xmlns="http://schemas.openxmlformats.org/spreadsheetml/2006/main" count="144" uniqueCount="93">
  <si>
    <t>adv</t>
  </si>
  <si>
    <t>http://users.frii.com/katana/biketext.html</t>
  </si>
  <si>
    <t>Nm</t>
  </si>
  <si>
    <t>ft-lb</t>
  </si>
  <si>
    <t>Original source:</t>
  </si>
  <si>
    <t>Torque</t>
  </si>
  <si>
    <t>RPM</t>
  </si>
  <si>
    <t>a</t>
  </si>
  <si>
    <t>b</t>
  </si>
  <si>
    <t>c</t>
  </si>
  <si>
    <t>d</t>
  </si>
  <si>
    <t>coefs</t>
  </si>
  <si>
    <t>Power</t>
  </si>
  <si>
    <t>hp</t>
  </si>
  <si>
    <t>W</t>
  </si>
  <si>
    <t>e</t>
  </si>
  <si>
    <t>effprop</t>
  </si>
  <si>
    <t>CT</t>
  </si>
  <si>
    <t>cl_avg</t>
  </si>
  <si>
    <t>cd_avg</t>
  </si>
  <si>
    <t>f</t>
  </si>
  <si>
    <t>5o grau</t>
  </si>
  <si>
    <t>RpmCrank</t>
  </si>
  <si>
    <t>Adv.Ratio</t>
  </si>
  <si>
    <t>Prop.Eff.</t>
  </si>
  <si>
    <t>eff/adv</t>
  </si>
  <si>
    <t>ct/adv</t>
  </si>
  <si>
    <t>7o grau</t>
  </si>
  <si>
    <t>g</t>
  </si>
  <si>
    <t>h</t>
  </si>
  <si>
    <t>T=Pn/V</t>
  </si>
  <si>
    <t>Vn [mps]</t>
  </si>
  <si>
    <t>prop_dia</t>
  </si>
  <si>
    <t>Propeller</t>
  </si>
  <si>
    <t>Propeller data</t>
  </si>
  <si>
    <t>max eff</t>
  </si>
  <si>
    <t>diameter</t>
  </si>
  <si>
    <t>max. Eff</t>
  </si>
  <si>
    <t>Engine</t>
  </si>
  <si>
    <t>Input data</t>
  </si>
  <si>
    <t>Engine data</t>
  </si>
  <si>
    <t>Cadence Assumption</t>
  </si>
  <si>
    <t>HumanEngine</t>
  </si>
  <si>
    <t>Front Gear</t>
  </si>
  <si>
    <t>Rear Gear</t>
  </si>
  <si>
    <t>Drive Eff</t>
  </si>
  <si>
    <t>opt adv</t>
  </si>
  <si>
    <t>P @85rpm</t>
  </si>
  <si>
    <t>RPM Prop</t>
  </si>
  <si>
    <t>Gear Ratio</t>
  </si>
  <si>
    <t>poly</t>
  </si>
  <si>
    <t>max adv</t>
  </si>
  <si>
    <t>max Adv</t>
  </si>
  <si>
    <t>opt. Adv</t>
  </si>
  <si>
    <t>Nemo_CR</t>
  </si>
  <si>
    <t>CQ</t>
  </si>
  <si>
    <t>P.Crank [W]</t>
  </si>
  <si>
    <t>Prop.CP</t>
  </si>
  <si>
    <t>P.Prop [W]</t>
  </si>
  <si>
    <t>Prop. CT</t>
  </si>
  <si>
    <t>V(m/s)</t>
  </si>
  <si>
    <t>rpm</t>
  </si>
  <si>
    <t>Dbeta</t>
  </si>
  <si>
    <t>T(N)</t>
  </si>
  <si>
    <t>Q(N-m)</t>
  </si>
  <si>
    <t>Pshaft(W)</t>
  </si>
  <si>
    <t>Volts</t>
  </si>
  <si>
    <t>Amps</t>
  </si>
  <si>
    <t>effmot</t>
  </si>
  <si>
    <t>Pprop</t>
  </si>
  <si>
    <t>T.Prop [N]</t>
  </si>
  <si>
    <t>W.Dens</t>
  </si>
  <si>
    <t>Q.Prop [Nm]</t>
  </si>
  <si>
    <t>Q.Crank [Nm]</t>
  </si>
  <si>
    <t>CP (Pc)</t>
  </si>
  <si>
    <t>CT (Tc)</t>
  </si>
  <si>
    <t>Pc</t>
  </si>
  <si>
    <t>Tc</t>
  </si>
  <si>
    <t>torque.rpm</t>
  </si>
  <si>
    <t>poly 4o</t>
  </si>
  <si>
    <t>power.rpm</t>
  </si>
  <si>
    <t>Engine Output</t>
  </si>
  <si>
    <t>Prop. Motion</t>
  </si>
  <si>
    <t>Prop. Caracteristics</t>
  </si>
  <si>
    <t>Propeller Output</t>
  </si>
  <si>
    <t>Ideal from motor</t>
  </si>
  <si>
    <t>CP        D</t>
  </si>
  <si>
    <t>eff     Pe</t>
  </si>
  <si>
    <t>lec</t>
  </si>
  <si>
    <t>cl_avg  c</t>
  </si>
  <si>
    <t>d_avg</t>
  </si>
  <si>
    <t>E-01  0,7677</t>
  </si>
  <si>
    <t>wProp 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</si>
</sst>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16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65" fontId="0" fillId="3" borderId="17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2" fontId="0" fillId="3" borderId="17" xfId="0" applyNumberFormat="1" applyFill="1" applyBorder="1" applyAlignment="1">
      <alignment horizontal="center"/>
    </xf>
    <xf numFmtId="0" fontId="0" fillId="3" borderId="18" xfId="0" applyFill="1" applyBorder="1"/>
    <xf numFmtId="2" fontId="0" fillId="3" borderId="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2" fontId="0" fillId="3" borderId="16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2" fontId="0" fillId="3" borderId="21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2" fontId="0" fillId="3" borderId="23" xfId="0" applyNumberFormat="1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Torque vs RPM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772069444210266"/>
          <c:y val="0.18522358104165115"/>
          <c:w val="0.82419936265996729"/>
          <c:h val="0.621972425277556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2829163452535161E-2"/>
                  <c:y val="-6.8552763380594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HumanEngine!$B$3:$B$22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150</c:v>
                </c:pt>
              </c:numCache>
            </c:numRef>
          </c:xVal>
          <c:yVal>
            <c:numRef>
              <c:f>HumanEngine!$C$3:$C$22</c:f>
              <c:numCache>
                <c:formatCode>0.00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28</c:v>
                </c:pt>
                <c:pt idx="4">
                  <c:v>33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32</c:v>
                </c:pt>
                <c:pt idx="10">
                  <c:v>25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77472"/>
        <c:axId val="1201078016"/>
      </c:scatterChart>
      <c:valAx>
        <c:axId val="120107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RPM</a:t>
                </a:r>
              </a:p>
            </c:rich>
          </c:tx>
          <c:layout>
            <c:manualLayout>
              <c:xMode val="edge"/>
              <c:yMode val="edge"/>
              <c:x val="0.47822871177505383"/>
              <c:y val="0.889148452285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78016"/>
        <c:crosses val="autoZero"/>
        <c:crossBetween val="midCat"/>
      </c:valAx>
      <c:valAx>
        <c:axId val="12010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Torque [Nm]</a:t>
                </a:r>
              </a:p>
            </c:rich>
          </c:tx>
          <c:layout>
            <c:manualLayout>
              <c:xMode val="edge"/>
              <c:yMode val="edge"/>
              <c:x val="1.7130620985010708E-2"/>
              <c:y val="0.32895145881698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Power vs RPM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772069444210266"/>
          <c:y val="0.18522358104165115"/>
          <c:w val="0.82419936265996729"/>
          <c:h val="0.621972425277556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2877077865266839E-2"/>
                  <c:y val="6.48327755245251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HumanEngine!$B$3:$B$22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150</c:v>
                </c:pt>
              </c:numCache>
            </c:numRef>
          </c:xVal>
          <c:yVal>
            <c:numRef>
              <c:f>HumanEngine!$D$3:$D$22</c:f>
              <c:numCache>
                <c:formatCode>0.00</c:formatCode>
                <c:ptCount val="20"/>
                <c:pt idx="0">
                  <c:v>0</c:v>
                </c:pt>
                <c:pt idx="1">
                  <c:v>20.943951023931955</c:v>
                </c:pt>
                <c:pt idx="2">
                  <c:v>83.775804095727821</c:v>
                </c:pt>
                <c:pt idx="3">
                  <c:v>175.92918860102841</c:v>
                </c:pt>
                <c:pt idx="4">
                  <c:v>276.46015351590177</c:v>
                </c:pt>
                <c:pt idx="5">
                  <c:v>302.64009229581671</c:v>
                </c:pt>
                <c:pt idx="6">
                  <c:v>320.44245066615889</c:v>
                </c:pt>
                <c:pt idx="7">
                  <c:v>356.04716740684319</c:v>
                </c:pt>
                <c:pt idx="8">
                  <c:v>391.65188414752754</c:v>
                </c:pt>
                <c:pt idx="9">
                  <c:v>402.12385965949346</c:v>
                </c:pt>
                <c:pt idx="10">
                  <c:v>340.33920413889427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79648"/>
        <c:axId val="1201083456"/>
      </c:scatterChart>
      <c:valAx>
        <c:axId val="12010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RPM</a:t>
                </a:r>
              </a:p>
            </c:rich>
          </c:tx>
          <c:layout>
            <c:manualLayout>
              <c:xMode val="edge"/>
              <c:yMode val="edge"/>
              <c:x val="0.47822871177505383"/>
              <c:y val="0.889148452285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3456"/>
        <c:crosses val="autoZero"/>
        <c:crossBetween val="midCat"/>
      </c:valAx>
      <c:valAx>
        <c:axId val="12010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Power [W]</a:t>
                </a:r>
              </a:p>
            </c:rich>
          </c:tx>
          <c:layout>
            <c:manualLayout>
              <c:xMode val="edge"/>
              <c:yMode val="edge"/>
              <c:x val="1.7130620985010708E-2"/>
              <c:y val="0.32895145881698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7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</a:t>
            </a:r>
            <a:r>
              <a:rPr lang="pt-BR" baseline="0"/>
              <a:t>2 - Prop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065957404179439"/>
          <c:y val="0.17746411483253588"/>
          <c:w val="0.79001262246799298"/>
          <c:h val="0.6100798703989752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Prop_B2!$B$10:$B$22</c:f>
              <c:numCache>
                <c:formatCode>0.0000</c:formatCode>
                <c:ptCount val="13"/>
                <c:pt idx="0">
                  <c:v>0</c:v>
                </c:pt>
                <c:pt idx="1">
                  <c:v>3.7010000000000001E-2</c:v>
                </c:pt>
                <c:pt idx="2">
                  <c:v>7.4029999999999999E-2</c:v>
                </c:pt>
                <c:pt idx="3">
                  <c:v>0.11104</c:v>
                </c:pt>
                <c:pt idx="4">
                  <c:v>0.14804999999999999</c:v>
                </c:pt>
                <c:pt idx="5">
                  <c:v>0.18506</c:v>
                </c:pt>
                <c:pt idx="6">
                  <c:v>0.22208</c:v>
                </c:pt>
                <c:pt idx="7">
                  <c:v>0.25908999999999999</c:v>
                </c:pt>
                <c:pt idx="8">
                  <c:v>0.29609999999999997</c:v>
                </c:pt>
                <c:pt idx="9">
                  <c:v>0.33311000000000002</c:v>
                </c:pt>
                <c:pt idx="10">
                  <c:v>0.37013000000000001</c:v>
                </c:pt>
                <c:pt idx="11">
                  <c:v>0.40714</c:v>
                </c:pt>
                <c:pt idx="12">
                  <c:v>0.44414999999999999</c:v>
                </c:pt>
              </c:numCache>
            </c:numRef>
          </c:xVal>
          <c:yVal>
            <c:numRef>
              <c:f>Prop_B2!$C$10:$C$22</c:f>
              <c:numCache>
                <c:formatCode>0.0000</c:formatCode>
                <c:ptCount val="13"/>
                <c:pt idx="0">
                  <c:v>0</c:v>
                </c:pt>
                <c:pt idx="1">
                  <c:v>9.4899999999999998E-2</c:v>
                </c:pt>
                <c:pt idx="2">
                  <c:v>0.19739999999999999</c:v>
                </c:pt>
                <c:pt idx="3">
                  <c:v>0.30690000000000001</c:v>
                </c:pt>
                <c:pt idx="4">
                  <c:v>0.41949999999999998</c:v>
                </c:pt>
                <c:pt idx="5">
                  <c:v>0.52890000000000004</c:v>
                </c:pt>
                <c:pt idx="6">
                  <c:v>0.62849999999999995</c:v>
                </c:pt>
                <c:pt idx="7">
                  <c:v>0.71340000000000003</c:v>
                </c:pt>
                <c:pt idx="8">
                  <c:v>0.79330000000000001</c:v>
                </c:pt>
                <c:pt idx="9">
                  <c:v>0.88090000000000002</c:v>
                </c:pt>
                <c:pt idx="10">
                  <c:v>0.90300000000000002</c:v>
                </c:pt>
                <c:pt idx="11">
                  <c:v>0.90980000000000005</c:v>
                </c:pt>
                <c:pt idx="12">
                  <c:v>0.87770000000000004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Eff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80736"/>
        <c:axId val="1201085088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Prop_B2!$B$10:$B$22</c:f>
              <c:numCache>
                <c:formatCode>0.0000</c:formatCode>
                <c:ptCount val="13"/>
                <c:pt idx="0">
                  <c:v>0</c:v>
                </c:pt>
                <c:pt idx="1">
                  <c:v>3.7010000000000001E-2</c:v>
                </c:pt>
                <c:pt idx="2">
                  <c:v>7.4029999999999999E-2</c:v>
                </c:pt>
                <c:pt idx="3">
                  <c:v>0.11104</c:v>
                </c:pt>
                <c:pt idx="4">
                  <c:v>0.14804999999999999</c:v>
                </c:pt>
                <c:pt idx="5">
                  <c:v>0.18506</c:v>
                </c:pt>
                <c:pt idx="6">
                  <c:v>0.22208</c:v>
                </c:pt>
                <c:pt idx="7">
                  <c:v>0.25908999999999999</c:v>
                </c:pt>
                <c:pt idx="8">
                  <c:v>0.29609999999999997</c:v>
                </c:pt>
                <c:pt idx="9">
                  <c:v>0.33311000000000002</c:v>
                </c:pt>
                <c:pt idx="10">
                  <c:v>0.37013000000000001</c:v>
                </c:pt>
                <c:pt idx="11">
                  <c:v>0.40714</c:v>
                </c:pt>
                <c:pt idx="12">
                  <c:v>0.44414999999999999</c:v>
                </c:pt>
              </c:numCache>
            </c:numRef>
          </c:xVal>
          <c:yVal>
            <c:numRef>
              <c:f>Prop_B2!$D$10:$D$22</c:f>
              <c:numCache>
                <c:formatCode>0.0000</c:formatCode>
                <c:ptCount val="13"/>
                <c:pt idx="0">
                  <c:v>8.1569999999999993E-3</c:v>
                </c:pt>
                <c:pt idx="1">
                  <c:v>8.2109999999999995E-3</c:v>
                </c:pt>
                <c:pt idx="2">
                  <c:v>8.3379999999999999E-3</c:v>
                </c:pt>
                <c:pt idx="3">
                  <c:v>8.5459999999999998E-3</c:v>
                </c:pt>
                <c:pt idx="4">
                  <c:v>8.8260000000000005E-3</c:v>
                </c:pt>
                <c:pt idx="5">
                  <c:v>9.1610000000000007E-3</c:v>
                </c:pt>
                <c:pt idx="6">
                  <c:v>9.5320000000000005E-3</c:v>
                </c:pt>
                <c:pt idx="7">
                  <c:v>9.9220000000000003E-3</c:v>
                </c:pt>
                <c:pt idx="8">
                  <c:v>1.03E-2</c:v>
                </c:pt>
                <c:pt idx="9">
                  <c:v>9.3710000000000009E-3</c:v>
                </c:pt>
                <c:pt idx="10">
                  <c:v>7.1970000000000003E-3</c:v>
                </c:pt>
                <c:pt idx="11">
                  <c:v>4.973E-3</c:v>
                </c:pt>
                <c:pt idx="12">
                  <c:v>2.6949999999999999E-3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CT</c:v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Prop_B2!$B$10:$B$22</c:f>
              <c:numCache>
                <c:formatCode>0.0000</c:formatCode>
                <c:ptCount val="13"/>
                <c:pt idx="0">
                  <c:v>0</c:v>
                </c:pt>
                <c:pt idx="1">
                  <c:v>3.7010000000000001E-2</c:v>
                </c:pt>
                <c:pt idx="2">
                  <c:v>7.4029999999999999E-2</c:v>
                </c:pt>
                <c:pt idx="3">
                  <c:v>0.11104</c:v>
                </c:pt>
                <c:pt idx="4">
                  <c:v>0.14804999999999999</c:v>
                </c:pt>
                <c:pt idx="5">
                  <c:v>0.18506</c:v>
                </c:pt>
                <c:pt idx="6">
                  <c:v>0.22208</c:v>
                </c:pt>
                <c:pt idx="7">
                  <c:v>0.25908999999999999</c:v>
                </c:pt>
                <c:pt idx="8">
                  <c:v>0.29609999999999997</c:v>
                </c:pt>
                <c:pt idx="9">
                  <c:v>0.33311000000000002</c:v>
                </c:pt>
                <c:pt idx="10">
                  <c:v>0.37013000000000001</c:v>
                </c:pt>
                <c:pt idx="11">
                  <c:v>0.40714</c:v>
                </c:pt>
                <c:pt idx="12">
                  <c:v>0.44414999999999999</c:v>
                </c:pt>
              </c:numCache>
            </c:numRef>
          </c:xVal>
          <c:yVal>
            <c:numRef>
              <c:f>Prop_B2!$E$10:$E$22</c:f>
              <c:numCache>
                <c:formatCode>0.0000</c:formatCode>
                <c:ptCount val="13"/>
                <c:pt idx="0">
                  <c:v>3.2950000000000002E-3</c:v>
                </c:pt>
                <c:pt idx="1">
                  <c:v>3.2039999999999998E-3</c:v>
                </c:pt>
                <c:pt idx="2">
                  <c:v>3.127E-3</c:v>
                </c:pt>
                <c:pt idx="3">
                  <c:v>3.0920000000000001E-3</c:v>
                </c:pt>
                <c:pt idx="4">
                  <c:v>3.1150000000000001E-3</c:v>
                </c:pt>
                <c:pt idx="5">
                  <c:v>3.2049999999999999E-3</c:v>
                </c:pt>
                <c:pt idx="6">
                  <c:v>3.3679999999999999E-3</c:v>
                </c:pt>
                <c:pt idx="7">
                  <c:v>3.604E-3</c:v>
                </c:pt>
                <c:pt idx="8">
                  <c:v>3.846E-3</c:v>
                </c:pt>
                <c:pt idx="9">
                  <c:v>3.5439999999999998E-3</c:v>
                </c:pt>
                <c:pt idx="10">
                  <c:v>2.9499999999999999E-3</c:v>
                </c:pt>
                <c:pt idx="11">
                  <c:v>2.225E-3</c:v>
                </c:pt>
                <c:pt idx="12">
                  <c:v>1.364E-3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CP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80192"/>
        <c:axId val="1201085632"/>
      </c:scatterChart>
      <c:valAx>
        <c:axId val="120108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Advance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5088"/>
        <c:crosses val="autoZero"/>
        <c:crossBetween val="midCat"/>
      </c:valAx>
      <c:valAx>
        <c:axId val="12010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0736"/>
        <c:crosses val="autoZero"/>
        <c:crossBetween val="midCat"/>
      </c:valAx>
      <c:valAx>
        <c:axId val="1201085632"/>
        <c:scaling>
          <c:orientation val="minMax"/>
        </c:scaling>
        <c:delete val="0"/>
        <c:axPos val="r"/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0192"/>
        <c:crosses val="max"/>
        <c:crossBetween val="midCat"/>
      </c:valAx>
      <c:valAx>
        <c:axId val="120108019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12010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Nemo  - CR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94017826979548"/>
          <c:y val="0.18672353455818019"/>
          <c:w val="0.70913019144665745"/>
          <c:h val="0.61007987039897527"/>
        </c:manualLayout>
      </c:layout>
      <c:scatterChart>
        <c:scatterStyle val="lineMarker"/>
        <c:varyColors val="0"/>
        <c:ser>
          <c:idx val="0"/>
          <c:order val="0"/>
          <c:tx>
            <c:v>Eff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Nemo_CR!$B$10:$B$42</c:f>
              <c:numCache>
                <c:formatCode>0.0000</c:formatCode>
                <c:ptCount val="33"/>
                <c:pt idx="0">
                  <c:v>0</c:v>
                </c:pt>
                <c:pt idx="1">
                  <c:v>3.347E-2</c:v>
                </c:pt>
                <c:pt idx="2">
                  <c:v>6.694E-2</c:v>
                </c:pt>
                <c:pt idx="3">
                  <c:v>0.10041</c:v>
                </c:pt>
                <c:pt idx="4">
                  <c:v>0.13388</c:v>
                </c:pt>
                <c:pt idx="5">
                  <c:v>0.16735</c:v>
                </c:pt>
                <c:pt idx="6">
                  <c:v>0.20082</c:v>
                </c:pt>
                <c:pt idx="7">
                  <c:v>0.23429</c:v>
                </c:pt>
                <c:pt idx="8">
                  <c:v>0.26776</c:v>
                </c:pt>
                <c:pt idx="9">
                  <c:v>0.30124000000000001</c:v>
                </c:pt>
                <c:pt idx="10">
                  <c:v>0.33471000000000001</c:v>
                </c:pt>
                <c:pt idx="11">
                  <c:v>0.36818000000000001</c:v>
                </c:pt>
                <c:pt idx="12">
                  <c:v>0.40165000000000001</c:v>
                </c:pt>
                <c:pt idx="13">
                  <c:v>0.43512000000000001</c:v>
                </c:pt>
                <c:pt idx="14">
                  <c:v>0.46859000000000001</c:v>
                </c:pt>
                <c:pt idx="15">
                  <c:v>0.50205999999999995</c:v>
                </c:pt>
                <c:pt idx="16">
                  <c:v>0.53552999999999995</c:v>
                </c:pt>
                <c:pt idx="17">
                  <c:v>0.56899999999999995</c:v>
                </c:pt>
              </c:numCache>
            </c:numRef>
          </c:xVal>
          <c:yVal>
            <c:numRef>
              <c:f>Nemo_CR!$C$10:$C$42</c:f>
              <c:numCache>
                <c:formatCode>0.0000</c:formatCode>
                <c:ptCount val="33"/>
                <c:pt idx="0">
                  <c:v>0</c:v>
                </c:pt>
                <c:pt idx="1">
                  <c:v>8.4500000000000006E-2</c:v>
                </c:pt>
                <c:pt idx="2">
                  <c:v>0.17530000000000001</c:v>
                </c:pt>
                <c:pt idx="3">
                  <c:v>0.27229999999999999</c:v>
                </c:pt>
                <c:pt idx="4">
                  <c:v>0.37309999999999999</c:v>
                </c:pt>
                <c:pt idx="5">
                  <c:v>0.47389999999999999</c:v>
                </c:pt>
                <c:pt idx="6">
                  <c:v>0.56999999999999995</c:v>
                </c:pt>
                <c:pt idx="7">
                  <c:v>0.65710000000000002</c:v>
                </c:pt>
                <c:pt idx="8">
                  <c:v>0.73180000000000001</c:v>
                </c:pt>
                <c:pt idx="9">
                  <c:v>0.79269999999999996</c:v>
                </c:pt>
                <c:pt idx="10">
                  <c:v>0.84419999999999995</c:v>
                </c:pt>
                <c:pt idx="11">
                  <c:v>0.90080000000000005</c:v>
                </c:pt>
                <c:pt idx="12">
                  <c:v>0.92269999999999996</c:v>
                </c:pt>
                <c:pt idx="13">
                  <c:v>0.94020000000000004</c:v>
                </c:pt>
                <c:pt idx="14">
                  <c:v>0.95499999999999996</c:v>
                </c:pt>
                <c:pt idx="15">
                  <c:v>0.96640000000000004</c:v>
                </c:pt>
                <c:pt idx="16">
                  <c:v>0.97009999999999996</c:v>
                </c:pt>
                <c:pt idx="17">
                  <c:v>0.90610000000000002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81280"/>
        <c:axId val="1201087264"/>
      </c:scatterChart>
      <c:scatterChart>
        <c:scatterStyle val="lineMarker"/>
        <c:varyColors val="0"/>
        <c:ser>
          <c:idx val="1"/>
          <c:order val="1"/>
          <c:tx>
            <c:v>CP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Nemo_CR!$B$10:$B$37</c:f>
              <c:numCache>
                <c:formatCode>0.0000</c:formatCode>
                <c:ptCount val="28"/>
                <c:pt idx="0">
                  <c:v>0</c:v>
                </c:pt>
                <c:pt idx="1">
                  <c:v>3.347E-2</c:v>
                </c:pt>
                <c:pt idx="2">
                  <c:v>6.694E-2</c:v>
                </c:pt>
                <c:pt idx="3">
                  <c:v>0.10041</c:v>
                </c:pt>
                <c:pt idx="4">
                  <c:v>0.13388</c:v>
                </c:pt>
                <c:pt idx="5">
                  <c:v>0.16735</c:v>
                </c:pt>
                <c:pt idx="6">
                  <c:v>0.20082</c:v>
                </c:pt>
                <c:pt idx="7">
                  <c:v>0.23429</c:v>
                </c:pt>
                <c:pt idx="8">
                  <c:v>0.26776</c:v>
                </c:pt>
                <c:pt idx="9">
                  <c:v>0.30124000000000001</c:v>
                </c:pt>
                <c:pt idx="10">
                  <c:v>0.33471000000000001</c:v>
                </c:pt>
                <c:pt idx="11">
                  <c:v>0.36818000000000001</c:v>
                </c:pt>
                <c:pt idx="12">
                  <c:v>0.40165000000000001</c:v>
                </c:pt>
                <c:pt idx="13">
                  <c:v>0.43512000000000001</c:v>
                </c:pt>
                <c:pt idx="14">
                  <c:v>0.46859000000000001</c:v>
                </c:pt>
                <c:pt idx="15">
                  <c:v>0.50205999999999995</c:v>
                </c:pt>
                <c:pt idx="16">
                  <c:v>0.53552999999999995</c:v>
                </c:pt>
                <c:pt idx="17">
                  <c:v>0.56899999999999995</c:v>
                </c:pt>
              </c:numCache>
            </c:numRef>
          </c:xVal>
          <c:yVal>
            <c:numRef>
              <c:f>Nemo_CR!$E$10:$E$37</c:f>
              <c:numCache>
                <c:formatCode>0.0000</c:formatCode>
                <c:ptCount val="28"/>
                <c:pt idx="0">
                  <c:v>7.3680000000000004E-3</c:v>
                </c:pt>
                <c:pt idx="1">
                  <c:v>7.2030000000000002E-3</c:v>
                </c:pt>
                <c:pt idx="2">
                  <c:v>7.071E-3</c:v>
                </c:pt>
                <c:pt idx="3">
                  <c:v>7.0049999999999999E-3</c:v>
                </c:pt>
                <c:pt idx="4">
                  <c:v>7.0330000000000002E-3</c:v>
                </c:pt>
                <c:pt idx="5">
                  <c:v>7.1729999999999997E-3</c:v>
                </c:pt>
                <c:pt idx="6">
                  <c:v>7.437E-3</c:v>
                </c:pt>
                <c:pt idx="7">
                  <c:v>7.8309999999999994E-3</c:v>
                </c:pt>
                <c:pt idx="8">
                  <c:v>8.3569999999999998E-3</c:v>
                </c:pt>
                <c:pt idx="9">
                  <c:v>9.0150000000000004E-3</c:v>
                </c:pt>
                <c:pt idx="10">
                  <c:v>9.7509999999999993E-3</c:v>
                </c:pt>
                <c:pt idx="11">
                  <c:v>9.6340000000000002E-3</c:v>
                </c:pt>
                <c:pt idx="12">
                  <c:v>8.7150000000000005E-3</c:v>
                </c:pt>
                <c:pt idx="13">
                  <c:v>7.5779999999999997E-3</c:v>
                </c:pt>
                <c:pt idx="14">
                  <c:v>6.2129999999999998E-3</c:v>
                </c:pt>
                <c:pt idx="15">
                  <c:v>4.6119999999999998E-3</c:v>
                </c:pt>
                <c:pt idx="16">
                  <c:v>2.7720000000000002E-3</c:v>
                </c:pt>
                <c:pt idx="17">
                  <c:v>6.8590000000000003E-4</c:v>
                </c:pt>
              </c:numCache>
            </c:numRef>
          </c:yVal>
          <c:smooth val="0"/>
        </c:ser>
        <c:ser>
          <c:idx val="2"/>
          <c:order val="2"/>
          <c:tx>
            <c:v>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Nemo_CR!$B$10:$B$37</c:f>
              <c:numCache>
                <c:formatCode>0.0000</c:formatCode>
                <c:ptCount val="28"/>
                <c:pt idx="0">
                  <c:v>0</c:v>
                </c:pt>
                <c:pt idx="1">
                  <c:v>3.347E-2</c:v>
                </c:pt>
                <c:pt idx="2">
                  <c:v>6.694E-2</c:v>
                </c:pt>
                <c:pt idx="3">
                  <c:v>0.10041</c:v>
                </c:pt>
                <c:pt idx="4">
                  <c:v>0.13388</c:v>
                </c:pt>
                <c:pt idx="5">
                  <c:v>0.16735</c:v>
                </c:pt>
                <c:pt idx="6">
                  <c:v>0.20082</c:v>
                </c:pt>
                <c:pt idx="7">
                  <c:v>0.23429</c:v>
                </c:pt>
                <c:pt idx="8">
                  <c:v>0.26776</c:v>
                </c:pt>
                <c:pt idx="9">
                  <c:v>0.30124000000000001</c:v>
                </c:pt>
                <c:pt idx="10">
                  <c:v>0.33471000000000001</c:v>
                </c:pt>
                <c:pt idx="11">
                  <c:v>0.36818000000000001</c:v>
                </c:pt>
                <c:pt idx="12">
                  <c:v>0.40165000000000001</c:v>
                </c:pt>
                <c:pt idx="13">
                  <c:v>0.43512000000000001</c:v>
                </c:pt>
                <c:pt idx="14">
                  <c:v>0.46859000000000001</c:v>
                </c:pt>
                <c:pt idx="15">
                  <c:v>0.50205999999999995</c:v>
                </c:pt>
                <c:pt idx="16">
                  <c:v>0.53552999999999995</c:v>
                </c:pt>
                <c:pt idx="17">
                  <c:v>0.56899999999999995</c:v>
                </c:pt>
              </c:numCache>
            </c:numRef>
          </c:xVal>
          <c:yVal>
            <c:numRef>
              <c:f>Nemo_CR!$D$10:$D$37</c:f>
              <c:numCache>
                <c:formatCode>0.0000</c:formatCode>
                <c:ptCount val="28"/>
                <c:pt idx="0">
                  <c:v>1.796E-2</c:v>
                </c:pt>
                <c:pt idx="1">
                  <c:v>1.8180000000000002E-2</c:v>
                </c:pt>
                <c:pt idx="2">
                  <c:v>1.8519999999999998E-2</c:v>
                </c:pt>
                <c:pt idx="3">
                  <c:v>1.899E-2</c:v>
                </c:pt>
                <c:pt idx="4">
                  <c:v>1.9599999999999999E-2</c:v>
                </c:pt>
                <c:pt idx="5">
                  <c:v>2.0310000000000002E-2</c:v>
                </c:pt>
                <c:pt idx="6">
                  <c:v>2.111E-2</c:v>
                </c:pt>
                <c:pt idx="7">
                  <c:v>2.196E-2</c:v>
                </c:pt>
                <c:pt idx="8">
                  <c:v>2.2839999999999999E-2</c:v>
                </c:pt>
                <c:pt idx="9">
                  <c:v>2.3720000000000001E-2</c:v>
                </c:pt>
                <c:pt idx="10">
                  <c:v>2.4590000000000001E-2</c:v>
                </c:pt>
                <c:pt idx="11">
                  <c:v>2.3570000000000001E-2</c:v>
                </c:pt>
                <c:pt idx="12">
                  <c:v>2.002E-2</c:v>
                </c:pt>
                <c:pt idx="13">
                  <c:v>1.6379999999999999E-2</c:v>
                </c:pt>
                <c:pt idx="14">
                  <c:v>1.2659999999999999E-2</c:v>
                </c:pt>
                <c:pt idx="15">
                  <c:v>8.8780000000000005E-3</c:v>
                </c:pt>
                <c:pt idx="16">
                  <c:v>5.0220000000000004E-3</c:v>
                </c:pt>
                <c:pt idx="17">
                  <c:v>1.0920000000000001E-3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56896"/>
        <c:axId val="1017561408"/>
      </c:scatterChart>
      <c:valAx>
        <c:axId val="120108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Advance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7264"/>
        <c:crosses val="autoZero"/>
        <c:crossBetween val="midCat"/>
      </c:valAx>
      <c:valAx>
        <c:axId val="12010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081280"/>
        <c:crosses val="autoZero"/>
        <c:crossBetween val="midCat"/>
      </c:valAx>
      <c:valAx>
        <c:axId val="1017561408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2856896"/>
        <c:crosses val="max"/>
        <c:crossBetween val="midCat"/>
      </c:valAx>
      <c:valAx>
        <c:axId val="124285689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1017561408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122583</xdr:rowOff>
    </xdr:from>
    <xdr:to>
      <xdr:col>21</xdr:col>
      <xdr:colOff>34479</xdr:colOff>
      <xdr:row>22</xdr:row>
      <xdr:rowOff>27333</xdr:rowOff>
    </xdr:to>
    <xdr:pic>
      <xdr:nvPicPr>
        <xdr:cNvPr id="2" name="Imagem 1" descr="http://users.frii.com/katana/biketw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18083"/>
          <a:ext cx="4301679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20</xdr:col>
      <xdr:colOff>600075</xdr:colOff>
      <xdr:row>12</xdr:row>
      <xdr:rowOff>74958</xdr:rowOff>
    </xdr:to>
    <xdr:pic>
      <xdr:nvPicPr>
        <xdr:cNvPr id="3" name="Imagem 2" descr="http://users.frii.com/katana/bikeone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4257675" cy="1789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57149</xdr:colOff>
      <xdr:row>2</xdr:row>
      <xdr:rowOff>28575</xdr:rowOff>
    </xdr:from>
    <xdr:to>
      <xdr:col>11</xdr:col>
      <xdr:colOff>238124</xdr:colOff>
      <xdr:row>13</xdr:row>
      <xdr:rowOff>133351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590550</xdr:colOff>
      <xdr:row>16</xdr:row>
      <xdr:rowOff>38100</xdr:rowOff>
    </xdr:from>
    <xdr:to>
      <xdr:col>11</xdr:col>
      <xdr:colOff>161925</xdr:colOff>
      <xdr:row>27</xdr:row>
      <xdr:rowOff>142876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73025</xdr:colOff>
      <xdr:row>4</xdr:row>
      <xdr:rowOff>22225</xdr:rowOff>
    </xdr:from>
    <xdr:to>
      <xdr:col>5</xdr:col>
      <xdr:colOff>453825</xdr:colOff>
      <xdr:row>6</xdr:row>
      <xdr:rowOff>126939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84225"/>
          <a:ext cx="1600000" cy="485714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7</xdr:row>
      <xdr:rowOff>180975</xdr:rowOff>
    </xdr:from>
    <xdr:to>
      <xdr:col>15</xdr:col>
      <xdr:colOff>523875</xdr:colOff>
      <xdr:row>22</xdr:row>
      <xdr:rowOff>66675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</xdr:row>
      <xdr:rowOff>38099</xdr:rowOff>
    </xdr:from>
    <xdr:to>
      <xdr:col>17</xdr:col>
      <xdr:colOff>314325</xdr:colOff>
      <xdr:row>23</xdr:row>
      <xdr:rowOff>95250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sers.frii.com/katana/biketex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8"/>
  <sheetViews>
    <sheetView tabSelected="1" workbookViewId="0">
      <selection activeCell="K4" sqref="K4"/>
    </sheetView>
  </sheetViews>
  <sheetFormatPr defaultColWidth="8.7109375" defaultRowHeight="15" x14ac:dyDescent="0.25"/>
  <cols>
    <col min="1" max="1" width="4.140625" style="2" customWidth="1"/>
    <col min="2" max="2" width="9.85546875" style="2" customWidth="1"/>
    <col min="3" max="3" width="12.85546875" style="6" customWidth="1"/>
    <col min="4" max="4" width="5.5703125" style="2" customWidth="1"/>
    <col min="5" max="5" width="9.7109375" style="2" customWidth="1"/>
    <col min="6" max="6" width="9.28515625" style="3" customWidth="1"/>
    <col min="7" max="7" width="5.5703125" style="3" customWidth="1"/>
    <col min="8" max="8" width="11.42578125" style="3" customWidth="1"/>
    <col min="9" max="9" width="12.42578125" style="3" customWidth="1"/>
    <col min="10" max="10" width="11.42578125" style="3" customWidth="1"/>
    <col min="11" max="11" width="12.5703125" style="3" customWidth="1"/>
    <col min="12" max="12" width="11.42578125" style="4" customWidth="1"/>
    <col min="13" max="13" width="11.42578125" style="3" customWidth="1"/>
    <col min="14" max="18" width="11.42578125" style="4" customWidth="1"/>
    <col min="19" max="21" width="11.28515625" style="2" customWidth="1"/>
    <col min="22" max="16384" width="8.7109375" style="2"/>
  </cols>
  <sheetData>
    <row r="1" spans="2:21" ht="15.75" thickBot="1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21" ht="15.75" thickBot="1" x14ac:dyDescent="0.3">
      <c r="B2" s="30" t="s">
        <v>39</v>
      </c>
      <c r="C2" s="31"/>
      <c r="E2" s="32" t="s">
        <v>41</v>
      </c>
      <c r="F2" s="32"/>
      <c r="H2" s="30" t="s">
        <v>81</v>
      </c>
      <c r="I2" s="31"/>
      <c r="J2" s="30" t="s">
        <v>82</v>
      </c>
      <c r="K2" s="33"/>
      <c r="L2" s="31"/>
      <c r="M2" s="30" t="s">
        <v>83</v>
      </c>
      <c r="N2" s="33"/>
      <c r="O2" s="31"/>
      <c r="P2" s="30" t="s">
        <v>84</v>
      </c>
      <c r="Q2" s="33"/>
      <c r="R2" s="31"/>
      <c r="S2" s="30" t="s">
        <v>85</v>
      </c>
      <c r="T2" s="33"/>
      <c r="U2" s="31"/>
    </row>
    <row r="3" spans="2:21" x14ac:dyDescent="0.25">
      <c r="B3" s="7" t="s">
        <v>33</v>
      </c>
      <c r="C3" s="11" t="s">
        <v>54</v>
      </c>
      <c r="E3" s="13" t="s">
        <v>22</v>
      </c>
      <c r="F3" s="14" t="s">
        <v>31</v>
      </c>
      <c r="H3" s="13" t="s">
        <v>56</v>
      </c>
      <c r="I3" s="47" t="s">
        <v>73</v>
      </c>
      <c r="J3" s="13" t="s">
        <v>48</v>
      </c>
      <c r="K3" s="45" t="s">
        <v>92</v>
      </c>
      <c r="L3" s="37" t="s">
        <v>23</v>
      </c>
      <c r="M3" s="13" t="s">
        <v>24</v>
      </c>
      <c r="N3" s="17" t="s">
        <v>57</v>
      </c>
      <c r="O3" s="37" t="s">
        <v>59</v>
      </c>
      <c r="P3" s="40" t="s">
        <v>58</v>
      </c>
      <c r="Q3" s="17" t="s">
        <v>70</v>
      </c>
      <c r="R3" s="37" t="s">
        <v>72</v>
      </c>
      <c r="S3" s="40" t="s">
        <v>58</v>
      </c>
      <c r="T3" s="17" t="s">
        <v>70</v>
      </c>
      <c r="U3" s="37" t="s">
        <v>72</v>
      </c>
    </row>
    <row r="4" spans="2:21" x14ac:dyDescent="0.25">
      <c r="B4" s="7" t="s">
        <v>38</v>
      </c>
      <c r="C4" s="11" t="s">
        <v>42</v>
      </c>
      <c r="E4" s="22">
        <v>85</v>
      </c>
      <c r="F4" s="15">
        <v>0.5</v>
      </c>
      <c r="H4" s="18">
        <f ca="1">INDIRECT($C$4&amp;"!$F$16")*E4^4+INDIRECT($C$4&amp;"!$G$16")*E4^3+INDIRECT($C$4&amp;"!$H$16")*E4^2+INDIRECT($C$4&amp;"!$I$16")*E4+INDIRECT($C$4&amp;"!$J$16")</f>
        <v>301.27197718909065</v>
      </c>
      <c r="I4" s="48">
        <f ca="1">INDIRECT($C$4&amp;"!$F$2")*E4^4+INDIRECT($C$4&amp;"!$G$2")*E4^3+INDIRECT($C$4&amp;"!$H$2")*E4^2+INDIRECT($C$4&amp;"!$I$2")*E4+INDIRECT($C$4&amp;"!$J$2")</f>
        <v>33.861468399285954</v>
      </c>
      <c r="J4" s="18">
        <f>E4*$C$18</f>
        <v>375.41666666666669</v>
      </c>
      <c r="K4" s="46">
        <f>J4*PI()/30</f>
        <v>39.313541401172273</v>
      </c>
      <c r="L4" s="42">
        <f ca="1">F4/(K4*($C$11/2))</f>
        <v>6.6938231804524004E-2</v>
      </c>
      <c r="M4" s="41">
        <f ca="1">IF(L4&gt;$C$13,0,INDIRECT($C$3&amp;"!$I$2")*L4^5+INDIRECT($C$3&amp;"!$J$2")*L4^4+INDIRECT($C$3&amp;"!$K$2")*L4^3+INDIRECT($C$3&amp;"!$L$2")*L4^2+INDIRECT($C$3&amp;"!$M$2")*L4+INDIRECT($C$3&amp;"!$N$2"))</f>
        <v>0.17157688849420619</v>
      </c>
      <c r="N4" s="19">
        <f ca="1">((2*PI()^4/8))*IF(L4&gt;$C$13,0,INDIRECT($C$3&amp;"!$I$4")*L4^5+INDIRECT($C$3&amp;"!$J$4")*L4^4+INDIRECT($C$3&amp;"!$K$4")*L4^3+INDIRECT($C$3&amp;"!$L$4")*L4^2+INDIRECT($C$3&amp;"!$M$4")*L4+INDIRECT($C$3&amp;"!$N$4"))</f>
        <v>0.17388667728998283</v>
      </c>
      <c r="O4" s="42">
        <f ca="1">(PI()^3/4)*IF(L4&gt;$C$13,0,INDIRECT($C$3&amp;"!$I$6")*L4^5+INDIRECT($C$3&amp;"!$J$6")*L4^4+INDIRECT($C$3&amp;"!$K$6")*L4^3+INDIRECT($C$3&amp;"!$L$6")*L4^2+INDIRECT($C$3&amp;"!$M$6")*L4+INDIRECT($C$3&amp;"!$N$6"))</f>
        <v>0.14440069843072362</v>
      </c>
      <c r="P4" s="18">
        <f ca="1">N4*$C$8*(J4/60)^3*$C$11^5</f>
        <v>345.93543807089191</v>
      </c>
      <c r="Q4" s="36">
        <f ca="1">O4*$C$8*(J4/60)^2*$C$11^4</f>
        <v>120.82370344620203</v>
      </c>
      <c r="R4" s="38">
        <f ca="1">P4/(J4*PI()/30)</f>
        <v>8.7993964863357892</v>
      </c>
      <c r="S4" s="18">
        <f ca="1">H4*$C$7*M4</f>
        <v>49.644332622512209</v>
      </c>
      <c r="T4" s="36">
        <f ca="1">M4*S4/F4</f>
        <v>17.035640245484121</v>
      </c>
      <c r="U4" s="38">
        <f ca="1">S4/(J4*PI()/30)</f>
        <v>1.2627794610493139</v>
      </c>
    </row>
    <row r="5" spans="2:21" x14ac:dyDescent="0.25">
      <c r="B5" s="7" t="s">
        <v>43</v>
      </c>
      <c r="C5" s="12">
        <v>53</v>
      </c>
      <c r="E5" s="22">
        <v>85</v>
      </c>
      <c r="F5" s="15">
        <v>1</v>
      </c>
      <c r="H5" s="18">
        <f t="shared" ref="H5:H15" ca="1" si="0">INDIRECT($C$4&amp;"!$F$16")*E5^4+INDIRECT($C$4&amp;"!$G$16")*E5^3+INDIRECT($C$4&amp;"!$H$16")*E5^2+INDIRECT($C$4&amp;"!$I$16")*E5+INDIRECT($C$4&amp;"!$J$16")</f>
        <v>301.27197718909065</v>
      </c>
      <c r="I5" s="48">
        <f t="shared" ref="I5:I15" ca="1" si="1">INDIRECT($C$4&amp;"!$F$2")*E5^4+INDIRECT($C$4&amp;"!$G$2")*E5^3+INDIRECT($C$4&amp;"!$H$2")*E5^2+INDIRECT($C$4&amp;"!$I$2")*E5+INDIRECT($C$4&amp;"!$J$2")</f>
        <v>33.861468399285954</v>
      </c>
      <c r="J5" s="18">
        <f>E5*$C$18</f>
        <v>375.41666666666669</v>
      </c>
      <c r="K5" s="46">
        <f t="shared" ref="K5:K15" si="2">J5*PI()/30</f>
        <v>39.313541401172273</v>
      </c>
      <c r="L5" s="42">
        <f t="shared" ref="L5:L15" ca="1" si="3">F5/(K5*($C$11/2))</f>
        <v>0.13387646360904801</v>
      </c>
      <c r="M5" s="41">
        <f ca="1">IF(L5&gt;$C$13,0,INDIRECT($C$3&amp;"!$I$2")*L5^5+INDIRECT($C$3&amp;"!$J$2")*L5^4+INDIRECT($C$3&amp;"!$K$2")*L5^3+INDIRECT($C$3&amp;"!$L$2")*L5^2+INDIRECT($C$3&amp;"!$M$2")*L5+INDIRECT($C$3&amp;"!$N$2"))</f>
        <v>0.37755787377306083</v>
      </c>
      <c r="N5" s="19">
        <f t="shared" ref="N5:N15" ca="1" si="4">((2*PI()^4/8))*IF(L5&gt;$C$13,0,INDIRECT($C$3&amp;"!$I$4")*L5^5+INDIRECT($C$3&amp;"!$J$4")*L5^4+INDIRECT($C$3&amp;"!$K$4")*L5^3+INDIRECT($C$3&amp;"!$L$4")*L5^2+INDIRECT($C$3&amp;"!$M$4")*L5+INDIRECT($C$3&amp;"!$N$4"))</f>
        <v>0.16763344749502565</v>
      </c>
      <c r="O5" s="42">
        <f t="shared" ref="O5:O15" ca="1" si="5">(PI()^3/4)*IF(L5&gt;$C$13,0,INDIRECT($C$3&amp;"!$I$6")*L5^5+INDIRECT($C$3&amp;"!$J$6")*L5^4+INDIRECT($C$3&amp;"!$K$6")*L5^3+INDIRECT($C$3&amp;"!$L$6")*L5^2+INDIRECT($C$3&amp;"!$M$6")*L5+INDIRECT($C$3&amp;"!$N$6"))</f>
        <v>0.14954448693589217</v>
      </c>
      <c r="P5" s="18">
        <f t="shared" ref="P5:P15" ca="1" si="6">N5*$C$8*(J5/60)^3*$C$11^5</f>
        <v>333.49507275832133</v>
      </c>
      <c r="Q5" s="36">
        <f t="shared" ref="Q5:Q15" ca="1" si="7">O5*$C$8*(J5/60)^2*$C$11^4</f>
        <v>125.12764091806011</v>
      </c>
      <c r="R5" s="38">
        <f t="shared" ref="R5:R15" ca="1" si="8">P5/(J5*PI()/30)</f>
        <v>8.4829567846659817</v>
      </c>
      <c r="S5" s="18">
        <f t="shared" ref="S5:S15" ca="1" si="9">H5*$C$7*M5</f>
        <v>109.24320189237635</v>
      </c>
      <c r="T5" s="36">
        <f t="shared" ref="T5:T15" ca="1" si="10">M5*S5/F5</f>
        <v>41.245631030646827</v>
      </c>
      <c r="U5" s="38">
        <f t="shared" ref="U5:U15" ca="1" si="11">S5/(J5*PI()/30)</f>
        <v>2.7787677731093154</v>
      </c>
    </row>
    <row r="6" spans="2:21" x14ac:dyDescent="0.25">
      <c r="B6" s="7" t="s">
        <v>44</v>
      </c>
      <c r="C6" s="11">
        <v>12</v>
      </c>
      <c r="E6" s="22">
        <v>85</v>
      </c>
      <c r="F6" s="15">
        <v>1.5</v>
      </c>
      <c r="H6" s="18">
        <f t="shared" ca="1" si="0"/>
        <v>301.27197718909065</v>
      </c>
      <c r="I6" s="48">
        <f t="shared" ca="1" si="1"/>
        <v>33.861468399285954</v>
      </c>
      <c r="J6" s="18">
        <f>E6*$C$18</f>
        <v>375.41666666666669</v>
      </c>
      <c r="K6" s="46">
        <f t="shared" si="2"/>
        <v>39.313541401172273</v>
      </c>
      <c r="L6" s="42">
        <f t="shared" ca="1" si="3"/>
        <v>0.200814695413572</v>
      </c>
      <c r="M6" s="41">
        <f ca="1">IF(L6&gt;$C$13,0,INDIRECT($C$3&amp;"!$I$2")*L6^5+INDIRECT($C$3&amp;"!$J$2")*L6^4+INDIRECT($C$3&amp;"!$K$2")*L6^3+INDIRECT($C$3&amp;"!$L$2")*L6^2+INDIRECT($C$3&amp;"!$M$2")*L6+INDIRECT($C$3&amp;"!$N$2"))</f>
        <v>0.57095564524826314</v>
      </c>
      <c r="N6" s="19">
        <f t="shared" ca="1" si="4"/>
        <v>0.18173570903840908</v>
      </c>
      <c r="O6" s="42">
        <f t="shared" ca="1" si="5"/>
        <v>0.16441407854595025</v>
      </c>
      <c r="P6" s="18">
        <f t="shared" ca="1" si="6"/>
        <v>361.55054026642159</v>
      </c>
      <c r="Q6" s="36">
        <f t="shared" ca="1" si="7"/>
        <v>137.56940294957624</v>
      </c>
      <c r="R6" s="38">
        <f t="shared" ca="1" si="8"/>
        <v>9.1965904718937548</v>
      </c>
      <c r="S6" s="18">
        <f t="shared" ca="1" si="9"/>
        <v>165.20122386042104</v>
      </c>
      <c r="T6" s="36">
        <f t="shared" ca="1" si="10"/>
        <v>62.881714243352974</v>
      </c>
      <c r="U6" s="38">
        <f t="shared" ca="1" si="11"/>
        <v>4.2021455705207718</v>
      </c>
    </row>
    <row r="7" spans="2:21" x14ac:dyDescent="0.25">
      <c r="B7" s="7" t="s">
        <v>45</v>
      </c>
      <c r="C7" s="52">
        <f>0.98*0.98</f>
        <v>0.96039999999999992</v>
      </c>
      <c r="E7" s="22">
        <v>85</v>
      </c>
      <c r="F7" s="15">
        <v>2</v>
      </c>
      <c r="H7" s="18">
        <f t="shared" ca="1" si="0"/>
        <v>301.27197718909065</v>
      </c>
      <c r="I7" s="48">
        <f t="shared" ca="1" si="1"/>
        <v>33.861468399285954</v>
      </c>
      <c r="J7" s="18">
        <f>E7*$C$18</f>
        <v>375.41666666666669</v>
      </c>
      <c r="K7" s="46">
        <f t="shared" si="2"/>
        <v>39.313541401172273</v>
      </c>
      <c r="L7" s="42">
        <f t="shared" ca="1" si="3"/>
        <v>0.26775292721809602</v>
      </c>
      <c r="M7" s="41">
        <f ca="1">IF(L7&gt;$C$13,0,INDIRECT($C$3&amp;"!$I$2")*L7^5+INDIRECT($C$3&amp;"!$J$2")*L7^4+INDIRECT($C$3&amp;"!$K$2")*L7^3+INDIRECT($C$3&amp;"!$L$2")*L7^2+INDIRECT($C$3&amp;"!$M$2")*L7+INDIRECT($C$3&amp;"!$N$2"))</f>
        <v>0.72873276690593414</v>
      </c>
      <c r="N7" s="19">
        <f t="shared" ca="1" si="4"/>
        <v>0.20957015716585253</v>
      </c>
      <c r="O7" s="42">
        <f t="shared" ca="1" si="5"/>
        <v>0.18125490276840098</v>
      </c>
      <c r="P7" s="18">
        <f t="shared" ca="1" si="6"/>
        <v>416.92523691653332</v>
      </c>
      <c r="Q7" s="36">
        <f t="shared" ca="1" si="7"/>
        <v>151.66054498528587</v>
      </c>
      <c r="R7" s="38">
        <f t="shared" ca="1" si="8"/>
        <v>10.605130498472498</v>
      </c>
      <c r="S7" s="18">
        <f t="shared" ca="1" si="9"/>
        <v>210.85270977170967</v>
      </c>
      <c r="T7" s="36">
        <f t="shared" ca="1" si="10"/>
        <v>76.827639300775942</v>
      </c>
      <c r="U7" s="38">
        <f t="shared" ca="1" si="11"/>
        <v>5.3633608740580758</v>
      </c>
    </row>
    <row r="8" spans="2:21" ht="15.75" thickBot="1" x14ac:dyDescent="0.3">
      <c r="B8" s="9" t="s">
        <v>71</v>
      </c>
      <c r="C8" s="51">
        <v>1025</v>
      </c>
      <c r="E8" s="22">
        <v>85</v>
      </c>
      <c r="F8" s="15">
        <v>2.5</v>
      </c>
      <c r="H8" s="18">
        <f t="shared" ca="1" si="0"/>
        <v>301.27197718909065</v>
      </c>
      <c r="I8" s="48">
        <f t="shared" ca="1" si="1"/>
        <v>33.861468399285954</v>
      </c>
      <c r="J8" s="18">
        <f>E8*$C$18</f>
        <v>375.41666666666669</v>
      </c>
      <c r="K8" s="46">
        <f t="shared" si="2"/>
        <v>39.313541401172273</v>
      </c>
      <c r="L8" s="42">
        <f t="shared" ca="1" si="3"/>
        <v>0.33469115902262003</v>
      </c>
      <c r="M8" s="41">
        <f ca="1">IF(L8&gt;$C$13,0,INDIRECT($C$3&amp;"!$I$2")*L8^5+INDIRECT($C$3&amp;"!$J$2")*L8^4+INDIRECT($C$3&amp;"!$K$2")*L8^3+INDIRECT($C$3&amp;"!$L$2")*L8^2+INDIRECT($C$3&amp;"!$M$2")*L8+INDIRECT($C$3&amp;"!$N$2"))</f>
        <v>0.84571848686740969</v>
      </c>
      <c r="N8" s="19">
        <f t="shared" ca="1" si="4"/>
        <v>0.22868267948467053</v>
      </c>
      <c r="O8" s="42">
        <f t="shared" ca="1" si="5"/>
        <v>0.1839211020806294</v>
      </c>
      <c r="P8" s="18">
        <f t="shared" ca="1" si="6"/>
        <v>454.9482694112769</v>
      </c>
      <c r="Q8" s="36">
        <f t="shared" ca="1" si="7"/>
        <v>153.89142114121876</v>
      </c>
      <c r="R8" s="38">
        <f t="shared" ca="1" si="8"/>
        <v>11.572304432429254</v>
      </c>
      <c r="S8" s="18">
        <f t="shared" ca="1" si="9"/>
        <v>244.70154596882765</v>
      </c>
      <c r="T8" s="36">
        <f t="shared" ca="1" si="10"/>
        <v>82.779448476349131</v>
      </c>
      <c r="U8" s="38">
        <f t="shared" ca="1" si="11"/>
        <v>6.2243577466549729</v>
      </c>
    </row>
    <row r="9" spans="2:21" ht="15.75" thickBot="1" x14ac:dyDescent="0.3">
      <c r="E9" s="22">
        <v>85</v>
      </c>
      <c r="F9" s="15">
        <v>3</v>
      </c>
      <c r="H9" s="18">
        <f t="shared" ca="1" si="0"/>
        <v>301.27197718909065</v>
      </c>
      <c r="I9" s="48">
        <f t="shared" ca="1" si="1"/>
        <v>33.861468399285954</v>
      </c>
      <c r="J9" s="18">
        <f>E9*$C$18</f>
        <v>375.41666666666669</v>
      </c>
      <c r="K9" s="46">
        <f t="shared" si="2"/>
        <v>39.313541401172273</v>
      </c>
      <c r="L9" s="42">
        <f t="shared" ca="1" si="3"/>
        <v>0.40162939082714399</v>
      </c>
      <c r="M9" s="41">
        <f ca="1">IF(L9&gt;$C$13,0,INDIRECT($C$3&amp;"!$I$2")*L9^5+INDIRECT($C$3&amp;"!$J$2")*L9^4+INDIRECT($C$3&amp;"!$K$2")*L9^3+INDIRECT($C$3&amp;"!$L$2")*L9^2+INDIRECT($C$3&amp;"!$M$2")*L9+INDIRECT($C$3&amp;"!$N$2"))</f>
        <v>0.92428832034513686</v>
      </c>
      <c r="N9" s="19">
        <f t="shared" ca="1" si="4"/>
        <v>0.21464787451251852</v>
      </c>
      <c r="O9" s="42">
        <f t="shared" ca="1" si="5"/>
        <v>0.1580884708681175</v>
      </c>
      <c r="P9" s="18">
        <f t="shared" ca="1" si="6"/>
        <v>427.02700205515708</v>
      </c>
      <c r="Q9" s="36">
        <f t="shared" ca="1" si="7"/>
        <v>132.27660759270233</v>
      </c>
      <c r="R9" s="38">
        <f t="shared" ca="1" si="8"/>
        <v>10.86208433113644</v>
      </c>
      <c r="S9" s="18">
        <f t="shared" ca="1" si="9"/>
        <v>267.43506784054171</v>
      </c>
      <c r="T9" s="36">
        <f t="shared" ca="1" si="10"/>
        <v>82.395703218574013</v>
      </c>
      <c r="U9" s="38">
        <f t="shared" ca="1" si="11"/>
        <v>6.802619614232138</v>
      </c>
    </row>
    <row r="10" spans="2:21" ht="15.75" thickBot="1" x14ac:dyDescent="0.3">
      <c r="B10" s="30" t="s">
        <v>34</v>
      </c>
      <c r="C10" s="31"/>
      <c r="E10" s="22">
        <v>85</v>
      </c>
      <c r="F10" s="15">
        <v>3.5</v>
      </c>
      <c r="H10" s="18">
        <f t="shared" ca="1" si="0"/>
        <v>301.27197718909065</v>
      </c>
      <c r="I10" s="48">
        <f t="shared" ca="1" si="1"/>
        <v>33.861468399285954</v>
      </c>
      <c r="J10" s="18">
        <f>E10*$C$18</f>
        <v>375.41666666666669</v>
      </c>
      <c r="K10" s="46">
        <f t="shared" si="2"/>
        <v>39.313541401172273</v>
      </c>
      <c r="L10" s="42">
        <f t="shared" ca="1" si="3"/>
        <v>0.46856762263166801</v>
      </c>
      <c r="M10" s="41">
        <f ca="1">IF(L10&gt;$C$13,0,INDIRECT($C$3&amp;"!$I$2")*L10^5+INDIRECT($C$3&amp;"!$J$2")*L10^4+INDIRECT($C$3&amp;"!$K$2")*L10^3+INDIRECT($C$3&amp;"!$L$2")*L10^2+INDIRECT($C$3&amp;"!$M$2")*L10+INDIRECT($C$3&amp;"!$N$2"))</f>
        <v>0.96404363259856451</v>
      </c>
      <c r="N10" s="19">
        <f t="shared" ca="1" si="4"/>
        <v>0.15492857022613607</v>
      </c>
      <c r="O10" s="42">
        <f t="shared" ca="1" si="5"/>
        <v>0.10146739436266139</v>
      </c>
      <c r="P10" s="18">
        <f t="shared" ca="1" si="6"/>
        <v>308.21960397516216</v>
      </c>
      <c r="Q10" s="36">
        <f t="shared" ca="1" si="7"/>
        <v>84.90032596216713</v>
      </c>
      <c r="R10" s="38">
        <f t="shared" ca="1" si="8"/>
        <v>7.8400366130834369</v>
      </c>
      <c r="S10" s="18">
        <f t="shared" ca="1" si="9"/>
        <v>278.93793377045768</v>
      </c>
      <c r="T10" s="36">
        <f t="shared" ca="1" si="10"/>
        <v>76.830953983317087</v>
      </c>
      <c r="U10" s="38">
        <f t="shared" ca="1" si="11"/>
        <v>7.0952125865247071</v>
      </c>
    </row>
    <row r="11" spans="2:21" x14ac:dyDescent="0.25">
      <c r="B11" s="7" t="s">
        <v>36</v>
      </c>
      <c r="C11" s="50">
        <f ca="1">INDIRECT($C$3&amp;"!$c$2")</f>
        <v>0.38</v>
      </c>
      <c r="E11" s="22">
        <v>95</v>
      </c>
      <c r="F11" s="15">
        <v>4</v>
      </c>
      <c r="H11" s="18">
        <f t="shared" ca="1" si="0"/>
        <v>352.71163595860696</v>
      </c>
      <c r="I11" s="48">
        <f t="shared" ca="1" si="1"/>
        <v>35.131252230597447</v>
      </c>
      <c r="J11" s="18">
        <f>E11*$C$18</f>
        <v>419.58333333333337</v>
      </c>
      <c r="K11" s="46">
        <f t="shared" si="2"/>
        <v>43.938663918957246</v>
      </c>
      <c r="L11" s="42">
        <f t="shared" ca="1" si="3"/>
        <v>0.4791368171271192</v>
      </c>
      <c r="M11" s="41">
        <f ca="1">IF(L11&gt;$C$13,0,INDIRECT($C$3&amp;"!$I$2")*L11^5+INDIRECT($C$3&amp;"!$J$2")*L11^4+INDIRECT($C$3&amp;"!$K$2")*L11^3+INDIRECT($C$3&amp;"!$L$2")*L11^2+INDIRECT($C$3&amp;"!$M$2")*L11+INDIRECT($C$3&amp;"!$N$2"))</f>
        <v>0.9661569203982191</v>
      </c>
      <c r="N11" s="19">
        <f t="shared" ca="1" si="4"/>
        <v>0.14171410613983218</v>
      </c>
      <c r="O11" s="42">
        <f t="shared" ca="1" si="5"/>
        <v>9.0627805116904186E-2</v>
      </c>
      <c r="P11" s="18">
        <f t="shared" ca="1" si="6"/>
        <v>393.60070320707496</v>
      </c>
      <c r="Q11" s="36">
        <f t="shared" ca="1" si="7"/>
        <v>94.722613209569332</v>
      </c>
      <c r="R11" s="38">
        <f t="shared" ca="1" si="8"/>
        <v>8.9579579372976053</v>
      </c>
      <c r="S11" s="18">
        <f t="shared" ca="1" si="9"/>
        <v>327.28010638212453</v>
      </c>
      <c r="T11" s="36">
        <f t="shared" ca="1" si="10"/>
        <v>79.050984922438744</v>
      </c>
      <c r="U11" s="38">
        <f t="shared" ca="1" si="11"/>
        <v>7.4485675528454154</v>
      </c>
    </row>
    <row r="12" spans="2:21" x14ac:dyDescent="0.25">
      <c r="B12" s="7" t="s">
        <v>53</v>
      </c>
      <c r="C12" s="8">
        <f ca="1">INDIRECT($C$3&amp;"!$c$3")</f>
        <v>0.56899999999999995</v>
      </c>
      <c r="E12" s="22">
        <v>105</v>
      </c>
      <c r="F12" s="15">
        <v>4.5</v>
      </c>
      <c r="H12" s="18">
        <f t="shared" ca="1" si="0"/>
        <v>388.87568223458283</v>
      </c>
      <c r="I12" s="48">
        <f t="shared" ca="1" si="1"/>
        <v>34.978944179432389</v>
      </c>
      <c r="J12" s="18">
        <f>E12*$C$18</f>
        <v>463.75000000000006</v>
      </c>
      <c r="K12" s="46">
        <f t="shared" si="2"/>
        <v>48.563786436742227</v>
      </c>
      <c r="L12" s="42">
        <f t="shared" ca="1" si="3"/>
        <v>0.48769283171867484</v>
      </c>
      <c r="M12" s="41">
        <f ca="1">IF(L12&gt;$C$13,0,INDIRECT($C$3&amp;"!$I$2")*L12^5+INDIRECT($C$3&amp;"!$J$2")*L12^4+INDIRECT($C$3&amp;"!$K$2")*L12^3+INDIRECT($C$3&amp;"!$L$2")*L12^2+INDIRECT($C$3&amp;"!$M$2")*L12+INDIRECT($C$3&amp;"!$N$2"))</f>
        <v>0.96688154092114209</v>
      </c>
      <c r="N12" s="19">
        <f t="shared" ca="1" si="4"/>
        <v>0.1304525688497285</v>
      </c>
      <c r="O12" s="42">
        <f t="shared" ca="1" si="5"/>
        <v>8.170419703199093E-2</v>
      </c>
      <c r="P12" s="18">
        <f t="shared" ca="1" si="6"/>
        <v>489.206817623566</v>
      </c>
      <c r="Q12" s="36">
        <f t="shared" ca="1" si="7"/>
        <v>104.32009227852855</v>
      </c>
      <c r="R12" s="38">
        <f t="shared" ca="1" si="8"/>
        <v>10.073490012167658</v>
      </c>
      <c r="S12" s="18">
        <f t="shared" ca="1" si="9"/>
        <v>361.10724879865074</v>
      </c>
      <c r="T12" s="36">
        <f t="shared" ca="1" si="10"/>
        <v>77.588429590274146</v>
      </c>
      <c r="U12" s="38">
        <f t="shared" ca="1" si="11"/>
        <v>7.4357309282096145</v>
      </c>
    </row>
    <row r="13" spans="2:21" x14ac:dyDescent="0.25">
      <c r="B13" s="7" t="s">
        <v>52</v>
      </c>
      <c r="C13" s="8">
        <f ca="1">INDIRECT($C$3&amp;"!$c$4")</f>
        <v>0.56899999999999995</v>
      </c>
      <c r="E13" s="22">
        <v>120</v>
      </c>
      <c r="F13" s="15">
        <v>5</v>
      </c>
      <c r="H13" s="18">
        <f t="shared" ca="1" si="0"/>
        <v>388.81386417883783</v>
      </c>
      <c r="I13" s="48">
        <f t="shared" ca="1" si="1"/>
        <v>30.907782726632995</v>
      </c>
      <c r="J13" s="18">
        <f>E13*$C$18</f>
        <v>530</v>
      </c>
      <c r="K13" s="46">
        <f t="shared" si="2"/>
        <v>55.50147021341968</v>
      </c>
      <c r="L13" s="42">
        <f t="shared" ca="1" si="3"/>
        <v>0.47414580861537842</v>
      </c>
      <c r="M13" s="41">
        <f ca="1">IF(L13&gt;$C$13,0,INDIRECT($C$3&amp;"!$I$2")*L13^5+INDIRECT($C$3&amp;"!$J$2")*L13^4+INDIRECT($C$3&amp;"!$K$2")*L13^3+INDIRECT($C$3&amp;"!$L$2")*L13^2+INDIRECT($C$3&amp;"!$M$2")*L13+INDIRECT($C$3&amp;"!$N$2"))</f>
        <v>0.96532135060570812</v>
      </c>
      <c r="N13" s="19">
        <f t="shared" ca="1" si="4"/>
        <v>0.14805756236273937</v>
      </c>
      <c r="O13" s="42">
        <f t="shared" ca="1" si="5"/>
        <v>9.5779766486046844E-2</v>
      </c>
      <c r="P13" s="18">
        <f t="shared" ca="1" si="6"/>
        <v>828.79343243310598</v>
      </c>
      <c r="Q13" s="36">
        <f t="shared" ca="1" si="7"/>
        <v>159.72807738583148</v>
      </c>
      <c r="R13" s="38">
        <f t="shared" ca="1" si="8"/>
        <v>14.93281942345218</v>
      </c>
      <c r="S13" s="18">
        <f t="shared" ca="1" si="9"/>
        <v>360.46724365300781</v>
      </c>
      <c r="T13" s="36">
        <f t="shared" ca="1" si="10"/>
        <v>69.593345298447673</v>
      </c>
      <c r="U13" s="38">
        <f t="shared" ca="1" si="11"/>
        <v>6.4947332434060563</v>
      </c>
    </row>
    <row r="14" spans="2:21" ht="15.75" thickBot="1" x14ac:dyDescent="0.3">
      <c r="B14" s="9" t="s">
        <v>37</v>
      </c>
      <c r="C14" s="10">
        <f ca="1">INDIRECT($C$3&amp;"!$c$5")</f>
        <v>0.97009999999999996</v>
      </c>
      <c r="E14" s="22">
        <v>135</v>
      </c>
      <c r="F14" s="15">
        <v>5.5</v>
      </c>
      <c r="H14" s="18">
        <f t="shared" ca="1" si="0"/>
        <v>280.33263043024613</v>
      </c>
      <c r="I14" s="48">
        <f t="shared" ca="1" si="1"/>
        <v>20.240819940281391</v>
      </c>
      <c r="J14" s="18">
        <f>E14*$C$18</f>
        <v>596.25</v>
      </c>
      <c r="K14" s="46">
        <f t="shared" si="2"/>
        <v>62.43915399009714</v>
      </c>
      <c r="L14" s="42">
        <f t="shared" ca="1" si="3"/>
        <v>0.46360923509059221</v>
      </c>
      <c r="M14" s="41">
        <f ca="1">IF(L14&gt;$C$13,0,INDIRECT($C$3&amp;"!$I$2")*L14^5+INDIRECT($C$3&amp;"!$J$2")*L14^4+INDIRECT($C$3&amp;"!$K$2")*L14^3+INDIRECT($C$3&amp;"!$L$2")*L14^2+INDIRECT($C$3&amp;"!$M$2")*L14+INDIRECT($C$3&amp;"!$N$2"))</f>
        <v>0.96261383151440572</v>
      </c>
      <c r="N14" s="19">
        <f t="shared" ca="1" si="4"/>
        <v>0.16082822298375474</v>
      </c>
      <c r="O14" s="42">
        <f t="shared" ca="1" si="5"/>
        <v>0.10644485654033418</v>
      </c>
      <c r="P14" s="18">
        <f t="shared" ca="1" si="6"/>
        <v>1281.8450683225976</v>
      </c>
      <c r="Q14" s="36">
        <f t="shared" ca="1" si="7"/>
        <v>224.66592916627445</v>
      </c>
      <c r="R14" s="38">
        <f t="shared" ca="1" si="8"/>
        <v>20.529507310843744</v>
      </c>
      <c r="S14" s="18">
        <f t="shared" ca="1" si="9"/>
        <v>259.165925604883</v>
      </c>
      <c r="T14" s="36">
        <f t="shared" ca="1" si="10"/>
        <v>45.359400844453425</v>
      </c>
      <c r="U14" s="38">
        <f t="shared" ca="1" si="11"/>
        <v>4.1506956619877773</v>
      </c>
    </row>
    <row r="15" spans="2:21" ht="15.75" thickBot="1" x14ac:dyDescent="0.3">
      <c r="E15" s="23">
        <v>150</v>
      </c>
      <c r="F15" s="16">
        <v>6</v>
      </c>
      <c r="H15" s="20">
        <f t="shared" ca="1" si="0"/>
        <v>4.813034512020181</v>
      </c>
      <c r="I15" s="49">
        <f t="shared" ca="1" si="1"/>
        <v>0.28583817315743687</v>
      </c>
      <c r="J15" s="20">
        <f>E15*$C$18</f>
        <v>662.5</v>
      </c>
      <c r="K15" s="21">
        <f t="shared" si="2"/>
        <v>69.376837766774599</v>
      </c>
      <c r="L15" s="44">
        <f t="shared" ca="1" si="3"/>
        <v>0.45517997627076323</v>
      </c>
      <c r="M15" s="43">
        <f ca="1">IF(L15&gt;$C$13,0,INDIRECT($C$3&amp;"!$I$2")*L15^5+INDIRECT($C$3&amp;"!$J$2")*L15^4+INDIRECT($C$3&amp;"!$K$2")*L15^3+INDIRECT($C$3&amp;"!$L$2")*L15^2+INDIRECT($C$3&amp;"!$M$2")*L15+INDIRECT($C$3&amp;"!$N$2"))</f>
        <v>0.9595736199214282</v>
      </c>
      <c r="N15" s="21">
        <f t="shared" ca="1" si="4"/>
        <v>0.17037561411018015</v>
      </c>
      <c r="O15" s="44">
        <f t="shared" ca="1" si="5"/>
        <v>0.11469942693489918</v>
      </c>
      <c r="P15" s="20">
        <f t="shared" ca="1" si="6"/>
        <v>1862.7440266077811</v>
      </c>
      <c r="Q15" s="25">
        <f t="shared" ca="1" si="7"/>
        <v>298.87443242378748</v>
      </c>
      <c r="R15" s="39">
        <f ca="1">P15/(J15*PI()/30)</f>
        <v>26.849653091278132</v>
      </c>
      <c r="S15" s="20">
        <f t="shared" ca="1" si="9"/>
        <v>4.435569895905533</v>
      </c>
      <c r="T15" s="25">
        <f t="shared" ca="1" si="10"/>
        <v>0.70937597690476417</v>
      </c>
      <c r="U15" s="39">
        <f t="shared" ca="1" si="11"/>
        <v>6.3934448998910418E-2</v>
      </c>
    </row>
    <row r="16" spans="2:21" ht="15.75" thickBot="1" x14ac:dyDescent="0.3">
      <c r="B16" s="28" t="s">
        <v>40</v>
      </c>
      <c r="C16" s="28"/>
      <c r="E16" s="5"/>
    </row>
    <row r="17" spans="2:18" x14ac:dyDescent="0.25">
      <c r="B17" s="26" t="s">
        <v>47</v>
      </c>
      <c r="C17" s="53">
        <f ca="1">INDIRECT($C$4&amp;"!$F$16")*85^4+INDIRECT($C$4&amp;"!$G$16")*85^3+INDIRECT($C$4&amp;"!$H$16")*85^2+INDIRECT($C$4&amp;"!$I$16")*85+INDIRECT($C$4&amp;"!$J$16")</f>
        <v>301.27197718909065</v>
      </c>
      <c r="F17" s="2"/>
      <c r="G17" s="2"/>
      <c r="H17" s="2"/>
      <c r="I17" s="2"/>
      <c r="J17" s="2"/>
      <c r="K17" s="2"/>
      <c r="L17" s="2"/>
      <c r="M17" s="24"/>
      <c r="N17" s="2"/>
      <c r="O17" s="2"/>
      <c r="P17" s="2"/>
      <c r="Q17" s="2"/>
      <c r="R17" s="2"/>
    </row>
    <row r="18" spans="2:18" ht="15.75" thickBot="1" x14ac:dyDescent="0.3">
      <c r="B18" s="9" t="s">
        <v>49</v>
      </c>
      <c r="C18" s="27">
        <f>C5/C6</f>
        <v>4.416666666666667</v>
      </c>
    </row>
  </sheetData>
  <mergeCells count="8">
    <mergeCell ref="H2:I2"/>
    <mergeCell ref="J2:L2"/>
    <mergeCell ref="M2:O2"/>
    <mergeCell ref="P2:R2"/>
    <mergeCell ref="S2:U2"/>
    <mergeCell ref="B10:C10"/>
    <mergeCell ref="B2:C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2"/>
  <sheetViews>
    <sheetView workbookViewId="0">
      <selection activeCell="F16" sqref="F16"/>
    </sheetView>
  </sheetViews>
  <sheetFormatPr defaultRowHeight="15" x14ac:dyDescent="0.25"/>
  <cols>
    <col min="5" max="5" width="12.7109375" bestFit="1" customWidth="1"/>
    <col min="6" max="6" width="12.85546875" bestFit="1" customWidth="1"/>
    <col min="7" max="7" width="12" bestFit="1" customWidth="1"/>
    <col min="8" max="10" width="9.28515625" bestFit="1" customWidth="1"/>
  </cols>
  <sheetData>
    <row r="1" spans="2:23" x14ac:dyDescent="0.25">
      <c r="E1" t="s">
        <v>79</v>
      </c>
      <c r="F1" t="s">
        <v>7</v>
      </c>
      <c r="G1" t="s">
        <v>8</v>
      </c>
      <c r="H1" t="s">
        <v>9</v>
      </c>
      <c r="I1" t="s">
        <v>10</v>
      </c>
      <c r="J1" t="s">
        <v>15</v>
      </c>
      <c r="O1" t="s">
        <v>4</v>
      </c>
    </row>
    <row r="2" spans="2:23" x14ac:dyDescent="0.25">
      <c r="B2" t="s">
        <v>6</v>
      </c>
      <c r="C2" t="s">
        <v>5</v>
      </c>
      <c r="D2" t="s">
        <v>12</v>
      </c>
      <c r="E2" t="s">
        <v>78</v>
      </c>
      <c r="F2">
        <f t="array" ref="F2:J2">LINEST($C$3:$C$14,$B$3:$B$14^{1,2,3,4})</f>
        <v>-4.1264673817630033E-7</v>
      </c>
      <c r="G2">
        <v>7.750081685410393E-5</v>
      </c>
      <c r="H2">
        <v>-6.8121066697380758E-3</v>
      </c>
      <c r="I2">
        <v>0.67494192287360366</v>
      </c>
      <c r="J2">
        <v>-0.3458958696251031</v>
      </c>
      <c r="O2" s="29" t="s">
        <v>1</v>
      </c>
    </row>
    <row r="3" spans="2:23" x14ac:dyDescent="0.25">
      <c r="B3">
        <v>0</v>
      </c>
      <c r="C3" s="34">
        <v>0</v>
      </c>
      <c r="D3" s="34">
        <f>C3*B3*PI()/30</f>
        <v>0</v>
      </c>
    </row>
    <row r="4" spans="2:23" x14ac:dyDescent="0.25">
      <c r="B4">
        <v>20</v>
      </c>
      <c r="C4" s="34">
        <v>10</v>
      </c>
      <c r="D4" s="34">
        <f t="shared" ref="D4:D22" si="0">C4*B4*PI()/30</f>
        <v>20.943951023931955</v>
      </c>
      <c r="V4" t="s">
        <v>3</v>
      </c>
      <c r="W4" t="s">
        <v>2</v>
      </c>
    </row>
    <row r="5" spans="2:23" x14ac:dyDescent="0.25">
      <c r="B5">
        <v>40</v>
      </c>
      <c r="C5" s="34">
        <v>20</v>
      </c>
      <c r="D5" s="34">
        <f t="shared" si="0"/>
        <v>83.775804095727821</v>
      </c>
      <c r="V5">
        <v>1</v>
      </c>
      <c r="W5">
        <f>1.35581794833</f>
        <v>1.3558179483299999</v>
      </c>
    </row>
    <row r="6" spans="2:23" x14ac:dyDescent="0.25">
      <c r="B6">
        <v>60</v>
      </c>
      <c r="C6" s="34">
        <v>28</v>
      </c>
      <c r="D6" s="34">
        <f t="shared" si="0"/>
        <v>175.92918860102841</v>
      </c>
    </row>
    <row r="7" spans="2:23" x14ac:dyDescent="0.25">
      <c r="B7">
        <v>80</v>
      </c>
      <c r="C7" s="34">
        <v>33</v>
      </c>
      <c r="D7" s="34">
        <f t="shared" si="0"/>
        <v>276.46015351590177</v>
      </c>
    </row>
    <row r="8" spans="2:23" x14ac:dyDescent="0.25">
      <c r="B8">
        <v>85</v>
      </c>
      <c r="C8" s="34">
        <v>34</v>
      </c>
      <c r="D8" s="34">
        <f t="shared" si="0"/>
        <v>302.64009229581671</v>
      </c>
    </row>
    <row r="9" spans="2:23" x14ac:dyDescent="0.25">
      <c r="B9">
        <v>90</v>
      </c>
      <c r="C9" s="34">
        <v>34</v>
      </c>
      <c r="D9" s="34">
        <f t="shared" si="0"/>
        <v>320.44245066615889</v>
      </c>
    </row>
    <row r="10" spans="2:23" x14ac:dyDescent="0.25">
      <c r="B10">
        <v>100</v>
      </c>
      <c r="C10" s="34">
        <v>34</v>
      </c>
      <c r="D10" s="34">
        <f t="shared" si="0"/>
        <v>356.04716740684319</v>
      </c>
    </row>
    <row r="11" spans="2:23" x14ac:dyDescent="0.25">
      <c r="B11">
        <v>110</v>
      </c>
      <c r="C11" s="34">
        <v>34</v>
      </c>
      <c r="D11" s="34">
        <f t="shared" si="0"/>
        <v>391.65188414752754</v>
      </c>
    </row>
    <row r="12" spans="2:23" x14ac:dyDescent="0.25">
      <c r="B12">
        <v>120</v>
      </c>
      <c r="C12" s="34">
        <v>32</v>
      </c>
      <c r="D12" s="34">
        <f t="shared" si="0"/>
        <v>402.12385965949346</v>
      </c>
    </row>
    <row r="13" spans="2:23" x14ac:dyDescent="0.25">
      <c r="B13">
        <v>130</v>
      </c>
      <c r="C13" s="34">
        <v>25</v>
      </c>
      <c r="D13" s="34">
        <f t="shared" si="0"/>
        <v>340.33920413889427</v>
      </c>
    </row>
    <row r="14" spans="2:23" x14ac:dyDescent="0.25">
      <c r="B14">
        <v>150</v>
      </c>
      <c r="C14" s="34">
        <v>0</v>
      </c>
      <c r="D14" s="34">
        <f t="shared" si="0"/>
        <v>0</v>
      </c>
    </row>
    <row r="15" spans="2:23" x14ac:dyDescent="0.25">
      <c r="C15" s="34"/>
      <c r="D15" s="34"/>
      <c r="E15" t="s">
        <v>79</v>
      </c>
      <c r="F15" t="s">
        <v>7</v>
      </c>
      <c r="G15" t="s">
        <v>8</v>
      </c>
      <c r="H15" t="s">
        <v>9</v>
      </c>
      <c r="I15" t="s">
        <v>10</v>
      </c>
      <c r="J15" t="s">
        <v>15</v>
      </c>
    </row>
    <row r="16" spans="2:23" x14ac:dyDescent="0.25">
      <c r="C16" s="34"/>
      <c r="D16" s="34"/>
      <c r="E16" t="s">
        <v>80</v>
      </c>
      <c r="F16">
        <f t="array" ref="F16:J16">LINEST($D$3:$D$14,$B$3:$B$14^{1,2,3,4})</f>
        <v>-8.9452317902982029E-6</v>
      </c>
      <c r="G16">
        <v>1.6673054240748607E-3</v>
      </c>
      <c r="H16">
        <v>-6.6281283705359226E-2</v>
      </c>
      <c r="I16">
        <v>2.6821954899175497</v>
      </c>
      <c r="J16">
        <v>-4.8196180192194333</v>
      </c>
      <c r="V16" t="s">
        <v>13</v>
      </c>
      <c r="W16" t="s">
        <v>14</v>
      </c>
    </row>
    <row r="17" spans="3:23" x14ac:dyDescent="0.25">
      <c r="C17" s="34"/>
      <c r="D17" s="34"/>
      <c r="V17">
        <v>1</v>
      </c>
      <c r="W17">
        <f>745.699872</f>
        <v>745.69987200000003</v>
      </c>
    </row>
    <row r="18" spans="3:23" x14ac:dyDescent="0.25">
      <c r="C18" s="34"/>
      <c r="D18" s="34"/>
    </row>
    <row r="19" spans="3:23" x14ac:dyDescent="0.25">
      <c r="C19" s="34"/>
      <c r="D19" s="34"/>
    </row>
    <row r="20" spans="3:23" x14ac:dyDescent="0.25">
      <c r="C20" s="34"/>
      <c r="D20" s="34"/>
    </row>
    <row r="21" spans="3:23" x14ac:dyDescent="0.25">
      <c r="C21" s="34"/>
      <c r="D21" s="34"/>
    </row>
    <row r="22" spans="3:23" x14ac:dyDescent="0.25">
      <c r="C22" s="34"/>
      <c r="D22" s="34"/>
    </row>
  </sheetData>
  <hyperlinks>
    <hyperlink ref="O2" r:id="rId1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opLeftCell="A4" workbookViewId="0">
      <selection activeCell="E10" sqref="E10"/>
    </sheetView>
  </sheetViews>
  <sheetFormatPr defaultRowHeight="15" x14ac:dyDescent="0.25"/>
  <cols>
    <col min="9" max="13" width="9.28515625" bestFit="1" customWidth="1"/>
    <col min="14" max="14" width="12" bestFit="1" customWidth="1"/>
  </cols>
  <sheetData>
    <row r="1" spans="2:16" x14ac:dyDescent="0.25"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20</v>
      </c>
    </row>
    <row r="2" spans="2:16" x14ac:dyDescent="0.25">
      <c r="B2" t="s">
        <v>32</v>
      </c>
      <c r="C2" s="1">
        <v>0.4</v>
      </c>
      <c r="G2" t="s">
        <v>25</v>
      </c>
      <c r="H2" t="s">
        <v>11</v>
      </c>
      <c r="I2">
        <f t="array" ref="I2:N2">LINEST($C$10:$C$22,$B$10:$B$22^{1,2,3,4,5})</f>
        <v>-76.054403718555506</v>
      </c>
      <c r="J2">
        <v>68.214908341433599</v>
      </c>
      <c r="K2">
        <v>-32.912361437590718</v>
      </c>
      <c r="L2">
        <v>7.0446597556987562</v>
      </c>
      <c r="M2">
        <v>2.3185237444138993</v>
      </c>
      <c r="N2">
        <v>4.7737634343347768E-5</v>
      </c>
    </row>
    <row r="3" spans="2:16" x14ac:dyDescent="0.25">
      <c r="B3" t="s">
        <v>46</v>
      </c>
      <c r="C3" s="1">
        <v>0.40710000000000002</v>
      </c>
      <c r="E3" t="s">
        <v>30</v>
      </c>
    </row>
    <row r="4" spans="2:16" x14ac:dyDescent="0.25">
      <c r="B4" t="s">
        <v>51</v>
      </c>
      <c r="C4">
        <v>0.44419999999999998</v>
      </c>
      <c r="H4" t="s">
        <v>27</v>
      </c>
      <c r="I4" t="s">
        <v>7</v>
      </c>
      <c r="J4" t="s">
        <v>8</v>
      </c>
      <c r="K4" t="s">
        <v>9</v>
      </c>
      <c r="L4" t="s">
        <v>10</v>
      </c>
      <c r="M4" t="s">
        <v>15</v>
      </c>
      <c r="N4" t="s">
        <v>20</v>
      </c>
      <c r="O4" t="s">
        <v>28</v>
      </c>
      <c r="P4" t="s">
        <v>29</v>
      </c>
    </row>
    <row r="5" spans="2:16" x14ac:dyDescent="0.25">
      <c r="B5" t="s">
        <v>35</v>
      </c>
      <c r="C5">
        <f>LARGE(C10:C22,1)</f>
        <v>0.90980000000000005</v>
      </c>
      <c r="G5" t="s">
        <v>26</v>
      </c>
      <c r="H5" t="s">
        <v>11</v>
      </c>
      <c r="I5">
        <f t="array" ref="I5:P5">LINEST($D$10:$D$22,$B$10:$B$22^{1,2,3,4,5,6,7})</f>
        <v>-51.600773133976411</v>
      </c>
      <c r="J5">
        <v>135.54013906749464</v>
      </c>
      <c r="K5">
        <v>-113.26656184263604</v>
      </c>
      <c r="L5">
        <v>41.079506971934123</v>
      </c>
      <c r="M5">
        <v>-7.0372934749780187</v>
      </c>
      <c r="N5">
        <v>0.56648748296205365</v>
      </c>
      <c r="O5">
        <v>-1.3692571730406619E-2</v>
      </c>
      <c r="P5">
        <v>8.1701656103392965E-3</v>
      </c>
    </row>
    <row r="9" spans="2:16" x14ac:dyDescent="0.25">
      <c r="B9" t="s">
        <v>0</v>
      </c>
      <c r="C9" t="s">
        <v>16</v>
      </c>
      <c r="D9" t="s">
        <v>75</v>
      </c>
      <c r="E9" t="s">
        <v>74</v>
      </c>
      <c r="F9" t="s">
        <v>18</v>
      </c>
      <c r="G9" t="s">
        <v>19</v>
      </c>
      <c r="H9" t="s">
        <v>55</v>
      </c>
    </row>
    <row r="10" spans="2:16" x14ac:dyDescent="0.25">
      <c r="B10" s="1">
        <v>0</v>
      </c>
      <c r="C10" s="1">
        <v>0</v>
      </c>
      <c r="D10" s="1">
        <v>8.1569999999999993E-3</v>
      </c>
      <c r="E10" s="1">
        <v>3.2950000000000002E-3</v>
      </c>
      <c r="F10" s="1">
        <v>10.247</v>
      </c>
      <c r="G10" s="1">
        <v>0.56759999999999999</v>
      </c>
      <c r="H10">
        <f>E10/(2*PI())</f>
        <v>5.2441553748779513E-4</v>
      </c>
    </row>
    <row r="11" spans="2:16" x14ac:dyDescent="0.25">
      <c r="B11" s="1">
        <v>3.7010000000000001E-2</v>
      </c>
      <c r="C11" s="1">
        <v>9.4899999999999998E-2</v>
      </c>
      <c r="D11" s="1">
        <v>8.2109999999999995E-3</v>
      </c>
      <c r="E11" s="1">
        <v>3.2039999999999998E-3</v>
      </c>
      <c r="F11" s="1">
        <v>10.442</v>
      </c>
      <c r="G11" s="1">
        <v>0.50449999999999995</v>
      </c>
      <c r="H11">
        <f t="shared" ref="H11:H22" si="0">E11/(2*PI())</f>
        <v>5.0993243766643266E-4</v>
      </c>
    </row>
    <row r="12" spans="2:16" x14ac:dyDescent="0.25">
      <c r="B12" s="1">
        <v>7.4029999999999999E-2</v>
      </c>
      <c r="C12" s="1">
        <v>0.19739999999999999</v>
      </c>
      <c r="D12" s="1">
        <v>8.3379999999999999E-3</v>
      </c>
      <c r="E12" s="1">
        <v>3.127E-3</v>
      </c>
      <c r="F12" s="1">
        <v>10.657999999999999</v>
      </c>
      <c r="G12" s="1">
        <v>0.43049999999999999</v>
      </c>
      <c r="H12">
        <f t="shared" si="0"/>
        <v>4.9767750704835672E-4</v>
      </c>
    </row>
    <row r="13" spans="2:16" x14ac:dyDescent="0.25">
      <c r="B13" s="1">
        <v>0.11104</v>
      </c>
      <c r="C13" s="1">
        <v>0.30690000000000001</v>
      </c>
      <c r="D13" s="1">
        <v>8.5459999999999998E-3</v>
      </c>
      <c r="E13" s="1">
        <v>3.0920000000000001E-3</v>
      </c>
      <c r="F13" s="1">
        <v>10.864000000000001</v>
      </c>
      <c r="G13" s="1">
        <v>0.35470000000000002</v>
      </c>
      <c r="H13">
        <f t="shared" si="0"/>
        <v>4.9210708404014039E-4</v>
      </c>
    </row>
    <row r="14" spans="2:16" x14ac:dyDescent="0.25">
      <c r="B14" s="1">
        <v>0.14804999999999999</v>
      </c>
      <c r="C14" s="1">
        <v>0.41949999999999998</v>
      </c>
      <c r="D14" s="1">
        <v>8.8260000000000005E-3</v>
      </c>
      <c r="E14" s="1">
        <v>3.1150000000000001E-3</v>
      </c>
      <c r="F14" s="1">
        <v>11.045999999999999</v>
      </c>
      <c r="G14" s="1">
        <v>0.2833</v>
      </c>
      <c r="H14">
        <f t="shared" si="0"/>
        <v>4.9576764773125398E-4</v>
      </c>
    </row>
    <row r="15" spans="2:16" x14ac:dyDescent="0.25">
      <c r="B15" s="1">
        <v>0.18506</v>
      </c>
      <c r="C15" s="1">
        <v>0.52890000000000004</v>
      </c>
      <c r="D15" s="1">
        <v>9.1610000000000007E-3</v>
      </c>
      <c r="E15" s="1">
        <v>3.2049999999999999E-3</v>
      </c>
      <c r="F15" s="1">
        <v>11.195</v>
      </c>
      <c r="G15" s="1">
        <v>0.21990000000000001</v>
      </c>
      <c r="H15">
        <f t="shared" si="0"/>
        <v>5.1009159260952455E-4</v>
      </c>
    </row>
    <row r="16" spans="2:16" x14ac:dyDescent="0.25">
      <c r="B16" s="1">
        <v>0.22208</v>
      </c>
      <c r="C16" s="1">
        <v>0.62849999999999995</v>
      </c>
      <c r="D16" s="1">
        <v>9.5320000000000005E-3</v>
      </c>
      <c r="E16" s="1">
        <v>3.3679999999999999E-3</v>
      </c>
      <c r="F16" s="1">
        <v>11.31</v>
      </c>
      <c r="G16" s="1">
        <v>0.16619999999999999</v>
      </c>
      <c r="H16">
        <f t="shared" si="0"/>
        <v>5.3603384833350348E-4</v>
      </c>
    </row>
    <row r="17" spans="2:8" x14ac:dyDescent="0.25">
      <c r="B17" s="1">
        <v>0.25908999999999999</v>
      </c>
      <c r="C17" s="1">
        <v>0.71340000000000003</v>
      </c>
      <c r="D17" s="1">
        <v>9.9220000000000003E-3</v>
      </c>
      <c r="E17" s="1">
        <v>3.604E-3</v>
      </c>
      <c r="F17" s="1">
        <v>11.393000000000001</v>
      </c>
      <c r="G17" s="1">
        <v>0.12280000000000001</v>
      </c>
      <c r="H17">
        <f t="shared" si="0"/>
        <v>5.7359441490319077E-4</v>
      </c>
    </row>
    <row r="18" spans="2:8" x14ac:dyDescent="0.25">
      <c r="B18" s="1">
        <v>0.29609999999999997</v>
      </c>
      <c r="C18" s="1">
        <v>0.79330000000000001</v>
      </c>
      <c r="D18" s="1">
        <v>1.03E-2</v>
      </c>
      <c r="E18" s="1">
        <v>3.846E-3</v>
      </c>
      <c r="F18" s="1">
        <v>11.41</v>
      </c>
      <c r="G18" s="1">
        <v>8.3250000000000005E-2</v>
      </c>
      <c r="H18">
        <f t="shared" si="0"/>
        <v>6.1210991113142953E-4</v>
      </c>
    </row>
    <row r="19" spans="2:8" x14ac:dyDescent="0.25">
      <c r="B19" s="1">
        <v>0.33311000000000002</v>
      </c>
      <c r="C19" s="1">
        <v>0.88090000000000002</v>
      </c>
      <c r="D19" s="1">
        <v>9.3710000000000009E-3</v>
      </c>
      <c r="E19" s="1">
        <v>3.5439999999999998E-3</v>
      </c>
      <c r="F19" s="1">
        <v>0.99319999999999997</v>
      </c>
      <c r="G19" s="1">
        <v>3.4279999999999998E-2</v>
      </c>
      <c r="H19">
        <f t="shared" si="0"/>
        <v>5.6404511831767705E-4</v>
      </c>
    </row>
    <row r="20" spans="2:8" x14ac:dyDescent="0.25">
      <c r="B20" s="1">
        <v>0.37013000000000001</v>
      </c>
      <c r="C20" s="1">
        <v>0.90300000000000002</v>
      </c>
      <c r="D20" s="1">
        <v>7.1970000000000003E-3</v>
      </c>
      <c r="E20" s="1">
        <v>2.9499999999999999E-3</v>
      </c>
      <c r="F20" s="1">
        <v>0.73839999999999995</v>
      </c>
      <c r="G20" s="1">
        <v>2.3009999999999999E-2</v>
      </c>
      <c r="H20">
        <f t="shared" si="0"/>
        <v>4.6950708212109126E-4</v>
      </c>
    </row>
    <row r="21" spans="2:8" x14ac:dyDescent="0.25">
      <c r="B21" s="1">
        <v>0.40714</v>
      </c>
      <c r="C21" s="1">
        <v>0.90980000000000005</v>
      </c>
      <c r="D21" s="1">
        <v>4.973E-3</v>
      </c>
      <c r="E21" s="1">
        <v>2.225E-3</v>
      </c>
      <c r="F21" s="1">
        <v>0.49530000000000002</v>
      </c>
      <c r="G21" s="1">
        <v>1.6830000000000001E-2</v>
      </c>
      <c r="H21">
        <f t="shared" si="0"/>
        <v>3.5411974837946714E-4</v>
      </c>
    </row>
    <row r="22" spans="2:8" x14ac:dyDescent="0.25">
      <c r="B22" s="1">
        <v>0.44414999999999999</v>
      </c>
      <c r="C22" s="1">
        <v>0.87770000000000004</v>
      </c>
      <c r="D22" s="1">
        <v>2.6949999999999999E-3</v>
      </c>
      <c r="E22" s="1">
        <v>1.364E-3</v>
      </c>
      <c r="F22" s="1">
        <v>0.2646</v>
      </c>
      <c r="G22" s="1">
        <v>1.489E-2</v>
      </c>
      <c r="H22">
        <f t="shared" si="0"/>
        <v>2.1708734237734526E-4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opLeftCell="A11" workbookViewId="0">
      <selection activeCell="F6" sqref="F6"/>
    </sheetView>
  </sheetViews>
  <sheetFormatPr defaultRowHeight="15" x14ac:dyDescent="0.25"/>
  <sheetData>
    <row r="1" spans="2:14" x14ac:dyDescent="0.25">
      <c r="H1" t="s">
        <v>50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20</v>
      </c>
    </row>
    <row r="2" spans="2:14" x14ac:dyDescent="0.25">
      <c r="B2" t="s">
        <v>32</v>
      </c>
      <c r="C2" s="1">
        <v>0.38</v>
      </c>
      <c r="H2" t="s">
        <v>11</v>
      </c>
      <c r="I2">
        <f t="array" ref="I2:N2">LINEST($C$10:$C$27,$B$10:$B$27^{1,2,3,4,5})</f>
        <v>-63.994819810513945</v>
      </c>
      <c r="J2">
        <v>101.33516380824584</v>
      </c>
      <c r="K2">
        <v>-61.995131789910353</v>
      </c>
      <c r="L2">
        <v>13.871006603346697</v>
      </c>
      <c r="M2">
        <v>1.8200853604200398</v>
      </c>
      <c r="N2">
        <v>4.2372266048982254E-3</v>
      </c>
    </row>
    <row r="3" spans="2:14" x14ac:dyDescent="0.25">
      <c r="B3" t="s">
        <v>46</v>
      </c>
      <c r="C3" s="1">
        <v>0.56899999999999995</v>
      </c>
      <c r="I3" t="s">
        <v>7</v>
      </c>
      <c r="J3" t="s">
        <v>8</v>
      </c>
      <c r="K3" t="s">
        <v>9</v>
      </c>
      <c r="L3" t="s">
        <v>10</v>
      </c>
      <c r="M3" t="s">
        <v>15</v>
      </c>
      <c r="N3" t="s">
        <v>20</v>
      </c>
    </row>
    <row r="4" spans="2:14" x14ac:dyDescent="0.25">
      <c r="B4" t="s">
        <v>51</v>
      </c>
      <c r="C4">
        <v>0.56899999999999995</v>
      </c>
      <c r="H4" t="s">
        <v>76</v>
      </c>
      <c r="I4">
        <f t="array" ref="I4:N4">LINEST($E$10:$E$27,$B$10:$B$27^{1,2,3,4,5})</f>
        <v>3.5290370496850216</v>
      </c>
      <c r="J4">
        <v>-4.8925474294563065</v>
      </c>
      <c r="K4">
        <v>2.0960287261648829</v>
      </c>
      <c r="L4">
        <v>-0.29576025433477304</v>
      </c>
      <c r="M4">
        <v>9.6298240891673961E-3</v>
      </c>
      <c r="N4">
        <v>7.2859062786440471E-3</v>
      </c>
    </row>
    <row r="5" spans="2:14" x14ac:dyDescent="0.25">
      <c r="B5" t="s">
        <v>35</v>
      </c>
      <c r="C5">
        <f>LARGE(C10:C82,1)</f>
        <v>0.97009999999999996</v>
      </c>
      <c r="I5" t="s">
        <v>7</v>
      </c>
      <c r="J5" t="s">
        <v>8</v>
      </c>
      <c r="K5" t="s">
        <v>9</v>
      </c>
      <c r="L5" t="s">
        <v>10</v>
      </c>
      <c r="M5" t="s">
        <v>15</v>
      </c>
      <c r="N5" t="s">
        <v>20</v>
      </c>
    </row>
    <row r="6" spans="2:14" x14ac:dyDescent="0.25">
      <c r="H6" t="s">
        <v>77</v>
      </c>
      <c r="I6">
        <f t="array" ref="I6:N6">LINEST($D$10:$D$27,$B$10:$B$27^{1,2,3,4,5})</f>
        <v>8.1697483971569405</v>
      </c>
      <c r="J6">
        <v>-10.449653592205273</v>
      </c>
      <c r="K6">
        <v>4.0594998293855076</v>
      </c>
      <c r="L6">
        <v>-0.54038705112799668</v>
      </c>
      <c r="M6">
        <v>3.3032462737202173E-2</v>
      </c>
      <c r="N6">
        <v>1.7820012248342315E-2</v>
      </c>
    </row>
    <row r="9" spans="2:14" x14ac:dyDescent="0.25">
      <c r="B9" t="s">
        <v>0</v>
      </c>
      <c r="C9" t="s">
        <v>16</v>
      </c>
      <c r="D9" t="s">
        <v>75</v>
      </c>
      <c r="E9" t="s">
        <v>74</v>
      </c>
    </row>
    <row r="10" spans="2:14" x14ac:dyDescent="0.25">
      <c r="B10" s="1">
        <v>0</v>
      </c>
      <c r="C10" s="1">
        <v>0</v>
      </c>
      <c r="D10" s="1">
        <v>1.796E-2</v>
      </c>
      <c r="E10" s="1">
        <v>7.3680000000000004E-3</v>
      </c>
      <c r="F10" s="1"/>
      <c r="G10" s="1"/>
      <c r="J10" s="1"/>
    </row>
    <row r="11" spans="2:14" x14ac:dyDescent="0.25">
      <c r="B11" s="1">
        <v>3.347E-2</v>
      </c>
      <c r="C11" s="1">
        <v>8.4500000000000006E-2</v>
      </c>
      <c r="D11" s="1">
        <v>1.8180000000000002E-2</v>
      </c>
      <c r="E11" s="1">
        <v>7.2030000000000002E-3</v>
      </c>
      <c r="F11" s="1"/>
      <c r="G11" s="1"/>
      <c r="J11" s="1"/>
    </row>
    <row r="12" spans="2:14" x14ac:dyDescent="0.25">
      <c r="B12" s="1">
        <v>6.694E-2</v>
      </c>
      <c r="C12" s="1">
        <v>0.17530000000000001</v>
      </c>
      <c r="D12" s="1">
        <v>1.8519999999999998E-2</v>
      </c>
      <c r="E12" s="1">
        <v>7.071E-3</v>
      </c>
      <c r="F12" s="1"/>
      <c r="G12" s="1"/>
      <c r="J12" s="1"/>
    </row>
    <row r="13" spans="2:14" x14ac:dyDescent="0.25">
      <c r="B13" s="1">
        <v>0.10041</v>
      </c>
      <c r="C13" s="1">
        <v>0.27229999999999999</v>
      </c>
      <c r="D13" s="1">
        <v>1.899E-2</v>
      </c>
      <c r="E13" s="1">
        <v>7.0049999999999999E-3</v>
      </c>
      <c r="F13" s="1"/>
      <c r="G13" s="1"/>
      <c r="J13" s="1"/>
    </row>
    <row r="14" spans="2:14" x14ac:dyDescent="0.25">
      <c r="B14" s="1">
        <v>0.13388</v>
      </c>
      <c r="C14" s="1">
        <v>0.37309999999999999</v>
      </c>
      <c r="D14" s="1">
        <v>1.9599999999999999E-2</v>
      </c>
      <c r="E14" s="1">
        <v>7.0330000000000002E-3</v>
      </c>
      <c r="F14" s="1"/>
      <c r="G14" s="1"/>
      <c r="J14" s="1"/>
    </row>
    <row r="15" spans="2:14" x14ac:dyDescent="0.25">
      <c r="B15" s="1">
        <v>0.16735</v>
      </c>
      <c r="C15" s="1">
        <v>0.47389999999999999</v>
      </c>
      <c r="D15" s="1">
        <v>2.0310000000000002E-2</v>
      </c>
      <c r="E15" s="1">
        <v>7.1729999999999997E-3</v>
      </c>
      <c r="F15" s="1"/>
      <c r="G15" s="1"/>
      <c r="J15" s="1"/>
    </row>
    <row r="16" spans="2:14" x14ac:dyDescent="0.25">
      <c r="B16" s="1">
        <v>0.20082</v>
      </c>
      <c r="C16" s="1">
        <v>0.56999999999999995</v>
      </c>
      <c r="D16" s="1">
        <v>2.111E-2</v>
      </c>
      <c r="E16" s="1">
        <v>7.437E-3</v>
      </c>
      <c r="F16" s="1"/>
      <c r="G16" s="1"/>
      <c r="J16" s="1"/>
    </row>
    <row r="17" spans="2:10" x14ac:dyDescent="0.25">
      <c r="B17" s="1">
        <v>0.23429</v>
      </c>
      <c r="C17" s="1">
        <v>0.65710000000000002</v>
      </c>
      <c r="D17" s="1">
        <v>2.196E-2</v>
      </c>
      <c r="E17" s="1">
        <v>7.8309999999999994E-3</v>
      </c>
      <c r="F17" s="1"/>
      <c r="G17" s="1"/>
      <c r="J17" s="1"/>
    </row>
    <row r="18" spans="2:10" x14ac:dyDescent="0.25">
      <c r="B18" s="1">
        <v>0.26776</v>
      </c>
      <c r="C18" s="1">
        <v>0.73180000000000001</v>
      </c>
      <c r="D18" s="1">
        <v>2.2839999999999999E-2</v>
      </c>
      <c r="E18" s="1">
        <v>8.3569999999999998E-3</v>
      </c>
      <c r="F18" s="1"/>
      <c r="G18" s="1"/>
      <c r="J18" s="1"/>
    </row>
    <row r="19" spans="2:10" x14ac:dyDescent="0.25">
      <c r="B19" s="1">
        <v>0.30124000000000001</v>
      </c>
      <c r="C19" s="1">
        <v>0.79269999999999996</v>
      </c>
      <c r="D19" s="1">
        <v>2.3720000000000001E-2</v>
      </c>
      <c r="E19" s="1">
        <v>9.0150000000000004E-3</v>
      </c>
      <c r="F19" s="1"/>
      <c r="G19" s="1"/>
      <c r="J19" s="1"/>
    </row>
    <row r="20" spans="2:10" x14ac:dyDescent="0.25">
      <c r="B20" s="1">
        <v>0.33471000000000001</v>
      </c>
      <c r="C20" s="1">
        <v>0.84419999999999995</v>
      </c>
      <c r="D20" s="1">
        <v>2.4590000000000001E-2</v>
      </c>
      <c r="E20" s="1">
        <v>9.7509999999999993E-3</v>
      </c>
      <c r="F20" s="1"/>
      <c r="G20" s="1"/>
      <c r="J20" s="1"/>
    </row>
    <row r="21" spans="2:10" x14ac:dyDescent="0.25">
      <c r="B21" s="1">
        <v>0.36818000000000001</v>
      </c>
      <c r="C21" s="1">
        <v>0.90080000000000005</v>
      </c>
      <c r="D21" s="1">
        <v>2.3570000000000001E-2</v>
      </c>
      <c r="E21" s="1">
        <v>9.6340000000000002E-3</v>
      </c>
      <c r="F21" s="1"/>
      <c r="G21" s="1"/>
      <c r="J21" s="1"/>
    </row>
    <row r="22" spans="2:10" x14ac:dyDescent="0.25">
      <c r="B22" s="1">
        <v>0.40165000000000001</v>
      </c>
      <c r="C22" s="1">
        <v>0.92269999999999996</v>
      </c>
      <c r="D22" s="1">
        <v>2.002E-2</v>
      </c>
      <c r="E22" s="1">
        <v>8.7150000000000005E-3</v>
      </c>
      <c r="F22" s="1"/>
      <c r="G22" s="1"/>
      <c r="J22" s="1"/>
    </row>
    <row r="23" spans="2:10" x14ac:dyDescent="0.25">
      <c r="B23" s="1">
        <v>0.43512000000000001</v>
      </c>
      <c r="C23" s="1">
        <v>0.94020000000000004</v>
      </c>
      <c r="D23" s="1">
        <v>1.6379999999999999E-2</v>
      </c>
      <c r="E23" s="1">
        <v>7.5779999999999997E-3</v>
      </c>
      <c r="F23" s="1"/>
      <c r="G23" s="1"/>
      <c r="J23" s="1"/>
    </row>
    <row r="24" spans="2:10" x14ac:dyDescent="0.25">
      <c r="B24" s="1">
        <v>0.46859000000000001</v>
      </c>
      <c r="C24" s="1">
        <v>0.95499999999999996</v>
      </c>
      <c r="D24" s="1">
        <v>1.2659999999999999E-2</v>
      </c>
      <c r="E24" s="1">
        <v>6.2129999999999998E-3</v>
      </c>
      <c r="F24" s="1"/>
      <c r="G24" s="1"/>
      <c r="J24" s="1"/>
    </row>
    <row r="25" spans="2:10" x14ac:dyDescent="0.25">
      <c r="B25" s="1">
        <v>0.50205999999999995</v>
      </c>
      <c r="C25" s="1">
        <v>0.96640000000000004</v>
      </c>
      <c r="D25" s="1">
        <v>8.8780000000000005E-3</v>
      </c>
      <c r="E25" s="1">
        <v>4.6119999999999998E-3</v>
      </c>
      <c r="F25" s="1"/>
      <c r="G25" s="1"/>
      <c r="J25" s="1"/>
    </row>
    <row r="26" spans="2:10" x14ac:dyDescent="0.25">
      <c r="B26" s="1">
        <v>0.53552999999999995</v>
      </c>
      <c r="C26" s="1">
        <v>0.97009999999999996</v>
      </c>
      <c r="D26" s="1">
        <v>5.0220000000000004E-3</v>
      </c>
      <c r="E26" s="1">
        <v>2.7720000000000002E-3</v>
      </c>
      <c r="F26" s="1"/>
      <c r="G26" s="1"/>
      <c r="J26" s="1"/>
    </row>
    <row r="27" spans="2:10" x14ac:dyDescent="0.25">
      <c r="B27" s="1">
        <v>0.56899999999999995</v>
      </c>
      <c r="C27" s="1">
        <v>0.90610000000000002</v>
      </c>
      <c r="D27" s="1">
        <v>1.0920000000000001E-3</v>
      </c>
      <c r="E27" s="1">
        <v>6.8590000000000003E-4</v>
      </c>
      <c r="F27" s="1"/>
      <c r="G27" s="1"/>
      <c r="J27" s="1"/>
    </row>
    <row r="28" spans="2:10" x14ac:dyDescent="0.25">
      <c r="B28" s="1"/>
      <c r="C28" s="1"/>
      <c r="D28" s="1"/>
      <c r="E28" s="1"/>
      <c r="F28" s="1"/>
      <c r="G28" s="1"/>
      <c r="J28" s="1"/>
    </row>
    <row r="29" spans="2:10" x14ac:dyDescent="0.25">
      <c r="B29" s="1"/>
      <c r="C29" s="1"/>
      <c r="D29" s="1"/>
      <c r="E29" s="1"/>
      <c r="F29" s="1"/>
      <c r="G29" s="1"/>
      <c r="J29" s="1"/>
    </row>
    <row r="30" spans="2:10" x14ac:dyDescent="0.25">
      <c r="B30" s="1"/>
      <c r="C30" s="1"/>
      <c r="D30" s="1"/>
      <c r="E30" s="1"/>
      <c r="F30" s="1"/>
      <c r="G30" s="1"/>
      <c r="J30" s="1"/>
    </row>
    <row r="31" spans="2:10" x14ac:dyDescent="0.25">
      <c r="B31" s="1"/>
      <c r="C31" s="1"/>
      <c r="D31" s="1"/>
      <c r="E31" s="1"/>
      <c r="F31" s="1"/>
      <c r="G31" s="1"/>
      <c r="J31" s="1"/>
    </row>
    <row r="32" spans="2:10" x14ac:dyDescent="0.25">
      <c r="B32" s="1"/>
      <c r="C32" s="1"/>
      <c r="D32" s="1"/>
      <c r="E32" s="1"/>
      <c r="F32" s="1"/>
      <c r="G32" s="1"/>
      <c r="J32" s="1"/>
    </row>
    <row r="33" spans="2:10" x14ac:dyDescent="0.25">
      <c r="B33" s="1"/>
      <c r="C33" s="1"/>
      <c r="D33" s="1"/>
      <c r="E33" s="1"/>
      <c r="F33" s="1"/>
      <c r="G33" s="1"/>
      <c r="J33" s="1"/>
    </row>
    <row r="34" spans="2:10" x14ac:dyDescent="0.25">
      <c r="B34" s="1"/>
      <c r="C34" s="1"/>
      <c r="D34" s="1"/>
      <c r="E34" s="1"/>
      <c r="F34" s="1"/>
      <c r="G34" s="1"/>
      <c r="J34" s="1"/>
    </row>
    <row r="35" spans="2:10" x14ac:dyDescent="0.25">
      <c r="B35" s="1"/>
      <c r="C35" s="1"/>
      <c r="D35" s="1"/>
      <c r="E35" s="1"/>
      <c r="F35" s="1"/>
      <c r="G35" s="1"/>
      <c r="J35" s="1"/>
    </row>
    <row r="36" spans="2:10" x14ac:dyDescent="0.25">
      <c r="B36" s="1"/>
      <c r="C36" s="1"/>
      <c r="D36" s="1"/>
      <c r="E36" s="1"/>
      <c r="F36" s="1"/>
      <c r="G36" s="1"/>
      <c r="J36" s="1"/>
    </row>
    <row r="37" spans="2:10" x14ac:dyDescent="0.25">
      <c r="B37" s="1"/>
      <c r="C37" s="1"/>
      <c r="D37" s="1"/>
      <c r="E37" s="1"/>
      <c r="F37" s="1"/>
      <c r="G37" s="1"/>
      <c r="J37" s="1"/>
    </row>
    <row r="38" spans="2:10" x14ac:dyDescent="0.25">
      <c r="B38" s="1"/>
      <c r="C38" s="1"/>
      <c r="D38" s="1"/>
      <c r="E38" s="1"/>
      <c r="F38" s="1"/>
      <c r="G38" s="1"/>
    </row>
    <row r="39" spans="2:10" x14ac:dyDescent="0.25">
      <c r="B39" s="1"/>
      <c r="C39" s="1"/>
      <c r="D39" s="1"/>
      <c r="E39" s="1"/>
      <c r="F39" s="1"/>
      <c r="G39" s="1"/>
    </row>
    <row r="40" spans="2:10" x14ac:dyDescent="0.25">
      <c r="B40" s="1"/>
      <c r="C40" s="1"/>
      <c r="D40" s="1"/>
      <c r="E40" s="1"/>
      <c r="F40" s="1"/>
      <c r="G40" s="1"/>
    </row>
    <row r="41" spans="2:10" x14ac:dyDescent="0.25">
      <c r="B41" s="1"/>
      <c r="C41" s="1"/>
      <c r="D41" s="1"/>
      <c r="E41" s="1"/>
      <c r="F41" s="1"/>
      <c r="G41" s="1"/>
    </row>
    <row r="42" spans="2:10" x14ac:dyDescent="0.25">
      <c r="B42" s="1"/>
      <c r="C42" s="1"/>
      <c r="D42" s="1"/>
      <c r="E42" s="1"/>
      <c r="F42" s="1"/>
      <c r="G4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workbookViewId="0">
      <selection activeCell="A17" sqref="A17:XFD17"/>
    </sheetView>
  </sheetViews>
  <sheetFormatPr defaultRowHeight="15" x14ac:dyDescent="0.25"/>
  <sheetData>
    <row r="2" spans="2:20" x14ac:dyDescent="0.25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0</v>
      </c>
      <c r="L2" t="s">
        <v>16</v>
      </c>
      <c r="M2" t="s">
        <v>17</v>
      </c>
      <c r="N2" t="s">
        <v>86</v>
      </c>
      <c r="O2" t="s">
        <v>60</v>
      </c>
      <c r="P2" t="s">
        <v>87</v>
      </c>
      <c r="Q2" t="s">
        <v>88</v>
      </c>
      <c r="R2" t="s">
        <v>69</v>
      </c>
      <c r="S2" t="s">
        <v>89</v>
      </c>
      <c r="T2" t="s">
        <v>90</v>
      </c>
    </row>
    <row r="3" spans="2:20" x14ac:dyDescent="0.25">
      <c r="B3">
        <v>0</v>
      </c>
      <c r="C3">
        <v>375.4</v>
      </c>
      <c r="D3">
        <v>0</v>
      </c>
      <c r="E3">
        <v>58.25</v>
      </c>
      <c r="F3">
        <v>4.5389999999999997</v>
      </c>
      <c r="G3">
        <v>178.4</v>
      </c>
      <c r="H3">
        <v>376.875</v>
      </c>
      <c r="I3">
        <v>1.4753000000000001</v>
      </c>
      <c r="J3">
        <v>0.32090000000000002</v>
      </c>
      <c r="K3">
        <v>0</v>
      </c>
      <c r="L3">
        <v>0</v>
      </c>
      <c r="M3" s="35">
        <v>1.796E-2</v>
      </c>
      <c r="N3" s="35">
        <v>7.3680000000000004E-3</v>
      </c>
      <c r="O3">
        <v>1.0009999999999999</v>
      </c>
      <c r="P3">
        <v>0</v>
      </c>
      <c r="Q3">
        <v>556</v>
      </c>
      <c r="R3">
        <v>0</v>
      </c>
      <c r="S3">
        <v>1.0302</v>
      </c>
      <c r="T3">
        <v>0.51329999999999998</v>
      </c>
    </row>
    <row r="4" spans="2:20" x14ac:dyDescent="0.25">
      <c r="B4">
        <v>0.25</v>
      </c>
      <c r="C4">
        <v>375.4</v>
      </c>
      <c r="D4">
        <v>0</v>
      </c>
      <c r="E4">
        <v>58.94</v>
      </c>
      <c r="F4">
        <v>4.4379999999999997</v>
      </c>
      <c r="G4">
        <v>174.4</v>
      </c>
      <c r="H4">
        <v>376.86500000000001</v>
      </c>
      <c r="I4">
        <v>1.4646999999999999</v>
      </c>
      <c r="J4">
        <v>0.316</v>
      </c>
      <c r="K4">
        <v>3.347E-2</v>
      </c>
      <c r="L4">
        <v>8.4500000000000006E-2</v>
      </c>
      <c r="M4" s="35">
        <v>1.8180000000000002E-2</v>
      </c>
      <c r="N4" s="35">
        <v>7.2030000000000002E-3</v>
      </c>
      <c r="O4">
        <v>0.78759999999999997</v>
      </c>
      <c r="P4">
        <v>2.6700000000000002E-2</v>
      </c>
      <c r="Q4">
        <v>552</v>
      </c>
      <c r="R4">
        <v>14.74</v>
      </c>
      <c r="S4">
        <v>1.0485</v>
      </c>
      <c r="T4">
        <v>0.45789999999999997</v>
      </c>
    </row>
    <row r="5" spans="2:20" x14ac:dyDescent="0.25">
      <c r="B5">
        <v>0.5</v>
      </c>
      <c r="C5">
        <v>375.4</v>
      </c>
      <c r="D5">
        <v>0</v>
      </c>
      <c r="E5">
        <v>60.04</v>
      </c>
      <c r="F5">
        <v>4.3559999999999999</v>
      </c>
      <c r="G5">
        <v>171.3</v>
      </c>
      <c r="H5">
        <v>376.85599999999999</v>
      </c>
      <c r="I5">
        <v>1.4561999999999999</v>
      </c>
      <c r="J5">
        <v>0.31209999999999999</v>
      </c>
      <c r="K5">
        <v>6.694E-2</v>
      </c>
      <c r="L5">
        <v>0.17530000000000001</v>
      </c>
      <c r="M5" s="35">
        <v>1.8519999999999998E-2</v>
      </c>
      <c r="N5" s="35">
        <v>7.071E-3</v>
      </c>
      <c r="O5">
        <v>0.63270000000000004</v>
      </c>
      <c r="P5">
        <v>5.4699999999999999E-2</v>
      </c>
      <c r="Q5">
        <v>548.79999999999995</v>
      </c>
      <c r="R5">
        <v>30.02</v>
      </c>
      <c r="S5">
        <v>1.0680000000000001</v>
      </c>
      <c r="T5">
        <v>0.39610000000000001</v>
      </c>
    </row>
    <row r="6" spans="2:20" x14ac:dyDescent="0.25">
      <c r="B6">
        <v>0.75</v>
      </c>
      <c r="C6">
        <v>375.4</v>
      </c>
      <c r="D6">
        <v>0</v>
      </c>
      <c r="E6">
        <v>61.59</v>
      </c>
      <c r="F6">
        <v>4.3159999999999998</v>
      </c>
      <c r="G6">
        <v>169.7</v>
      </c>
      <c r="H6">
        <v>376.85199999999998</v>
      </c>
      <c r="I6">
        <v>1.452</v>
      </c>
      <c r="J6">
        <v>0.31009999999999999</v>
      </c>
      <c r="K6">
        <v>0.10041</v>
      </c>
      <c r="L6">
        <v>0.27229999999999999</v>
      </c>
      <c r="M6" s="35">
        <v>1.899E-2</v>
      </c>
      <c r="N6" s="35">
        <v>7.0049999999999999E-3</v>
      </c>
      <c r="O6">
        <v>0.52359999999999995</v>
      </c>
      <c r="P6">
        <v>8.4400000000000003E-2</v>
      </c>
      <c r="Q6">
        <v>547.20000000000005</v>
      </c>
      <c r="R6">
        <v>46.19</v>
      </c>
      <c r="S6">
        <v>1.0873999999999999</v>
      </c>
      <c r="T6">
        <v>0.3322</v>
      </c>
    </row>
    <row r="7" spans="2:20" x14ac:dyDescent="0.25">
      <c r="B7">
        <v>1</v>
      </c>
      <c r="C7">
        <v>375.4</v>
      </c>
      <c r="D7">
        <v>0</v>
      </c>
      <c r="E7">
        <v>63.55</v>
      </c>
      <c r="F7">
        <v>4.3330000000000002</v>
      </c>
      <c r="G7">
        <v>170.3</v>
      </c>
      <c r="H7">
        <v>376.85399999999998</v>
      </c>
      <c r="I7">
        <v>1.4538</v>
      </c>
      <c r="J7">
        <v>0.31090000000000001</v>
      </c>
      <c r="K7">
        <v>0.13388</v>
      </c>
      <c r="L7">
        <v>0.37309999999999999</v>
      </c>
      <c r="M7" s="35">
        <v>1.9599999999999999E-2</v>
      </c>
      <c r="N7" s="35">
        <v>7.0330000000000002E-3</v>
      </c>
      <c r="O7">
        <v>0.44690000000000002</v>
      </c>
      <c r="P7">
        <v>0.11600000000000001</v>
      </c>
      <c r="Q7">
        <v>547.9</v>
      </c>
      <c r="R7">
        <v>63.55</v>
      </c>
      <c r="S7">
        <v>1.1053999999999999</v>
      </c>
      <c r="T7">
        <v>0.27</v>
      </c>
    </row>
    <row r="8" spans="2:20" x14ac:dyDescent="0.25">
      <c r="B8">
        <v>1.25</v>
      </c>
      <c r="C8">
        <v>375.4</v>
      </c>
      <c r="D8">
        <v>0</v>
      </c>
      <c r="E8">
        <v>65.87</v>
      </c>
      <c r="F8">
        <v>4.4189999999999996</v>
      </c>
      <c r="G8">
        <v>173.7</v>
      </c>
      <c r="H8">
        <v>376.863</v>
      </c>
      <c r="I8">
        <v>1.4628000000000001</v>
      </c>
      <c r="J8">
        <v>0.31519999999999998</v>
      </c>
      <c r="K8">
        <v>0.16735</v>
      </c>
      <c r="L8">
        <v>0.47389999999999999</v>
      </c>
      <c r="M8" s="35">
        <v>2.0310000000000002E-2</v>
      </c>
      <c r="N8" s="35">
        <v>7.1729999999999997E-3</v>
      </c>
      <c r="O8">
        <v>0.39190000000000003</v>
      </c>
      <c r="P8">
        <v>0.14940000000000001</v>
      </c>
      <c r="Q8">
        <v>551.29999999999995</v>
      </c>
      <c r="R8">
        <v>82.34</v>
      </c>
      <c r="S8">
        <v>1.1214999999999999</v>
      </c>
      <c r="T8">
        <v>0.21229999999999999</v>
      </c>
    </row>
    <row r="9" spans="2:20" x14ac:dyDescent="0.25">
      <c r="B9">
        <v>1.5</v>
      </c>
      <c r="C9">
        <v>375.4</v>
      </c>
      <c r="D9">
        <v>0</v>
      </c>
      <c r="E9">
        <v>68.45</v>
      </c>
      <c r="F9">
        <v>4.5819999999999999</v>
      </c>
      <c r="G9">
        <v>180.1</v>
      </c>
      <c r="H9">
        <v>376.88</v>
      </c>
      <c r="I9">
        <v>1.4798</v>
      </c>
      <c r="J9">
        <v>0.32300000000000001</v>
      </c>
      <c r="K9">
        <v>0.20082</v>
      </c>
      <c r="L9">
        <v>0.56999999999999995</v>
      </c>
      <c r="M9" s="35">
        <v>2.111E-2</v>
      </c>
      <c r="N9" s="35">
        <v>7.437E-3</v>
      </c>
      <c r="O9">
        <v>0.35139999999999999</v>
      </c>
      <c r="P9">
        <v>0.18410000000000001</v>
      </c>
      <c r="Q9">
        <v>557.70000000000005</v>
      </c>
      <c r="R9">
        <v>102.7</v>
      </c>
      <c r="S9">
        <v>1.1353</v>
      </c>
      <c r="T9">
        <v>0.1608</v>
      </c>
    </row>
    <row r="10" spans="2:20" x14ac:dyDescent="0.25">
      <c r="B10">
        <v>1.75</v>
      </c>
      <c r="C10">
        <v>375.4</v>
      </c>
      <c r="D10">
        <v>0</v>
      </c>
      <c r="E10">
        <v>71.209999999999994</v>
      </c>
      <c r="F10">
        <v>4.8250000000000002</v>
      </c>
      <c r="G10">
        <v>189.7</v>
      </c>
      <c r="H10">
        <v>376.90499999999997</v>
      </c>
      <c r="I10">
        <v>1.5052000000000001</v>
      </c>
      <c r="J10">
        <v>0.33429999999999999</v>
      </c>
      <c r="K10">
        <v>0.23429</v>
      </c>
      <c r="L10">
        <v>0.65710000000000002</v>
      </c>
      <c r="M10" s="35">
        <v>2.196E-2</v>
      </c>
      <c r="N10" s="35">
        <v>7.8309999999999994E-3</v>
      </c>
      <c r="O10">
        <v>0.32069999999999999</v>
      </c>
      <c r="P10">
        <v>0.21970000000000001</v>
      </c>
      <c r="Q10">
        <v>567.29999999999995</v>
      </c>
      <c r="R10">
        <v>124.6</v>
      </c>
      <c r="S10">
        <v>1.1465000000000001</v>
      </c>
      <c r="T10" s="35">
        <v>0.1166</v>
      </c>
    </row>
    <row r="11" spans="2:20" x14ac:dyDescent="0.25">
      <c r="B11">
        <v>2</v>
      </c>
      <c r="C11">
        <v>375.4</v>
      </c>
      <c r="D11">
        <v>0</v>
      </c>
      <c r="E11">
        <v>74.069999999999993</v>
      </c>
      <c r="F11">
        <v>5.149</v>
      </c>
      <c r="G11">
        <v>202.4</v>
      </c>
      <c r="H11">
        <v>376.93900000000002</v>
      </c>
      <c r="I11">
        <v>1.5391999999999999</v>
      </c>
      <c r="J11">
        <v>0.34889999999999999</v>
      </c>
      <c r="K11">
        <v>0.26776</v>
      </c>
      <c r="L11">
        <v>0.73180000000000001</v>
      </c>
      <c r="M11" s="35">
        <v>2.2839999999999999E-2</v>
      </c>
      <c r="N11" s="35">
        <v>8.3569999999999998E-3</v>
      </c>
      <c r="O11">
        <v>0.29659999999999997</v>
      </c>
      <c r="P11">
        <v>0.25530000000000003</v>
      </c>
      <c r="Q11">
        <v>580.20000000000005</v>
      </c>
      <c r="R11">
        <v>148.1</v>
      </c>
      <c r="S11">
        <v>1.1553</v>
      </c>
      <c r="T11" s="35">
        <v>8.0110000000000001E-2</v>
      </c>
    </row>
    <row r="12" spans="2:20" x14ac:dyDescent="0.25">
      <c r="B12">
        <v>2.25</v>
      </c>
      <c r="C12">
        <v>375.4</v>
      </c>
      <c r="D12">
        <v>0</v>
      </c>
      <c r="E12">
        <v>76.930000000000007</v>
      </c>
      <c r="F12">
        <v>5.5549999999999997</v>
      </c>
      <c r="G12">
        <v>218.4</v>
      </c>
      <c r="H12">
        <v>376.98200000000003</v>
      </c>
      <c r="I12">
        <v>1.5817000000000001</v>
      </c>
      <c r="J12">
        <v>0.36620000000000003</v>
      </c>
      <c r="K12">
        <v>0.30124000000000001</v>
      </c>
      <c r="L12">
        <v>0.79269999999999996</v>
      </c>
      <c r="M12" s="35">
        <v>2.3720000000000001E-2</v>
      </c>
      <c r="N12" s="35">
        <v>9.0150000000000004E-3</v>
      </c>
      <c r="O12">
        <v>0.27710000000000001</v>
      </c>
      <c r="P12">
        <v>0.2903</v>
      </c>
      <c r="Q12">
        <v>596.29999999999995</v>
      </c>
      <c r="R12">
        <v>173.1</v>
      </c>
      <c r="S12">
        <v>1.1617999999999999</v>
      </c>
      <c r="T12" s="35">
        <v>5.1209999999999999E-2</v>
      </c>
    </row>
    <row r="13" spans="2:20" x14ac:dyDescent="0.25">
      <c r="B13">
        <v>2.5</v>
      </c>
      <c r="C13">
        <v>375.4</v>
      </c>
      <c r="D13">
        <v>0</v>
      </c>
      <c r="E13">
        <v>79.75</v>
      </c>
      <c r="F13">
        <v>6.008</v>
      </c>
      <c r="G13">
        <v>236.2</v>
      </c>
      <c r="H13">
        <v>377.029</v>
      </c>
      <c r="I13">
        <v>1.6292</v>
      </c>
      <c r="J13">
        <v>0.38450000000000001</v>
      </c>
      <c r="K13">
        <v>0.33471000000000001</v>
      </c>
      <c r="L13">
        <v>0.84419999999999995</v>
      </c>
      <c r="M13" s="35">
        <v>2.4590000000000001E-2</v>
      </c>
      <c r="N13" s="35">
        <v>9.7509999999999993E-3</v>
      </c>
      <c r="O13">
        <v>0.26079999999999998</v>
      </c>
      <c r="P13">
        <v>0.3246</v>
      </c>
      <c r="Q13">
        <v>614.20000000000005</v>
      </c>
      <c r="R13">
        <v>199.4</v>
      </c>
      <c r="S13">
        <v>1.1654</v>
      </c>
      <c r="T13" s="35">
        <v>2.7320000000000001E-2</v>
      </c>
    </row>
    <row r="14" spans="2:20" x14ac:dyDescent="0.25">
      <c r="B14">
        <v>2.75</v>
      </c>
      <c r="C14">
        <v>375.4</v>
      </c>
      <c r="D14">
        <v>0</v>
      </c>
      <c r="E14">
        <v>76.430000000000007</v>
      </c>
      <c r="F14">
        <v>5.9349999999999996</v>
      </c>
      <c r="G14">
        <v>233.3</v>
      </c>
      <c r="H14">
        <v>377.02199999999999</v>
      </c>
      <c r="I14">
        <v>1.6215999999999999</v>
      </c>
      <c r="J14">
        <v>0.38169999999999998</v>
      </c>
      <c r="K14">
        <v>0.36818000000000001</v>
      </c>
      <c r="L14">
        <v>0.90080000000000005</v>
      </c>
      <c r="M14" s="35">
        <v>2.3570000000000001E-2</v>
      </c>
      <c r="N14" s="35">
        <v>9.6340000000000002E-3</v>
      </c>
      <c r="O14">
        <v>0.22950000000000001</v>
      </c>
      <c r="P14">
        <v>0.34379999999999999</v>
      </c>
      <c r="Q14">
        <v>611.4</v>
      </c>
      <c r="R14">
        <v>210.2</v>
      </c>
      <c r="S14">
        <v>1.0777000000000001</v>
      </c>
      <c r="T14" s="35">
        <v>2.493E-3</v>
      </c>
    </row>
    <row r="15" spans="2:20" x14ac:dyDescent="0.25">
      <c r="B15">
        <v>3</v>
      </c>
      <c r="C15">
        <v>375.4</v>
      </c>
      <c r="D15">
        <v>0</v>
      </c>
      <c r="E15">
        <v>64.92</v>
      </c>
      <c r="F15">
        <v>5.37</v>
      </c>
      <c r="G15">
        <v>211.1</v>
      </c>
      <c r="H15">
        <v>376.96199999999999</v>
      </c>
      <c r="I15">
        <v>1.5623</v>
      </c>
      <c r="J15">
        <v>0.3584</v>
      </c>
      <c r="K15">
        <v>0.40165000000000001</v>
      </c>
      <c r="L15">
        <v>0.92269999999999996</v>
      </c>
      <c r="M15" s="35">
        <v>2.002E-2</v>
      </c>
      <c r="N15" s="35">
        <v>8.7150000000000005E-3</v>
      </c>
      <c r="O15">
        <v>0.1807</v>
      </c>
      <c r="P15">
        <v>0.33069999999999999</v>
      </c>
      <c r="Q15">
        <v>588.9</v>
      </c>
      <c r="R15">
        <v>194.8</v>
      </c>
      <c r="S15">
        <v>0.88690000000000002</v>
      </c>
      <c r="T15" s="35">
        <v>1.2849999999999999E-3</v>
      </c>
    </row>
    <row r="16" spans="2:20" x14ac:dyDescent="0.25">
      <c r="B16">
        <v>3.25</v>
      </c>
      <c r="C16">
        <v>375.4</v>
      </c>
      <c r="D16">
        <v>0</v>
      </c>
      <c r="E16">
        <v>53.1</v>
      </c>
      <c r="F16">
        <v>4.6689999999999996</v>
      </c>
      <c r="G16">
        <v>183.6</v>
      </c>
      <c r="H16">
        <v>376.88900000000001</v>
      </c>
      <c r="I16">
        <v>1.4888999999999999</v>
      </c>
      <c r="J16">
        <v>0.3271</v>
      </c>
      <c r="K16">
        <v>0.43512000000000001</v>
      </c>
      <c r="L16">
        <v>0.94020000000000004</v>
      </c>
      <c r="M16" s="35">
        <v>1.6379999999999999E-2</v>
      </c>
      <c r="N16" s="35">
        <v>7.5779999999999997E-3</v>
      </c>
      <c r="O16">
        <v>0.1376</v>
      </c>
      <c r="P16">
        <v>0.3075</v>
      </c>
      <c r="Q16">
        <v>561.20000000000005</v>
      </c>
      <c r="R16">
        <v>172.6</v>
      </c>
      <c r="S16">
        <v>0.70299999999999996</v>
      </c>
      <c r="T16" s="35">
        <v>1.119E-3</v>
      </c>
    </row>
    <row r="17" spans="2:20" x14ac:dyDescent="0.25">
      <c r="B17">
        <v>3.5</v>
      </c>
      <c r="C17">
        <v>375.4</v>
      </c>
      <c r="D17">
        <v>0</v>
      </c>
      <c r="E17">
        <v>41.06</v>
      </c>
      <c r="F17">
        <v>3.8279999999999998</v>
      </c>
      <c r="G17">
        <v>150.5</v>
      </c>
      <c r="H17">
        <v>376.80099999999999</v>
      </c>
      <c r="I17">
        <v>1.4008</v>
      </c>
      <c r="J17">
        <v>0.28510000000000002</v>
      </c>
      <c r="K17">
        <v>0.46859000000000001</v>
      </c>
      <c r="L17">
        <v>0.95499999999999996</v>
      </c>
      <c r="M17" s="35">
        <v>1.2659999999999999E-2</v>
      </c>
      <c r="N17" s="35">
        <v>6.2129999999999998E-3</v>
      </c>
      <c r="O17">
        <v>9.9500000000000005E-2</v>
      </c>
      <c r="P17">
        <v>0.27229999999999999</v>
      </c>
      <c r="Q17">
        <v>527.79999999999995</v>
      </c>
      <c r="R17">
        <v>143.69999999999999</v>
      </c>
      <c r="S17">
        <v>0.52680000000000005</v>
      </c>
      <c r="T17" s="35">
        <v>1.0610000000000001E-3</v>
      </c>
    </row>
    <row r="18" spans="2:20" x14ac:dyDescent="0.25">
      <c r="B18">
        <v>3.75</v>
      </c>
      <c r="C18">
        <v>375.4</v>
      </c>
      <c r="D18">
        <v>0</v>
      </c>
      <c r="E18">
        <v>28.79</v>
      </c>
      <c r="F18">
        <v>2.8420000000000001</v>
      </c>
      <c r="G18">
        <v>111.7</v>
      </c>
      <c r="H18">
        <v>376.69799999999998</v>
      </c>
      <c r="I18">
        <v>1.2976000000000001</v>
      </c>
      <c r="J18">
        <v>0.22850000000000001</v>
      </c>
      <c r="K18">
        <v>0.50205999999999995</v>
      </c>
      <c r="L18">
        <v>0.96640000000000004</v>
      </c>
      <c r="M18" s="35">
        <v>8.8780000000000005E-3</v>
      </c>
      <c r="N18" s="35">
        <v>4.6119999999999998E-3</v>
      </c>
      <c r="O18">
        <v>6.5500000000000003E-2</v>
      </c>
      <c r="P18">
        <v>0.22090000000000001</v>
      </c>
      <c r="Q18">
        <v>488.8</v>
      </c>
      <c r="R18">
        <v>108</v>
      </c>
      <c r="S18">
        <v>0.35859999999999997</v>
      </c>
      <c r="T18" s="35">
        <v>1.1689999999999999E-3</v>
      </c>
    </row>
    <row r="19" spans="2:20" x14ac:dyDescent="0.25">
      <c r="B19">
        <v>4</v>
      </c>
      <c r="C19">
        <v>375.4</v>
      </c>
      <c r="D19">
        <v>0</v>
      </c>
      <c r="E19">
        <v>16.28</v>
      </c>
      <c r="F19">
        <v>1.708</v>
      </c>
      <c r="G19">
        <v>67.14</v>
      </c>
      <c r="H19">
        <v>376.57900000000001</v>
      </c>
      <c r="I19">
        <v>1.1789000000000001</v>
      </c>
      <c r="J19">
        <v>0.1512</v>
      </c>
      <c r="K19">
        <v>0.53552999999999995</v>
      </c>
      <c r="L19">
        <v>0.97009999999999996</v>
      </c>
      <c r="M19" s="35">
        <v>5.0220000000000004E-3</v>
      </c>
      <c r="N19" s="35">
        <v>2.7720000000000002E-3</v>
      </c>
      <c r="O19">
        <v>3.49E-2</v>
      </c>
      <c r="P19">
        <v>0.1467</v>
      </c>
      <c r="Q19">
        <v>443.9</v>
      </c>
      <c r="R19">
        <v>65.14</v>
      </c>
      <c r="S19">
        <v>0.19839999999999999</v>
      </c>
      <c r="T19" s="35">
        <v>1.4790000000000001E-3</v>
      </c>
    </row>
    <row r="20" spans="2:20" x14ac:dyDescent="0.25">
      <c r="B20">
        <v>4.25</v>
      </c>
      <c r="C20">
        <v>375.4</v>
      </c>
      <c r="D20">
        <v>0</v>
      </c>
      <c r="E20">
        <v>3.5419999999999998</v>
      </c>
      <c r="F20">
        <v>0.42259999999999998</v>
      </c>
      <c r="G20">
        <v>16.61</v>
      </c>
      <c r="H20">
        <v>376.44400000000002</v>
      </c>
      <c r="I20">
        <v>1.0443</v>
      </c>
      <c r="J20">
        <v>4.2299999999999997E-2</v>
      </c>
      <c r="K20">
        <v>0.56899999999999995</v>
      </c>
      <c r="L20">
        <v>0.90610000000000002</v>
      </c>
      <c r="M20" s="35">
        <v>1.0920000000000001E-3</v>
      </c>
      <c r="N20" s="35">
        <v>6.8590000000000003E-4</v>
      </c>
      <c r="O20">
        <v>7.1999999999999998E-3</v>
      </c>
      <c r="P20">
        <v>3.8300000000000001E-2</v>
      </c>
      <c r="Q20">
        <v>393.1</v>
      </c>
      <c r="R20">
        <v>15.05</v>
      </c>
      <c r="S20">
        <v>4.6100000000000002E-2</v>
      </c>
      <c r="T20" s="35">
        <v>1.9530000000000001E-3</v>
      </c>
    </row>
    <row r="21" spans="2:20" x14ac:dyDescent="0.25">
      <c r="B21">
        <v>4.5</v>
      </c>
      <c r="C21">
        <v>375.4</v>
      </c>
      <c r="D21">
        <v>0</v>
      </c>
      <c r="E21">
        <v>-5.5469999999999997</v>
      </c>
      <c r="F21" s="35">
        <v>-0.1883</v>
      </c>
      <c r="G21">
        <v>-7.4039999999999999</v>
      </c>
      <c r="H21">
        <v>376.38</v>
      </c>
      <c r="I21">
        <v>0.98029999999999995</v>
      </c>
      <c r="J21">
        <v>-2.01E-2</v>
      </c>
      <c r="K21">
        <v>0.60246999999999995</v>
      </c>
      <c r="L21">
        <v>3.3715000000000002</v>
      </c>
      <c r="M21" s="35">
        <v>-1.7110000000000001E-3</v>
      </c>
      <c r="N21" s="35">
        <v>-3.057E-4</v>
      </c>
      <c r="O21">
        <v>-1.06E-2</v>
      </c>
      <c r="P21">
        <v>-6.7699999999999996E-2</v>
      </c>
      <c r="Q21">
        <v>369</v>
      </c>
      <c r="R21">
        <v>-24.96</v>
      </c>
      <c r="S21">
        <v>-3.9199999999999999E-2</v>
      </c>
      <c r="T21" s="35">
        <v>2.043E-2</v>
      </c>
    </row>
    <row r="22" spans="2:20" x14ac:dyDescent="0.25">
      <c r="B22">
        <v>4.75</v>
      </c>
      <c r="C22">
        <v>375.4</v>
      </c>
      <c r="D22">
        <v>0</v>
      </c>
      <c r="E22">
        <v>-7.1319999999999997</v>
      </c>
      <c r="F22" s="35">
        <v>-0.1026</v>
      </c>
      <c r="G22">
        <v>-4.0350000000000001</v>
      </c>
      <c r="H22">
        <v>376.38900000000001</v>
      </c>
      <c r="I22">
        <v>0.98929999999999996</v>
      </c>
      <c r="J22">
        <v>-1.0800000000000001E-2</v>
      </c>
      <c r="K22">
        <v>0.63593999999999995</v>
      </c>
      <c r="L22">
        <v>8.3948</v>
      </c>
      <c r="M22" s="35">
        <v>-2.199E-3</v>
      </c>
      <c r="N22" s="35">
        <v>-1.6660000000000001E-4</v>
      </c>
      <c r="O22">
        <v>-1.29E-2</v>
      </c>
      <c r="P22">
        <v>-9.0999999999999998E-2</v>
      </c>
      <c r="Q22">
        <v>372.3</v>
      </c>
      <c r="R22">
        <v>-33.869999999999997</v>
      </c>
      <c r="S22">
        <v>-4.2000000000000003E-2</v>
      </c>
      <c r="T22" s="35">
        <v>3.2190000000000003E-2</v>
      </c>
    </row>
    <row r="23" spans="2:20" x14ac:dyDescent="0.25">
      <c r="B23">
        <v>5</v>
      </c>
      <c r="C23">
        <v>375.4</v>
      </c>
      <c r="D23">
        <v>0</v>
      </c>
      <c r="E23">
        <v>-8.9339999999999993</v>
      </c>
      <c r="F23">
        <v>0.1953</v>
      </c>
      <c r="G23" t="s">
        <v>91</v>
      </c>
      <c r="H23">
        <v>376.40199999999999</v>
      </c>
      <c r="I23">
        <v>1.002</v>
      </c>
      <c r="J23">
        <v>2E-3</v>
      </c>
      <c r="K23">
        <v>0.66940999999999995</v>
      </c>
      <c r="L23">
        <v>-58.187600000000003</v>
      </c>
      <c r="M23" s="35">
        <v>-2.7550000000000001E-3</v>
      </c>
      <c r="N23" s="35">
        <v>3.1699999999999998E-5</v>
      </c>
      <c r="O23">
        <v>-1.54E-2</v>
      </c>
      <c r="P23">
        <v>-0.11840000000000001</v>
      </c>
      <c r="Q23">
        <v>377.2</v>
      </c>
      <c r="R23">
        <v>-44.67</v>
      </c>
      <c r="S23">
        <v>-4.2500000000000003E-2</v>
      </c>
      <c r="T23" s="35">
        <v>4.5080000000000002E-2</v>
      </c>
    </row>
    <row r="24" spans="2:20" x14ac:dyDescent="0.25">
      <c r="B24">
        <v>5.25</v>
      </c>
      <c r="C24">
        <v>375.4</v>
      </c>
      <c r="D24">
        <v>0</v>
      </c>
      <c r="E24">
        <v>-11.11</v>
      </c>
      <c r="F24">
        <v>0.16839999999999999</v>
      </c>
      <c r="G24">
        <v>6.6189999999999998</v>
      </c>
      <c r="H24">
        <v>376.41800000000001</v>
      </c>
      <c r="I24">
        <v>1.0176000000000001</v>
      </c>
      <c r="J24">
        <v>1.7299999999999999E-2</v>
      </c>
      <c r="K24">
        <v>0.70287999999999995</v>
      </c>
      <c r="L24">
        <v>-8.8120999999999992</v>
      </c>
      <c r="M24" s="35">
        <v>-3.4259999999999998E-3</v>
      </c>
      <c r="N24" s="35">
        <v>2.7329999999999998E-4</v>
      </c>
      <c r="O24">
        <v>-1.8200000000000001E-2</v>
      </c>
      <c r="P24">
        <v>-0.15229999999999999</v>
      </c>
      <c r="Q24">
        <v>383.1</v>
      </c>
      <c r="R24">
        <v>-58.33</v>
      </c>
      <c r="S24">
        <v>-4.24E-2</v>
      </c>
      <c r="T24" s="35">
        <v>5.926E-2</v>
      </c>
    </row>
    <row r="25" spans="2:20" x14ac:dyDescent="0.25">
      <c r="B25">
        <v>5.5</v>
      </c>
      <c r="C25">
        <v>375.4</v>
      </c>
      <c r="D25">
        <v>0</v>
      </c>
      <c r="E25">
        <v>-13.67</v>
      </c>
      <c r="F25">
        <v>0.33989999999999998</v>
      </c>
      <c r="G25">
        <v>13.36</v>
      </c>
      <c r="H25">
        <v>376.43599999999998</v>
      </c>
      <c r="I25">
        <v>1.0356000000000001</v>
      </c>
      <c r="J25">
        <v>3.4299999999999997E-2</v>
      </c>
      <c r="K25">
        <v>0.73634999999999995</v>
      </c>
      <c r="L25">
        <v>-5.6250999999999998</v>
      </c>
      <c r="M25" s="35">
        <v>-4.215E-3</v>
      </c>
      <c r="N25" s="35">
        <v>5.5179999999999997E-4</v>
      </c>
      <c r="O25">
        <v>-2.1399999999999999E-2</v>
      </c>
      <c r="P25">
        <v>-0.1928</v>
      </c>
      <c r="Q25">
        <v>389.8</v>
      </c>
      <c r="R25">
        <v>-75.17</v>
      </c>
      <c r="S25">
        <v>-4.2200000000000001E-2</v>
      </c>
      <c r="T25" s="35">
        <v>7.4279999999999999E-2</v>
      </c>
    </row>
    <row r="26" spans="2:20" x14ac:dyDescent="0.25">
      <c r="B26">
        <v>5.75</v>
      </c>
      <c r="C26">
        <v>375.4</v>
      </c>
      <c r="D26">
        <v>0</v>
      </c>
      <c r="E26">
        <v>-16.64</v>
      </c>
      <c r="F26">
        <v>0.53200000000000003</v>
      </c>
      <c r="G26">
        <v>20.91</v>
      </c>
      <c r="H26">
        <v>376.45600000000002</v>
      </c>
      <c r="I26">
        <v>1.0557000000000001</v>
      </c>
      <c r="J26">
        <v>5.2600000000000001E-2</v>
      </c>
      <c r="K26">
        <v>0.76981999999999995</v>
      </c>
      <c r="L26">
        <v>-4.5747</v>
      </c>
      <c r="M26" s="35">
        <v>-5.1310000000000001E-3</v>
      </c>
      <c r="N26" s="35">
        <v>8.6339999999999995E-4</v>
      </c>
      <c r="O26">
        <v>-2.4899999999999999E-2</v>
      </c>
      <c r="P26">
        <v>-0.2407</v>
      </c>
      <c r="Q26">
        <v>397.4</v>
      </c>
      <c r="R26">
        <v>-95.67</v>
      </c>
      <c r="S26">
        <v>-4.2000000000000003E-2</v>
      </c>
      <c r="T26" s="35">
        <v>9.0020000000000003E-2</v>
      </c>
    </row>
    <row r="27" spans="2:20" x14ac:dyDescent="0.25">
      <c r="B27">
        <v>6</v>
      </c>
      <c r="C27">
        <v>375.4</v>
      </c>
      <c r="D27">
        <v>0</v>
      </c>
      <c r="E27">
        <v>-20.03</v>
      </c>
      <c r="F27">
        <v>0.74270000000000003</v>
      </c>
      <c r="G27">
        <v>29.2</v>
      </c>
      <c r="H27">
        <v>376.47800000000001</v>
      </c>
      <c r="I27">
        <v>1.0778000000000001</v>
      </c>
      <c r="J27">
        <v>7.1999999999999995E-2</v>
      </c>
      <c r="K27">
        <v>0.80328999999999995</v>
      </c>
      <c r="L27">
        <v>-4.1161000000000003</v>
      </c>
      <c r="M27" s="35">
        <v>-6.1770000000000002E-3</v>
      </c>
      <c r="N27" s="35">
        <v>1.2049999999999999E-3</v>
      </c>
      <c r="O27">
        <v>-2.8799999999999999E-2</v>
      </c>
      <c r="P27">
        <v>-0.29620000000000002</v>
      </c>
      <c r="Q27">
        <v>405.8</v>
      </c>
      <c r="R27">
        <v>-120.2</v>
      </c>
      <c r="S27">
        <v>-4.1799999999999997E-2</v>
      </c>
      <c r="T27">
        <v>0.10630000000000001</v>
      </c>
    </row>
    <row r="28" spans="2:20" x14ac:dyDescent="0.25">
      <c r="B28">
        <v>6.25</v>
      </c>
      <c r="C28">
        <v>375.4</v>
      </c>
      <c r="D28">
        <v>0</v>
      </c>
      <c r="E28">
        <v>-23.85</v>
      </c>
      <c r="F28">
        <v>0.97040000000000004</v>
      </c>
      <c r="G28">
        <v>38.15</v>
      </c>
      <c r="H28">
        <v>376.50200000000001</v>
      </c>
      <c r="I28">
        <v>1.1015999999999999</v>
      </c>
      <c r="J28">
        <v>9.1999999999999998E-2</v>
      </c>
      <c r="K28">
        <v>0.83677000000000001</v>
      </c>
      <c r="L28">
        <v>-3.907</v>
      </c>
      <c r="M28" s="35">
        <v>-7.3540000000000003E-3</v>
      </c>
      <c r="N28" s="35">
        <v>1.575E-3</v>
      </c>
      <c r="O28">
        <v>-3.2899999999999999E-2</v>
      </c>
      <c r="P28">
        <v>-0.35930000000000001</v>
      </c>
      <c r="Q28">
        <v>414.8</v>
      </c>
      <c r="R28">
        <v>-149</v>
      </c>
      <c r="S28">
        <v>-4.1599999999999998E-2</v>
      </c>
      <c r="T28">
        <v>0.12280000000000001</v>
      </c>
    </row>
    <row r="29" spans="2:20" x14ac:dyDescent="0.25">
      <c r="B29">
        <v>6.5</v>
      </c>
      <c r="C29">
        <v>375.4</v>
      </c>
      <c r="D29">
        <v>0</v>
      </c>
      <c r="E29">
        <v>-28.1</v>
      </c>
      <c r="F29">
        <v>1.214</v>
      </c>
      <c r="G29">
        <v>47.71</v>
      </c>
      <c r="H29">
        <v>376.52699999999999</v>
      </c>
      <c r="I29">
        <v>1.1271</v>
      </c>
      <c r="J29">
        <v>0.1124</v>
      </c>
      <c r="K29">
        <v>0.87024000000000001</v>
      </c>
      <c r="L29">
        <v>-3.8279000000000001</v>
      </c>
      <c r="M29" s="35">
        <v>-8.6650000000000008E-3</v>
      </c>
      <c r="N29" s="35">
        <v>1.97E-3</v>
      </c>
      <c r="O29">
        <v>-3.73E-2</v>
      </c>
      <c r="P29">
        <v>-0.43030000000000002</v>
      </c>
      <c r="Q29">
        <v>424.4</v>
      </c>
      <c r="R29">
        <v>-182.6</v>
      </c>
      <c r="S29">
        <v>-4.1300000000000003E-2</v>
      </c>
      <c r="T29">
        <v>0.13950000000000001</v>
      </c>
    </row>
    <row r="30" spans="2:20" x14ac:dyDescent="0.25">
      <c r="B30">
        <v>6.75</v>
      </c>
      <c r="C30">
        <v>375.4</v>
      </c>
      <c r="D30">
        <v>0</v>
      </c>
      <c r="E30">
        <v>-32.78</v>
      </c>
      <c r="F30">
        <v>1.4710000000000001</v>
      </c>
      <c r="G30">
        <v>57.83</v>
      </c>
      <c r="H30">
        <v>376.55399999999997</v>
      </c>
      <c r="I30">
        <v>1.1539999999999999</v>
      </c>
      <c r="J30">
        <v>0.1331</v>
      </c>
      <c r="K30">
        <v>0.90371000000000001</v>
      </c>
      <c r="L30">
        <v>-3.8268</v>
      </c>
      <c r="M30" s="35">
        <v>-1.0109999999999999E-2</v>
      </c>
      <c r="N30" s="35">
        <v>2.3869999999999998E-3</v>
      </c>
      <c r="O30">
        <v>-4.19E-2</v>
      </c>
      <c r="P30">
        <v>-0.50919999999999999</v>
      </c>
      <c r="Q30">
        <v>434.6</v>
      </c>
      <c r="R30">
        <v>-221.3</v>
      </c>
      <c r="S30">
        <v>-4.1099999999999998E-2</v>
      </c>
      <c r="T30">
        <v>0.15629999999999999</v>
      </c>
    </row>
    <row r="31" spans="2:20" x14ac:dyDescent="0.25">
      <c r="B31">
        <v>7</v>
      </c>
      <c r="C31">
        <v>375.4</v>
      </c>
      <c r="D31">
        <v>0</v>
      </c>
      <c r="E31">
        <v>-37.909999999999997</v>
      </c>
      <c r="F31">
        <v>1.7410000000000001</v>
      </c>
      <c r="G31">
        <v>68.45</v>
      </c>
      <c r="H31">
        <v>376.58199999999999</v>
      </c>
      <c r="I31">
        <v>1.1822999999999999</v>
      </c>
      <c r="J31">
        <v>0.1537</v>
      </c>
      <c r="K31">
        <v>0.93718000000000001</v>
      </c>
      <c r="L31">
        <v>-3.8769</v>
      </c>
      <c r="M31" s="35">
        <v>-1.1690000000000001E-2</v>
      </c>
      <c r="N31" s="35">
        <v>2.826E-3</v>
      </c>
      <c r="O31">
        <v>-4.6699999999999998E-2</v>
      </c>
      <c r="P31">
        <v>-0.59599999999999997</v>
      </c>
      <c r="Q31">
        <v>445.2</v>
      </c>
      <c r="R31">
        <v>-265.39999999999998</v>
      </c>
      <c r="S31">
        <v>-4.0899999999999999E-2</v>
      </c>
      <c r="T31">
        <v>0.17299999999999999</v>
      </c>
    </row>
    <row r="32" spans="2:20" x14ac:dyDescent="0.25">
      <c r="B32">
        <v>7.25</v>
      </c>
      <c r="C32">
        <v>375.4</v>
      </c>
      <c r="D32">
        <v>0</v>
      </c>
      <c r="E32">
        <v>-43.48</v>
      </c>
      <c r="F32">
        <v>2.0230000000000001</v>
      </c>
      <c r="G32">
        <v>79.53</v>
      </c>
      <c r="H32">
        <v>376.61200000000002</v>
      </c>
      <c r="I32">
        <v>1.2119</v>
      </c>
      <c r="J32">
        <v>0.17430000000000001</v>
      </c>
      <c r="K32">
        <v>0.97065000000000001</v>
      </c>
      <c r="L32">
        <v>-3.9636</v>
      </c>
      <c r="M32" s="35">
        <v>-1.341E-2</v>
      </c>
      <c r="N32" s="35">
        <v>3.284E-3</v>
      </c>
      <c r="O32">
        <v>-5.1799999999999999E-2</v>
      </c>
      <c r="P32">
        <v>-0.69069999999999998</v>
      </c>
      <c r="Q32">
        <v>456.4</v>
      </c>
      <c r="R32">
        <v>-315.2</v>
      </c>
      <c r="S32">
        <v>-4.07E-2</v>
      </c>
      <c r="T32">
        <v>0.1895</v>
      </c>
    </row>
    <row r="33" spans="2:20" x14ac:dyDescent="0.25">
      <c r="B33">
        <v>7.5</v>
      </c>
      <c r="C33">
        <v>375.4</v>
      </c>
      <c r="D33">
        <v>0</v>
      </c>
      <c r="E33">
        <v>-49.49</v>
      </c>
      <c r="F33">
        <v>2.3159999999999998</v>
      </c>
      <c r="G33">
        <v>91.03</v>
      </c>
      <c r="H33">
        <v>376.642</v>
      </c>
      <c r="I33">
        <v>1.2424999999999999</v>
      </c>
      <c r="J33">
        <v>0.19450000000000001</v>
      </c>
      <c r="K33">
        <v>1.0041199999999999</v>
      </c>
      <c r="L33">
        <v>-4.0777999999999999</v>
      </c>
      <c r="M33" s="35">
        <v>-1.5259999999999999E-2</v>
      </c>
      <c r="N33" s="35">
        <v>3.7580000000000001E-3</v>
      </c>
      <c r="O33">
        <v>-5.7000000000000002E-2</v>
      </c>
      <c r="P33">
        <v>-0.79320000000000002</v>
      </c>
      <c r="Q33">
        <v>468</v>
      </c>
      <c r="R33">
        <v>-371.2</v>
      </c>
      <c r="S33">
        <v>-4.0500000000000001E-2</v>
      </c>
      <c r="T33">
        <v>0.2059</v>
      </c>
    </row>
    <row r="34" spans="2:20" x14ac:dyDescent="0.25">
      <c r="B34">
        <v>7.75</v>
      </c>
      <c r="C34">
        <v>375.4</v>
      </c>
      <c r="D34">
        <v>0</v>
      </c>
      <c r="E34">
        <v>-55.96</v>
      </c>
      <c r="F34">
        <v>2.6179999999999999</v>
      </c>
      <c r="G34">
        <v>102.9</v>
      </c>
      <c r="H34">
        <v>376.67399999999998</v>
      </c>
      <c r="I34">
        <v>1.2741</v>
      </c>
      <c r="J34">
        <v>0.21440000000000001</v>
      </c>
      <c r="K34">
        <v>1.03759</v>
      </c>
      <c r="L34">
        <v>-4.2138999999999998</v>
      </c>
      <c r="M34" s="35">
        <v>-1.7260000000000001E-2</v>
      </c>
      <c r="N34" s="35">
        <v>4.2490000000000002E-3</v>
      </c>
      <c r="O34">
        <v>-6.2399999999999997E-2</v>
      </c>
      <c r="P34">
        <v>-0.90359999999999996</v>
      </c>
      <c r="Q34">
        <v>479.9</v>
      </c>
      <c r="R34">
        <v>-433.7</v>
      </c>
      <c r="S34">
        <v>-4.0300000000000002E-2</v>
      </c>
      <c r="T34">
        <v>0.222</v>
      </c>
    </row>
    <row r="35" spans="2:20" x14ac:dyDescent="0.25">
      <c r="B35">
        <v>8</v>
      </c>
      <c r="C35">
        <v>375.4</v>
      </c>
      <c r="D35">
        <v>0</v>
      </c>
      <c r="E35">
        <v>-62.87</v>
      </c>
      <c r="F35">
        <v>2.9289999999999998</v>
      </c>
      <c r="G35">
        <v>115.1</v>
      </c>
      <c r="H35">
        <v>376.70699999999999</v>
      </c>
      <c r="I35">
        <v>1.3067</v>
      </c>
      <c r="J35">
        <v>0.2339</v>
      </c>
      <c r="K35">
        <v>1.0710599999999999</v>
      </c>
      <c r="L35">
        <v>-4.3680000000000003</v>
      </c>
      <c r="M35" s="35">
        <v>-1.9390000000000001E-2</v>
      </c>
      <c r="N35" s="35">
        <v>4.7540000000000004E-3</v>
      </c>
      <c r="O35">
        <v>-6.7900000000000002E-2</v>
      </c>
      <c r="P35">
        <v>-1.0217000000000001</v>
      </c>
      <c r="Q35">
        <v>492.2</v>
      </c>
      <c r="R35">
        <v>-502.9</v>
      </c>
      <c r="S35">
        <v>-4.0099999999999997E-2</v>
      </c>
      <c r="T35">
        <v>0.23780000000000001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PowerOutput</vt:lpstr>
      <vt:lpstr>HumanEngine</vt:lpstr>
      <vt:lpstr>Prop_B2</vt:lpstr>
      <vt:lpstr>Nemo_CR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 Montero</cp:lastModifiedBy>
  <dcterms:created xsi:type="dcterms:W3CDTF">2016-06-30T21:01:44Z</dcterms:created>
  <dcterms:modified xsi:type="dcterms:W3CDTF">2016-07-06T20:07:50Z</dcterms:modified>
</cp:coreProperties>
</file>