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nemo\prop\"/>
    </mc:Choice>
  </mc:AlternateContent>
  <bookViews>
    <workbookView xWindow="0" yWindow="0" windowWidth="23040" windowHeight="10170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31" i="1"/>
  <c r="B37" i="1"/>
  <c r="B74" i="1"/>
  <c r="B51" i="1"/>
  <c r="B56" i="1" s="1"/>
  <c r="B44" i="1"/>
  <c r="B30" i="1"/>
  <c r="B33" i="1"/>
  <c r="B36" i="1" l="1"/>
  <c r="B76" i="1" s="1"/>
  <c r="B23" i="1"/>
  <c r="B32" i="1" s="1"/>
  <c r="B60" i="1"/>
  <c r="X28" i="1"/>
  <c r="B34" i="1" l="1"/>
  <c r="B75" i="1"/>
  <c r="C67" i="1"/>
  <c r="X27" i="1" l="1"/>
  <c r="Y27" i="1" s="1"/>
  <c r="B43" i="1"/>
  <c r="B42" i="1" l="1"/>
  <c r="B53" i="1"/>
  <c r="B45" i="1"/>
  <c r="B55" i="1" s="1"/>
  <c r="B47" i="1"/>
  <c r="X26" i="1"/>
  <c r="Y26" i="1" s="1"/>
  <c r="Z26" i="1" s="1"/>
  <c r="X25" i="1"/>
  <c r="Y25" i="1" s="1"/>
  <c r="Z25" i="1" s="1"/>
  <c r="X24" i="1"/>
  <c r="Y24" i="1" s="1"/>
  <c r="Z24" i="1" s="1"/>
  <c r="Z27" i="1"/>
  <c r="B59" i="1" l="1"/>
  <c r="B61" i="1" s="1"/>
  <c r="B52" i="1" l="1"/>
  <c r="B81" i="1" s="1"/>
  <c r="B46" i="1"/>
  <c r="B48" i="1" s="1"/>
  <c r="B79" i="1" l="1"/>
  <c r="B80" i="1" s="1"/>
</calcChain>
</file>

<file path=xl/comments1.xml><?xml version="1.0" encoding="utf-8"?>
<comments xmlns="http://schemas.openxmlformats.org/spreadsheetml/2006/main">
  <authors>
    <author>Fernando Valentini</author>
  </authors>
  <commentList>
    <comment ref="B30" authorId="0" shapeId="0">
      <text>
        <r>
          <rPr>
            <b/>
            <sz val="9"/>
            <color indexed="81"/>
            <rFont val="Segoe UI"/>
            <family val="2"/>
          </rPr>
          <t>Fernando Valentini:</t>
        </r>
        <r>
          <rPr>
            <sz val="9"/>
            <color indexed="81"/>
            <rFont val="Segoe UI"/>
            <family val="2"/>
          </rPr>
          <t xml:space="preserve">
As per Misumi, a 9 teeth sprocket has d_p=37,13mm</t>
        </r>
      </text>
    </comment>
    <comment ref="B50" authorId="0" shapeId="0">
      <text>
        <r>
          <rPr>
            <b/>
            <sz val="9"/>
            <color indexed="81"/>
            <rFont val="Segoe UI"/>
            <family val="2"/>
          </rPr>
          <t>Fernando Valentini:</t>
        </r>
        <r>
          <rPr>
            <sz val="9"/>
            <color indexed="81"/>
            <rFont val="Segoe UI"/>
            <family val="2"/>
          </rPr>
          <t xml:space="preserve">
Assuption! 
Efficiency loss due to cross transmission</t>
        </r>
      </text>
    </comment>
  </commentList>
</comments>
</file>

<file path=xl/sharedStrings.xml><?xml version="1.0" encoding="utf-8"?>
<sst xmlns="http://schemas.openxmlformats.org/spreadsheetml/2006/main" count="109" uniqueCount="81">
  <si>
    <t>Nm</t>
  </si>
  <si>
    <t>z1</t>
  </si>
  <si>
    <t>z2</t>
  </si>
  <si>
    <t>z3</t>
  </si>
  <si>
    <t>z4</t>
  </si>
  <si>
    <t>ratio 1</t>
  </si>
  <si>
    <t>Ratio 2</t>
  </si>
  <si>
    <t>Total Ratio</t>
  </si>
  <si>
    <t>n_rider</t>
  </si>
  <si>
    <t>n_prop</t>
  </si>
  <si>
    <t>rpm</t>
  </si>
  <si>
    <t>Eff</t>
  </si>
  <si>
    <t>Eff_tr_1</t>
  </si>
  <si>
    <t>Transmission 1</t>
  </si>
  <si>
    <t>Transmision 2</t>
  </si>
  <si>
    <t>P_rider</t>
  </si>
  <si>
    <t>W</t>
  </si>
  <si>
    <t>T_rider</t>
  </si>
  <si>
    <t>P_prop</t>
  </si>
  <si>
    <t>T_prop</t>
  </si>
  <si>
    <t>Propeller Output</t>
  </si>
  <si>
    <t>Chains Characteristics</t>
  </si>
  <si>
    <t>Series 35</t>
  </si>
  <si>
    <t>Max tension</t>
  </si>
  <si>
    <t>Series 25</t>
  </si>
  <si>
    <t>Chain</t>
  </si>
  <si>
    <t>Chain to be used:</t>
  </si>
  <si>
    <t>Chain tension</t>
  </si>
  <si>
    <t>min_n_teeth</t>
  </si>
  <si>
    <t>min_D_p</t>
  </si>
  <si>
    <t>Chain Series</t>
  </si>
  <si>
    <t>http://appliedmechanics.asmedigitalcollection.asme.org/data/Journals/JAMCAV/926527/jam_80_2_021005_f004.png</t>
  </si>
  <si>
    <t>http://appliedmechanics.asmedigitalcollection.asme.org/article.aspx?articleid=1661193</t>
  </si>
  <si>
    <t>1/T</t>
  </si>
  <si>
    <t>(R2-R1)/(R1*R2)</t>
  </si>
  <si>
    <t>N</t>
  </si>
  <si>
    <t>mm</t>
  </si>
  <si>
    <t>1/N</t>
  </si>
  <si>
    <t>D_p z3</t>
  </si>
  <si>
    <t>D_p z4</t>
  </si>
  <si>
    <t>Eff_tr_2</t>
  </si>
  <si>
    <t>Eff_chart</t>
  </si>
  <si>
    <t>Eff_loss_cross</t>
  </si>
  <si>
    <t>D_p z1</t>
  </si>
  <si>
    <t>9 to 10</t>
  </si>
  <si>
    <t>m/s</t>
  </si>
  <si>
    <t>11 to 12</t>
  </si>
  <si>
    <t>13 to 14</t>
  </si>
  <si>
    <t>15 to 17</t>
  </si>
  <si>
    <t>18 to 21</t>
  </si>
  <si>
    <t>22 to 25</t>
  </si>
  <si>
    <t>more than 25</t>
  </si>
  <si>
    <t>Number of teeth</t>
  </si>
  <si>
    <t>Chain velocity</t>
  </si>
  <si>
    <t>Chain max velocity</t>
  </si>
  <si>
    <t>Margin chain tension</t>
  </si>
  <si>
    <t>Chain max allowed velocity</t>
  </si>
  <si>
    <t>Chain velocity OK?</t>
  </si>
  <si>
    <t>Max chain velocity</t>
  </si>
  <si>
    <t>Source: doc Chain rexnord Auslegung Kettentrieb (En).pdf</t>
  </si>
  <si>
    <t>Series 40</t>
  </si>
  <si>
    <t>Transmission 2</t>
  </si>
  <si>
    <t>Transmission Calculation</t>
  </si>
  <si>
    <t>Objective:</t>
  </si>
  <si>
    <t>This calculations aims to calculate the mechanical transmission from the cranck up to the propeller.</t>
  </si>
  <si>
    <t>Transmission 2: located inside the quill, transfer power from the rear sprocket up to the propeller.</t>
  </si>
  <si>
    <t>Transmission 1: from cranck to the rear sprocket.</t>
  </si>
  <si>
    <t>Power input:</t>
  </si>
  <si>
    <t>teeth</t>
  </si>
  <si>
    <t>Cels that can be edited</t>
  </si>
  <si>
    <t>Author</t>
  </si>
  <si>
    <t>Fernando Valentini; Diego Montero; Gustavo Violato</t>
  </si>
  <si>
    <t>Version</t>
  </si>
  <si>
    <t>00</t>
  </si>
  <si>
    <t>Date</t>
  </si>
  <si>
    <t>July 30th, 2016</t>
  </si>
  <si>
    <t>Operation style</t>
  </si>
  <si>
    <t>Type 1 for normal operation</t>
  </si>
  <si>
    <t>Type 2 for peak power</t>
  </si>
  <si>
    <t>Calculations: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</si>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</sst>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1" fontId="0" fillId="2" borderId="0" xfId="0" applyNumberFormat="1" applyFill="1"/>
    <xf numFmtId="0" fontId="0" fillId="0" borderId="0" xfId="0" applyFill="1"/>
    <xf numFmtId="0" fontId="1" fillId="3" borderId="0" xfId="0" applyFont="1" applyFill="1"/>
    <xf numFmtId="0" fontId="4" fillId="0" borderId="0" xfId="1"/>
    <xf numFmtId="16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0" fontId="0" fillId="0" borderId="0" xfId="0" quotePrefix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19578711650353"/>
          <c:y val="9.3606760999047897E-2"/>
          <c:w val="0.76052136601813436"/>
          <c:h val="0.76389615861400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Plan1!$T$22</c:f>
              <c:strCache>
                <c:ptCount val="1"/>
                <c:pt idx="0">
                  <c:v>0.00125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Plan1!$T$23:$T$27</c:f>
              <c:numCache>
                <c:formatCode>General</c:formatCode>
                <c:ptCount val="5"/>
                <c:pt idx="0">
                  <c:v>1</c:v>
                </c:pt>
                <c:pt idx="1">
                  <c:v>0.92500000000000004</c:v>
                </c:pt>
                <c:pt idx="2">
                  <c:v>0.82499999999999996</c:v>
                </c:pt>
                <c:pt idx="3">
                  <c:v>0.72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Plan1!$U$22</c:f>
              <c:strCache>
                <c:ptCount val="1"/>
                <c:pt idx="0">
                  <c:v>0.0025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Plan1!$U$23:$U$27</c:f>
              <c:numCache>
                <c:formatCode>General</c:formatCode>
                <c:ptCount val="5"/>
                <c:pt idx="0">
                  <c:v>1</c:v>
                </c:pt>
                <c:pt idx="1">
                  <c:v>0.95499999999999996</c:v>
                </c:pt>
                <c:pt idx="2">
                  <c:v>0.88500000000000001</c:v>
                </c:pt>
                <c:pt idx="3">
                  <c:v>0.8</c:v>
                </c:pt>
                <c:pt idx="4">
                  <c:v>0.72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Plan1!$V$22</c:f>
              <c:strCache>
                <c:ptCount val="1"/>
                <c:pt idx="0">
                  <c:v>0.005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Plan1!$V$23:$V$27</c:f>
              <c:numCache>
                <c:formatCode>General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0.92</c:v>
                </c:pt>
                <c:pt idx="3">
                  <c:v>0.86</c:v>
                </c:pt>
                <c:pt idx="4">
                  <c:v>0.79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Plan1!$W$22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Plan1!$W$23:$W$27</c:f>
              <c:numCache>
                <c:formatCode>General</c:formatCode>
                <c:ptCount val="5"/>
                <c:pt idx="0">
                  <c:v>1</c:v>
                </c:pt>
                <c:pt idx="1">
                  <c:v>0.98</c:v>
                </c:pt>
                <c:pt idx="2">
                  <c:v>0.94</c:v>
                </c:pt>
                <c:pt idx="3">
                  <c:v>0.89500000000000002</c:v>
                </c:pt>
                <c:pt idx="4">
                  <c:v>0.84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Plan1!$X$22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Plan1!$X$23:$X$27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0.9871428571428571</c:v>
                </c:pt>
                <c:pt idx="2">
                  <c:v>0.95428571428571418</c:v>
                </c:pt>
                <c:pt idx="3">
                  <c:v>0.91999999999999993</c:v>
                </c:pt>
                <c:pt idx="4">
                  <c:v>0.87571428571428556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Plan1!$Y$22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Plan1!$Y$23:$Y$27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0.99224489795918358</c:v>
                </c:pt>
                <c:pt idx="2">
                  <c:v>0.96448979591836714</c:v>
                </c:pt>
                <c:pt idx="3">
                  <c:v>0.93785714285714272</c:v>
                </c:pt>
                <c:pt idx="4">
                  <c:v>0.90122448979591807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Plan1!$Z$22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Plan1!$Z$23:$Z$27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0.99588921282798815</c:v>
                </c:pt>
                <c:pt idx="2">
                  <c:v>0.97177842565597639</c:v>
                </c:pt>
                <c:pt idx="3">
                  <c:v>0.95061224489795892</c:v>
                </c:pt>
                <c:pt idx="4">
                  <c:v>0.91944606413994123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6334880"/>
        <c:axId val="-1066332704"/>
      </c:scatterChart>
      <c:valAx>
        <c:axId val="-1066334880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66332704"/>
        <c:crosses val="autoZero"/>
        <c:crossBetween val="midCat"/>
      </c:valAx>
      <c:valAx>
        <c:axId val="-106633270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663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89646</xdr:colOff>
      <xdr:row>30</xdr:row>
      <xdr:rowOff>53261</xdr:rowOff>
    </xdr:from>
    <xdr:to>
      <xdr:col>30</xdr:col>
      <xdr:colOff>88548</xdr:colOff>
      <xdr:row>63</xdr:row>
      <xdr:rowOff>94973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8211" y="4177026"/>
          <a:ext cx="7314102" cy="5958417"/>
        </a:xfrm>
        <a:prstGeom prst="rect">
          <a:avLst/>
        </a:prstGeom>
      </xdr:spPr>
    </xdr:pic>
    <xdr:clientData/>
  </xdr:twoCellAnchor>
  <xdr:twoCellAnchor>
    <xdr:from>
      <xdr:col>7</xdr:col>
      <xdr:colOff>136195</xdr:colOff>
      <xdr:row>37</xdr:row>
      <xdr:rowOff>105168</xdr:rowOff>
    </xdr:from>
    <xdr:to>
      <xdr:col>16</xdr:col>
      <xdr:colOff>218257</xdr:colOff>
      <xdr:row>37</xdr:row>
      <xdr:rowOff>122752</xdr:rowOff>
    </xdr:to>
    <xdr:cxnSp macro="">
      <xdr:nvCxnSpPr>
        <xdr:cNvPr id="10" name="Conector reto 9"/>
        <xdr:cNvCxnSpPr/>
      </xdr:nvCxnSpPr>
      <xdr:spPr>
        <a:xfrm>
          <a:off x="5093677" y="3332462"/>
          <a:ext cx="5568462" cy="17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524779</xdr:colOff>
      <xdr:row>17</xdr:row>
      <xdr:rowOff>0</xdr:rowOff>
    </xdr:from>
    <xdr:to>
      <xdr:col>17</xdr:col>
      <xdr:colOff>116541</xdr:colOff>
      <xdr:row>55</xdr:row>
      <xdr:rowOff>53787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68580</xdr:rowOff>
    </xdr:from>
    <xdr:to>
      <xdr:col>12</xdr:col>
      <xdr:colOff>132652</xdr:colOff>
      <xdr:row>45</xdr:row>
      <xdr:rowOff>2812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440" y="251460"/>
          <a:ext cx="5580952" cy="7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liedmechanics.asmedigitalcollection.asme.org/article.aspx?articleid=166119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1"/>
  <sheetViews>
    <sheetView tabSelected="1" topLeftCell="A32" zoomScale="85" zoomScaleNormal="85" workbookViewId="0">
      <selection activeCell="B41" sqref="B41"/>
    </sheetView>
  </sheetViews>
  <sheetFormatPr defaultRowHeight="14.5" x14ac:dyDescent="0.35"/>
  <cols>
    <col min="1" max="1" width="24.453125" bestFit="1" customWidth="1"/>
    <col min="2" max="2" width="9" customWidth="1"/>
  </cols>
  <sheetData>
    <row r="1" spans="1:8" x14ac:dyDescent="0.35">
      <c r="A1" s="14" t="s">
        <v>62</v>
      </c>
    </row>
    <row r="2" spans="1:8" x14ac:dyDescent="0.35">
      <c r="A2" s="14"/>
    </row>
    <row r="3" spans="1:8" x14ac:dyDescent="0.35">
      <c r="A3" s="14" t="s">
        <v>70</v>
      </c>
      <c r="B3" t="s">
        <v>71</v>
      </c>
    </row>
    <row r="4" spans="1:8" x14ac:dyDescent="0.35">
      <c r="A4" s="14" t="s">
        <v>74</v>
      </c>
      <c r="B4" t="s">
        <v>75</v>
      </c>
    </row>
    <row r="5" spans="1:8" x14ac:dyDescent="0.35">
      <c r="A5" s="14" t="s">
        <v>72</v>
      </c>
      <c r="B5" s="16" t="s">
        <v>73</v>
      </c>
    </row>
    <row r="7" spans="1:8" x14ac:dyDescent="0.35">
      <c r="A7" s="14" t="s">
        <v>63</v>
      </c>
    </row>
    <row r="8" spans="1:8" x14ac:dyDescent="0.35">
      <c r="A8" t="s">
        <v>64</v>
      </c>
    </row>
    <row r="10" spans="1:8" x14ac:dyDescent="0.35">
      <c r="A10" t="s">
        <v>66</v>
      </c>
    </row>
    <row r="11" spans="1:8" x14ac:dyDescent="0.35">
      <c r="A11" t="s">
        <v>65</v>
      </c>
    </row>
    <row r="13" spans="1:8" x14ac:dyDescent="0.35">
      <c r="A13" s="1"/>
      <c r="B13" t="s">
        <v>69</v>
      </c>
    </row>
    <row r="16" spans="1:8" x14ac:dyDescent="0.35">
      <c r="A16" s="14" t="s">
        <v>67</v>
      </c>
      <c r="H16" s="12" t="s">
        <v>32</v>
      </c>
    </row>
    <row r="17" spans="1:26" x14ac:dyDescent="0.35">
      <c r="A17" s="14"/>
      <c r="H17" t="s">
        <v>31</v>
      </c>
    </row>
    <row r="18" spans="1:26" x14ac:dyDescent="0.35">
      <c r="A18" s="14" t="s">
        <v>76</v>
      </c>
      <c r="B18" s="1">
        <v>2</v>
      </c>
      <c r="C18" t="s">
        <v>77</v>
      </c>
    </row>
    <row r="19" spans="1:26" x14ac:dyDescent="0.35">
      <c r="A19" s="14"/>
      <c r="C19" t="s">
        <v>78</v>
      </c>
    </row>
    <row r="20" spans="1:26" x14ac:dyDescent="0.35">
      <c r="A20" s="14"/>
    </row>
    <row r="21" spans="1:26" x14ac:dyDescent="0.35">
      <c r="A21" t="s">
        <v>15</v>
      </c>
      <c r="B21">
        <f>IF(B18=1,250,IF(B18=2,736,"ERROR!"))</f>
        <v>736</v>
      </c>
      <c r="C21" t="s">
        <v>16</v>
      </c>
    </row>
    <row r="22" spans="1:26" x14ac:dyDescent="0.35">
      <c r="A22" t="s">
        <v>8</v>
      </c>
      <c r="B22">
        <f>IF(B18=1,85,IF(B18=2,120,"ERROR!"))</f>
        <v>120</v>
      </c>
      <c r="C22" t="s">
        <v>10</v>
      </c>
      <c r="T22">
        <v>1.25E-3</v>
      </c>
      <c r="U22">
        <v>2.5000000000000001E-3</v>
      </c>
      <c r="V22">
        <v>5.0000000000000001E-3</v>
      </c>
      <c r="W22">
        <v>0.01</v>
      </c>
      <c r="X22">
        <v>0.02</v>
      </c>
      <c r="Y22">
        <v>0.04</v>
      </c>
      <c r="Z22">
        <v>0.08</v>
      </c>
    </row>
    <row r="23" spans="1:26" x14ac:dyDescent="0.35">
      <c r="A23" t="s">
        <v>17</v>
      </c>
      <c r="B23" s="4">
        <f>B21/(B22*PI()/30)</f>
        <v>58.569019057817492</v>
      </c>
      <c r="C23" t="s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35">
      <c r="B24" s="4"/>
      <c r="S24">
        <v>5.0000000000000001E-3</v>
      </c>
      <c r="T24">
        <v>0.92500000000000004</v>
      </c>
      <c r="U24">
        <v>0.95499999999999996</v>
      </c>
      <c r="V24">
        <v>0.97</v>
      </c>
      <c r="W24">
        <v>0.98</v>
      </c>
      <c r="X24" s="3">
        <f t="shared" ref="X24:Z27" si="0">W24+(W24-V24)*$X$28</f>
        <v>0.9871428571428571</v>
      </c>
      <c r="Y24" s="3">
        <f t="shared" si="0"/>
        <v>0.99224489795918358</v>
      </c>
      <c r="Z24" s="3">
        <f t="shared" si="0"/>
        <v>0.99588921282798815</v>
      </c>
    </row>
    <row r="25" spans="1:26" x14ac:dyDescent="0.35">
      <c r="A25" s="14" t="s">
        <v>79</v>
      </c>
      <c r="S25">
        <v>0.01</v>
      </c>
      <c r="T25">
        <v>0.82499999999999996</v>
      </c>
      <c r="U25">
        <v>0.88500000000000001</v>
      </c>
      <c r="V25">
        <v>0.92</v>
      </c>
      <c r="W25">
        <v>0.94</v>
      </c>
      <c r="X25" s="3">
        <f t="shared" si="0"/>
        <v>0.95428571428571418</v>
      </c>
      <c r="Y25" s="3">
        <f t="shared" si="0"/>
        <v>0.96448979591836714</v>
      </c>
      <c r="Z25" s="3">
        <f t="shared" si="0"/>
        <v>0.97177842565597639</v>
      </c>
    </row>
    <row r="26" spans="1:26" x14ac:dyDescent="0.35">
      <c r="S26">
        <v>1.4999999999999999E-2</v>
      </c>
      <c r="T26">
        <v>0.72</v>
      </c>
      <c r="U26">
        <v>0.8</v>
      </c>
      <c r="V26">
        <v>0.86</v>
      </c>
      <c r="W26">
        <v>0.89500000000000002</v>
      </c>
      <c r="X26" s="3">
        <f t="shared" si="0"/>
        <v>0.91999999999999993</v>
      </c>
      <c r="Y26" s="3">
        <f t="shared" si="0"/>
        <v>0.93785714285714272</v>
      </c>
      <c r="Z26" s="3">
        <f t="shared" si="0"/>
        <v>0.95061224489795892</v>
      </c>
    </row>
    <row r="27" spans="1:26" x14ac:dyDescent="0.35">
      <c r="A27" s="14" t="s">
        <v>13</v>
      </c>
      <c r="S27">
        <v>0.02</v>
      </c>
      <c r="T27">
        <v>0.5</v>
      </c>
      <c r="U27">
        <v>0.72</v>
      </c>
      <c r="V27">
        <v>0.79</v>
      </c>
      <c r="W27">
        <v>0.84</v>
      </c>
      <c r="X27" s="3">
        <f t="shared" si="0"/>
        <v>0.87571428571428556</v>
      </c>
      <c r="Y27" s="3">
        <f t="shared" si="0"/>
        <v>0.90122448979591807</v>
      </c>
      <c r="Z27" s="3">
        <f t="shared" si="0"/>
        <v>0.91944606413994123</v>
      </c>
    </row>
    <row r="28" spans="1:26" x14ac:dyDescent="0.35">
      <c r="A28" t="s">
        <v>1</v>
      </c>
      <c r="B28">
        <v>52</v>
      </c>
      <c r="C28" t="s">
        <v>68</v>
      </c>
      <c r="T28" s="3"/>
      <c r="U28" s="3"/>
      <c r="V28" s="3"/>
      <c r="W28" s="3"/>
      <c r="X28" s="3">
        <f>(W27-V27)/(V27-U27)</f>
        <v>0.71428571428571275</v>
      </c>
    </row>
    <row r="29" spans="1:26" x14ac:dyDescent="0.35">
      <c r="A29" t="s">
        <v>2</v>
      </c>
      <c r="B29" s="1">
        <v>14</v>
      </c>
      <c r="C29" t="s">
        <v>68</v>
      </c>
      <c r="T29" s="3"/>
      <c r="U29" s="3"/>
      <c r="V29" s="3"/>
      <c r="W29" s="3"/>
      <c r="X29" s="3"/>
    </row>
    <row r="30" spans="1:26" x14ac:dyDescent="0.35">
      <c r="A30" t="s">
        <v>43</v>
      </c>
      <c r="B30">
        <f>37.13*B28/9</f>
        <v>214.5288888888889</v>
      </c>
      <c r="C30" t="s">
        <v>36</v>
      </c>
      <c r="T30" s="3"/>
      <c r="U30" s="3"/>
      <c r="V30" s="3"/>
      <c r="W30" s="3"/>
    </row>
    <row r="31" spans="1:26" x14ac:dyDescent="0.35">
      <c r="A31" t="s">
        <v>5</v>
      </c>
      <c r="B31" s="3">
        <f>B28/B29</f>
        <v>3.7142857142857144</v>
      </c>
      <c r="T31" s="3"/>
      <c r="U31" s="3"/>
      <c r="V31" s="3"/>
      <c r="W31" s="3"/>
    </row>
    <row r="32" spans="1:26" x14ac:dyDescent="0.35">
      <c r="A32" t="s">
        <v>27</v>
      </c>
      <c r="B32">
        <f>B23/(B30/1000/2)</f>
        <v>546.02454113443139</v>
      </c>
      <c r="C32" t="s">
        <v>35</v>
      </c>
      <c r="T32" s="3"/>
      <c r="U32" s="3"/>
      <c r="V32" s="3"/>
      <c r="W32" s="3"/>
    </row>
    <row r="33" spans="1:4" x14ac:dyDescent="0.35">
      <c r="A33" t="s">
        <v>34</v>
      </c>
      <c r="B33" s="2">
        <f>(B28-B29)/(B28*B29)</f>
        <v>5.21978021978022E-2</v>
      </c>
    </row>
    <row r="34" spans="1:4" x14ac:dyDescent="0.35">
      <c r="A34" t="s">
        <v>33</v>
      </c>
      <c r="B34" s="2">
        <f>1/B32</f>
        <v>1.8314195144459628E-3</v>
      </c>
      <c r="C34" t="s">
        <v>37</v>
      </c>
    </row>
    <row r="35" spans="1:4" x14ac:dyDescent="0.35">
      <c r="A35" t="s">
        <v>12</v>
      </c>
      <c r="B35" s="3">
        <v>0.99</v>
      </c>
    </row>
    <row r="36" spans="1:4" x14ac:dyDescent="0.35">
      <c r="A36" t="s">
        <v>53</v>
      </c>
      <c r="B36" s="3">
        <f>PI()/30*B22*(B30/1000/2)</f>
        <v>1.3479247626322288</v>
      </c>
      <c r="C36" t="s">
        <v>45</v>
      </c>
    </row>
    <row r="37" spans="1:4" x14ac:dyDescent="0.35">
      <c r="A37" t="s">
        <v>56</v>
      </c>
      <c r="B37" s="3">
        <f>IF(B29&lt;10,Plan2!B4,IF(B29&lt;12,Plan2!B5,IF(B29&lt;14,Plan2!B6,IF(B29&lt;17,Plan2!B7,IF(B29&lt;21,Plan2!B8,IF(B29&lt;25,Plan2!B9,Plan2!B10))))))</f>
        <v>6</v>
      </c>
      <c r="C37" t="s">
        <v>45</v>
      </c>
    </row>
    <row r="38" spans="1:4" x14ac:dyDescent="0.35">
      <c r="B38" s="3"/>
    </row>
    <row r="39" spans="1:4" x14ac:dyDescent="0.35">
      <c r="A39" s="14" t="s">
        <v>14</v>
      </c>
      <c r="B39" s="3"/>
    </row>
    <row r="40" spans="1:4" x14ac:dyDescent="0.35">
      <c r="A40" s="10" t="s">
        <v>30</v>
      </c>
      <c r="B40" s="9">
        <v>25</v>
      </c>
      <c r="C40" s="10"/>
    </row>
    <row r="41" spans="1:4" x14ac:dyDescent="0.35">
      <c r="A41" s="10" t="s">
        <v>3</v>
      </c>
      <c r="B41" s="1">
        <v>16</v>
      </c>
      <c r="C41" s="10" t="s">
        <v>68</v>
      </c>
    </row>
    <row r="42" spans="1:4" x14ac:dyDescent="0.35">
      <c r="A42" s="10" t="s">
        <v>38</v>
      </c>
      <c r="B42" s="3">
        <f>D67*B41/B43</f>
        <v>32.549999999999997</v>
      </c>
      <c r="C42" s="10" t="s">
        <v>36</v>
      </c>
      <c r="D42" s="10"/>
    </row>
    <row r="43" spans="1:4" x14ac:dyDescent="0.35">
      <c r="A43" t="s">
        <v>4</v>
      </c>
      <c r="B43">
        <f>IF(B40=25,D68,IF(B40=35,C68,"ERROR! Chain not available"))</f>
        <v>16</v>
      </c>
      <c r="C43" t="s">
        <v>68</v>
      </c>
    </row>
    <row r="44" spans="1:4" x14ac:dyDescent="0.35">
      <c r="A44" s="10" t="s">
        <v>39</v>
      </c>
      <c r="B44">
        <f>IF(B40=25,D67,IF(B40=35,C67,"ERROR"))</f>
        <v>32.549999999999997</v>
      </c>
      <c r="C44" s="10" t="s">
        <v>36</v>
      </c>
    </row>
    <row r="45" spans="1:4" x14ac:dyDescent="0.35">
      <c r="A45" t="s">
        <v>6</v>
      </c>
      <c r="B45" s="4">
        <f>B41/B43</f>
        <v>1</v>
      </c>
    </row>
    <row r="46" spans="1:4" x14ac:dyDescent="0.35">
      <c r="A46" t="s">
        <v>27</v>
      </c>
      <c r="B46" s="4">
        <f>B61/(B44/1000/2)</f>
        <v>921.11481738974226</v>
      </c>
      <c r="C46" t="s">
        <v>35</v>
      </c>
    </row>
    <row r="47" spans="1:4" x14ac:dyDescent="0.35">
      <c r="A47" t="s">
        <v>34</v>
      </c>
      <c r="B47" s="2">
        <f>(B41-B43)/(B41*B43)</f>
        <v>0</v>
      </c>
    </row>
    <row r="48" spans="1:4" x14ac:dyDescent="0.35">
      <c r="A48" t="s">
        <v>33</v>
      </c>
      <c r="B48" s="2">
        <f>1/B46</f>
        <v>1.0856409875522389E-3</v>
      </c>
    </row>
    <row r="49" spans="1:3" x14ac:dyDescent="0.35">
      <c r="A49" t="s">
        <v>41</v>
      </c>
      <c r="B49" s="3">
        <v>0.99</v>
      </c>
    </row>
    <row r="50" spans="1:3" x14ac:dyDescent="0.35">
      <c r="A50" t="s">
        <v>42</v>
      </c>
      <c r="B50" s="3">
        <v>0.97</v>
      </c>
    </row>
    <row r="51" spans="1:3" x14ac:dyDescent="0.35">
      <c r="A51" t="s">
        <v>40</v>
      </c>
      <c r="B51" s="3">
        <f>B49*B50</f>
        <v>0.96029999999999993</v>
      </c>
    </row>
    <row r="52" spans="1:3" x14ac:dyDescent="0.35">
      <c r="A52" t="s">
        <v>53</v>
      </c>
      <c r="B52" s="3">
        <f>PI()/30*B59*(B44/1000/2)</f>
        <v>0.75963710363801185</v>
      </c>
      <c r="C52" t="s">
        <v>45</v>
      </c>
    </row>
    <row r="53" spans="1:3" x14ac:dyDescent="0.35">
      <c r="A53" t="s">
        <v>56</v>
      </c>
      <c r="B53" s="3">
        <f>IF(B43&lt;10,Plan2!B4,IF(B43&lt;12,Plan2!B5,IF(B43&lt;14,Plan2!B6,IF(B43&lt;17,Plan2!B7,IF(B43&lt;21,Plan2!B8,IF(B43&lt;25,Plan2!B9,Plan2!B10))))))</f>
        <v>6</v>
      </c>
      <c r="C53" t="s">
        <v>45</v>
      </c>
    </row>
    <row r="55" spans="1:3" x14ac:dyDescent="0.35">
      <c r="A55" t="s">
        <v>7</v>
      </c>
      <c r="B55" s="3">
        <f>B31*B45</f>
        <v>3.7142857142857144</v>
      </c>
    </row>
    <row r="56" spans="1:3" x14ac:dyDescent="0.35">
      <c r="A56" t="s">
        <v>11</v>
      </c>
      <c r="B56" s="3">
        <f>B35*B51</f>
        <v>0.9506969999999999</v>
      </c>
    </row>
    <row r="58" spans="1:3" x14ac:dyDescent="0.35">
      <c r="A58" s="14" t="s">
        <v>20</v>
      </c>
    </row>
    <row r="59" spans="1:3" x14ac:dyDescent="0.35">
      <c r="A59" t="s">
        <v>9</v>
      </c>
      <c r="B59" s="4">
        <f>B22*B55</f>
        <v>445.71428571428572</v>
      </c>
      <c r="C59" t="s">
        <v>10</v>
      </c>
    </row>
    <row r="60" spans="1:3" x14ac:dyDescent="0.35">
      <c r="A60" t="s">
        <v>18</v>
      </c>
      <c r="B60" s="4">
        <f>B21*B56</f>
        <v>699.71299199999999</v>
      </c>
      <c r="C60" t="s">
        <v>16</v>
      </c>
    </row>
    <row r="61" spans="1:3" x14ac:dyDescent="0.35">
      <c r="A61" t="s">
        <v>19</v>
      </c>
      <c r="B61" s="4">
        <f>B60/(B59*PI()/30)</f>
        <v>14.991143653018053</v>
      </c>
      <c r="C61" t="s">
        <v>0</v>
      </c>
    </row>
    <row r="64" spans="1:3" x14ac:dyDescent="0.35">
      <c r="A64" s="14" t="s">
        <v>21</v>
      </c>
    </row>
    <row r="65" spans="1:4" x14ac:dyDescent="0.35">
      <c r="A65" s="5" t="s">
        <v>25</v>
      </c>
      <c r="B65" s="5" t="s">
        <v>60</v>
      </c>
      <c r="C65" s="5" t="s">
        <v>22</v>
      </c>
      <c r="D65" s="5" t="s">
        <v>24</v>
      </c>
    </row>
    <row r="66" spans="1:4" x14ac:dyDescent="0.35">
      <c r="A66" s="5" t="s">
        <v>23</v>
      </c>
      <c r="B66" s="5">
        <v>3630</v>
      </c>
      <c r="C66" s="5">
        <v>2160</v>
      </c>
      <c r="D66" s="5">
        <v>640</v>
      </c>
    </row>
    <row r="67" spans="1:4" x14ac:dyDescent="0.35">
      <c r="A67" s="8" t="s">
        <v>29</v>
      </c>
      <c r="B67" s="8">
        <v>57.07</v>
      </c>
      <c r="C67" s="5">
        <f>27.85</f>
        <v>27.85</v>
      </c>
      <c r="D67" s="5">
        <v>32.549999999999997</v>
      </c>
    </row>
    <row r="68" spans="1:4" x14ac:dyDescent="0.35">
      <c r="A68" s="8" t="s">
        <v>28</v>
      </c>
      <c r="B68" s="8">
        <v>14</v>
      </c>
      <c r="C68" s="5">
        <v>9</v>
      </c>
      <c r="D68" s="5">
        <v>16</v>
      </c>
    </row>
    <row r="69" spans="1:4" x14ac:dyDescent="0.35">
      <c r="A69" s="7"/>
      <c r="B69" s="6"/>
      <c r="C69" s="6"/>
    </row>
    <row r="70" spans="1:4" x14ac:dyDescent="0.35">
      <c r="A70" s="7"/>
      <c r="B70" s="6"/>
      <c r="C70" s="6"/>
    </row>
    <row r="71" spans="1:4" x14ac:dyDescent="0.35">
      <c r="A71" s="15" t="s">
        <v>80</v>
      </c>
      <c r="B71" s="6"/>
      <c r="C71" s="6"/>
    </row>
    <row r="72" spans="1:4" x14ac:dyDescent="0.35">
      <c r="A72" s="7"/>
      <c r="B72" s="6"/>
      <c r="C72" s="6"/>
    </row>
    <row r="73" spans="1:4" x14ac:dyDescent="0.35">
      <c r="A73" s="15" t="s">
        <v>13</v>
      </c>
    </row>
    <row r="74" spans="1:4" x14ac:dyDescent="0.35">
      <c r="A74" s="11" t="s">
        <v>26</v>
      </c>
      <c r="B74" s="11" t="str">
        <f>B65</f>
        <v>Series 40</v>
      </c>
    </row>
    <row r="75" spans="1:4" x14ac:dyDescent="0.35">
      <c r="A75" t="s">
        <v>55</v>
      </c>
      <c r="B75" s="3">
        <f>B66/B32</f>
        <v>6.6480528374388452</v>
      </c>
    </row>
    <row r="76" spans="1:4" x14ac:dyDescent="0.35">
      <c r="A76" t="s">
        <v>57</v>
      </c>
      <c r="B76" t="str">
        <f>IF(B37&gt;B36,"YES","NO")</f>
        <v>YES</v>
      </c>
    </row>
    <row r="78" spans="1:4" x14ac:dyDescent="0.35">
      <c r="A78" s="15" t="s">
        <v>61</v>
      </c>
    </row>
    <row r="79" spans="1:4" x14ac:dyDescent="0.35">
      <c r="A79" s="11" t="s">
        <v>26</v>
      </c>
      <c r="B79" s="11" t="str">
        <f>IF(B46*1.15&lt;D66,D65,IF(B46*1.15&lt;C66,C65,"ERROR! Need to reevaluate design"))</f>
        <v>Series 35</v>
      </c>
    </row>
    <row r="80" spans="1:4" x14ac:dyDescent="0.35">
      <c r="A80" t="s">
        <v>55</v>
      </c>
      <c r="B80" s="3">
        <f>IF(B79=D65,D66/B46,IF(B79=C65,C66/B46,"ERROR! Need to reevaluate design"))</f>
        <v>2.3449845331128363</v>
      </c>
    </row>
    <row r="81" spans="1:2" x14ac:dyDescent="0.35">
      <c r="A81" t="s">
        <v>57</v>
      </c>
      <c r="B81" t="str">
        <f>IF(B53&gt;B52,"YES","NO")</f>
        <v>YES</v>
      </c>
    </row>
  </sheetData>
  <hyperlinks>
    <hyperlink ref="H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C10"/>
    </sheetView>
  </sheetViews>
  <sheetFormatPr defaultRowHeight="14.5" x14ac:dyDescent="0.35"/>
  <cols>
    <col min="1" max="1" width="14.6328125" bestFit="1" customWidth="1"/>
    <col min="2" max="2" width="16.08984375" bestFit="1" customWidth="1"/>
  </cols>
  <sheetData>
    <row r="1" spans="1:5" x14ac:dyDescent="0.35">
      <c r="A1" t="s">
        <v>58</v>
      </c>
      <c r="E1" s="14" t="s">
        <v>59</v>
      </c>
    </row>
    <row r="3" spans="1:5" x14ac:dyDescent="0.35">
      <c r="A3" t="s">
        <v>52</v>
      </c>
      <c r="B3" t="s">
        <v>54</v>
      </c>
    </row>
    <row r="4" spans="1:5" x14ac:dyDescent="0.35">
      <c r="A4" s="13" t="s">
        <v>44</v>
      </c>
      <c r="B4">
        <v>1</v>
      </c>
      <c r="C4" t="s">
        <v>45</v>
      </c>
    </row>
    <row r="5" spans="1:5" x14ac:dyDescent="0.35">
      <c r="A5" t="s">
        <v>46</v>
      </c>
      <c r="B5">
        <v>2</v>
      </c>
      <c r="C5" t="s">
        <v>45</v>
      </c>
    </row>
    <row r="6" spans="1:5" x14ac:dyDescent="0.35">
      <c r="A6" t="s">
        <v>47</v>
      </c>
      <c r="B6">
        <v>3</v>
      </c>
      <c r="C6" t="s">
        <v>45</v>
      </c>
    </row>
    <row r="7" spans="1:5" x14ac:dyDescent="0.35">
      <c r="A7" t="s">
        <v>48</v>
      </c>
      <c r="B7">
        <v>6</v>
      </c>
      <c r="C7" t="s">
        <v>45</v>
      </c>
    </row>
    <row r="8" spans="1:5" x14ac:dyDescent="0.35">
      <c r="A8" t="s">
        <v>49</v>
      </c>
      <c r="B8">
        <v>10</v>
      </c>
      <c r="C8" t="s">
        <v>45</v>
      </c>
    </row>
    <row r="9" spans="1:5" x14ac:dyDescent="0.35">
      <c r="A9" t="s">
        <v>50</v>
      </c>
      <c r="B9">
        <v>15</v>
      </c>
      <c r="C9" t="s">
        <v>45</v>
      </c>
    </row>
    <row r="10" spans="1:5" x14ac:dyDescent="0.35">
      <c r="A10" t="s">
        <v>51</v>
      </c>
      <c r="B10">
        <v>30</v>
      </c>
      <c r="C10" t="s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Valentini</dc:creator>
  <cp:lastModifiedBy>DiegoSCMO</cp:lastModifiedBy>
  <dcterms:created xsi:type="dcterms:W3CDTF">2016-07-22T15:57:57Z</dcterms:created>
  <dcterms:modified xsi:type="dcterms:W3CDTF">2017-03-02T18:18:26Z</dcterms:modified>
</cp:coreProperties>
</file>