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Montero\Dropbox\GitHub\nemo\prop\"/>
    </mc:Choice>
  </mc:AlternateContent>
  <bookViews>
    <workbookView xWindow="0" yWindow="0" windowWidth="20490" windowHeight="9045"/>
  </bookViews>
  <sheets>
    <sheet name="Test Prop" sheetId="4" r:id="rId1"/>
    <sheet name="Larrabee" sheetId="7" r:id="rId2"/>
    <sheet name="E193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7" l="1"/>
  <c r="M4" i="7" s="1"/>
  <c r="E1" i="7" s="1"/>
  <c r="V3" i="7" s="1"/>
  <c r="C15" i="7"/>
  <c r="C16" i="7"/>
  <c r="W5" i="7"/>
  <c r="V5" i="7"/>
  <c r="M5" i="7"/>
  <c r="F5" i="7"/>
  <c r="E21" i="7" s="1"/>
  <c r="T4" i="7"/>
  <c r="S4" i="7"/>
  <c r="Q4" i="7"/>
  <c r="R4" i="7" s="1"/>
  <c r="M3" i="7"/>
  <c r="E1" i="4"/>
  <c r="V3" i="4" s="1"/>
  <c r="K3" i="5"/>
  <c r="I3" i="5" s="1"/>
  <c r="J3" i="5"/>
  <c r="H3" i="5"/>
  <c r="I97" i="5"/>
  <c r="J97" i="5"/>
  <c r="I98" i="5"/>
  <c r="J9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" i="5"/>
  <c r="W5" i="4"/>
  <c r="V5" i="4"/>
  <c r="AE25" i="7"/>
  <c r="AA24" i="7"/>
  <c r="AE23" i="7"/>
  <c r="AA22" i="7"/>
  <c r="AE21" i="7"/>
  <c r="AA20" i="7"/>
  <c r="AB19" i="7"/>
  <c r="AF18" i="7"/>
  <c r="AB17" i="7"/>
  <c r="I12" i="7"/>
  <c r="V10" i="7"/>
  <c r="J10" i="7"/>
  <c r="J5" i="7"/>
  <c r="J12" i="7"/>
  <c r="I8" i="7"/>
  <c r="AD25" i="7"/>
  <c r="Z24" i="7"/>
  <c r="AD23" i="7"/>
  <c r="Z22" i="7"/>
  <c r="AD21" i="7"/>
  <c r="Z20" i="7"/>
  <c r="AA19" i="7"/>
  <c r="AE18" i="7"/>
  <c r="AA17" i="7"/>
  <c r="I10" i="7"/>
  <c r="W7" i="7"/>
  <c r="I5" i="7"/>
  <c r="I7" i="7"/>
  <c r="AB24" i="7"/>
  <c r="AC25" i="7"/>
  <c r="AG24" i="7"/>
  <c r="Y24" i="7"/>
  <c r="AC23" i="7"/>
  <c r="AG22" i="7"/>
  <c r="Y22" i="7"/>
  <c r="AC21" i="7"/>
  <c r="AG20" i="7"/>
  <c r="Y20" i="7"/>
  <c r="Z19" i="7"/>
  <c r="AD18" i="7"/>
  <c r="Z17" i="7"/>
  <c r="V11" i="7"/>
  <c r="J11" i="7"/>
  <c r="J9" i="7"/>
  <c r="V7" i="7"/>
  <c r="J7" i="7"/>
  <c r="J4" i="7"/>
  <c r="I4" i="7"/>
  <c r="AF23" i="7"/>
  <c r="Y18" i="7"/>
  <c r="AB25" i="7"/>
  <c r="AF24" i="7"/>
  <c r="AB23" i="7"/>
  <c r="AF22" i="7"/>
  <c r="AB21" i="7"/>
  <c r="AF20" i="7"/>
  <c r="AG19" i="7"/>
  <c r="Y19" i="7"/>
  <c r="AC18" i="7"/>
  <c r="AG17" i="7"/>
  <c r="Y17" i="7"/>
  <c r="I11" i="7"/>
  <c r="I9" i="7"/>
  <c r="AF25" i="7"/>
  <c r="AF21" i="7"/>
  <c r="AC17" i="7"/>
  <c r="W10" i="7"/>
  <c r="AA25" i="7"/>
  <c r="AE24" i="7"/>
  <c r="AA23" i="7"/>
  <c r="AE22" i="7"/>
  <c r="AA21" i="7"/>
  <c r="AE20" i="7"/>
  <c r="AF19" i="7"/>
  <c r="AB18" i="7"/>
  <c r="AF17" i="7"/>
  <c r="J6" i="7"/>
  <c r="AB22" i="7"/>
  <c r="AG18" i="7"/>
  <c r="Z25" i="7"/>
  <c r="AD24" i="7"/>
  <c r="Z23" i="7"/>
  <c r="AD22" i="7"/>
  <c r="Z21" i="7"/>
  <c r="AD20" i="7"/>
  <c r="AE19" i="7"/>
  <c r="AA18" i="7"/>
  <c r="AE17" i="7"/>
  <c r="J14" i="7"/>
  <c r="Y10" i="7"/>
  <c r="W8" i="7"/>
  <c r="I6" i="7"/>
  <c r="AB20" i="7"/>
  <c r="I13" i="7"/>
  <c r="AG25" i="7"/>
  <c r="Y25" i="7"/>
  <c r="AC24" i="7"/>
  <c r="AG23" i="7"/>
  <c r="Y23" i="7"/>
  <c r="AC22" i="7"/>
  <c r="AG21" i="7"/>
  <c r="Y21" i="7"/>
  <c r="AC20" i="7"/>
  <c r="AD19" i="7"/>
  <c r="Z18" i="7"/>
  <c r="AD17" i="7"/>
  <c r="I14" i="7"/>
  <c r="J13" i="7"/>
  <c r="X10" i="7"/>
  <c r="V8" i="7"/>
  <c r="J8" i="7"/>
  <c r="AC19" i="7"/>
  <c r="Y18" i="4"/>
  <c r="AG18" i="4"/>
  <c r="AF19" i="4"/>
  <c r="AE20" i="4"/>
  <c r="AD21" i="4"/>
  <c r="AC22" i="4"/>
  <c r="AB23" i="4"/>
  <c r="AA24" i="4"/>
  <c r="Z25" i="4"/>
  <c r="AC21" i="4"/>
  <c r="Z18" i="4"/>
  <c r="Y19" i="4"/>
  <c r="AG19" i="4"/>
  <c r="AF20" i="4"/>
  <c r="AE21" i="4"/>
  <c r="AD22" i="4"/>
  <c r="AC23" i="4"/>
  <c r="AB24" i="4"/>
  <c r="AA25" i="4"/>
  <c r="AD20" i="4"/>
  <c r="AA18" i="4"/>
  <c r="Z19" i="4"/>
  <c r="Y20" i="4"/>
  <c r="AG20" i="4"/>
  <c r="AF21" i="4"/>
  <c r="AE22" i="4"/>
  <c r="AD23" i="4"/>
  <c r="AC24" i="4"/>
  <c r="AB25" i="4"/>
  <c r="AE19" i="4"/>
  <c r="AB18" i="4"/>
  <c r="AA19" i="4"/>
  <c r="Z20" i="4"/>
  <c r="Y21" i="4"/>
  <c r="AG21" i="4"/>
  <c r="AF22" i="4"/>
  <c r="AE23" i="4"/>
  <c r="AD24" i="4"/>
  <c r="AC25" i="4"/>
  <c r="AB22" i="4"/>
  <c r="AC18" i="4"/>
  <c r="AB19" i="4"/>
  <c r="AA20" i="4"/>
  <c r="Z21" i="4"/>
  <c r="Y22" i="4"/>
  <c r="AG22" i="4"/>
  <c r="AF23" i="4"/>
  <c r="AE24" i="4"/>
  <c r="AD25" i="4"/>
  <c r="AF18" i="4"/>
  <c r="AD18" i="4"/>
  <c r="AC19" i="4"/>
  <c r="AB20" i="4"/>
  <c r="AA21" i="4"/>
  <c r="Z22" i="4"/>
  <c r="Y23" i="4"/>
  <c r="AG23" i="4"/>
  <c r="AF24" i="4"/>
  <c r="AE25" i="4"/>
  <c r="AA23" i="4"/>
  <c r="Y25" i="4"/>
  <c r="AE18" i="4"/>
  <c r="AD19" i="4"/>
  <c r="AC20" i="4"/>
  <c r="AB21" i="4"/>
  <c r="AA22" i="4"/>
  <c r="Z23" i="4"/>
  <c r="Y24" i="4"/>
  <c r="AG24" i="4"/>
  <c r="AF25" i="4"/>
  <c r="Z24" i="4"/>
  <c r="AG25" i="4"/>
  <c r="AG17" i="4"/>
  <c r="AF17" i="4"/>
  <c r="AE17" i="4"/>
  <c r="AD17" i="4"/>
  <c r="AC17" i="4"/>
  <c r="AB17" i="4"/>
  <c r="AA17" i="4"/>
  <c r="Z17" i="4"/>
  <c r="Y17" i="4"/>
  <c r="V11" i="4"/>
  <c r="Y10" i="4"/>
  <c r="X10" i="4"/>
  <c r="W10" i="4"/>
  <c r="V10" i="4"/>
  <c r="W8" i="4"/>
  <c r="V8" i="4"/>
  <c r="W7" i="4"/>
  <c r="V7" i="4"/>
  <c r="J6" i="4"/>
  <c r="J14" i="4"/>
  <c r="J7" i="4"/>
  <c r="J9" i="4"/>
  <c r="J8" i="4"/>
  <c r="J13" i="4"/>
  <c r="J10" i="4"/>
  <c r="J12" i="4"/>
  <c r="J11" i="4"/>
  <c r="J5" i="4"/>
  <c r="J4" i="4"/>
  <c r="I14" i="4"/>
  <c r="I13" i="4"/>
  <c r="I12" i="4"/>
  <c r="I11" i="4"/>
  <c r="I10" i="4"/>
  <c r="I9" i="4"/>
  <c r="I8" i="4"/>
  <c r="I7" i="4"/>
  <c r="I6" i="4"/>
  <c r="I5" i="4"/>
  <c r="I4" i="4"/>
  <c r="F24" i="7" l="1"/>
  <c r="F29" i="7"/>
  <c r="F30" i="7"/>
  <c r="F22" i="7"/>
  <c r="F20" i="7"/>
  <c r="F23" i="7"/>
  <c r="F25" i="7"/>
  <c r="F27" i="7"/>
  <c r="F28" i="7"/>
  <c r="F21" i="7"/>
  <c r="F26" i="7"/>
  <c r="F6" i="7"/>
  <c r="I22" i="7" s="1"/>
  <c r="V17" i="7"/>
  <c r="I21" i="7"/>
  <c r="M6" i="7"/>
  <c r="I20" i="7"/>
  <c r="L3" i="5"/>
  <c r="G20" i="7" l="1"/>
  <c r="H20" i="7" s="1"/>
  <c r="J20" i="7" s="1"/>
  <c r="G21" i="7"/>
  <c r="H21" i="7" s="1"/>
  <c r="J21" i="7" s="1"/>
  <c r="V18" i="7"/>
  <c r="F7" i="7"/>
  <c r="E22" i="7"/>
  <c r="G22" i="7" s="1"/>
  <c r="H22" i="7" s="1"/>
  <c r="J22" i="7" s="1"/>
  <c r="O3" i="5"/>
  <c r="N6" i="5" s="1"/>
  <c r="J8" i="5"/>
  <c r="M6" i="5"/>
  <c r="L6" i="5"/>
  <c r="M4" i="4"/>
  <c r="Q4" i="4"/>
  <c r="M3" i="4"/>
  <c r="F5" i="4"/>
  <c r="F30" i="4"/>
  <c r="F29" i="4"/>
  <c r="F28" i="4"/>
  <c r="F27" i="4"/>
  <c r="F26" i="4"/>
  <c r="F25" i="4"/>
  <c r="F24" i="4"/>
  <c r="F23" i="4"/>
  <c r="F22" i="4"/>
  <c r="F21" i="4"/>
  <c r="F20" i="4"/>
  <c r="T4" i="4"/>
  <c r="S4" i="4"/>
  <c r="M5" i="4"/>
  <c r="M6" i="4" s="1"/>
  <c r="Q22" i="7" l="1"/>
  <c r="O22" i="7"/>
  <c r="M22" i="7"/>
  <c r="K22" i="7"/>
  <c r="F8" i="7"/>
  <c r="E23" i="7"/>
  <c r="V19" i="7"/>
  <c r="I23" i="7"/>
  <c r="O21" i="7"/>
  <c r="P21" i="7" s="1"/>
  <c r="M21" i="7"/>
  <c r="N21" i="7" s="1"/>
  <c r="K21" i="7"/>
  <c r="L21" i="7" s="1"/>
  <c r="Q21" i="7"/>
  <c r="R21" i="7" s="1"/>
  <c r="E21" i="4"/>
  <c r="V17" i="4"/>
  <c r="O6" i="5"/>
  <c r="M3" i="5" s="1"/>
  <c r="N3" i="5"/>
  <c r="F6" i="4"/>
  <c r="V18" i="4" s="1"/>
  <c r="I20" i="4"/>
  <c r="R4" i="4"/>
  <c r="I22" i="4"/>
  <c r="I21" i="4"/>
  <c r="N22" i="7" l="1"/>
  <c r="P22" i="7"/>
  <c r="G23" i="7"/>
  <c r="H23" i="7" s="1"/>
  <c r="J23" i="7" s="1"/>
  <c r="R22" i="7"/>
  <c r="F9" i="7"/>
  <c r="E24" i="7"/>
  <c r="V20" i="7"/>
  <c r="I24" i="7"/>
  <c r="L22" i="7"/>
  <c r="F7" i="4"/>
  <c r="E22" i="4"/>
  <c r="G20" i="4"/>
  <c r="H20" i="4" s="1"/>
  <c r="J20" i="4" s="1"/>
  <c r="G22" i="4"/>
  <c r="H22" i="4" s="1"/>
  <c r="J22" i="4" s="1"/>
  <c r="G21" i="4"/>
  <c r="H21" i="4" s="1"/>
  <c r="J21" i="4" s="1"/>
  <c r="M23" i="7" l="1"/>
  <c r="N23" i="7" s="1"/>
  <c r="K23" i="7"/>
  <c r="L23" i="7" s="1"/>
  <c r="Q23" i="7"/>
  <c r="R23" i="7" s="1"/>
  <c r="O23" i="7"/>
  <c r="P23" i="7" s="1"/>
  <c r="G24" i="7"/>
  <c r="H24" i="7" s="1"/>
  <c r="J24" i="7" s="1"/>
  <c r="E25" i="7"/>
  <c r="V21" i="7"/>
  <c r="F10" i="7"/>
  <c r="I25" i="7"/>
  <c r="I23" i="4"/>
  <c r="V19" i="4"/>
  <c r="F8" i="4"/>
  <c r="E23" i="4"/>
  <c r="Q21" i="4"/>
  <c r="R21" i="4" s="1"/>
  <c r="O21" i="4"/>
  <c r="P21" i="4" s="1"/>
  <c r="M21" i="4"/>
  <c r="N21" i="4" s="1"/>
  <c r="K21" i="4"/>
  <c r="L21" i="4" s="1"/>
  <c r="Q22" i="4"/>
  <c r="O22" i="4"/>
  <c r="M22" i="4"/>
  <c r="K22" i="4"/>
  <c r="G23" i="4"/>
  <c r="H23" i="4" s="1"/>
  <c r="J23" i="4" s="1"/>
  <c r="Q24" i="7" l="1"/>
  <c r="R24" i="7" s="1"/>
  <c r="O24" i="7"/>
  <c r="P24" i="7" s="1"/>
  <c r="K24" i="7"/>
  <c r="L24" i="7" s="1"/>
  <c r="M24" i="7"/>
  <c r="N24" i="7" s="1"/>
  <c r="F11" i="7"/>
  <c r="E26" i="7"/>
  <c r="V22" i="7"/>
  <c r="I26" i="7"/>
  <c r="G25" i="7"/>
  <c r="H25" i="7" s="1"/>
  <c r="J25" i="7" s="1"/>
  <c r="I24" i="4"/>
  <c r="V20" i="4"/>
  <c r="F9" i="4"/>
  <c r="V21" i="4" s="1"/>
  <c r="E24" i="4"/>
  <c r="N22" i="4"/>
  <c r="P22" i="4"/>
  <c r="L22" i="4"/>
  <c r="R22" i="4"/>
  <c r="G24" i="4"/>
  <c r="H24" i="4" s="1"/>
  <c r="J24" i="4" s="1"/>
  <c r="Q23" i="4"/>
  <c r="O23" i="4"/>
  <c r="M23" i="4"/>
  <c r="K23" i="4"/>
  <c r="M25" i="7" l="1"/>
  <c r="N25" i="7" s="1"/>
  <c r="O25" i="7"/>
  <c r="P25" i="7" s="1"/>
  <c r="K25" i="7"/>
  <c r="L25" i="7" s="1"/>
  <c r="Q25" i="7"/>
  <c r="R25" i="7" s="1"/>
  <c r="G26" i="7"/>
  <c r="H26" i="7" s="1"/>
  <c r="J26" i="7" s="1"/>
  <c r="V23" i="7"/>
  <c r="F12" i="7"/>
  <c r="E27" i="7"/>
  <c r="I27" i="7"/>
  <c r="I25" i="4"/>
  <c r="F10" i="4"/>
  <c r="E25" i="4"/>
  <c r="P23" i="4"/>
  <c r="N23" i="4"/>
  <c r="R23" i="4"/>
  <c r="L23" i="4"/>
  <c r="G25" i="4"/>
  <c r="H25" i="4" s="1"/>
  <c r="J25" i="4" s="1"/>
  <c r="Q24" i="4"/>
  <c r="O24" i="4"/>
  <c r="M24" i="4"/>
  <c r="K24" i="4"/>
  <c r="F13" i="7" l="1"/>
  <c r="E28" i="7"/>
  <c r="V24" i="7"/>
  <c r="I28" i="7"/>
  <c r="G27" i="7"/>
  <c r="H27" i="7" s="1"/>
  <c r="J27" i="7" s="1"/>
  <c r="Q26" i="7"/>
  <c r="R26" i="7" s="1"/>
  <c r="O26" i="7"/>
  <c r="P26" i="7" s="1"/>
  <c r="K26" i="7"/>
  <c r="L26" i="7" s="1"/>
  <c r="M26" i="7"/>
  <c r="N26" i="7" s="1"/>
  <c r="I26" i="4"/>
  <c r="V22" i="4"/>
  <c r="F11" i="4"/>
  <c r="E26" i="4"/>
  <c r="L24" i="4"/>
  <c r="P24" i="4"/>
  <c r="N24" i="4"/>
  <c r="R24" i="4"/>
  <c r="G26" i="4"/>
  <c r="H26" i="4" s="1"/>
  <c r="J26" i="4" s="1"/>
  <c r="Q25" i="4"/>
  <c r="O25" i="4"/>
  <c r="M25" i="4"/>
  <c r="K25" i="4"/>
  <c r="G28" i="7" l="1"/>
  <c r="H28" i="7" s="1"/>
  <c r="J28" i="7" s="1"/>
  <c r="F14" i="7"/>
  <c r="V25" i="7"/>
  <c r="E29" i="7"/>
  <c r="I29" i="7"/>
  <c r="Q27" i="7"/>
  <c r="R27" i="7" s="1"/>
  <c r="O27" i="7"/>
  <c r="P27" i="7" s="1"/>
  <c r="M27" i="7"/>
  <c r="N27" i="7" s="1"/>
  <c r="K27" i="7"/>
  <c r="L27" i="7" s="1"/>
  <c r="I27" i="4"/>
  <c r="V23" i="4"/>
  <c r="F12" i="4"/>
  <c r="E27" i="4"/>
  <c r="P25" i="4"/>
  <c r="N25" i="4"/>
  <c r="L25" i="4"/>
  <c r="R25" i="4"/>
  <c r="Q26" i="4"/>
  <c r="O26" i="4"/>
  <c r="M26" i="4"/>
  <c r="K26" i="4"/>
  <c r="G27" i="4"/>
  <c r="H27" i="4" s="1"/>
  <c r="J27" i="4" s="1"/>
  <c r="Q28" i="7" l="1"/>
  <c r="R28" i="7" s="1"/>
  <c r="O28" i="7"/>
  <c r="P28" i="7" s="1"/>
  <c r="K28" i="7"/>
  <c r="L28" i="7" s="1"/>
  <c r="M28" i="7"/>
  <c r="N28" i="7" s="1"/>
  <c r="G29" i="7"/>
  <c r="H29" i="7" s="1"/>
  <c r="J29" i="7" s="1"/>
  <c r="E30" i="7"/>
  <c r="I30" i="7"/>
  <c r="I28" i="4"/>
  <c r="V24" i="4"/>
  <c r="F13" i="4"/>
  <c r="V25" i="4" s="1"/>
  <c r="E28" i="4"/>
  <c r="G28" i="4" s="1"/>
  <c r="H28" i="4" s="1"/>
  <c r="J28" i="4" s="1"/>
  <c r="N26" i="4"/>
  <c r="P26" i="4"/>
  <c r="L26" i="4"/>
  <c r="R26" i="4"/>
  <c r="I29" i="4"/>
  <c r="Q27" i="4"/>
  <c r="O27" i="4"/>
  <c r="M27" i="4"/>
  <c r="K27" i="4"/>
  <c r="J30" i="7" l="1"/>
  <c r="Q29" i="7"/>
  <c r="R29" i="7" s="1"/>
  <c r="K29" i="7"/>
  <c r="L29" i="7" s="1"/>
  <c r="O29" i="7"/>
  <c r="P29" i="7" s="1"/>
  <c r="M29" i="7"/>
  <c r="N29" i="7" s="1"/>
  <c r="F14" i="4"/>
  <c r="E30" i="4" s="1"/>
  <c r="E29" i="4"/>
  <c r="N27" i="4"/>
  <c r="P27" i="4"/>
  <c r="R27" i="4"/>
  <c r="L27" i="4"/>
  <c r="G29" i="4"/>
  <c r="H29" i="4" s="1"/>
  <c r="J29" i="4" s="1"/>
  <c r="Q28" i="4"/>
  <c r="O28" i="4"/>
  <c r="M28" i="4"/>
  <c r="K28" i="4"/>
  <c r="K30" i="7" l="1"/>
  <c r="L30" i="7" s="1"/>
  <c r="Q30" i="7"/>
  <c r="R30" i="7" s="1"/>
  <c r="O30" i="7"/>
  <c r="P30" i="7" s="1"/>
  <c r="M30" i="7"/>
  <c r="N30" i="7" s="1"/>
  <c r="I30" i="4"/>
  <c r="J30" i="4" s="1"/>
  <c r="N28" i="4"/>
  <c r="P28" i="4"/>
  <c r="R28" i="4"/>
  <c r="L28" i="4"/>
  <c r="Q29" i="4"/>
  <c r="O29" i="4"/>
  <c r="M29" i="4"/>
  <c r="K29" i="4"/>
  <c r="M7" i="7" l="1"/>
  <c r="O5" i="7" s="1"/>
  <c r="S21" i="7" s="1"/>
  <c r="N29" i="4"/>
  <c r="P29" i="4"/>
  <c r="L29" i="4"/>
  <c r="R29" i="4"/>
  <c r="K30" i="4"/>
  <c r="Q30" i="4"/>
  <c r="O30" i="4"/>
  <c r="M30" i="4"/>
  <c r="O8" i="7" l="1"/>
  <c r="X20" i="7" s="1"/>
  <c r="O4" i="7"/>
  <c r="P4" i="7" s="1"/>
  <c r="M8" i="7"/>
  <c r="O10" i="7"/>
  <c r="S26" i="7" s="1"/>
  <c r="T26" i="7" s="1"/>
  <c r="M9" i="7"/>
  <c r="M10" i="7" s="1"/>
  <c r="O9" i="7"/>
  <c r="S25" i="7" s="1"/>
  <c r="T9" i="7" s="1"/>
  <c r="O13" i="7"/>
  <c r="X25" i="7" s="1"/>
  <c r="O7" i="7"/>
  <c r="S23" i="7" s="1"/>
  <c r="T7" i="7" s="1"/>
  <c r="O6" i="7"/>
  <c r="X18" i="7" s="1"/>
  <c r="O14" i="7"/>
  <c r="P14" i="7" s="1"/>
  <c r="O12" i="7"/>
  <c r="S28" i="7" s="1"/>
  <c r="T12" i="7" s="1"/>
  <c r="O11" i="7"/>
  <c r="S27" i="7" s="1"/>
  <c r="T11" i="7" s="1"/>
  <c r="T5" i="7"/>
  <c r="T21" i="7"/>
  <c r="P13" i="7"/>
  <c r="S29" i="7"/>
  <c r="X17" i="7"/>
  <c r="P5" i="7"/>
  <c r="X24" i="7"/>
  <c r="N30" i="4"/>
  <c r="P30" i="4"/>
  <c r="R30" i="4"/>
  <c r="L30" i="4"/>
  <c r="X21" i="7" l="1"/>
  <c r="P7" i="7"/>
  <c r="S24" i="7"/>
  <c r="P8" i="7"/>
  <c r="T25" i="7"/>
  <c r="Q9" i="7" s="1"/>
  <c r="S22" i="7"/>
  <c r="T6" i="7" s="1"/>
  <c r="S30" i="7"/>
  <c r="T30" i="7" s="1"/>
  <c r="P6" i="7"/>
  <c r="T27" i="7"/>
  <c r="Q11" i="7" s="1"/>
  <c r="T23" i="7"/>
  <c r="Q7" i="7" s="1"/>
  <c r="P9" i="7"/>
  <c r="X19" i="7"/>
  <c r="X23" i="7"/>
  <c r="T10" i="7"/>
  <c r="P10" i="7"/>
  <c r="T28" i="7"/>
  <c r="S12" i="7" s="1"/>
  <c r="X22" i="7"/>
  <c r="P11" i="7"/>
  <c r="P12" i="7"/>
  <c r="M11" i="7"/>
  <c r="Q5" i="7"/>
  <c r="S5" i="7"/>
  <c r="Q10" i="7"/>
  <c r="S10" i="7"/>
  <c r="T13" i="7"/>
  <c r="T29" i="7"/>
  <c r="T8" i="7"/>
  <c r="T24" i="7"/>
  <c r="M7" i="4"/>
  <c r="T14" i="7" l="1"/>
  <c r="S9" i="7"/>
  <c r="Q12" i="7"/>
  <c r="R12" i="7" s="1"/>
  <c r="S11" i="7"/>
  <c r="S7" i="7"/>
  <c r="T22" i="7"/>
  <c r="Q6" i="7" s="1"/>
  <c r="W21" i="7"/>
  <c r="R9" i="7"/>
  <c r="R10" i="7"/>
  <c r="W22" i="7"/>
  <c r="Q8" i="7"/>
  <c r="S8" i="7"/>
  <c r="Q14" i="7"/>
  <c r="R14" i="7" s="1"/>
  <c r="S14" i="7"/>
  <c r="Q13" i="7"/>
  <c r="S13" i="7"/>
  <c r="W19" i="7"/>
  <c r="R7" i="7"/>
  <c r="W23" i="7"/>
  <c r="R11" i="7"/>
  <c r="R5" i="7"/>
  <c r="W17" i="7"/>
  <c r="M8" i="4"/>
  <c r="O11" i="4"/>
  <c r="O12" i="4"/>
  <c r="X24" i="4" s="1"/>
  <c r="O9" i="4"/>
  <c r="O13" i="4"/>
  <c r="X25" i="4" s="1"/>
  <c r="O4" i="4"/>
  <c r="P4" i="4" s="1"/>
  <c r="O6" i="4"/>
  <c r="X18" i="4" s="1"/>
  <c r="O14" i="4"/>
  <c r="P14" i="4" s="1"/>
  <c r="O7" i="4"/>
  <c r="O8" i="4"/>
  <c r="O5" i="4"/>
  <c r="X17" i="4" s="1"/>
  <c r="O10" i="4"/>
  <c r="X22" i="4" s="1"/>
  <c r="M9" i="4"/>
  <c r="W24" i="7" l="1"/>
  <c r="S6" i="7"/>
  <c r="R8" i="7"/>
  <c r="W20" i="7"/>
  <c r="W18" i="7"/>
  <c r="R6" i="7"/>
  <c r="W25" i="7"/>
  <c r="R13" i="7"/>
  <c r="X20" i="4"/>
  <c r="S25" i="4"/>
  <c r="T9" i="4" s="1"/>
  <c r="X21" i="4"/>
  <c r="X23" i="4"/>
  <c r="X19" i="4"/>
  <c r="P6" i="4"/>
  <c r="P13" i="4"/>
  <c r="P10" i="4"/>
  <c r="P5" i="4"/>
  <c r="P12" i="4"/>
  <c r="P9" i="4"/>
  <c r="S26" i="4"/>
  <c r="T10" i="4" s="1"/>
  <c r="S27" i="4"/>
  <c r="T27" i="4" s="1"/>
  <c r="Q11" i="4" s="1"/>
  <c r="P11" i="4"/>
  <c r="S23" i="4"/>
  <c r="T23" i="4" s="1"/>
  <c r="Q7" i="4" s="1"/>
  <c r="P7" i="4"/>
  <c r="S24" i="4"/>
  <c r="T24" i="4" s="1"/>
  <c r="Q8" i="4" s="1"/>
  <c r="P8" i="4"/>
  <c r="M10" i="4"/>
  <c r="M11" i="4" s="1"/>
  <c r="S28" i="4"/>
  <c r="T28" i="4" s="1"/>
  <c r="Q12" i="4" s="1"/>
  <c r="S29" i="4"/>
  <c r="T29" i="4" s="1"/>
  <c r="Q13" i="4" s="1"/>
  <c r="S21" i="4"/>
  <c r="T21" i="4" s="1"/>
  <c r="Q5" i="4" s="1"/>
  <c r="S30" i="4"/>
  <c r="T30" i="4" s="1"/>
  <c r="Q14" i="4" s="1"/>
  <c r="S22" i="4"/>
  <c r="T6" i="4" s="1"/>
  <c r="T25" i="4" l="1"/>
  <c r="Q9" i="4" s="1"/>
  <c r="W21" i="4" s="1"/>
  <c r="W19" i="4"/>
  <c r="W25" i="4"/>
  <c r="W23" i="4"/>
  <c r="W24" i="4"/>
  <c r="W20" i="4"/>
  <c r="W17" i="4"/>
  <c r="S11" i="4"/>
  <c r="T11" i="4"/>
  <c r="T26" i="4"/>
  <c r="Q10" i="4" s="1"/>
  <c r="W22" i="4" s="1"/>
  <c r="S8" i="4"/>
  <c r="S7" i="4"/>
  <c r="T7" i="4"/>
  <c r="T8" i="4"/>
  <c r="T13" i="4"/>
  <c r="T5" i="4"/>
  <c r="T12" i="4"/>
  <c r="T14" i="4"/>
  <c r="T22" i="4"/>
  <c r="Q6" i="4" s="1"/>
  <c r="S13" i="4"/>
  <c r="S12" i="4"/>
  <c r="S5" i="4"/>
  <c r="R7" i="4"/>
  <c r="S14" i="4"/>
  <c r="R11" i="4"/>
  <c r="R8" i="4"/>
  <c r="R9" i="4" l="1"/>
  <c r="S9" i="4"/>
  <c r="W18" i="4"/>
  <c r="R10" i="4"/>
  <c r="S10" i="4"/>
  <c r="S6" i="4"/>
  <c r="R12" i="4"/>
  <c r="R14" i="4"/>
  <c r="R13" i="4"/>
  <c r="R6" i="4"/>
  <c r="R5" i="4"/>
</calcChain>
</file>

<file path=xl/comments1.xml><?xml version="1.0" encoding="utf-8"?>
<comments xmlns="http://schemas.openxmlformats.org/spreadsheetml/2006/main">
  <authors>
    <author>Diego Montero</author>
  </authors>
  <commentList>
    <comment ref="M3" authorId="0" shapeId="0">
      <text>
        <r>
          <rPr>
            <b/>
            <sz val="9"/>
            <color indexed="81"/>
            <rFont val="Segoe UI"/>
            <family val="2"/>
          </rPr>
          <t>Diego Montero:</t>
        </r>
        <r>
          <rPr>
            <sz val="9"/>
            <color indexed="81"/>
            <rFont val="Segoe UI"/>
            <family val="2"/>
          </rPr>
          <t xml:space="preserve">
&lt;=0,2, ponto de projeto</t>
        </r>
      </text>
    </comment>
  </commentList>
</comments>
</file>

<file path=xl/comments2.xml><?xml version="1.0" encoding="utf-8"?>
<comments xmlns="http://schemas.openxmlformats.org/spreadsheetml/2006/main">
  <authors>
    <author>Diego Montero</author>
  </authors>
  <commentList>
    <comment ref="M3" authorId="0" shapeId="0">
      <text>
        <r>
          <rPr>
            <b/>
            <sz val="9"/>
            <color indexed="81"/>
            <rFont val="Segoe UI"/>
            <family val="2"/>
          </rPr>
          <t>Diego Montero:</t>
        </r>
        <r>
          <rPr>
            <sz val="9"/>
            <color indexed="81"/>
            <rFont val="Segoe UI"/>
            <family val="2"/>
          </rPr>
          <t xml:space="preserve">
&lt;=0,2, ponto de projeto</t>
        </r>
      </text>
    </comment>
  </commentList>
</comments>
</file>

<file path=xl/sharedStrings.xml><?xml version="1.0" encoding="utf-8"?>
<sst xmlns="http://schemas.openxmlformats.org/spreadsheetml/2006/main" count="213" uniqueCount="105">
  <si>
    <t>P [W]</t>
  </si>
  <si>
    <t>ro [kg/m3]</t>
  </si>
  <si>
    <t>Pc</t>
  </si>
  <si>
    <t>num</t>
  </si>
  <si>
    <t>G</t>
  </si>
  <si>
    <t>x</t>
  </si>
  <si>
    <t>eng rpm</t>
  </si>
  <si>
    <t>D/L</t>
  </si>
  <si>
    <t>I1</t>
  </si>
  <si>
    <t>I2</t>
  </si>
  <si>
    <t>J1</t>
  </si>
  <si>
    <t>J2</t>
  </si>
  <si>
    <t>Int</t>
  </si>
  <si>
    <t>f</t>
  </si>
  <si>
    <t>adv ratio</t>
  </si>
  <si>
    <t>F</t>
  </si>
  <si>
    <t>eff</t>
  </si>
  <si>
    <t>W/V</t>
  </si>
  <si>
    <t>c/R</t>
  </si>
  <si>
    <t>Thrust C</t>
  </si>
  <si>
    <t>CL</t>
  </si>
  <si>
    <t>CD</t>
  </si>
  <si>
    <t>vsound [m/s]</t>
  </si>
  <si>
    <t>V [m/s]</t>
  </si>
  <si>
    <t>Ma</t>
  </si>
  <si>
    <t>Re</t>
  </si>
  <si>
    <t>Medium input</t>
  </si>
  <si>
    <t>gear ratio</t>
  </si>
  <si>
    <t>Stations Input</t>
  </si>
  <si>
    <t>Stations Output</t>
  </si>
  <si>
    <t>Propeller Output</t>
  </si>
  <si>
    <t>Boat Input</t>
  </si>
  <si>
    <t>Propeller geometry</t>
  </si>
  <si>
    <t>dvisc [Pa.s]</t>
  </si>
  <si>
    <t>c [pol]</t>
  </si>
  <si>
    <t>c [mm]</t>
  </si>
  <si>
    <t>v'/V</t>
  </si>
  <si>
    <t>Stations Calculations</t>
  </si>
  <si>
    <t>w [rad/s]</t>
  </si>
  <si>
    <t>Torq [Nm]</t>
  </si>
  <si>
    <t>Thrust [N]</t>
  </si>
  <si>
    <t>r/R</t>
  </si>
  <si>
    <t>alfa °</t>
  </si>
  <si>
    <t>Beta ang °</t>
  </si>
  <si>
    <t>r [m]</t>
  </si>
  <si>
    <t>Hub_dia [m]</t>
  </si>
  <si>
    <t>Prop_dia [m]</t>
  </si>
  <si>
    <t>Blades</t>
  </si>
  <si>
    <t>w [rpm]</t>
  </si>
  <si>
    <t>Profile</t>
  </si>
  <si>
    <t>+atk ang °</t>
  </si>
  <si>
    <t>CD2l</t>
  </si>
  <si>
    <t>deltaCLl</t>
  </si>
  <si>
    <t>deltaCDl</t>
  </si>
  <si>
    <t>CLCD0</t>
  </si>
  <si>
    <t>CD2u</t>
  </si>
  <si>
    <t>deltaCLu</t>
  </si>
  <si>
    <t>deltaCDu</t>
  </si>
  <si>
    <t>CD0</t>
  </si>
  <si>
    <t>Clmax</t>
  </si>
  <si>
    <t>Clmin</t>
  </si>
  <si>
    <t>Cl0</t>
  </si>
  <si>
    <t>CL_a</t>
  </si>
  <si>
    <t>--------</t>
  </si>
  <si>
    <t>---------</t>
  </si>
  <si>
    <t>------</t>
  </si>
  <si>
    <t>L/D</t>
  </si>
  <si>
    <t>Bot_Xtr</t>
  </si>
  <si>
    <t>Top_Xtr</t>
  </si>
  <si>
    <t>CM</t>
  </si>
  <si>
    <t>CDp</t>
  </si>
  <si>
    <t>alpha</t>
  </si>
  <si>
    <t xml:space="preserve"> Mach =   0,000     Re =     0,100 e 6     Ncrit =   9,000</t>
  </si>
  <si>
    <t xml:space="preserve"> xtrf =   1,000 (top)        1,000 (bottom)  </t>
  </si>
  <si>
    <t xml:space="preserve">  Re = 100 000</t>
  </si>
  <si>
    <t xml:space="preserve"> 1 1 Reynolds number fixed          Mach number fixed         </t>
  </si>
  <si>
    <t xml:space="preserve"> Calculated polar for: E193  (10,22%)                                  </t>
  </si>
  <si>
    <t xml:space="preserve">       XFOIL         Version 6,96</t>
  </si>
  <si>
    <t>E193</t>
  </si>
  <si>
    <t>!  REref  Reexp</t>
  </si>
  <si>
    <t>!  CD0    CD2u   CD2l   CLCD0</t>
  </si>
  <si>
    <t>! CLmin   Clmax</t>
  </si>
  <si>
    <t>! CL0     CL_a</t>
  </si>
  <si>
    <t>! Nblades  [ R ]</t>
  </si>
  <si>
    <t xml:space="preserve">!  Rfac   Cfac   Bfac  </t>
  </si>
  <si>
    <t xml:space="preserve">!  Radd   Cadd   Badd  </t>
  </si>
  <si>
    <t xml:space="preserve">#  r </t>
  </si>
  <si>
    <t xml:space="preserve">chord  </t>
  </si>
  <si>
    <t xml:space="preserve"> [  CL0  </t>
  </si>
  <si>
    <t xml:space="preserve">CL_a  </t>
  </si>
  <si>
    <t xml:space="preserve"> Clmin</t>
  </si>
  <si>
    <t xml:space="preserve"> Clmax</t>
  </si>
  <si>
    <t xml:space="preserve">  CD0  </t>
  </si>
  <si>
    <t xml:space="preserve"> CD2u   </t>
  </si>
  <si>
    <t xml:space="preserve">CD2l  </t>
  </si>
  <si>
    <t xml:space="preserve"> CLCD0 </t>
  </si>
  <si>
    <t xml:space="preserve"> REref  </t>
  </si>
  <si>
    <t>REexp ]</t>
  </si>
  <si>
    <t>0.001</t>
  </si>
  <si>
    <t>beta°</t>
  </si>
  <si>
    <t>alpha rad</t>
  </si>
  <si>
    <r>
      <rPr>
        <b/>
        <sz val="11"/>
        <color theme="1"/>
        <rFont val="Calibri"/>
        <family val="2"/>
        <scheme val="minor"/>
      </rPr>
      <t>Output for QPROP</t>
    </r>
    <r>
      <rPr>
        <i/>
        <sz val="11"/>
        <color theme="1"/>
        <rFont val="Calibri"/>
        <family val="2"/>
        <scheme val="minor"/>
      </rPr>
      <t xml:space="preserve"> (Replace special characters when exporting to txt)</t>
    </r>
  </si>
  <si>
    <t>Propeller Name</t>
  </si>
  <si>
    <t>Larrabee Prop</t>
  </si>
  <si>
    <t>Test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</si>
</sst>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165" fontId="0" fillId="2" borderId="0" xfId="0" applyNumberFormat="1" applyFill="1"/>
    <xf numFmtId="0" fontId="0" fillId="2" borderId="1" xfId="0" applyFill="1" applyBorder="1"/>
    <xf numFmtId="0" fontId="0" fillId="2" borderId="3" xfId="0" applyFill="1" applyBorder="1"/>
    <xf numFmtId="164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 vertical="center"/>
    </xf>
    <xf numFmtId="166" fontId="0" fillId="2" borderId="9" xfId="0" applyNumberFormat="1" applyFill="1" applyBorder="1" applyAlignment="1">
      <alignment horizontal="center" vertical="center"/>
    </xf>
    <xf numFmtId="166" fontId="0" fillId="2" borderId="10" xfId="0" applyNumberFormat="1" applyFill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2" fillId="2" borderId="12" xfId="0" applyNumberFormat="1" applyFont="1" applyFill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/>
    </xf>
    <xf numFmtId="0" fontId="0" fillId="2" borderId="17" xfId="0" applyFill="1" applyBorder="1"/>
    <xf numFmtId="165" fontId="0" fillId="2" borderId="18" xfId="0" applyNumberForma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1" fontId="0" fillId="3" borderId="2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6" fontId="0" fillId="2" borderId="13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49" fontId="0" fillId="3" borderId="9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2" borderId="20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quotePrefix="1" applyFill="1" applyBorder="1"/>
    <xf numFmtId="165" fontId="0" fillId="2" borderId="1" xfId="0" applyNumberFormat="1" applyFill="1" applyBorder="1"/>
    <xf numFmtId="165" fontId="0" fillId="2" borderId="0" xfId="0" applyNumberFormat="1" applyFill="1" applyBorder="1"/>
    <xf numFmtId="165" fontId="0" fillId="2" borderId="3" xfId="0" applyNumberFormat="1" applyFill="1" applyBorder="1"/>
    <xf numFmtId="165" fontId="0" fillId="2" borderId="19" xfId="0" applyNumberFormat="1" applyFill="1" applyBorder="1"/>
    <xf numFmtId="0" fontId="0" fillId="2" borderId="19" xfId="0" applyFill="1" applyBorder="1"/>
    <xf numFmtId="0" fontId="0" fillId="2" borderId="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'E193'!$B$9:$B$98</c:f>
              <c:numCache>
                <c:formatCode>General</c:formatCode>
                <c:ptCount val="90"/>
                <c:pt idx="0">
                  <c:v>9.2999999999999999E-2</c:v>
                </c:pt>
                <c:pt idx="1">
                  <c:v>9.1189999999999993E-2</c:v>
                </c:pt>
                <c:pt idx="2">
                  <c:v>8.9499999999999996E-2</c:v>
                </c:pt>
                <c:pt idx="3">
                  <c:v>8.5250000000000006E-2</c:v>
                </c:pt>
                <c:pt idx="4">
                  <c:v>8.3030000000000007E-2</c:v>
                </c:pt>
                <c:pt idx="5">
                  <c:v>8.1220000000000001E-2</c:v>
                </c:pt>
                <c:pt idx="6">
                  <c:v>7.0760000000000003E-2</c:v>
                </c:pt>
                <c:pt idx="7">
                  <c:v>6.6769999999999996E-2</c:v>
                </c:pt>
                <c:pt idx="8">
                  <c:v>7.5359999999999996E-2</c:v>
                </c:pt>
                <c:pt idx="9">
                  <c:v>7.2309999999999999E-2</c:v>
                </c:pt>
                <c:pt idx="10">
                  <c:v>6.6019999999999995E-2</c:v>
                </c:pt>
                <c:pt idx="11">
                  <c:v>6.0760000000000002E-2</c:v>
                </c:pt>
                <c:pt idx="12">
                  <c:v>5.6559999999999999E-2</c:v>
                </c:pt>
                <c:pt idx="13">
                  <c:v>5.3069999999999999E-2</c:v>
                </c:pt>
                <c:pt idx="14">
                  <c:v>3.4750000000000003E-2</c:v>
                </c:pt>
                <c:pt idx="15">
                  <c:v>3.125E-2</c:v>
                </c:pt>
                <c:pt idx="16">
                  <c:v>2.8139999999999998E-2</c:v>
                </c:pt>
                <c:pt idx="17">
                  <c:v>2.622E-2</c:v>
                </c:pt>
                <c:pt idx="18">
                  <c:v>2.3810000000000001E-2</c:v>
                </c:pt>
                <c:pt idx="19">
                  <c:v>2.2329999999999999E-2</c:v>
                </c:pt>
                <c:pt idx="20">
                  <c:v>2.085E-2</c:v>
                </c:pt>
                <c:pt idx="21">
                  <c:v>1.9369999999999998E-2</c:v>
                </c:pt>
                <c:pt idx="22">
                  <c:v>1.806E-2</c:v>
                </c:pt>
                <c:pt idx="23">
                  <c:v>1.703E-2</c:v>
                </c:pt>
                <c:pt idx="24">
                  <c:v>1.601E-2</c:v>
                </c:pt>
                <c:pt idx="25">
                  <c:v>1.4970000000000001E-2</c:v>
                </c:pt>
                <c:pt idx="26">
                  <c:v>1.4829999999999999E-2</c:v>
                </c:pt>
                <c:pt idx="27">
                  <c:v>1.482E-2</c:v>
                </c:pt>
                <c:pt idx="28">
                  <c:v>1.506E-2</c:v>
                </c:pt>
                <c:pt idx="29">
                  <c:v>1.521E-2</c:v>
                </c:pt>
                <c:pt idx="30">
                  <c:v>1.537E-2</c:v>
                </c:pt>
                <c:pt idx="31">
                  <c:v>1.5650000000000001E-2</c:v>
                </c:pt>
                <c:pt idx="32">
                  <c:v>1.5779999999999999E-2</c:v>
                </c:pt>
                <c:pt idx="33">
                  <c:v>1.6140000000000002E-2</c:v>
                </c:pt>
                <c:pt idx="34">
                  <c:v>1.626E-2</c:v>
                </c:pt>
                <c:pt idx="35">
                  <c:v>1.67E-2</c:v>
                </c:pt>
                <c:pt idx="36">
                  <c:v>1.6820000000000002E-2</c:v>
                </c:pt>
                <c:pt idx="37">
                  <c:v>1.7299999999999999E-2</c:v>
                </c:pt>
                <c:pt idx="38">
                  <c:v>1.7440000000000001E-2</c:v>
                </c:pt>
                <c:pt idx="39">
                  <c:v>1.7979999999999999E-2</c:v>
                </c:pt>
                <c:pt idx="40">
                  <c:v>1.8120000000000001E-2</c:v>
                </c:pt>
                <c:pt idx="41">
                  <c:v>1.8710000000000001E-2</c:v>
                </c:pt>
                <c:pt idx="42">
                  <c:v>1.8849999999999999E-2</c:v>
                </c:pt>
                <c:pt idx="43">
                  <c:v>1.9480000000000001E-2</c:v>
                </c:pt>
                <c:pt idx="44">
                  <c:v>1.9609999999999999E-2</c:v>
                </c:pt>
                <c:pt idx="45">
                  <c:v>2.027E-2</c:v>
                </c:pt>
                <c:pt idx="46">
                  <c:v>2.036E-2</c:v>
                </c:pt>
                <c:pt idx="47">
                  <c:v>2.1010000000000001E-2</c:v>
                </c:pt>
                <c:pt idx="48">
                  <c:v>2.1010000000000001E-2</c:v>
                </c:pt>
                <c:pt idx="49">
                  <c:v>2.1649999999999999E-2</c:v>
                </c:pt>
                <c:pt idx="50">
                  <c:v>2.1940000000000001E-2</c:v>
                </c:pt>
                <c:pt idx="51">
                  <c:v>2.2079999999999999E-2</c:v>
                </c:pt>
                <c:pt idx="52">
                  <c:v>2.248E-2</c:v>
                </c:pt>
                <c:pt idx="53">
                  <c:v>2.23E-2</c:v>
                </c:pt>
                <c:pt idx="54">
                  <c:v>2.2509999999999999E-2</c:v>
                </c:pt>
                <c:pt idx="55">
                  <c:v>2.2669999999999999E-2</c:v>
                </c:pt>
                <c:pt idx="56">
                  <c:v>2.2599999999999999E-2</c:v>
                </c:pt>
                <c:pt idx="57">
                  <c:v>2.2339999999999999E-2</c:v>
                </c:pt>
                <c:pt idx="58">
                  <c:v>2.197E-2</c:v>
                </c:pt>
                <c:pt idx="59">
                  <c:v>2.171E-2</c:v>
                </c:pt>
                <c:pt idx="60">
                  <c:v>2.155E-2</c:v>
                </c:pt>
                <c:pt idx="61">
                  <c:v>2.1299999999999999E-2</c:v>
                </c:pt>
                <c:pt idx="62">
                  <c:v>2.0840000000000001E-2</c:v>
                </c:pt>
                <c:pt idx="63">
                  <c:v>2.0539999999999999E-2</c:v>
                </c:pt>
                <c:pt idx="64">
                  <c:v>2.0219999999999998E-2</c:v>
                </c:pt>
                <c:pt idx="65">
                  <c:v>2.01E-2</c:v>
                </c:pt>
                <c:pt idx="66">
                  <c:v>2.0639999999999999E-2</c:v>
                </c:pt>
                <c:pt idx="67">
                  <c:v>2.2009999999999998E-2</c:v>
                </c:pt>
                <c:pt idx="68">
                  <c:v>2.3810000000000001E-2</c:v>
                </c:pt>
                <c:pt idx="69">
                  <c:v>2.58E-2</c:v>
                </c:pt>
                <c:pt idx="70">
                  <c:v>2.8129999999999999E-2</c:v>
                </c:pt>
                <c:pt idx="71">
                  <c:v>3.0859999999999999E-2</c:v>
                </c:pt>
                <c:pt idx="72">
                  <c:v>3.354E-2</c:v>
                </c:pt>
                <c:pt idx="73">
                  <c:v>3.576E-2</c:v>
                </c:pt>
                <c:pt idx="74">
                  <c:v>3.789E-2</c:v>
                </c:pt>
                <c:pt idx="75">
                  <c:v>3.977E-2</c:v>
                </c:pt>
                <c:pt idx="76">
                  <c:v>4.2000000000000003E-2</c:v>
                </c:pt>
                <c:pt idx="77">
                  <c:v>4.4229999999999998E-2</c:v>
                </c:pt>
                <c:pt idx="78">
                  <c:v>4.7050000000000002E-2</c:v>
                </c:pt>
                <c:pt idx="79">
                  <c:v>5.0139999999999997E-2</c:v>
                </c:pt>
                <c:pt idx="80">
                  <c:v>5.3260000000000002E-2</c:v>
                </c:pt>
                <c:pt idx="81">
                  <c:v>5.6059999999999999E-2</c:v>
                </c:pt>
                <c:pt idx="82">
                  <c:v>5.9369999999999999E-2</c:v>
                </c:pt>
                <c:pt idx="83">
                  <c:v>6.3270000000000007E-2</c:v>
                </c:pt>
                <c:pt idx="84">
                  <c:v>6.6909999999999997E-2</c:v>
                </c:pt>
                <c:pt idx="85">
                  <c:v>7.0599999999999996E-2</c:v>
                </c:pt>
                <c:pt idx="86">
                  <c:v>7.4679999999999996E-2</c:v>
                </c:pt>
                <c:pt idx="87">
                  <c:v>7.9640000000000002E-2</c:v>
                </c:pt>
                <c:pt idx="88">
                  <c:v>8.5860000000000006E-2</c:v>
                </c:pt>
                <c:pt idx="89">
                  <c:v>9.2969999999999997E-2</c:v>
                </c:pt>
              </c:numCache>
            </c:numRef>
          </c:xVal>
          <c:yVal>
            <c:numRef>
              <c:f>'E193'!$C$9:$C$98</c:f>
              <c:numCache>
                <c:formatCode>General</c:formatCode>
                <c:ptCount val="90"/>
                <c:pt idx="0">
                  <c:v>-0.34110000000000001</c:v>
                </c:pt>
                <c:pt idx="1">
                  <c:v>-0.35859999999999997</c:v>
                </c:pt>
                <c:pt idx="2">
                  <c:v>-0.38090000000000002</c:v>
                </c:pt>
                <c:pt idx="3">
                  <c:v>-0.36580000000000001</c:v>
                </c:pt>
                <c:pt idx="4">
                  <c:v>-0.36270000000000002</c:v>
                </c:pt>
                <c:pt idx="5">
                  <c:v>-0.37680000000000002</c:v>
                </c:pt>
                <c:pt idx="6">
                  <c:v>-0.36459999999999998</c:v>
                </c:pt>
                <c:pt idx="7">
                  <c:v>-0.33069999999999999</c:v>
                </c:pt>
                <c:pt idx="8">
                  <c:v>-0.43669999999999998</c:v>
                </c:pt>
                <c:pt idx="9">
                  <c:v>-0.40870000000000001</c:v>
                </c:pt>
                <c:pt idx="10">
                  <c:v>-0.3765</c:v>
                </c:pt>
                <c:pt idx="11">
                  <c:v>-0.3422</c:v>
                </c:pt>
                <c:pt idx="12">
                  <c:v>-0.31230000000000002</c:v>
                </c:pt>
                <c:pt idx="13">
                  <c:v>-0.28139999999999998</c:v>
                </c:pt>
                <c:pt idx="14">
                  <c:v>-0.23250000000000001</c:v>
                </c:pt>
                <c:pt idx="15">
                  <c:v>-0.20100000000000001</c:v>
                </c:pt>
                <c:pt idx="16">
                  <c:v>-0.16009999999999999</c:v>
                </c:pt>
                <c:pt idx="17">
                  <c:v>-0.12570000000000001</c:v>
                </c:pt>
                <c:pt idx="18">
                  <c:v>-8.3799999999999999E-2</c:v>
                </c:pt>
                <c:pt idx="19">
                  <c:v>-4.7600000000000003E-2</c:v>
                </c:pt>
                <c:pt idx="20">
                  <c:v>-9.7999999999999997E-3</c:v>
                </c:pt>
                <c:pt idx="21">
                  <c:v>2.1700000000000001E-2</c:v>
                </c:pt>
                <c:pt idx="22">
                  <c:v>5.3499999999999999E-2</c:v>
                </c:pt>
                <c:pt idx="23">
                  <c:v>7.8700000000000006E-2</c:v>
                </c:pt>
                <c:pt idx="24">
                  <c:v>0.106</c:v>
                </c:pt>
                <c:pt idx="25">
                  <c:v>0.18149999999999999</c:v>
                </c:pt>
                <c:pt idx="26">
                  <c:v>0.24229999999999999</c:v>
                </c:pt>
                <c:pt idx="27">
                  <c:v>0.27160000000000001</c:v>
                </c:pt>
                <c:pt idx="28">
                  <c:v>0.29189999999999999</c:v>
                </c:pt>
                <c:pt idx="29">
                  <c:v>0.31709999999999999</c:v>
                </c:pt>
                <c:pt idx="30">
                  <c:v>0.34160000000000001</c:v>
                </c:pt>
                <c:pt idx="31">
                  <c:v>0.36359999999999998</c:v>
                </c:pt>
                <c:pt idx="32">
                  <c:v>0.39050000000000001</c:v>
                </c:pt>
                <c:pt idx="33">
                  <c:v>0.41139999999999999</c:v>
                </c:pt>
                <c:pt idx="34">
                  <c:v>0.43919999999999998</c:v>
                </c:pt>
                <c:pt idx="35">
                  <c:v>0.45939999999999998</c:v>
                </c:pt>
                <c:pt idx="36">
                  <c:v>0.48759999999999998</c:v>
                </c:pt>
                <c:pt idx="37">
                  <c:v>0.50760000000000005</c:v>
                </c:pt>
                <c:pt idx="38">
                  <c:v>0.53600000000000003</c:v>
                </c:pt>
                <c:pt idx="39">
                  <c:v>0.55589999999999995</c:v>
                </c:pt>
                <c:pt idx="40">
                  <c:v>0.58430000000000004</c:v>
                </c:pt>
                <c:pt idx="41">
                  <c:v>0.60409999999999997</c:v>
                </c:pt>
                <c:pt idx="42">
                  <c:v>0.63260000000000005</c:v>
                </c:pt>
                <c:pt idx="43">
                  <c:v>0.6522</c:v>
                </c:pt>
                <c:pt idx="44">
                  <c:v>0.68100000000000005</c:v>
                </c:pt>
                <c:pt idx="45">
                  <c:v>0.70040000000000002</c:v>
                </c:pt>
                <c:pt idx="46">
                  <c:v>0.72970000000000002</c:v>
                </c:pt>
                <c:pt idx="47">
                  <c:v>0.74890000000000001</c:v>
                </c:pt>
                <c:pt idx="48">
                  <c:v>0.77939999999999998</c:v>
                </c:pt>
                <c:pt idx="49">
                  <c:v>0.7984</c:v>
                </c:pt>
                <c:pt idx="50">
                  <c:v>0.82330000000000003</c:v>
                </c:pt>
                <c:pt idx="51">
                  <c:v>0.84970000000000001</c:v>
                </c:pt>
                <c:pt idx="52">
                  <c:v>0.87150000000000005</c:v>
                </c:pt>
                <c:pt idx="53">
                  <c:v>0.9022</c:v>
                </c:pt>
                <c:pt idx="54">
                  <c:v>0.92510000000000003</c:v>
                </c:pt>
                <c:pt idx="55">
                  <c:v>0.94850000000000001</c:v>
                </c:pt>
                <c:pt idx="56">
                  <c:v>0.97440000000000004</c:v>
                </c:pt>
                <c:pt idx="57">
                  <c:v>1.0025999999999999</c:v>
                </c:pt>
                <c:pt idx="58">
                  <c:v>1.0313000000000001</c:v>
                </c:pt>
                <c:pt idx="59">
                  <c:v>1.0570999999999999</c:v>
                </c:pt>
                <c:pt idx="60">
                  <c:v>1.0798000000000001</c:v>
                </c:pt>
                <c:pt idx="61">
                  <c:v>1.1024</c:v>
                </c:pt>
                <c:pt idx="62">
                  <c:v>1.1267</c:v>
                </c:pt>
                <c:pt idx="63">
                  <c:v>1.1473</c:v>
                </c:pt>
                <c:pt idx="64">
                  <c:v>1.1657</c:v>
                </c:pt>
                <c:pt idx="65">
                  <c:v>1.179</c:v>
                </c:pt>
                <c:pt idx="66">
                  <c:v>1.1845000000000001</c:v>
                </c:pt>
                <c:pt idx="67">
                  <c:v>1.1833</c:v>
                </c:pt>
                <c:pt idx="68">
                  <c:v>1.1793</c:v>
                </c:pt>
                <c:pt idx="69">
                  <c:v>1.1711</c:v>
                </c:pt>
                <c:pt idx="70">
                  <c:v>1.1589</c:v>
                </c:pt>
                <c:pt idx="71">
                  <c:v>1.1460999999999999</c:v>
                </c:pt>
                <c:pt idx="72">
                  <c:v>1.1379999999999999</c:v>
                </c:pt>
                <c:pt idx="73">
                  <c:v>1.1395999999999999</c:v>
                </c:pt>
                <c:pt idx="74">
                  <c:v>1.1464000000000001</c:v>
                </c:pt>
                <c:pt idx="75">
                  <c:v>1.1564000000000001</c:v>
                </c:pt>
                <c:pt idx="76">
                  <c:v>1.1836</c:v>
                </c:pt>
                <c:pt idx="77">
                  <c:v>1.2126999999999999</c:v>
                </c:pt>
                <c:pt idx="78">
                  <c:v>1.2412000000000001</c:v>
                </c:pt>
                <c:pt idx="79">
                  <c:v>1.2613000000000001</c:v>
                </c:pt>
                <c:pt idx="80">
                  <c:v>1.2723</c:v>
                </c:pt>
                <c:pt idx="81">
                  <c:v>1.2774000000000001</c:v>
                </c:pt>
                <c:pt idx="82">
                  <c:v>1.2804</c:v>
                </c:pt>
                <c:pt idx="83">
                  <c:v>1.2793000000000001</c:v>
                </c:pt>
                <c:pt idx="84">
                  <c:v>1.2706</c:v>
                </c:pt>
                <c:pt idx="85">
                  <c:v>1.2574000000000001</c:v>
                </c:pt>
                <c:pt idx="86">
                  <c:v>1.2394000000000001</c:v>
                </c:pt>
                <c:pt idx="87">
                  <c:v>1.2153</c:v>
                </c:pt>
                <c:pt idx="88">
                  <c:v>1.1823999999999999</c:v>
                </c:pt>
                <c:pt idx="89">
                  <c:v>1.1505000000000001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0788400"/>
        <c:axId val="-1830787856"/>
      </c:scatterChart>
      <c:valAx>
        <c:axId val="-18307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30787856"/>
        <c:crosses val="autoZero"/>
        <c:crossBetween val="midCat"/>
      </c:valAx>
      <c:valAx>
        <c:axId val="-18307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307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'E193'!$I$9:$I$98</c:f>
              <c:numCache>
                <c:formatCode>General</c:formatCode>
                <c:ptCount val="90"/>
                <c:pt idx="0">
                  <c:v>-0.14398966328953219</c:v>
                </c:pt>
                <c:pt idx="1">
                  <c:v>-0.13962634015954636</c:v>
                </c:pt>
                <c:pt idx="2">
                  <c:v>-0.13526301702956053</c:v>
                </c:pt>
                <c:pt idx="3">
                  <c:v>-0.1308996938995747</c:v>
                </c:pt>
                <c:pt idx="4">
                  <c:v>-0.1265363707695889</c:v>
                </c:pt>
                <c:pt idx="5">
                  <c:v>-0.12217304763960307</c:v>
                </c:pt>
                <c:pt idx="6">
                  <c:v>-0.11780972450961724</c:v>
                </c:pt>
                <c:pt idx="7">
                  <c:v>-0.11344640137963143</c:v>
                </c:pt>
                <c:pt idx="8">
                  <c:v>-0.1090830782496456</c:v>
                </c:pt>
                <c:pt idx="9">
                  <c:v>-0.10471975511965977</c:v>
                </c:pt>
                <c:pt idx="10">
                  <c:v>-0.10035643198967394</c:v>
                </c:pt>
                <c:pt idx="11">
                  <c:v>-9.599310885968812E-2</c:v>
                </c:pt>
                <c:pt idx="12">
                  <c:v>-9.1629785729702304E-2</c:v>
                </c:pt>
                <c:pt idx="13">
                  <c:v>-8.7266462599716474E-2</c:v>
                </c:pt>
                <c:pt idx="14">
                  <c:v>-8.2903139469730644E-2</c:v>
                </c:pt>
                <c:pt idx="15">
                  <c:v>-7.8539816339744828E-2</c:v>
                </c:pt>
                <c:pt idx="16">
                  <c:v>-7.4176493209759012E-2</c:v>
                </c:pt>
                <c:pt idx="17">
                  <c:v>-6.9813170079773182E-2</c:v>
                </c:pt>
                <c:pt idx="18">
                  <c:v>-6.5449846949787352E-2</c:v>
                </c:pt>
                <c:pt idx="19">
                  <c:v>-6.1086523819801536E-2</c:v>
                </c:pt>
                <c:pt idx="20">
                  <c:v>-5.6723200689815713E-2</c:v>
                </c:pt>
                <c:pt idx="21">
                  <c:v>-5.2359877559829883E-2</c:v>
                </c:pt>
                <c:pt idx="22">
                  <c:v>-4.799655442984406E-2</c:v>
                </c:pt>
                <c:pt idx="23">
                  <c:v>-4.3633231299858237E-2</c:v>
                </c:pt>
                <c:pt idx="24">
                  <c:v>-3.9269908169872414E-2</c:v>
                </c:pt>
                <c:pt idx="25">
                  <c:v>-3.4906585039886591E-2</c:v>
                </c:pt>
                <c:pt idx="26">
                  <c:v>-3.0543261909900768E-2</c:v>
                </c:pt>
                <c:pt idx="27">
                  <c:v>-2.6179938779914941E-2</c:v>
                </c:pt>
                <c:pt idx="28">
                  <c:v>-2.1816615649929118E-2</c:v>
                </c:pt>
                <c:pt idx="29">
                  <c:v>-1.7453292519943295E-2</c:v>
                </c:pt>
                <c:pt idx="30">
                  <c:v>-1.3089969389957471E-2</c:v>
                </c:pt>
                <c:pt idx="31">
                  <c:v>-8.7266462599716477E-3</c:v>
                </c:pt>
                <c:pt idx="32">
                  <c:v>-4.3633231299858239E-3</c:v>
                </c:pt>
                <c:pt idx="33">
                  <c:v>0</c:v>
                </c:pt>
                <c:pt idx="34">
                  <c:v>4.3633231299858239E-3</c:v>
                </c:pt>
                <c:pt idx="35">
                  <c:v>8.7266462599716477E-3</c:v>
                </c:pt>
                <c:pt idx="36">
                  <c:v>1.3089969389957471E-2</c:v>
                </c:pt>
                <c:pt idx="37">
                  <c:v>1.7453292519943295E-2</c:v>
                </c:pt>
                <c:pt idx="38">
                  <c:v>2.1816615649929118E-2</c:v>
                </c:pt>
                <c:pt idx="39">
                  <c:v>2.6179938779914941E-2</c:v>
                </c:pt>
                <c:pt idx="40">
                  <c:v>3.0543261909900768E-2</c:v>
                </c:pt>
                <c:pt idx="41">
                  <c:v>3.4906585039886591E-2</c:v>
                </c:pt>
                <c:pt idx="42">
                  <c:v>3.9269908169872414E-2</c:v>
                </c:pt>
                <c:pt idx="43">
                  <c:v>4.3633231299858237E-2</c:v>
                </c:pt>
                <c:pt idx="44">
                  <c:v>4.799655442984406E-2</c:v>
                </c:pt>
                <c:pt idx="45">
                  <c:v>5.2359877559829883E-2</c:v>
                </c:pt>
                <c:pt idx="46">
                  <c:v>5.6723200689815713E-2</c:v>
                </c:pt>
                <c:pt idx="47">
                  <c:v>6.1086523819801536E-2</c:v>
                </c:pt>
                <c:pt idx="48">
                  <c:v>6.5449846949787352E-2</c:v>
                </c:pt>
                <c:pt idx="49">
                  <c:v>6.9813170079773182E-2</c:v>
                </c:pt>
                <c:pt idx="50">
                  <c:v>7.4176493209759012E-2</c:v>
                </c:pt>
                <c:pt idx="51">
                  <c:v>7.8539816339744828E-2</c:v>
                </c:pt>
                <c:pt idx="52">
                  <c:v>8.2903139469730644E-2</c:v>
                </c:pt>
                <c:pt idx="53">
                  <c:v>8.7266462599716474E-2</c:v>
                </c:pt>
                <c:pt idx="54">
                  <c:v>9.1629785729702304E-2</c:v>
                </c:pt>
                <c:pt idx="55">
                  <c:v>9.599310885968812E-2</c:v>
                </c:pt>
                <c:pt idx="56">
                  <c:v>0.10035643198967394</c:v>
                </c:pt>
                <c:pt idx="57">
                  <c:v>0.10471975511965977</c:v>
                </c:pt>
                <c:pt idx="58">
                  <c:v>0.1090830782496456</c:v>
                </c:pt>
                <c:pt idx="59">
                  <c:v>0.11344640137963143</c:v>
                </c:pt>
                <c:pt idx="60">
                  <c:v>0.11780972450961724</c:v>
                </c:pt>
                <c:pt idx="61">
                  <c:v>0.12217304763960307</c:v>
                </c:pt>
                <c:pt idx="62">
                  <c:v>0.1265363707695889</c:v>
                </c:pt>
                <c:pt idx="63">
                  <c:v>0.1308996938995747</c:v>
                </c:pt>
                <c:pt idx="64">
                  <c:v>0.13526301702956053</c:v>
                </c:pt>
                <c:pt idx="65">
                  <c:v>0.13962634015954636</c:v>
                </c:pt>
                <c:pt idx="66">
                  <c:v>0.14398966328953219</c:v>
                </c:pt>
                <c:pt idx="67">
                  <c:v>0.14835298641951802</c:v>
                </c:pt>
                <c:pt idx="68">
                  <c:v>0.15271630954950383</c:v>
                </c:pt>
                <c:pt idx="69">
                  <c:v>0.15707963267948966</c:v>
                </c:pt>
                <c:pt idx="70">
                  <c:v>0.16144295580947549</c:v>
                </c:pt>
                <c:pt idx="71">
                  <c:v>0.16580627893946129</c:v>
                </c:pt>
                <c:pt idx="72">
                  <c:v>0.17016960206944712</c:v>
                </c:pt>
                <c:pt idx="73">
                  <c:v>0.17453292519943295</c:v>
                </c:pt>
                <c:pt idx="74">
                  <c:v>0.17889624832941875</c:v>
                </c:pt>
                <c:pt idx="75">
                  <c:v>0.18325957145940461</c:v>
                </c:pt>
                <c:pt idx="76">
                  <c:v>0.18762289458939041</c:v>
                </c:pt>
                <c:pt idx="77">
                  <c:v>0.19198621771937624</c:v>
                </c:pt>
                <c:pt idx="78">
                  <c:v>0.19634954084936207</c:v>
                </c:pt>
                <c:pt idx="79">
                  <c:v>0.20071286397934787</c:v>
                </c:pt>
                <c:pt idx="80">
                  <c:v>0.20507618710933373</c:v>
                </c:pt>
                <c:pt idx="81">
                  <c:v>0.20943951023931953</c:v>
                </c:pt>
                <c:pt idx="82">
                  <c:v>0.21380283336930536</c:v>
                </c:pt>
                <c:pt idx="83">
                  <c:v>0.21816615649929119</c:v>
                </c:pt>
                <c:pt idx="84">
                  <c:v>0.22252947962927699</c:v>
                </c:pt>
                <c:pt idx="85">
                  <c:v>0.22689280275926285</c:v>
                </c:pt>
                <c:pt idx="86">
                  <c:v>0.23125612588924865</c:v>
                </c:pt>
                <c:pt idx="87">
                  <c:v>0.23561944901923448</c:v>
                </c:pt>
                <c:pt idx="88">
                  <c:v>0.23998277214922031</c:v>
                </c:pt>
                <c:pt idx="89">
                  <c:v>0.24434609527920614</c:v>
                </c:pt>
              </c:numCache>
            </c:numRef>
          </c:xVal>
          <c:yVal>
            <c:numRef>
              <c:f>'E193'!$C$9:$C$98</c:f>
              <c:numCache>
                <c:formatCode>General</c:formatCode>
                <c:ptCount val="90"/>
                <c:pt idx="0">
                  <c:v>-0.34110000000000001</c:v>
                </c:pt>
                <c:pt idx="1">
                  <c:v>-0.35859999999999997</c:v>
                </c:pt>
                <c:pt idx="2">
                  <c:v>-0.38090000000000002</c:v>
                </c:pt>
                <c:pt idx="3">
                  <c:v>-0.36580000000000001</c:v>
                </c:pt>
                <c:pt idx="4">
                  <c:v>-0.36270000000000002</c:v>
                </c:pt>
                <c:pt idx="5">
                  <c:v>-0.37680000000000002</c:v>
                </c:pt>
                <c:pt idx="6">
                  <c:v>-0.36459999999999998</c:v>
                </c:pt>
                <c:pt idx="7">
                  <c:v>-0.33069999999999999</c:v>
                </c:pt>
                <c:pt idx="8">
                  <c:v>-0.43669999999999998</c:v>
                </c:pt>
                <c:pt idx="9">
                  <c:v>-0.40870000000000001</c:v>
                </c:pt>
                <c:pt idx="10">
                  <c:v>-0.3765</c:v>
                </c:pt>
                <c:pt idx="11">
                  <c:v>-0.3422</c:v>
                </c:pt>
                <c:pt idx="12">
                  <c:v>-0.31230000000000002</c:v>
                </c:pt>
                <c:pt idx="13">
                  <c:v>-0.28139999999999998</c:v>
                </c:pt>
                <c:pt idx="14">
                  <c:v>-0.23250000000000001</c:v>
                </c:pt>
                <c:pt idx="15">
                  <c:v>-0.20100000000000001</c:v>
                </c:pt>
                <c:pt idx="16">
                  <c:v>-0.16009999999999999</c:v>
                </c:pt>
                <c:pt idx="17">
                  <c:v>-0.12570000000000001</c:v>
                </c:pt>
                <c:pt idx="18">
                  <c:v>-8.3799999999999999E-2</c:v>
                </c:pt>
                <c:pt idx="19">
                  <c:v>-4.7600000000000003E-2</c:v>
                </c:pt>
                <c:pt idx="20">
                  <c:v>-9.7999999999999997E-3</c:v>
                </c:pt>
                <c:pt idx="21">
                  <c:v>2.1700000000000001E-2</c:v>
                </c:pt>
                <c:pt idx="22">
                  <c:v>5.3499999999999999E-2</c:v>
                </c:pt>
                <c:pt idx="23">
                  <c:v>7.8700000000000006E-2</c:v>
                </c:pt>
                <c:pt idx="24">
                  <c:v>0.106</c:v>
                </c:pt>
                <c:pt idx="25">
                  <c:v>0.18149999999999999</c:v>
                </c:pt>
                <c:pt idx="26">
                  <c:v>0.24229999999999999</c:v>
                </c:pt>
                <c:pt idx="27">
                  <c:v>0.27160000000000001</c:v>
                </c:pt>
                <c:pt idx="28">
                  <c:v>0.29189999999999999</c:v>
                </c:pt>
                <c:pt idx="29">
                  <c:v>0.31709999999999999</c:v>
                </c:pt>
                <c:pt idx="30">
                  <c:v>0.34160000000000001</c:v>
                </c:pt>
                <c:pt idx="31">
                  <c:v>0.36359999999999998</c:v>
                </c:pt>
                <c:pt idx="32">
                  <c:v>0.39050000000000001</c:v>
                </c:pt>
                <c:pt idx="33">
                  <c:v>0.41139999999999999</c:v>
                </c:pt>
                <c:pt idx="34">
                  <c:v>0.43919999999999998</c:v>
                </c:pt>
                <c:pt idx="35">
                  <c:v>0.45939999999999998</c:v>
                </c:pt>
                <c:pt idx="36">
                  <c:v>0.48759999999999998</c:v>
                </c:pt>
                <c:pt idx="37">
                  <c:v>0.50760000000000005</c:v>
                </c:pt>
                <c:pt idx="38">
                  <c:v>0.53600000000000003</c:v>
                </c:pt>
                <c:pt idx="39">
                  <c:v>0.55589999999999995</c:v>
                </c:pt>
                <c:pt idx="40">
                  <c:v>0.58430000000000004</c:v>
                </c:pt>
                <c:pt idx="41">
                  <c:v>0.60409999999999997</c:v>
                </c:pt>
                <c:pt idx="42">
                  <c:v>0.63260000000000005</c:v>
                </c:pt>
                <c:pt idx="43">
                  <c:v>0.6522</c:v>
                </c:pt>
                <c:pt idx="44">
                  <c:v>0.68100000000000005</c:v>
                </c:pt>
                <c:pt idx="45">
                  <c:v>0.70040000000000002</c:v>
                </c:pt>
                <c:pt idx="46">
                  <c:v>0.72970000000000002</c:v>
                </c:pt>
                <c:pt idx="47">
                  <c:v>0.74890000000000001</c:v>
                </c:pt>
                <c:pt idx="48">
                  <c:v>0.77939999999999998</c:v>
                </c:pt>
                <c:pt idx="49">
                  <c:v>0.7984</c:v>
                </c:pt>
                <c:pt idx="50">
                  <c:v>0.82330000000000003</c:v>
                </c:pt>
                <c:pt idx="51">
                  <c:v>0.84970000000000001</c:v>
                </c:pt>
                <c:pt idx="52">
                  <c:v>0.87150000000000005</c:v>
                </c:pt>
                <c:pt idx="53">
                  <c:v>0.9022</c:v>
                </c:pt>
                <c:pt idx="54">
                  <c:v>0.92510000000000003</c:v>
                </c:pt>
                <c:pt idx="55">
                  <c:v>0.94850000000000001</c:v>
                </c:pt>
                <c:pt idx="56">
                  <c:v>0.97440000000000004</c:v>
                </c:pt>
                <c:pt idx="57">
                  <c:v>1.0025999999999999</c:v>
                </c:pt>
                <c:pt idx="58">
                  <c:v>1.0313000000000001</c:v>
                </c:pt>
                <c:pt idx="59">
                  <c:v>1.0570999999999999</c:v>
                </c:pt>
                <c:pt idx="60">
                  <c:v>1.0798000000000001</c:v>
                </c:pt>
                <c:pt idx="61">
                  <c:v>1.1024</c:v>
                </c:pt>
                <c:pt idx="62">
                  <c:v>1.1267</c:v>
                </c:pt>
                <c:pt idx="63">
                  <c:v>1.1473</c:v>
                </c:pt>
                <c:pt idx="64">
                  <c:v>1.1657</c:v>
                </c:pt>
                <c:pt idx="65">
                  <c:v>1.179</c:v>
                </c:pt>
                <c:pt idx="66">
                  <c:v>1.1845000000000001</c:v>
                </c:pt>
                <c:pt idx="67">
                  <c:v>1.1833</c:v>
                </c:pt>
                <c:pt idx="68">
                  <c:v>1.1793</c:v>
                </c:pt>
                <c:pt idx="69">
                  <c:v>1.1711</c:v>
                </c:pt>
                <c:pt idx="70">
                  <c:v>1.1589</c:v>
                </c:pt>
                <c:pt idx="71">
                  <c:v>1.1460999999999999</c:v>
                </c:pt>
                <c:pt idx="72">
                  <c:v>1.1379999999999999</c:v>
                </c:pt>
                <c:pt idx="73">
                  <c:v>1.1395999999999999</c:v>
                </c:pt>
                <c:pt idx="74">
                  <c:v>1.1464000000000001</c:v>
                </c:pt>
                <c:pt idx="75">
                  <c:v>1.1564000000000001</c:v>
                </c:pt>
                <c:pt idx="76">
                  <c:v>1.1836</c:v>
                </c:pt>
                <c:pt idx="77">
                  <c:v>1.2126999999999999</c:v>
                </c:pt>
                <c:pt idx="78">
                  <c:v>1.2412000000000001</c:v>
                </c:pt>
                <c:pt idx="79">
                  <c:v>1.2613000000000001</c:v>
                </c:pt>
                <c:pt idx="80">
                  <c:v>1.2723</c:v>
                </c:pt>
                <c:pt idx="81">
                  <c:v>1.2774000000000001</c:v>
                </c:pt>
                <c:pt idx="82">
                  <c:v>1.2804</c:v>
                </c:pt>
                <c:pt idx="83">
                  <c:v>1.2793000000000001</c:v>
                </c:pt>
                <c:pt idx="84">
                  <c:v>1.2706</c:v>
                </c:pt>
                <c:pt idx="85">
                  <c:v>1.2574000000000001</c:v>
                </c:pt>
                <c:pt idx="86">
                  <c:v>1.2394000000000001</c:v>
                </c:pt>
                <c:pt idx="87">
                  <c:v>1.2153</c:v>
                </c:pt>
                <c:pt idx="88">
                  <c:v>1.1823999999999999</c:v>
                </c:pt>
                <c:pt idx="89">
                  <c:v>1.1505000000000001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7229440"/>
        <c:axId val="-1767233792"/>
      </c:scatterChart>
      <c:valAx>
        <c:axId val="-17672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233792"/>
        <c:crosses val="autoZero"/>
        <c:crossBetween val="midCat"/>
      </c:valAx>
      <c:valAx>
        <c:axId val="-17672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105896</xdr:colOff>
      <xdr:row>19</xdr:row>
      <xdr:rowOff>98053</xdr:rowOff>
    </xdr:from>
    <xdr:to>
      <xdr:col>16</xdr:col>
      <xdr:colOff>361950</xdr:colOff>
      <xdr:row>31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8</xdr:row>
      <xdr:rowOff>28575</xdr:rowOff>
    </xdr:from>
    <xdr:to>
      <xdr:col>16</xdr:col>
      <xdr:colOff>304801</xdr:colOff>
      <xdr:row>18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0"/>
  <sheetViews>
    <sheetView tabSelected="1" zoomScaleNormal="100" workbookViewId="0">
      <selection activeCell="C21" sqref="C21"/>
    </sheetView>
  </sheetViews>
  <sheetFormatPr defaultRowHeight="15" x14ac:dyDescent="0.25"/>
  <cols>
    <col min="1" max="1" width="4.28515625" style="1" customWidth="1"/>
    <col min="2" max="2" width="12.28515625" style="1" customWidth="1"/>
    <col min="3" max="3" width="10.7109375" style="1" customWidth="1"/>
    <col min="4" max="4" width="4.7109375" style="1" customWidth="1"/>
    <col min="5" max="14" width="9.140625" style="1"/>
    <col min="15" max="17" width="9.5703125" style="1" bestFit="1" customWidth="1"/>
    <col min="18" max="21" width="9.140625" style="1" customWidth="1"/>
    <col min="22" max="22" width="7.85546875" style="1" customWidth="1"/>
    <col min="23" max="23" width="6.7109375" style="1" customWidth="1"/>
    <col min="24" max="24" width="6.28515625" style="1" customWidth="1"/>
    <col min="25" max="25" width="7.5703125" style="1" customWidth="1"/>
    <col min="26" max="26" width="6" style="1" customWidth="1"/>
    <col min="27" max="27" width="6.5703125" style="1" customWidth="1"/>
    <col min="28" max="28" width="6.7109375" style="1" customWidth="1"/>
    <col min="29" max="31" width="9.140625" style="1" customWidth="1"/>
    <col min="32" max="16384" width="9.140625" style="1"/>
  </cols>
  <sheetData>
    <row r="1" spans="2:34" s="52" customFormat="1" ht="18" customHeight="1" thickBot="1" x14ac:dyDescent="0.3">
      <c r="E1" s="53" t="str">
        <f>CONCATENATE(B19,": ",C16*1000,"mm, ",C8,"W @ ",M4,"rpm")</f>
        <v>Test Prop: 400mm, 250W @ 518,5rpm</v>
      </c>
      <c r="F1" s="53"/>
      <c r="G1" s="53"/>
      <c r="H1" s="53"/>
      <c r="I1" s="53"/>
      <c r="J1" s="53"/>
    </row>
    <row r="2" spans="2:34" ht="15.75" thickBot="1" x14ac:dyDescent="0.3">
      <c r="B2" s="36" t="s">
        <v>26</v>
      </c>
      <c r="C2" s="37"/>
      <c r="E2" s="36" t="s">
        <v>28</v>
      </c>
      <c r="F2" s="38"/>
      <c r="G2" s="38"/>
      <c r="H2" s="38"/>
      <c r="I2" s="38"/>
      <c r="J2" s="37"/>
      <c r="L2" s="36" t="s">
        <v>30</v>
      </c>
      <c r="M2" s="37"/>
      <c r="O2" s="36" t="s">
        <v>29</v>
      </c>
      <c r="P2" s="38"/>
      <c r="Q2" s="38"/>
      <c r="R2" s="38"/>
      <c r="S2" s="38"/>
      <c r="T2" s="37"/>
      <c r="V2" s="65" t="s">
        <v>101</v>
      </c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</row>
    <row r="3" spans="2:34" x14ac:dyDescent="0.25">
      <c r="B3" s="3" t="s">
        <v>1</v>
      </c>
      <c r="C3" s="40">
        <v>1025</v>
      </c>
      <c r="E3" s="13" t="s">
        <v>3</v>
      </c>
      <c r="F3" s="14" t="s">
        <v>44</v>
      </c>
      <c r="G3" s="14" t="s">
        <v>49</v>
      </c>
      <c r="H3" s="14" t="s">
        <v>42</v>
      </c>
      <c r="I3" s="14" t="s">
        <v>20</v>
      </c>
      <c r="J3" s="15" t="s">
        <v>21</v>
      </c>
      <c r="L3" s="34" t="s">
        <v>2</v>
      </c>
      <c r="M3" s="35">
        <f>2*C8/(C3*C9^3*PI()*(C16/2)^2)</f>
        <v>6.0653560629533275E-2</v>
      </c>
      <c r="O3" s="13" t="s">
        <v>43</v>
      </c>
      <c r="P3" s="33" t="s">
        <v>50</v>
      </c>
      <c r="Q3" s="14" t="s">
        <v>35</v>
      </c>
      <c r="R3" s="14" t="s">
        <v>34</v>
      </c>
      <c r="S3" s="14" t="s">
        <v>25</v>
      </c>
      <c r="T3" s="15" t="s">
        <v>24</v>
      </c>
      <c r="V3" s="34" t="str">
        <f>E1</f>
        <v>Test Prop: 400mm, 250W @ 518,5rpm</v>
      </c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5"/>
    </row>
    <row r="4" spans="2:34" x14ac:dyDescent="0.25">
      <c r="B4" s="3" t="s">
        <v>33</v>
      </c>
      <c r="C4" s="41">
        <v>1.0020000000000001E-3</v>
      </c>
      <c r="E4" s="7">
        <v>0</v>
      </c>
      <c r="F4" s="8">
        <v>0</v>
      </c>
      <c r="G4" s="50" t="s">
        <v>78</v>
      </c>
      <c r="H4" s="39">
        <v>3.25</v>
      </c>
      <c r="I4" s="8">
        <f ca="1">VLOOKUP(H4,INDIRECT(G4&amp;"!A14:C999"),3,FALSE)</f>
        <v>0.72970000000000002</v>
      </c>
      <c r="J4" s="9">
        <f ca="1">VLOOKUP(H4,INDIRECT(G4&amp;"!A14:C999"),2,FALSE)</f>
        <v>2.036E-2</v>
      </c>
      <c r="L4" s="3" t="s">
        <v>48</v>
      </c>
      <c r="M4" s="5">
        <f>$C$10*$C$11</f>
        <v>518.5</v>
      </c>
      <c r="O4" s="16">
        <f ca="1">(180/PI())*ATAN((($C$9/($M$5*($C$16/2)))/0.000000000001)*(1+$M$7/2)  )</f>
        <v>89.999999999849422</v>
      </c>
      <c r="P4" s="10">
        <f ca="1">$O4+$H4*(PI()/180)</f>
        <v>90.056723200539238</v>
      </c>
      <c r="Q4" s="10">
        <f>$T20*($C$16/2)/1000</f>
        <v>0</v>
      </c>
      <c r="R4" s="10">
        <f t="shared" ref="R4:R14" si="0">Q4/0.0254/1000</f>
        <v>0</v>
      </c>
      <c r="S4" s="19">
        <f>($C$3*$C$9*$F4/$C$4)*$T20*$S20</f>
        <v>0</v>
      </c>
      <c r="T4" s="17">
        <f>($C$9/$C$5)*$S20</f>
        <v>2.7008777852802163E-3</v>
      </c>
      <c r="V4" s="3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7"/>
    </row>
    <row r="5" spans="2:34" ht="15.75" thickBot="1" x14ac:dyDescent="0.3">
      <c r="B5" s="4" t="s">
        <v>22</v>
      </c>
      <c r="C5" s="42">
        <v>1481</v>
      </c>
      <c r="E5" s="7">
        <v>1</v>
      </c>
      <c r="F5" s="10">
        <f>$C$15/2</f>
        <v>2.5000000000000001E-2</v>
      </c>
      <c r="G5" s="50" t="s">
        <v>78</v>
      </c>
      <c r="H5" s="39">
        <v>3.25</v>
      </c>
      <c r="I5" s="8">
        <f t="shared" ref="I5:I14" ca="1" si="1">VLOOKUP(H5,INDIRECT(G5&amp;"!A14:C999"),3,FALSE)</f>
        <v>0.72970000000000002</v>
      </c>
      <c r="J5" s="9">
        <f t="shared" ref="J5:J14" ca="1" si="2">VLOOKUP(H5,INDIRECT(G5&amp;"!A14:C999"),2,FALSE)</f>
        <v>2.036E-2</v>
      </c>
      <c r="L5" s="3" t="s">
        <v>38</v>
      </c>
      <c r="M5" s="5">
        <f>$C$11*$C$10*2*PI()/60</f>
        <v>54.297193029543593</v>
      </c>
      <c r="O5" s="16">
        <f t="shared" ref="O5:O14" ca="1" si="3">(180/PI())*ATAN((($C$9/($M$5*($C$16/2)))/$E21)*(1+$M$7/2)  )</f>
        <v>71.81326692797397</v>
      </c>
      <c r="P5" s="10">
        <f ca="1">$O5+$H5*(PI()/180)</f>
        <v>71.869990128663787</v>
      </c>
      <c r="Q5" s="10">
        <f ca="1">$T21*($C$16/2)*1000</f>
        <v>3.8844034180950704</v>
      </c>
      <c r="R5" s="10">
        <f t="shared" ca="1" si="0"/>
        <v>0.15292926842893978</v>
      </c>
      <c r="S5" s="19">
        <f ca="1">($C$3*$C$9*$F5/$C$4)*$T21*$S21</f>
        <v>2097.2344667980865</v>
      </c>
      <c r="T5" s="17">
        <f ca="1">($C$9/$C$5)*$S21</f>
        <v>2.8510277434979506E-3</v>
      </c>
      <c r="V5" s="3">
        <f>C14</f>
        <v>2</v>
      </c>
      <c r="W5" s="56">
        <f>C16/2</f>
        <v>0.2</v>
      </c>
      <c r="X5" s="56"/>
      <c r="Y5" s="56"/>
      <c r="Z5" s="58" t="s">
        <v>83</v>
      </c>
      <c r="AA5" s="56"/>
      <c r="AB5" s="56"/>
      <c r="AC5" s="56"/>
      <c r="AD5" s="56"/>
      <c r="AE5" s="56"/>
      <c r="AF5" s="56"/>
      <c r="AG5" s="56"/>
      <c r="AH5" s="57"/>
    </row>
    <row r="6" spans="2:34" ht="15.75" thickBot="1" x14ac:dyDescent="0.3">
      <c r="E6" s="7">
        <v>2</v>
      </c>
      <c r="F6" s="10">
        <f>F5+($C$16/2-$C$15/2)/($E$14-1)</f>
        <v>4.4444444444444446E-2</v>
      </c>
      <c r="G6" s="50" t="s">
        <v>78</v>
      </c>
      <c r="H6" s="39">
        <v>3.25</v>
      </c>
      <c r="I6" s="8">
        <f t="shared" ca="1" si="1"/>
        <v>0.72970000000000002</v>
      </c>
      <c r="J6" s="9">
        <f t="shared" ca="1" si="2"/>
        <v>2.036E-2</v>
      </c>
      <c r="L6" s="3" t="s">
        <v>14</v>
      </c>
      <c r="M6" s="22">
        <f>$C$9/($M$5*($C$16/2))</f>
        <v>0.36834316626861019</v>
      </c>
      <c r="O6" s="16">
        <f t="shared" ca="1" si="3"/>
        <v>59.71304305223827</v>
      </c>
      <c r="P6" s="10">
        <f ca="1">$O6+$H6*(PI()/180)</f>
        <v>59.769766252928086</v>
      </c>
      <c r="Q6" s="10">
        <f ca="1">$T22*($C$16/2)*1000</f>
        <v>8.9177407657184666</v>
      </c>
      <c r="R6" s="10">
        <f t="shared" ca="1" si="0"/>
        <v>0.35109215613064831</v>
      </c>
      <c r="S6" s="19">
        <f ca="1">($C$3*$C$9*$F6/$C$4)*$T22*$S22</f>
        <v>9466.4777313414561</v>
      </c>
      <c r="T6" s="17">
        <f ca="1">($C$9/$C$5)*$S22</f>
        <v>3.1530792428760587E-3</v>
      </c>
      <c r="V6" s="3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7"/>
    </row>
    <row r="7" spans="2:34" ht="15.75" thickBot="1" x14ac:dyDescent="0.3">
      <c r="B7" s="36" t="s">
        <v>31</v>
      </c>
      <c r="C7" s="37"/>
      <c r="E7" s="7">
        <v>3</v>
      </c>
      <c r="F7" s="10">
        <f t="shared" ref="F7:F14" si="4">F6+($C$16/2-$C$15/2)/($E$14-1)</f>
        <v>6.3888888888888884E-2</v>
      </c>
      <c r="G7" s="50" t="s">
        <v>78</v>
      </c>
      <c r="H7" s="39">
        <v>3.25</v>
      </c>
      <c r="I7" s="8">
        <f t="shared" ca="1" si="1"/>
        <v>0.72970000000000002</v>
      </c>
      <c r="J7" s="9">
        <f t="shared" ca="1" si="2"/>
        <v>2.036E-2</v>
      </c>
      <c r="L7" s="3" t="s">
        <v>36</v>
      </c>
      <c r="M7" s="21">
        <f ca="1">($P$30/(2*$R$30)) *(SQRT( 1 + ((4*$M$3*$R$30)/($P$30^2)) ) - 1 )</f>
        <v>6.5935264954067041E-2</v>
      </c>
      <c r="O7" s="16">
        <f t="shared" ca="1" si="3"/>
        <v>49.984247296117239</v>
      </c>
      <c r="P7" s="10">
        <f ca="1">$O7+$H7*(PI()/180)</f>
        <v>50.040970496807056</v>
      </c>
      <c r="Q7" s="10">
        <f ca="1">$T23*($C$16/2)*1000</f>
        <v>12.357800798189992</v>
      </c>
      <c r="R7" s="10">
        <f t="shared" ca="1" si="0"/>
        <v>0.48652759047992095</v>
      </c>
      <c r="S7" s="19">
        <f ca="1">($C$3*$C$9*$F7/$C$4)*$T23*$S23</f>
        <v>21375.184202217231</v>
      </c>
      <c r="T7" s="17">
        <f ca="1">($C$9/$C$5)*$S23</f>
        <v>3.5740624251739549E-3</v>
      </c>
      <c r="V7" s="3">
        <f ca="1">INDIRECT(G4&amp;"!H3")</f>
        <v>0.41139999999999999</v>
      </c>
      <c r="W7" s="56">
        <f ca="1">INDIRECT(G4&amp;"!I3")</f>
        <v>6.6004737999070837</v>
      </c>
      <c r="X7" s="56"/>
      <c r="Y7" s="56"/>
      <c r="Z7" s="58" t="s">
        <v>82</v>
      </c>
      <c r="AA7" s="56"/>
      <c r="AB7" s="56"/>
      <c r="AC7" s="56"/>
      <c r="AD7" s="56"/>
      <c r="AE7" s="56"/>
      <c r="AF7" s="56"/>
      <c r="AG7" s="56"/>
      <c r="AH7" s="57"/>
    </row>
    <row r="8" spans="2:34" x14ac:dyDescent="0.25">
      <c r="B8" s="3" t="s">
        <v>0</v>
      </c>
      <c r="C8" s="40">
        <v>250</v>
      </c>
      <c r="E8" s="7">
        <v>4</v>
      </c>
      <c r="F8" s="10">
        <f t="shared" si="4"/>
        <v>8.3333333333333329E-2</v>
      </c>
      <c r="G8" s="50" t="s">
        <v>78</v>
      </c>
      <c r="H8" s="39">
        <v>3.25</v>
      </c>
      <c r="I8" s="8">
        <f t="shared" ca="1" si="1"/>
        <v>0.72970000000000002</v>
      </c>
      <c r="J8" s="9">
        <f t="shared" ca="1" si="2"/>
        <v>2.036E-2</v>
      </c>
      <c r="L8" s="3" t="s">
        <v>16</v>
      </c>
      <c r="M8" s="23">
        <f ca="1">($L$30*$M$7-$N$30*$M$7^2)/$M$3</f>
        <v>0.90414722572793094</v>
      </c>
      <c r="O8" s="16">
        <f t="shared" ca="1" si="3"/>
        <v>42.40132110291448</v>
      </c>
      <c r="P8" s="10">
        <f ca="1">$O8+$H8*(PI()/180)</f>
        <v>42.458044303604296</v>
      </c>
      <c r="Q8" s="10">
        <f ca="1">$T24*($C$16/2)*1000</f>
        <v>13.708256719739069</v>
      </c>
      <c r="R8" s="10">
        <f t="shared" ca="1" si="0"/>
        <v>0.53969514644642003</v>
      </c>
      <c r="S8" s="19">
        <f ca="1">($C$3*$C$9*$F8/$C$4)*$T24*$S24</f>
        <v>35287.093563710543</v>
      </c>
      <c r="T8" s="17">
        <f ca="1">($C$9/$C$5)*$S24</f>
        <v>4.0778730296904464E-3</v>
      </c>
      <c r="V8" s="3">
        <f ca="1">INDIRECT(G4&amp;"!j3")</f>
        <v>-0.43669999999999998</v>
      </c>
      <c r="W8" s="56">
        <f ca="1">INDIRECT(G4&amp;"!k3")</f>
        <v>1.1473</v>
      </c>
      <c r="X8" s="56"/>
      <c r="Y8" s="56"/>
      <c r="Z8" s="58" t="s">
        <v>81</v>
      </c>
      <c r="AA8" s="56"/>
      <c r="AB8" s="56"/>
      <c r="AC8" s="56"/>
      <c r="AD8" s="56"/>
      <c r="AE8" s="56"/>
      <c r="AF8" s="56"/>
      <c r="AG8" s="56"/>
      <c r="AH8" s="57"/>
    </row>
    <row r="9" spans="2:34" x14ac:dyDescent="0.25">
      <c r="B9" s="3" t="s">
        <v>23</v>
      </c>
      <c r="C9" s="40">
        <v>4</v>
      </c>
      <c r="E9" s="7">
        <v>5</v>
      </c>
      <c r="F9" s="10">
        <f t="shared" si="4"/>
        <v>0.10277777777777777</v>
      </c>
      <c r="G9" s="50" t="s">
        <v>78</v>
      </c>
      <c r="H9" s="39">
        <v>3.25</v>
      </c>
      <c r="I9" s="8">
        <f t="shared" ca="1" si="1"/>
        <v>0.72970000000000002</v>
      </c>
      <c r="J9" s="9">
        <f t="shared" ca="1" si="2"/>
        <v>2.036E-2</v>
      </c>
      <c r="L9" s="3" t="s">
        <v>19</v>
      </c>
      <c r="M9" s="21">
        <f ca="1">$L$30*$M$7+$N$30*$M$7^2</f>
        <v>5.604289785361969E-2</v>
      </c>
      <c r="O9" s="16">
        <f t="shared" ca="1" si="3"/>
        <v>36.51648020147303</v>
      </c>
      <c r="P9" s="10">
        <f ca="1">$O9+$H9*(PI()/180)</f>
        <v>36.573203402162846</v>
      </c>
      <c r="Q9" s="10">
        <f ca="1">$T25*($C$16/2)*1000</f>
        <v>13.560166210135042</v>
      </c>
      <c r="R9" s="10">
        <f t="shared" ca="1" si="0"/>
        <v>0.53386481142263953</v>
      </c>
      <c r="S9" s="19">
        <f ca="1">($C$3*$C$9*$F9/$C$4)*$T25*$S25</f>
        <v>48942.384561048588</v>
      </c>
      <c r="T9" s="17">
        <f ca="1">($C$9/$C$5)*$S25</f>
        <v>4.6359600232964244E-3</v>
      </c>
      <c r="V9" s="3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</row>
    <row r="10" spans="2:34" x14ac:dyDescent="0.25">
      <c r="B10" s="3" t="s">
        <v>6</v>
      </c>
      <c r="C10" s="40">
        <v>85</v>
      </c>
      <c r="E10" s="7">
        <v>6</v>
      </c>
      <c r="F10" s="10">
        <f t="shared" si="4"/>
        <v>0.12222222222222222</v>
      </c>
      <c r="G10" s="50" t="s">
        <v>78</v>
      </c>
      <c r="H10" s="39">
        <v>3.25</v>
      </c>
      <c r="I10" s="8">
        <f t="shared" ca="1" si="1"/>
        <v>0.72970000000000002</v>
      </c>
      <c r="J10" s="9">
        <f t="shared" ca="1" si="2"/>
        <v>2.036E-2</v>
      </c>
      <c r="L10" s="3" t="s">
        <v>40</v>
      </c>
      <c r="M10" s="22">
        <f ca="1">($M$9*$C$3*$C$9^2*PI()*($C$16/2)^2)/2</f>
        <v>57.748977627963271</v>
      </c>
      <c r="O10" s="16">
        <f t="shared" ca="1" si="3"/>
        <v>31.90698697169034</v>
      </c>
      <c r="P10" s="10">
        <f ca="1">$O10+$H10*(PI()/180)</f>
        <v>31.963710172380157</v>
      </c>
      <c r="Q10" s="10">
        <f ca="1">$T26*($C$16/2)*1000</f>
        <v>12.505475993295438</v>
      </c>
      <c r="R10" s="10">
        <f t="shared" ca="1" si="0"/>
        <v>0.49234157453919053</v>
      </c>
      <c r="S10" s="19">
        <f ca="1">($C$3*$C$9*$F10/$C$4)*$T26*$S26</f>
        <v>60569.060822513209</v>
      </c>
      <c r="T10" s="17">
        <f ca="1">($C$9/$C$5)*$S26</f>
        <v>5.2314156867943815E-3</v>
      </c>
      <c r="V10" s="3">
        <f ca="1">INDIRECT(G4&amp;"!l3")</f>
        <v>1.482E-2</v>
      </c>
      <c r="W10" s="56">
        <f ca="1">INDIRECT(G4&amp;"!m3")</f>
        <v>3.4282705807709486E-2</v>
      </c>
      <c r="X10" s="56">
        <f ca="1">INDIRECT(G4&amp;"!n3")</f>
        <v>7.8428499082764364E-2</v>
      </c>
      <c r="Y10" s="56">
        <f ca="1">INDIRECT(G4&amp;"!o3")</f>
        <v>0.27160000000000001</v>
      </c>
      <c r="Z10" s="58" t="s">
        <v>80</v>
      </c>
      <c r="AA10" s="56"/>
      <c r="AB10" s="56"/>
      <c r="AC10" s="56"/>
      <c r="AD10" s="56"/>
      <c r="AE10" s="56"/>
      <c r="AF10" s="56"/>
      <c r="AG10" s="56"/>
      <c r="AH10" s="57"/>
    </row>
    <row r="11" spans="2:34" ht="15.75" thickBot="1" x14ac:dyDescent="0.3">
      <c r="B11" s="4" t="s">
        <v>27</v>
      </c>
      <c r="C11" s="43">
        <v>6.1</v>
      </c>
      <c r="E11" s="7">
        <v>7</v>
      </c>
      <c r="F11" s="10">
        <f t="shared" si="4"/>
        <v>0.14166666666666666</v>
      </c>
      <c r="G11" s="50" t="s">
        <v>78</v>
      </c>
      <c r="H11" s="39">
        <v>3.25</v>
      </c>
      <c r="I11" s="8">
        <f t="shared" ca="1" si="1"/>
        <v>0.72970000000000002</v>
      </c>
      <c r="J11" s="9">
        <f t="shared" ca="1" si="2"/>
        <v>2.036E-2</v>
      </c>
      <c r="L11" s="4" t="s">
        <v>39</v>
      </c>
      <c r="M11" s="6">
        <f ca="1">($C$9*$M$10)/($M$5*$M$8)</f>
        <v>4.705304769615025</v>
      </c>
      <c r="O11" s="16">
        <f t="shared" ca="1" si="3"/>
        <v>28.242802650033642</v>
      </c>
      <c r="P11" s="10">
        <f ca="1">$O11+$H11*(PI()/180)</f>
        <v>28.299525850723459</v>
      </c>
      <c r="Q11" s="10">
        <f ca="1">$T27*($C$16/2)*1000</f>
        <v>10.891685300671623</v>
      </c>
      <c r="R11" s="10">
        <f t="shared" ca="1" si="0"/>
        <v>0.42880650790045766</v>
      </c>
      <c r="S11" s="19">
        <f ca="1">($C$3*$C$9*$F11/$C$4)*$T27*$S27</f>
        <v>68415.811178618664</v>
      </c>
      <c r="T11" s="17">
        <f ca="1">($C$9/$C$5)*$S27</f>
        <v>5.8534581004936921E-3</v>
      </c>
      <c r="V11" s="3">
        <f ca="1">INDIRECT(G4&amp;"!i1")</f>
        <v>100000</v>
      </c>
      <c r="W11" s="56">
        <v>-0.5</v>
      </c>
      <c r="X11" s="56"/>
      <c r="Y11" s="56"/>
      <c r="Z11" s="58" t="s">
        <v>79</v>
      </c>
      <c r="AA11" s="56"/>
      <c r="AB11" s="56"/>
      <c r="AC11" s="56"/>
      <c r="AD11" s="56"/>
      <c r="AE11" s="56"/>
      <c r="AF11" s="56"/>
      <c r="AG11" s="56"/>
      <c r="AH11" s="57"/>
    </row>
    <row r="12" spans="2:34" ht="15.75" thickBot="1" x14ac:dyDescent="0.3">
      <c r="E12" s="7">
        <v>8</v>
      </c>
      <c r="F12" s="10">
        <f t="shared" si="4"/>
        <v>0.16111111111111109</v>
      </c>
      <c r="G12" s="50" t="s">
        <v>78</v>
      </c>
      <c r="H12" s="39">
        <v>3.25</v>
      </c>
      <c r="I12" s="8">
        <f t="shared" ca="1" si="1"/>
        <v>0.72970000000000002</v>
      </c>
      <c r="J12" s="9">
        <f t="shared" ca="1" si="2"/>
        <v>2.036E-2</v>
      </c>
      <c r="O12" s="16">
        <f t="shared" ca="1" si="3"/>
        <v>25.282684802204354</v>
      </c>
      <c r="P12" s="10">
        <f ca="1">$O12+$H12*(PI()/180)</f>
        <v>25.339408002894171</v>
      </c>
      <c r="Q12" s="10">
        <f ca="1">$T28*($C$16/2)*1000</f>
        <v>8.8343830687080143</v>
      </c>
      <c r="R12" s="10">
        <f t="shared" ca="1" si="0"/>
        <v>0.34781035703574859</v>
      </c>
      <c r="S12" s="19">
        <f ca="1">($C$3*$C$9*$F12/$C$4)*$T28*$S28</f>
        <v>70019.419212749592</v>
      </c>
      <c r="T12" s="17">
        <f ca="1">($C$9/$C$5)*$S28</f>
        <v>6.494348316632129E-3</v>
      </c>
      <c r="V12" s="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7"/>
    </row>
    <row r="13" spans="2:34" ht="15.75" thickBot="1" x14ac:dyDescent="0.3">
      <c r="B13" s="36" t="s">
        <v>32</v>
      </c>
      <c r="C13" s="37"/>
      <c r="E13" s="7">
        <v>9</v>
      </c>
      <c r="F13" s="10">
        <f t="shared" si="4"/>
        <v>0.18055555555555552</v>
      </c>
      <c r="G13" s="50" t="s">
        <v>78</v>
      </c>
      <c r="H13" s="39">
        <v>3.25</v>
      </c>
      <c r="I13" s="8">
        <f t="shared" ca="1" si="1"/>
        <v>0.72970000000000002</v>
      </c>
      <c r="J13" s="9">
        <f t="shared" ca="1" si="2"/>
        <v>2.036E-2</v>
      </c>
      <c r="O13" s="16">
        <f t="shared" ca="1" si="3"/>
        <v>22.853576473122867</v>
      </c>
      <c r="P13" s="10">
        <f ca="1">$O13+$H13*(PI()/180)</f>
        <v>22.910299673812684</v>
      </c>
      <c r="Q13" s="10">
        <f ca="1">$T29*($C$16/2)*1000</f>
        <v>6.1695369762418668</v>
      </c>
      <c r="R13" s="10">
        <f t="shared" ca="1" si="0"/>
        <v>0.24289515654495539</v>
      </c>
      <c r="S13" s="19">
        <f ca="1">($C$3*$C$9*$F13/$C$4)*$T29*$S29</f>
        <v>60325.492664761565</v>
      </c>
      <c r="T13" s="17">
        <f ca="1">($C$9/$C$5)*$S29</f>
        <v>7.149180190744669E-3</v>
      </c>
      <c r="V13" s="3">
        <v>1</v>
      </c>
      <c r="W13" s="56" t="s">
        <v>98</v>
      </c>
      <c r="X13" s="56">
        <v>1</v>
      </c>
      <c r="Y13" s="56"/>
      <c r="Z13" s="58" t="s">
        <v>84</v>
      </c>
      <c r="AA13" s="56"/>
      <c r="AB13" s="56"/>
      <c r="AC13" s="56"/>
      <c r="AD13" s="56"/>
      <c r="AE13" s="56"/>
      <c r="AF13" s="56"/>
      <c r="AG13" s="56"/>
      <c r="AH13" s="57"/>
    </row>
    <row r="14" spans="2:34" ht="15.75" thickBot="1" x14ac:dyDescent="0.3">
      <c r="B14" s="3" t="s">
        <v>47</v>
      </c>
      <c r="C14" s="44">
        <v>2</v>
      </c>
      <c r="E14" s="11">
        <v>10</v>
      </c>
      <c r="F14" s="12">
        <f t="shared" si="4"/>
        <v>0.19999999999999996</v>
      </c>
      <c r="G14" s="51" t="s">
        <v>78</v>
      </c>
      <c r="H14" s="46">
        <v>3.25</v>
      </c>
      <c r="I14" s="47">
        <f t="shared" ca="1" si="1"/>
        <v>0.72970000000000002</v>
      </c>
      <c r="J14" s="48">
        <f t="shared" ca="1" si="2"/>
        <v>2.036E-2</v>
      </c>
      <c r="O14" s="49">
        <f t="shared" ca="1" si="3"/>
        <v>20.831147715441364</v>
      </c>
      <c r="P14" s="12">
        <f ca="1">$O14+$H14*(PI()/180)</f>
        <v>20.887870916131181</v>
      </c>
      <c r="Q14" s="12">
        <f ca="1">$T30*($C$16/2)*1000</f>
        <v>0</v>
      </c>
      <c r="R14" s="12">
        <f t="shared" ca="1" si="0"/>
        <v>0</v>
      </c>
      <c r="S14" s="20">
        <f ca="1">($C$3*$C$9*$F14/$C$4)*$T30*$S30</f>
        <v>0</v>
      </c>
      <c r="T14" s="18">
        <f ca="1">($C$9/$C$5)*$S30</f>
        <v>7.8140318126760453E-3</v>
      </c>
      <c r="V14" s="3">
        <v>0</v>
      </c>
      <c r="W14" s="56">
        <v>0</v>
      </c>
      <c r="X14" s="56">
        <v>0</v>
      </c>
      <c r="Y14" s="56"/>
      <c r="Z14" s="58" t="s">
        <v>85</v>
      </c>
      <c r="AA14" s="56"/>
      <c r="AB14" s="56"/>
      <c r="AC14" s="56"/>
      <c r="AD14" s="56"/>
      <c r="AE14" s="56"/>
      <c r="AF14" s="56"/>
      <c r="AG14" s="56"/>
      <c r="AH14" s="57"/>
    </row>
    <row r="15" spans="2:34" x14ac:dyDescent="0.25">
      <c r="B15" s="3" t="s">
        <v>45</v>
      </c>
      <c r="C15" s="44">
        <v>0.05</v>
      </c>
      <c r="K15" s="2"/>
      <c r="L15" s="2"/>
      <c r="M15" s="2"/>
      <c r="N15" s="2"/>
      <c r="V15" s="3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7"/>
    </row>
    <row r="16" spans="2:34" ht="15.75" thickBot="1" x14ac:dyDescent="0.3">
      <c r="B16" s="4" t="s">
        <v>46</v>
      </c>
      <c r="C16" s="45">
        <v>0.4</v>
      </c>
      <c r="V16" s="3" t="s">
        <v>86</v>
      </c>
      <c r="W16" s="56" t="s">
        <v>87</v>
      </c>
      <c r="X16" s="56" t="s">
        <v>99</v>
      </c>
      <c r="Y16" s="56" t="s">
        <v>88</v>
      </c>
      <c r="Z16" s="56" t="s">
        <v>89</v>
      </c>
      <c r="AA16" s="56" t="s">
        <v>90</v>
      </c>
      <c r="AB16" s="56" t="s">
        <v>91</v>
      </c>
      <c r="AC16" s="56" t="s">
        <v>92</v>
      </c>
      <c r="AD16" s="56" t="s">
        <v>93</v>
      </c>
      <c r="AE16" s="56" t="s">
        <v>94</v>
      </c>
      <c r="AF16" s="56" t="s">
        <v>95</v>
      </c>
      <c r="AG16" s="56" t="s">
        <v>96</v>
      </c>
      <c r="AH16" s="57" t="s">
        <v>97</v>
      </c>
    </row>
    <row r="17" spans="1:34" ht="15.75" thickBot="1" x14ac:dyDescent="0.3">
      <c r="V17" s="59">
        <f>F5</f>
        <v>2.5000000000000001E-2</v>
      </c>
      <c r="W17" s="60">
        <f ca="1">Q5</f>
        <v>3.8844034180950704</v>
      </c>
      <c r="X17" s="60">
        <f ca="1">O5</f>
        <v>71.81326692797397</v>
      </c>
      <c r="Y17" s="60">
        <f ca="1">INDIRECT(G5&amp;"!H3")</f>
        <v>0.41139999999999999</v>
      </c>
      <c r="Z17" s="56">
        <f ca="1">INDIRECT(G5&amp;"!I3")</f>
        <v>6.6004737999070837</v>
      </c>
      <c r="AA17" s="56">
        <f ca="1">INDIRECT(G5&amp;"!j3")</f>
        <v>-0.43669999999999998</v>
      </c>
      <c r="AB17" s="56">
        <f ca="1">INDIRECT(G5&amp;"!k3")</f>
        <v>1.1473</v>
      </c>
      <c r="AC17" s="56">
        <f ca="1">INDIRECT(G5&amp;"!l3")</f>
        <v>1.482E-2</v>
      </c>
      <c r="AD17" s="56">
        <f ca="1">INDIRECT(G5&amp;"!m3")</f>
        <v>3.4282705807709486E-2</v>
      </c>
      <c r="AE17" s="56">
        <f ca="1">INDIRECT(G5&amp;"!n3")</f>
        <v>7.8428499082764364E-2</v>
      </c>
      <c r="AF17" s="56">
        <f ca="1">INDIRECT(G5&amp;"!o3")</f>
        <v>0.27160000000000001</v>
      </c>
      <c r="AG17" s="56">
        <f ca="1">INDIRECT(G5&amp;"!i1")</f>
        <v>100000</v>
      </c>
      <c r="AH17" s="57"/>
    </row>
    <row r="18" spans="1:34" ht="15.75" thickBot="1" x14ac:dyDescent="0.3">
      <c r="B18" s="36" t="s">
        <v>102</v>
      </c>
      <c r="C18" s="37"/>
      <c r="E18" s="1" t="s">
        <v>37</v>
      </c>
      <c r="V18" s="59">
        <f t="shared" ref="V18:V25" si="5">F6</f>
        <v>4.4444444444444446E-2</v>
      </c>
      <c r="W18" s="60">
        <f t="shared" ref="W18:W25" ca="1" si="6">Q6</f>
        <v>8.9177407657184666</v>
      </c>
      <c r="X18" s="60">
        <f t="shared" ref="X18:X25" ca="1" si="7">O6</f>
        <v>59.71304305223827</v>
      </c>
      <c r="Y18" s="60">
        <f t="shared" ref="Y18:Y25" ca="1" si="8">INDIRECT(G6&amp;"!H3")</f>
        <v>0.41139999999999999</v>
      </c>
      <c r="Z18" s="56">
        <f t="shared" ref="Z18:Z25" ca="1" si="9">INDIRECT(G6&amp;"!I3")</f>
        <v>6.6004737999070837</v>
      </c>
      <c r="AA18" s="56">
        <f t="shared" ref="AA18:AA25" ca="1" si="10">INDIRECT(G6&amp;"!j3")</f>
        <v>-0.43669999999999998</v>
      </c>
      <c r="AB18" s="56">
        <f t="shared" ref="AB18:AB25" ca="1" si="11">INDIRECT(G6&amp;"!k3")</f>
        <v>1.1473</v>
      </c>
      <c r="AC18" s="56">
        <f t="shared" ref="AC18:AC25" ca="1" si="12">INDIRECT(G6&amp;"!l3")</f>
        <v>1.482E-2</v>
      </c>
      <c r="AD18" s="56">
        <f t="shared" ref="AD18:AD25" ca="1" si="13">INDIRECT(G6&amp;"!m3")</f>
        <v>3.4282705807709486E-2</v>
      </c>
      <c r="AE18" s="56">
        <f t="shared" ref="AE18:AE25" ca="1" si="14">INDIRECT(G6&amp;"!n3")</f>
        <v>7.8428499082764364E-2</v>
      </c>
      <c r="AF18" s="56">
        <f t="shared" ref="AF18:AF25" ca="1" si="15">INDIRECT(G6&amp;"!o3")</f>
        <v>0.27160000000000001</v>
      </c>
      <c r="AG18" s="56">
        <f t="shared" ref="AG18:AG25" ca="1" si="16">INDIRECT(G6&amp;"!i1")</f>
        <v>100000</v>
      </c>
      <c r="AH18" s="57"/>
    </row>
    <row r="19" spans="1:34" ht="15.75" thickBot="1" x14ac:dyDescent="0.3">
      <c r="A19" s="2"/>
      <c r="B19" s="68" t="s">
        <v>104</v>
      </c>
      <c r="C19" s="69"/>
      <c r="E19" s="30" t="s">
        <v>41</v>
      </c>
      <c r="F19" s="31" t="s">
        <v>7</v>
      </c>
      <c r="G19" s="31" t="s">
        <v>13</v>
      </c>
      <c r="H19" s="31" t="s">
        <v>15</v>
      </c>
      <c r="I19" s="31" t="s">
        <v>5</v>
      </c>
      <c r="J19" s="31" t="s">
        <v>4</v>
      </c>
      <c r="K19" s="31" t="s">
        <v>8</v>
      </c>
      <c r="L19" s="31" t="s">
        <v>12</v>
      </c>
      <c r="M19" s="31" t="s">
        <v>9</v>
      </c>
      <c r="N19" s="31" t="s">
        <v>12</v>
      </c>
      <c r="O19" s="31" t="s">
        <v>10</v>
      </c>
      <c r="P19" s="31" t="s">
        <v>12</v>
      </c>
      <c r="Q19" s="31" t="s">
        <v>11</v>
      </c>
      <c r="R19" s="31" t="s">
        <v>12</v>
      </c>
      <c r="S19" s="31" t="s">
        <v>17</v>
      </c>
      <c r="T19" s="32" t="s">
        <v>18</v>
      </c>
      <c r="V19" s="59">
        <f t="shared" si="5"/>
        <v>6.3888888888888884E-2</v>
      </c>
      <c r="W19" s="60">
        <f t="shared" ca="1" si="6"/>
        <v>12.357800798189992</v>
      </c>
      <c r="X19" s="60">
        <f t="shared" ca="1" si="7"/>
        <v>49.984247296117239</v>
      </c>
      <c r="Y19" s="60">
        <f t="shared" ca="1" si="8"/>
        <v>0.41139999999999999</v>
      </c>
      <c r="Z19" s="56">
        <f t="shared" ca="1" si="9"/>
        <v>6.6004737999070837</v>
      </c>
      <c r="AA19" s="56">
        <f t="shared" ca="1" si="10"/>
        <v>-0.43669999999999998</v>
      </c>
      <c r="AB19" s="56">
        <f t="shared" ca="1" si="11"/>
        <v>1.1473</v>
      </c>
      <c r="AC19" s="56">
        <f t="shared" ca="1" si="12"/>
        <v>1.482E-2</v>
      </c>
      <c r="AD19" s="56">
        <f t="shared" ca="1" si="13"/>
        <v>3.4282705807709486E-2</v>
      </c>
      <c r="AE19" s="56">
        <f t="shared" ca="1" si="14"/>
        <v>7.8428499082764364E-2</v>
      </c>
      <c r="AF19" s="56">
        <f t="shared" ca="1" si="15"/>
        <v>0.27160000000000001</v>
      </c>
      <c r="AG19" s="56">
        <f t="shared" ca="1" si="16"/>
        <v>100000</v>
      </c>
      <c r="AH19" s="57"/>
    </row>
    <row r="20" spans="1:34" x14ac:dyDescent="0.25">
      <c r="A20" s="2"/>
      <c r="E20" s="24">
        <v>0</v>
      </c>
      <c r="F20" s="25">
        <f ca="1">J4/I4</f>
        <v>2.790187748389749E-2</v>
      </c>
      <c r="G20" s="25">
        <f t="shared" ref="G20:G29" si="17">($C$14/2)*(SQRT($M$6^2 + 1)/$M$6)*(1-$E20)</f>
        <v>2.893175232719027</v>
      </c>
      <c r="H20" s="25">
        <f t="shared" ref="H20:H29" si="18">(2/PI())*ACOS(EXP(-$G20))</f>
        <v>0.96471318276588558</v>
      </c>
      <c r="I20" s="25">
        <f t="shared" ref="I20:I30" si="19">$M$5*$F4/$C$9</f>
        <v>0</v>
      </c>
      <c r="J20" s="25">
        <f t="shared" ref="J20:J30" si="20">$H20*$I20^2/(1+$I20^2)</f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1</v>
      </c>
      <c r="T20" s="26">
        <v>0</v>
      </c>
      <c r="V20" s="59">
        <f t="shared" si="5"/>
        <v>8.3333333333333329E-2</v>
      </c>
      <c r="W20" s="60">
        <f t="shared" ca="1" si="6"/>
        <v>13.708256719739069</v>
      </c>
      <c r="X20" s="60">
        <f t="shared" ca="1" si="7"/>
        <v>42.40132110291448</v>
      </c>
      <c r="Y20" s="60">
        <f t="shared" ca="1" si="8"/>
        <v>0.41139999999999999</v>
      </c>
      <c r="Z20" s="56">
        <f t="shared" ca="1" si="9"/>
        <v>6.6004737999070837</v>
      </c>
      <c r="AA20" s="56">
        <f t="shared" ca="1" si="10"/>
        <v>-0.43669999999999998</v>
      </c>
      <c r="AB20" s="56">
        <f t="shared" ca="1" si="11"/>
        <v>1.1473</v>
      </c>
      <c r="AC20" s="56">
        <f t="shared" ca="1" si="12"/>
        <v>1.482E-2</v>
      </c>
      <c r="AD20" s="56">
        <f t="shared" ca="1" si="13"/>
        <v>3.4282705807709486E-2</v>
      </c>
      <c r="AE20" s="56">
        <f t="shared" ca="1" si="14"/>
        <v>7.8428499082764364E-2</v>
      </c>
      <c r="AF20" s="56">
        <f t="shared" ca="1" si="15"/>
        <v>0.27160000000000001</v>
      </c>
      <c r="AG20" s="56">
        <f t="shared" ca="1" si="16"/>
        <v>100000</v>
      </c>
      <c r="AH20" s="57"/>
    </row>
    <row r="21" spans="1:34" x14ac:dyDescent="0.25">
      <c r="A21" s="2"/>
      <c r="E21" s="24">
        <f>F5/($C$16/2)</f>
        <v>0.125</v>
      </c>
      <c r="F21" s="25">
        <f ca="1">J5/I5</f>
        <v>2.790187748389749E-2</v>
      </c>
      <c r="G21" s="25">
        <f t="shared" si="17"/>
        <v>2.5315283286291486</v>
      </c>
      <c r="H21" s="25">
        <f t="shared" si="18"/>
        <v>0.94931139839912304</v>
      </c>
      <c r="I21" s="25">
        <f t="shared" si="19"/>
        <v>0.33935745643464749</v>
      </c>
      <c r="J21" s="25">
        <f t="shared" si="20"/>
        <v>9.8035856589891196E-2</v>
      </c>
      <c r="K21" s="25">
        <f t="shared" ref="K21:K30" ca="1" si="21">4*$J21*(1-$F21/$I21)*$E21</f>
        <v>4.4987687603701407E-2</v>
      </c>
      <c r="L21" s="25">
        <f t="shared" ref="L21:L30" ca="1" si="22">L20+($E21-$E20)*(K20+K21)/2</f>
        <v>2.8117304752313379E-3</v>
      </c>
      <c r="M21" s="25">
        <f ca="1">2*$J21*(1-$F21/$I21)*(1/$I21^2+1)*$E21</f>
        <v>0.21781481855393087</v>
      </c>
      <c r="N21" s="25">
        <f ca="1">N20+($E21-$E20)*(M20+M21)/2</f>
        <v>1.3613426159620679E-2</v>
      </c>
      <c r="O21" s="25">
        <f ca="1">4*$J21*( 1+ ($F21*$I21))*$E21</f>
        <v>4.9482064851235977E-2</v>
      </c>
      <c r="P21" s="25">
        <f t="shared" ref="P21:P30" ca="1" si="23">P20+($E21-$E20)*(O20+O21)/2</f>
        <v>3.0926290532022485E-3</v>
      </c>
      <c r="Q21" s="25">
        <f t="shared" ref="Q21:Q30" ca="1" si="24">2*$J21*(1+$F21*$I21)*($I21^2/(1+$I21^2))*$E21</f>
        <v>2.5550186280855823E-3</v>
      </c>
      <c r="R21" s="25">
        <f t="shared" ref="R21:R30" ca="1" si="25">R20+($E21-$E20)*(Q20+Q21)/2</f>
        <v>1.5968866425534889E-4</v>
      </c>
      <c r="S21" s="25">
        <f ca="1">SQRT($I21^2 + 1 - ($M$7*COS($O5)/2)^2)</f>
        <v>1.0555930220301162</v>
      </c>
      <c r="T21" s="26">
        <f ca="1">(4*PI()*$M$6/$C$14)*($J21/$S21)*($M$7/$I5)</f>
        <v>1.9422017090475353E-2</v>
      </c>
      <c r="V21" s="59">
        <f t="shared" si="5"/>
        <v>0.10277777777777777</v>
      </c>
      <c r="W21" s="60">
        <f t="shared" ca="1" si="6"/>
        <v>13.560166210135042</v>
      </c>
      <c r="X21" s="60">
        <f t="shared" ca="1" si="7"/>
        <v>36.51648020147303</v>
      </c>
      <c r="Y21" s="60">
        <f t="shared" ca="1" si="8"/>
        <v>0.41139999999999999</v>
      </c>
      <c r="Z21" s="56">
        <f t="shared" ca="1" si="9"/>
        <v>6.6004737999070837</v>
      </c>
      <c r="AA21" s="56">
        <f t="shared" ca="1" si="10"/>
        <v>-0.43669999999999998</v>
      </c>
      <c r="AB21" s="56">
        <f t="shared" ca="1" si="11"/>
        <v>1.1473</v>
      </c>
      <c r="AC21" s="56">
        <f t="shared" ca="1" si="12"/>
        <v>1.482E-2</v>
      </c>
      <c r="AD21" s="56">
        <f t="shared" ca="1" si="13"/>
        <v>3.4282705807709486E-2</v>
      </c>
      <c r="AE21" s="56">
        <f t="shared" ca="1" si="14"/>
        <v>7.8428499082764364E-2</v>
      </c>
      <c r="AF21" s="56">
        <f t="shared" ca="1" si="15"/>
        <v>0.27160000000000001</v>
      </c>
      <c r="AG21" s="56">
        <f t="shared" ca="1" si="16"/>
        <v>100000</v>
      </c>
      <c r="AH21" s="57"/>
    </row>
    <row r="22" spans="1:34" x14ac:dyDescent="0.25">
      <c r="A22" s="2"/>
      <c r="E22" s="24">
        <f t="shared" ref="E22:E30" si="26">F6/($C$16/2)</f>
        <v>0.22222222222222221</v>
      </c>
      <c r="F22" s="25">
        <f ca="1">J6/I6</f>
        <v>2.790187748389749E-2</v>
      </c>
      <c r="G22" s="25">
        <f t="shared" si="17"/>
        <v>2.2502474032259099</v>
      </c>
      <c r="H22" s="25">
        <f t="shared" si="18"/>
        <v>0.93279260173595557</v>
      </c>
      <c r="I22" s="25">
        <f t="shared" si="19"/>
        <v>0.60330214477270661</v>
      </c>
      <c r="J22" s="25">
        <f t="shared" si="20"/>
        <v>0.24891376035206467</v>
      </c>
      <c r="K22" s="25">
        <f t="shared" ca="1" si="21"/>
        <v>0.21102386513499588</v>
      </c>
      <c r="L22" s="25">
        <f t="shared" ca="1" si="22"/>
        <v>1.5256736511140234E-2</v>
      </c>
      <c r="M22" s="25">
        <f t="shared" ref="M22:M30" ca="1" si="27">2*$J22*(1-$F22/$I22)*(1/(1+$I22^2))*$E22</f>
        <v>7.7356293416294922E-2</v>
      </c>
      <c r="N22" s="25">
        <f ca="1">N21+($E22-$E21)*(M21+M22)/2</f>
        <v>2.7962021880395541E-2</v>
      </c>
      <c r="O22" s="25">
        <f t="shared" ref="O22:O30" ca="1" si="28">4*$J22*(1+ ($F22*$I22))*$E22</f>
        <v>0.22498114757973908</v>
      </c>
      <c r="P22" s="25">
        <f t="shared" ca="1" si="23"/>
        <v>1.6434590768596866E-2</v>
      </c>
      <c r="Q22" s="25">
        <f t="shared" ca="1" si="24"/>
        <v>3.0017875006821605E-2</v>
      </c>
      <c r="R22" s="25">
        <f t="shared" ca="1" si="25"/>
        <v>1.743093215952226E-3</v>
      </c>
      <c r="S22" s="25">
        <f ca="1">SQRT($I22^2 + 1 - ($M$7*COS($O6)/2)^2)</f>
        <v>1.1674275896748607</v>
      </c>
      <c r="T22" s="26">
        <f ca="1">(4*PI()*$M$6/$C$14)*($J22/$S22)*($M$7/$I6)</f>
        <v>4.4588703828592334E-2</v>
      </c>
      <c r="V22" s="59">
        <f t="shared" si="5"/>
        <v>0.12222222222222222</v>
      </c>
      <c r="W22" s="60">
        <f t="shared" ca="1" si="6"/>
        <v>12.505475993295438</v>
      </c>
      <c r="X22" s="60">
        <f t="shared" ca="1" si="7"/>
        <v>31.90698697169034</v>
      </c>
      <c r="Y22" s="60">
        <f t="shared" ca="1" si="8"/>
        <v>0.41139999999999999</v>
      </c>
      <c r="Z22" s="56">
        <f t="shared" ca="1" si="9"/>
        <v>6.6004737999070837</v>
      </c>
      <c r="AA22" s="56">
        <f t="shared" ca="1" si="10"/>
        <v>-0.43669999999999998</v>
      </c>
      <c r="AB22" s="56">
        <f t="shared" ca="1" si="11"/>
        <v>1.1473</v>
      </c>
      <c r="AC22" s="56">
        <f t="shared" ca="1" si="12"/>
        <v>1.482E-2</v>
      </c>
      <c r="AD22" s="56">
        <f t="shared" ca="1" si="13"/>
        <v>3.4282705807709486E-2</v>
      </c>
      <c r="AE22" s="56">
        <f t="shared" ca="1" si="14"/>
        <v>7.8428499082764364E-2</v>
      </c>
      <c r="AF22" s="56">
        <f t="shared" ca="1" si="15"/>
        <v>0.27160000000000001</v>
      </c>
      <c r="AG22" s="56">
        <f t="shared" ca="1" si="16"/>
        <v>100000</v>
      </c>
      <c r="AH22" s="57"/>
    </row>
    <row r="23" spans="1:34" x14ac:dyDescent="0.25">
      <c r="A23" s="2"/>
      <c r="E23" s="24">
        <f t="shared" si="26"/>
        <v>0.31944444444444442</v>
      </c>
      <c r="F23" s="25">
        <f ca="1">J7/I7</f>
        <v>2.790187748389749E-2</v>
      </c>
      <c r="G23" s="25">
        <f t="shared" si="17"/>
        <v>1.9689664778226712</v>
      </c>
      <c r="H23" s="25">
        <f t="shared" si="18"/>
        <v>0.9108359764739633</v>
      </c>
      <c r="I23" s="25">
        <f t="shared" si="19"/>
        <v>0.86724683311076567</v>
      </c>
      <c r="J23" s="25">
        <f t="shared" si="20"/>
        <v>0.3909871648230645</v>
      </c>
      <c r="K23" s="25">
        <f t="shared" ca="1" si="21"/>
        <v>0.48352128159631103</v>
      </c>
      <c r="L23" s="25">
        <f t="shared" ca="1" si="22"/>
        <v>4.9019347810578755E-2</v>
      </c>
      <c r="M23" s="25">
        <f t="shared" ca="1" si="27"/>
        <v>0.1379820133032191</v>
      </c>
      <c r="N23" s="25">
        <f ca="1">N22+($E23-$E22)*(M22+M23)/2</f>
        <v>3.8429856234816359E-2</v>
      </c>
      <c r="O23" s="25">
        <f t="shared" ca="1" si="28"/>
        <v>0.51168381093242543</v>
      </c>
      <c r="P23" s="25">
        <f t="shared" ca="1" si="23"/>
        <v>5.2244692918493749E-2</v>
      </c>
      <c r="Q23" s="25">
        <f t="shared" ca="1" si="24"/>
        <v>0.10982317765752463</v>
      </c>
      <c r="R23" s="25">
        <f t="shared" ca="1" si="25"/>
        <v>8.5409221649135007E-3</v>
      </c>
      <c r="S23" s="25">
        <f ca="1">SQRT($I23^2 + 1 - ($M$7*COS($O7)/2)^2)</f>
        <v>1.3232966129206567</v>
      </c>
      <c r="T23" s="26">
        <f ca="1">(4*PI()*$M$6/$C$14)*($J23/$S23)*($M$7/$I7)</f>
        <v>6.1789003990949956E-2</v>
      </c>
      <c r="V23" s="59">
        <f t="shared" si="5"/>
        <v>0.14166666666666666</v>
      </c>
      <c r="W23" s="60">
        <f t="shared" ca="1" si="6"/>
        <v>10.891685300671623</v>
      </c>
      <c r="X23" s="60">
        <f t="shared" ca="1" si="7"/>
        <v>28.242802650033642</v>
      </c>
      <c r="Y23" s="60">
        <f t="shared" ca="1" si="8"/>
        <v>0.41139999999999999</v>
      </c>
      <c r="Z23" s="56">
        <f t="shared" ca="1" si="9"/>
        <v>6.6004737999070837</v>
      </c>
      <c r="AA23" s="56">
        <f t="shared" ca="1" si="10"/>
        <v>-0.43669999999999998</v>
      </c>
      <c r="AB23" s="56">
        <f t="shared" ca="1" si="11"/>
        <v>1.1473</v>
      </c>
      <c r="AC23" s="56">
        <f t="shared" ca="1" si="12"/>
        <v>1.482E-2</v>
      </c>
      <c r="AD23" s="56">
        <f t="shared" ca="1" si="13"/>
        <v>3.4282705807709486E-2</v>
      </c>
      <c r="AE23" s="56">
        <f t="shared" ca="1" si="14"/>
        <v>7.8428499082764364E-2</v>
      </c>
      <c r="AF23" s="56">
        <f t="shared" ca="1" si="15"/>
        <v>0.27160000000000001</v>
      </c>
      <c r="AG23" s="56">
        <f t="shared" ca="1" si="16"/>
        <v>100000</v>
      </c>
      <c r="AH23" s="57"/>
    </row>
    <row r="24" spans="1:34" x14ac:dyDescent="0.25">
      <c r="A24" s="2"/>
      <c r="E24" s="24">
        <f t="shared" si="26"/>
        <v>0.41666666666666663</v>
      </c>
      <c r="F24" s="25">
        <f ca="1">J8/I8</f>
        <v>2.790187748389749E-2</v>
      </c>
      <c r="G24" s="25">
        <f t="shared" si="17"/>
        <v>1.6876855524194325</v>
      </c>
      <c r="H24" s="25">
        <f t="shared" si="18"/>
        <v>0.88157725527999486</v>
      </c>
      <c r="I24" s="25">
        <f t="shared" si="19"/>
        <v>1.1311915214488248</v>
      </c>
      <c r="J24" s="25">
        <f t="shared" si="20"/>
        <v>0.49485174388263442</v>
      </c>
      <c r="K24" s="25">
        <f t="shared" ca="1" si="21"/>
        <v>0.80440961878324824</v>
      </c>
      <c r="L24" s="25">
        <f t="shared" ca="1" si="22"/>
        <v>0.11162709991236286</v>
      </c>
      <c r="M24" s="25">
        <f t="shared" ca="1" si="27"/>
        <v>0.17643701634413456</v>
      </c>
      <c r="N24" s="25">
        <f ca="1">N23+($E24-$E23)*(M23+M24)/2</f>
        <v>5.3714114620451607E-2</v>
      </c>
      <c r="O24" s="25">
        <f t="shared" ca="1" si="28"/>
        <v>0.85078406058924172</v>
      </c>
      <c r="P24" s="25">
        <f t="shared" ca="1" si="23"/>
        <v>0.11847577000635257</v>
      </c>
      <c r="Q24" s="25">
        <f t="shared" ca="1" si="24"/>
        <v>0.23878337010658179</v>
      </c>
      <c r="R24" s="25">
        <f t="shared" ca="1" si="25"/>
        <v>2.5487073792335342E-2</v>
      </c>
      <c r="S24" s="25">
        <f ca="1">SQRT($I24^2 + 1 - ($M$7*COS($O8)/2)^2)</f>
        <v>1.5098324892428876</v>
      </c>
      <c r="T24" s="26">
        <f ca="1">(4*PI()*$M$6/$C$14)*($J24/$S24)*($M$7/$I8)</f>
        <v>6.8541283598695338E-2</v>
      </c>
      <c r="V24" s="59">
        <f t="shared" si="5"/>
        <v>0.16111111111111109</v>
      </c>
      <c r="W24" s="60">
        <f t="shared" ca="1" si="6"/>
        <v>8.8343830687080143</v>
      </c>
      <c r="X24" s="60">
        <f t="shared" ca="1" si="7"/>
        <v>25.282684802204354</v>
      </c>
      <c r="Y24" s="60">
        <f t="shared" ca="1" si="8"/>
        <v>0.41139999999999999</v>
      </c>
      <c r="Z24" s="56">
        <f t="shared" ca="1" si="9"/>
        <v>6.6004737999070837</v>
      </c>
      <c r="AA24" s="56">
        <f t="shared" ca="1" si="10"/>
        <v>-0.43669999999999998</v>
      </c>
      <c r="AB24" s="56">
        <f t="shared" ca="1" si="11"/>
        <v>1.1473</v>
      </c>
      <c r="AC24" s="56">
        <f t="shared" ca="1" si="12"/>
        <v>1.482E-2</v>
      </c>
      <c r="AD24" s="56">
        <f t="shared" ca="1" si="13"/>
        <v>3.4282705807709486E-2</v>
      </c>
      <c r="AE24" s="56">
        <f t="shared" ca="1" si="14"/>
        <v>7.8428499082764364E-2</v>
      </c>
      <c r="AF24" s="56">
        <f t="shared" ca="1" si="15"/>
        <v>0.27160000000000001</v>
      </c>
      <c r="AG24" s="56">
        <f t="shared" ca="1" si="16"/>
        <v>100000</v>
      </c>
      <c r="AH24" s="57"/>
    </row>
    <row r="25" spans="1:34" ht="15.75" thickBot="1" x14ac:dyDescent="0.3">
      <c r="A25" s="2"/>
      <c r="E25" s="24">
        <f t="shared" si="26"/>
        <v>0.51388888888888884</v>
      </c>
      <c r="F25" s="25">
        <f ca="1">J9/I9</f>
        <v>2.790187748389749E-2</v>
      </c>
      <c r="G25" s="25">
        <f t="shared" si="17"/>
        <v>1.4064046270161938</v>
      </c>
      <c r="H25" s="25">
        <f t="shared" si="18"/>
        <v>0.84240919745496023</v>
      </c>
      <c r="I25" s="25">
        <f t="shared" si="19"/>
        <v>1.395136209786884</v>
      </c>
      <c r="J25" s="25">
        <f t="shared" si="20"/>
        <v>0.55649833831803386</v>
      </c>
      <c r="K25" s="25">
        <f t="shared" ca="1" si="21"/>
        <v>1.1210356802112931</v>
      </c>
      <c r="L25" s="25">
        <f t="shared" ca="1" si="22"/>
        <v>0.20522513528015307</v>
      </c>
      <c r="M25" s="25">
        <f t="shared" ca="1" si="27"/>
        <v>0.19023787692530258</v>
      </c>
      <c r="N25" s="25">
        <f ca="1">N24+($E25-$E24)*(M24+M25)/2</f>
        <v>7.153858859882703E-2</v>
      </c>
      <c r="O25" s="25">
        <f t="shared" ca="1" si="28"/>
        <v>1.1884422701362711</v>
      </c>
      <c r="P25" s="25">
        <f t="shared" ca="1" si="23"/>
        <v>0.21760482774995388</v>
      </c>
      <c r="Q25" s="25">
        <f t="shared" ca="1" si="24"/>
        <v>0.39254447275494464</v>
      </c>
      <c r="R25" s="25">
        <f t="shared" ca="1" si="25"/>
        <v>5.6176621709215099E-2</v>
      </c>
      <c r="S25" s="25">
        <f ca="1">SQRT($I25^2 + 1 - ($M$7*COS($O9)/2)^2)</f>
        <v>1.7164641986255009</v>
      </c>
      <c r="T25" s="26">
        <f ca="1">(4*PI()*$M$6/$C$14)*($J25/$S25)*($M$7/$I9)</f>
        <v>6.7800831050675206E-2</v>
      </c>
      <c r="V25" s="61">
        <f t="shared" si="5"/>
        <v>0.18055555555555552</v>
      </c>
      <c r="W25" s="62">
        <f t="shared" ca="1" si="6"/>
        <v>6.1695369762418668</v>
      </c>
      <c r="X25" s="62">
        <f t="shared" ca="1" si="7"/>
        <v>22.853576473122867</v>
      </c>
      <c r="Y25" s="62">
        <f t="shared" ca="1" si="8"/>
        <v>0.41139999999999999</v>
      </c>
      <c r="Z25" s="63">
        <f t="shared" ca="1" si="9"/>
        <v>6.6004737999070837</v>
      </c>
      <c r="AA25" s="63">
        <f t="shared" ca="1" si="10"/>
        <v>-0.43669999999999998</v>
      </c>
      <c r="AB25" s="63">
        <f t="shared" ca="1" si="11"/>
        <v>1.1473</v>
      </c>
      <c r="AC25" s="63">
        <f t="shared" ca="1" si="12"/>
        <v>1.482E-2</v>
      </c>
      <c r="AD25" s="63">
        <f t="shared" ca="1" si="13"/>
        <v>3.4282705807709486E-2</v>
      </c>
      <c r="AE25" s="63">
        <f t="shared" ca="1" si="14"/>
        <v>7.8428499082764364E-2</v>
      </c>
      <c r="AF25" s="63">
        <f t="shared" ca="1" si="15"/>
        <v>0.27160000000000001</v>
      </c>
      <c r="AG25" s="63">
        <f t="shared" ca="1" si="16"/>
        <v>100000</v>
      </c>
      <c r="AH25" s="64"/>
    </row>
    <row r="26" spans="1:34" x14ac:dyDescent="0.25">
      <c r="A26" s="2"/>
      <c r="E26" s="24">
        <f t="shared" si="26"/>
        <v>0.61111111111111105</v>
      </c>
      <c r="F26" s="25">
        <f ca="1">J10/I10</f>
        <v>2.790187748389749E-2</v>
      </c>
      <c r="G26" s="25">
        <f t="shared" si="17"/>
        <v>1.1251237016129552</v>
      </c>
      <c r="H26" s="25">
        <f t="shared" si="18"/>
        <v>0.78953234936806005</v>
      </c>
      <c r="I26" s="25">
        <f t="shared" si="19"/>
        <v>1.659080898124943</v>
      </c>
      <c r="J26" s="25">
        <f t="shared" si="20"/>
        <v>0.57913342862696726</v>
      </c>
      <c r="K26" s="25">
        <f t="shared" ca="1" si="21"/>
        <v>1.391851395948551</v>
      </c>
      <c r="L26" s="25">
        <f t="shared" ca="1" si="22"/>
        <v>0.32737936814903434</v>
      </c>
      <c r="M26" s="25">
        <f t="shared" ca="1" si="27"/>
        <v>0.18545410569557425</v>
      </c>
      <c r="N26" s="25">
        <f ca="1">N25+($E26-$E25)*(M25+M26)/2</f>
        <v>8.9801393309564104E-2</v>
      </c>
      <c r="O26" s="25">
        <f t="shared" ca="1" si="28"/>
        <v>1.4811924538807297</v>
      </c>
      <c r="P26" s="25">
        <f t="shared" ca="1" si="23"/>
        <v>0.34737873794522472</v>
      </c>
      <c r="Q26" s="25">
        <f t="shared" ca="1" si="24"/>
        <v>0.5432380731194395</v>
      </c>
      <c r="R26" s="25">
        <f t="shared" ca="1" si="25"/>
        <v>0.10166605102255322</v>
      </c>
      <c r="S26" s="25">
        <f ca="1">SQRT($I26^2 + 1 - ($M$7*COS($O10)/2)^2)</f>
        <v>1.9369316580356195</v>
      </c>
      <c r="T26" s="26">
        <f ca="1">(4*PI()*$M$6/$C$14)*($J26/$S26)*($M$7/$I10)</f>
        <v>6.2527379966477184E-2</v>
      </c>
    </row>
    <row r="27" spans="1:34" x14ac:dyDescent="0.25">
      <c r="A27" s="2"/>
      <c r="E27" s="24">
        <f t="shared" si="26"/>
        <v>0.70833333333333326</v>
      </c>
      <c r="F27" s="25">
        <f ca="1">J11/I11</f>
        <v>2.790187748389749E-2</v>
      </c>
      <c r="G27" s="25">
        <f t="shared" si="17"/>
        <v>0.84384277620971637</v>
      </c>
      <c r="H27" s="25">
        <f t="shared" si="18"/>
        <v>0.71698850970910577</v>
      </c>
      <c r="I27" s="25">
        <f t="shared" si="19"/>
        <v>1.9230255864630021</v>
      </c>
      <c r="J27" s="25">
        <f t="shared" si="20"/>
        <v>0.5643737104075498</v>
      </c>
      <c r="K27" s="25">
        <f t="shared" ca="1" si="21"/>
        <v>1.5758575199066347</v>
      </c>
      <c r="L27" s="25">
        <f t="shared" ca="1" si="22"/>
        <v>0.47164299600310583</v>
      </c>
      <c r="M27" s="25">
        <f t="shared" ca="1" si="27"/>
        <v>0.16771480705177078</v>
      </c>
      <c r="N27" s="25">
        <f ca="1">N26+($E27-$E26)*(M26+M27)/2</f>
        <v>0.1069693265681156</v>
      </c>
      <c r="O27" s="25">
        <f t="shared" ca="1" si="28"/>
        <v>1.6848579864801463</v>
      </c>
      <c r="P27" s="25">
        <f t="shared" ca="1" si="23"/>
        <v>0.50128396768498951</v>
      </c>
      <c r="Q27" s="25">
        <f t="shared" ca="1" si="24"/>
        <v>0.66311352306425742</v>
      </c>
      <c r="R27" s="25">
        <f t="shared" ca="1" si="25"/>
        <v>0.16030814250370512</v>
      </c>
      <c r="S27" s="25">
        <f ca="1">SQRT($I27^2 + 1 - ($M$7*COS($O11)/2)^2)</f>
        <v>2.1672428617077895</v>
      </c>
      <c r="T27" s="26">
        <f ca="1">(4*PI()*$M$6/$C$14)*($J27/$S27)*($M$7/$I11)</f>
        <v>5.4458426503358109E-2</v>
      </c>
    </row>
    <row r="28" spans="1:34" x14ac:dyDescent="0.25">
      <c r="A28" s="2"/>
      <c r="E28" s="24">
        <f t="shared" si="26"/>
        <v>0.80555555555555547</v>
      </c>
      <c r="F28" s="25">
        <f ca="1">J12/I12</f>
        <v>2.790187748389749E-2</v>
      </c>
      <c r="G28" s="25">
        <f t="shared" si="17"/>
        <v>0.56256185080647769</v>
      </c>
      <c r="H28" s="25">
        <f t="shared" si="18"/>
        <v>0.61408193427885727</v>
      </c>
      <c r="I28" s="25">
        <f t="shared" si="19"/>
        <v>2.1869702748010611</v>
      </c>
      <c r="J28" s="25">
        <f t="shared" si="20"/>
        <v>0.50789154300242778</v>
      </c>
      <c r="K28" s="25">
        <f t="shared" ca="1" si="21"/>
        <v>1.6156600642903038</v>
      </c>
      <c r="L28" s="25">
        <f t="shared" ca="1" si="22"/>
        <v>0.62678621190156814</v>
      </c>
      <c r="M28" s="25">
        <f t="shared" ca="1" si="27"/>
        <v>0.1396943671679316</v>
      </c>
      <c r="N28" s="25">
        <f ca="1">N27+($E28-$E27)*(M27+M28)/2</f>
        <v>0.12191282809268446</v>
      </c>
      <c r="O28" s="25">
        <f t="shared" ca="1" si="28"/>
        <v>1.7364019952669008</v>
      </c>
      <c r="P28" s="25">
        <f t="shared" ca="1" si="23"/>
        <v>0.66759521679769318</v>
      </c>
      <c r="Q28" s="25">
        <f t="shared" ca="1" si="24"/>
        <v>0.71806695444009272</v>
      </c>
      <c r="R28" s="25">
        <f t="shared" ca="1" si="25"/>
        <v>0.22744886016016658</v>
      </c>
      <c r="S28" s="25">
        <f ca="1">SQRT($I28^2 + 1 - ($M$7*COS($O12)/2)^2)</f>
        <v>2.4045324642330455</v>
      </c>
      <c r="T28" s="26">
        <f ca="1">(4*PI()*$M$6/$C$14)*($J28/$S28)*($M$7/$I12)</f>
        <v>4.417191534354007E-2</v>
      </c>
    </row>
    <row r="29" spans="1:34" x14ac:dyDescent="0.25">
      <c r="A29" s="2"/>
      <c r="E29" s="24">
        <f t="shared" si="26"/>
        <v>0.90277777777777757</v>
      </c>
      <c r="F29" s="25">
        <f ca="1">J13/I13</f>
        <v>2.790187748389749E-2</v>
      </c>
      <c r="G29" s="25">
        <f t="shared" si="17"/>
        <v>0.28128092540323935</v>
      </c>
      <c r="H29" s="25">
        <f t="shared" si="18"/>
        <v>0.4554520283816525</v>
      </c>
      <c r="I29" s="25">
        <f t="shared" si="19"/>
        <v>2.4509149631391201</v>
      </c>
      <c r="J29" s="25">
        <f t="shared" si="20"/>
        <v>0.39045230550421395</v>
      </c>
      <c r="K29" s="25">
        <f t="shared" ca="1" si="21"/>
        <v>1.3939152177479162</v>
      </c>
      <c r="L29" s="25">
        <f t="shared" ca="1" si="22"/>
        <v>0.77308501033398147</v>
      </c>
      <c r="M29" s="25">
        <f t="shared" ca="1" si="27"/>
        <v>9.9466131691410456E-2</v>
      </c>
      <c r="N29" s="25">
        <f ca="1">N28+($E29-$E28)*(M28+M29)/2</f>
        <v>0.13353868567612467</v>
      </c>
      <c r="O29" s="25">
        <f t="shared" ca="1" si="28"/>
        <v>1.5063874106457662</v>
      </c>
      <c r="P29" s="25">
        <f t="shared" ca="1" si="23"/>
        <v>0.82523081291844758</v>
      </c>
      <c r="Q29" s="25">
        <f t="shared" ca="1" si="24"/>
        <v>0.64570185312282236</v>
      </c>
      <c r="R29" s="25">
        <f t="shared" ca="1" si="25"/>
        <v>0.29374317719447485</v>
      </c>
      <c r="S29" s="25">
        <f ca="1">SQRT($I29^2 + 1 - ($M$7*COS($O13)/2)^2)</f>
        <v>2.6469839656232135</v>
      </c>
      <c r="T29" s="26">
        <f ca="1">(4*PI()*$M$6/$C$14)*($J29/$S29)*($M$7/$I13)</f>
        <v>3.0847684881209331E-2</v>
      </c>
    </row>
    <row r="30" spans="1:34" ht="15.75" thickBot="1" x14ac:dyDescent="0.3">
      <c r="A30" s="2"/>
      <c r="E30" s="24">
        <f t="shared" si="26"/>
        <v>0.99999999999999978</v>
      </c>
      <c r="F30" s="27">
        <f ca="1">J14/I14</f>
        <v>2.790187748389749E-2</v>
      </c>
      <c r="G30" s="27">
        <v>0</v>
      </c>
      <c r="H30" s="27">
        <v>0</v>
      </c>
      <c r="I30" s="27">
        <f t="shared" si="19"/>
        <v>2.714859651477179</v>
      </c>
      <c r="J30" s="27">
        <f t="shared" si="20"/>
        <v>0</v>
      </c>
      <c r="K30" s="27">
        <f t="shared" ca="1" si="21"/>
        <v>0</v>
      </c>
      <c r="L30" s="28">
        <f t="shared" ca="1" si="22"/>
        <v>0.84084477786339407</v>
      </c>
      <c r="M30" s="27">
        <f t="shared" ca="1" si="27"/>
        <v>0</v>
      </c>
      <c r="N30" s="28">
        <f ca="1">N29+($E30-$E29)*(M29+M30)/2</f>
        <v>0.13837384485556825</v>
      </c>
      <c r="O30" s="27">
        <f t="shared" ca="1" si="28"/>
        <v>0</v>
      </c>
      <c r="P30" s="28">
        <f t="shared" ca="1" si="23"/>
        <v>0.8984579787137279</v>
      </c>
      <c r="Q30" s="27">
        <f t="shared" ca="1" si="24"/>
        <v>0</v>
      </c>
      <c r="R30" s="28">
        <f t="shared" ca="1" si="25"/>
        <v>0.32513146172127871</v>
      </c>
      <c r="S30" s="27">
        <f ca="1">SQRT($I30^2 + 1 - ($M$7*COS($O14)/2)^2)</f>
        <v>2.8931452786433054</v>
      </c>
      <c r="T30" s="29">
        <f ca="1">(4*PI()*$M$6/$C$14)*($J30/$S30)*($M$7/$I14)</f>
        <v>0</v>
      </c>
    </row>
  </sheetData>
  <mergeCells count="9">
    <mergeCell ref="B19:C19"/>
    <mergeCell ref="B18:C18"/>
    <mergeCell ref="B13:C13"/>
    <mergeCell ref="O2:T2"/>
    <mergeCell ref="E1:J1"/>
    <mergeCell ref="B2:C2"/>
    <mergeCell ref="E2:J2"/>
    <mergeCell ref="L2:M2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0"/>
  <sheetViews>
    <sheetView zoomScaleNormal="100" workbookViewId="0">
      <selection activeCell="M3" sqref="M3"/>
    </sheetView>
  </sheetViews>
  <sheetFormatPr defaultRowHeight="15" x14ac:dyDescent="0.25"/>
  <cols>
    <col min="1" max="1" width="4.28515625" style="1" customWidth="1"/>
    <col min="2" max="2" width="12.28515625" style="1" customWidth="1"/>
    <col min="3" max="3" width="10.7109375" style="1" customWidth="1"/>
    <col min="4" max="4" width="4.7109375" style="1" customWidth="1"/>
    <col min="5" max="14" width="9.140625" style="1"/>
    <col min="15" max="17" width="9.5703125" style="1" bestFit="1" customWidth="1"/>
    <col min="18" max="21" width="9.140625" style="1" customWidth="1"/>
    <col min="22" max="22" width="7.85546875" style="1" customWidth="1"/>
    <col min="23" max="23" width="6.7109375" style="1" customWidth="1"/>
    <col min="24" max="24" width="6.28515625" style="1" customWidth="1"/>
    <col min="25" max="25" width="7.5703125" style="1" customWidth="1"/>
    <col min="26" max="26" width="6" style="1" customWidth="1"/>
    <col min="27" max="27" width="6.5703125" style="1" customWidth="1"/>
    <col min="28" max="28" width="6.7109375" style="1" customWidth="1"/>
    <col min="29" max="31" width="9.140625" style="1" customWidth="1"/>
    <col min="32" max="16384" width="9.140625" style="1"/>
  </cols>
  <sheetData>
    <row r="1" spans="2:34" s="52" customFormat="1" ht="18" customHeight="1" thickBot="1" x14ac:dyDescent="0.3">
      <c r="E1" s="53" t="str">
        <f>CONCATENATE(B19,": ",C16*1000,"mm, ",C8,"W @ ",M4,"rpm")</f>
        <v>Larrabee Prop: 355,6mm, 200W @ 650rpm</v>
      </c>
      <c r="F1" s="53"/>
      <c r="G1" s="53"/>
      <c r="H1" s="53"/>
      <c r="I1" s="53"/>
      <c r="J1" s="53"/>
    </row>
    <row r="2" spans="2:34" ht="15.75" thickBot="1" x14ac:dyDescent="0.3">
      <c r="B2" s="36" t="s">
        <v>26</v>
      </c>
      <c r="C2" s="37"/>
      <c r="E2" s="36" t="s">
        <v>28</v>
      </c>
      <c r="F2" s="38"/>
      <c r="G2" s="38"/>
      <c r="H2" s="38"/>
      <c r="I2" s="38"/>
      <c r="J2" s="37"/>
      <c r="L2" s="36" t="s">
        <v>30</v>
      </c>
      <c r="M2" s="37"/>
      <c r="O2" s="36" t="s">
        <v>29</v>
      </c>
      <c r="P2" s="38"/>
      <c r="Q2" s="38"/>
      <c r="R2" s="38"/>
      <c r="S2" s="38"/>
      <c r="T2" s="37"/>
      <c r="V2" s="65" t="s">
        <v>101</v>
      </c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</row>
    <row r="3" spans="2:34" x14ac:dyDescent="0.25">
      <c r="B3" s="3" t="s">
        <v>1</v>
      </c>
      <c r="C3" s="40">
        <v>1025</v>
      </c>
      <c r="E3" s="13" t="s">
        <v>3</v>
      </c>
      <c r="F3" s="14" t="s">
        <v>44</v>
      </c>
      <c r="G3" s="14" t="s">
        <v>49</v>
      </c>
      <c r="H3" s="14" t="s">
        <v>42</v>
      </c>
      <c r="I3" s="14" t="s">
        <v>20</v>
      </c>
      <c r="J3" s="15" t="s">
        <v>21</v>
      </c>
      <c r="L3" s="34" t="s">
        <v>2</v>
      </c>
      <c r="M3" s="35">
        <f>2*C8/(C3*C9^3*PI()*(C16/2)^2)</f>
        <v>0.14553216019689064</v>
      </c>
      <c r="O3" s="13" t="s">
        <v>43</v>
      </c>
      <c r="P3" s="33" t="s">
        <v>50</v>
      </c>
      <c r="Q3" s="14" t="s">
        <v>35</v>
      </c>
      <c r="R3" s="14" t="s">
        <v>34</v>
      </c>
      <c r="S3" s="14" t="s">
        <v>25</v>
      </c>
      <c r="T3" s="15" t="s">
        <v>24</v>
      </c>
      <c r="V3" s="34" t="str">
        <f>E1</f>
        <v>Larrabee Prop: 355,6mm, 200W @ 650rpm</v>
      </c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5"/>
    </row>
    <row r="4" spans="2:34" x14ac:dyDescent="0.25">
      <c r="B4" s="3" t="s">
        <v>33</v>
      </c>
      <c r="C4" s="41">
        <v>1.0020000000000001E-3</v>
      </c>
      <c r="E4" s="7">
        <v>0</v>
      </c>
      <c r="F4" s="8">
        <v>0</v>
      </c>
      <c r="G4" s="50" t="s">
        <v>78</v>
      </c>
      <c r="H4" s="39">
        <v>1.25</v>
      </c>
      <c r="I4" s="8">
        <f ca="1">VLOOKUP(H4,INDIRECT(G4&amp;"!A14:C999"),3,FALSE)</f>
        <v>0.53600000000000003</v>
      </c>
      <c r="J4" s="9">
        <f ca="1">VLOOKUP(H4,INDIRECT(G4&amp;"!A14:C999"),2,FALSE)</f>
        <v>1.7440000000000001E-2</v>
      </c>
      <c r="L4" s="3" t="s">
        <v>48</v>
      </c>
      <c r="M4" s="5">
        <f>$C$10*$C$11</f>
        <v>650</v>
      </c>
      <c r="O4" s="16">
        <f ca="1">(180/PI())*ATAN((($C$9/($M$5*($C$16/2)))/0.000000000001)*(1+$M$7/2)  )</f>
        <v>89.999999999781224</v>
      </c>
      <c r="P4" s="10">
        <f ca="1">$O4+$H4*(PI()/180)</f>
        <v>90.021816615431149</v>
      </c>
      <c r="Q4" s="10">
        <f>$T20*($C$16/2)/1000</f>
        <v>0</v>
      </c>
      <c r="R4" s="10">
        <f t="shared" ref="R4:R14" si="0">Q4/0.0254/1000</f>
        <v>0</v>
      </c>
      <c r="S4" s="19">
        <f>($C$3*$C$9*$F4/$C$4)*$T20*$S20</f>
        <v>0</v>
      </c>
      <c r="T4" s="17">
        <f>($C$9/$C$5)*$S20</f>
        <v>2.0256583389601621E-3</v>
      </c>
      <c r="V4" s="3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7"/>
    </row>
    <row r="5" spans="2:34" ht="15.75" thickBot="1" x14ac:dyDescent="0.3">
      <c r="B5" s="4" t="s">
        <v>22</v>
      </c>
      <c r="C5" s="42">
        <v>1481</v>
      </c>
      <c r="E5" s="7">
        <v>1</v>
      </c>
      <c r="F5" s="10">
        <f>$C$15/2</f>
        <v>1.823E-2</v>
      </c>
      <c r="G5" s="50" t="s">
        <v>78</v>
      </c>
      <c r="H5" s="39">
        <v>1.25</v>
      </c>
      <c r="I5" s="8">
        <f t="shared" ref="I5:I14" ca="1" si="1">VLOOKUP(H5,INDIRECT(G5&amp;"!A14:C999"),3,FALSE)</f>
        <v>0.53600000000000003</v>
      </c>
      <c r="J5" s="9">
        <f t="shared" ref="J5:J14" ca="1" si="2">VLOOKUP(H5,INDIRECT(G5&amp;"!A14:C999"),2,FALSE)</f>
        <v>1.7440000000000001E-2</v>
      </c>
      <c r="L5" s="3" t="s">
        <v>38</v>
      </c>
      <c r="M5" s="5">
        <f>$C$11*$C$10*2*PI()/60</f>
        <v>68.067840827778852</v>
      </c>
      <c r="O5" s="16">
        <f t="shared" ref="O5:O14" ca="1" si="3">(180/PI())*ATAN((($C$9/($M$5*($C$16/2)))/$E21)*(1+$M$7/2)  )</f>
        <v>68.619450570070612</v>
      </c>
      <c r="P5" s="10">
        <f ca="1">$O5+$H5*(PI()/180)</f>
        <v>68.641267185720537</v>
      </c>
      <c r="Q5" s="10">
        <f ca="1">$T21*($C$16/2)*1000</f>
        <v>7.7697414315482058</v>
      </c>
      <c r="R5" s="10">
        <f t="shared" ca="1" si="0"/>
        <v>0.30589533195071678</v>
      </c>
      <c r="S5" s="19">
        <f ca="1">($C$3*$C$9*$F5/$C$4)*$T21*$S21</f>
        <v>2642.8632464124835</v>
      </c>
      <c r="T5" s="17">
        <f ca="1">($C$9/$C$5)*$S21</f>
        <v>2.1897876937210839E-3</v>
      </c>
      <c r="V5" s="3">
        <f>C14</f>
        <v>2</v>
      </c>
      <c r="W5" s="56">
        <f>C16/2</f>
        <v>0.17780000000000001</v>
      </c>
      <c r="X5" s="56"/>
      <c r="Y5" s="56"/>
      <c r="Z5" s="58" t="s">
        <v>83</v>
      </c>
      <c r="AA5" s="56"/>
      <c r="AB5" s="56"/>
      <c r="AC5" s="56"/>
      <c r="AD5" s="56"/>
      <c r="AE5" s="56"/>
      <c r="AF5" s="56"/>
      <c r="AG5" s="56"/>
      <c r="AH5" s="57"/>
    </row>
    <row r="6" spans="2:34" ht="15.75" thickBot="1" x14ac:dyDescent="0.3">
      <c r="E6" s="7">
        <v>2</v>
      </c>
      <c r="F6" s="10">
        <f>F5+($C$16/2-$C$15/2)/($E$14-1)</f>
        <v>3.5960000000000006E-2</v>
      </c>
      <c r="G6" s="50" t="s">
        <v>78</v>
      </c>
      <c r="H6" s="39">
        <v>1.25</v>
      </c>
      <c r="I6" s="8">
        <f t="shared" ca="1" si="1"/>
        <v>0.53600000000000003</v>
      </c>
      <c r="J6" s="9">
        <f t="shared" ca="1" si="2"/>
        <v>1.7440000000000001E-2</v>
      </c>
      <c r="L6" s="3" t="s">
        <v>14</v>
      </c>
      <c r="M6" s="22">
        <f>$C$9/($M$5*($C$16/2))</f>
        <v>0.24788344515480801</v>
      </c>
      <c r="O6" s="16">
        <f t="shared" ca="1" si="3"/>
        <v>52.322153458655762</v>
      </c>
      <c r="P6" s="10">
        <f ca="1">$O6+$H6*(PI()/180)</f>
        <v>52.343970074305695</v>
      </c>
      <c r="Q6" s="10">
        <f ca="1">$T22*($C$16/2)*1000</f>
        <v>17.665133334297991</v>
      </c>
      <c r="R6" s="10">
        <f t="shared" ca="1" si="0"/>
        <v>0.6954776903266926</v>
      </c>
      <c r="S6" s="19">
        <f ca="1">($C$3*$C$9*$F6/$C$4)*$T22*$S22</f>
        <v>14147.845378221129</v>
      </c>
      <c r="T6" s="17">
        <f ca="1">($C$9/$C$5)*$S22</f>
        <v>2.6138114504757446E-3</v>
      </c>
      <c r="V6" s="3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7"/>
    </row>
    <row r="7" spans="2:34" ht="15.75" thickBot="1" x14ac:dyDescent="0.3">
      <c r="B7" s="36" t="s">
        <v>31</v>
      </c>
      <c r="C7" s="37"/>
      <c r="E7" s="7">
        <v>3</v>
      </c>
      <c r="F7" s="10">
        <f t="shared" ref="F7:F14" si="4">F6+($C$16/2-$C$15/2)/($E$14-1)</f>
        <v>5.3690000000000009E-2</v>
      </c>
      <c r="G7" s="50" t="s">
        <v>78</v>
      </c>
      <c r="H7" s="39">
        <v>1.25</v>
      </c>
      <c r="I7" s="8">
        <f t="shared" ca="1" si="1"/>
        <v>0.53600000000000003</v>
      </c>
      <c r="J7" s="9">
        <f t="shared" ca="1" si="2"/>
        <v>1.7440000000000001E-2</v>
      </c>
      <c r="L7" s="3" t="s">
        <v>36</v>
      </c>
      <c r="M7" s="21">
        <f ca="1">($P$30/(2*$R$30)) *(SQRT( 1 + ((4*$M$3*$R$30)/($P$30^2)) ) - 1 )</f>
        <v>0.11300736711007674</v>
      </c>
      <c r="O7" s="16">
        <f t="shared" ca="1" si="3"/>
        <v>40.934285879762037</v>
      </c>
      <c r="P7" s="10">
        <f ca="1">$O7+$H7*(PI()/180)</f>
        <v>40.956102495411969</v>
      </c>
      <c r="Q7" s="10">
        <f ca="1">$T23*($C$16/2)*1000</f>
        <v>21.370222637972038</v>
      </c>
      <c r="R7" s="10">
        <f t="shared" ca="1" si="0"/>
        <v>0.841347347951655</v>
      </c>
      <c r="S7" s="19">
        <f ca="1">($C$3*$C$9*$F7/$C$4)*$T23*$S23</f>
        <v>31192.153581888735</v>
      </c>
      <c r="T7" s="17">
        <f ca="1">($C$9/$C$5)*$S23</f>
        <v>3.1905346394703123E-3</v>
      </c>
      <c r="V7" s="3">
        <f ca="1">INDIRECT(G4&amp;"!H3")</f>
        <v>0.41139999999999999</v>
      </c>
      <c r="W7" s="56">
        <f ca="1">INDIRECT(G4&amp;"!I3")</f>
        <v>6.6004737999070837</v>
      </c>
      <c r="X7" s="56"/>
      <c r="Y7" s="56"/>
      <c r="Z7" s="58" t="s">
        <v>82</v>
      </c>
      <c r="AA7" s="56"/>
      <c r="AB7" s="56"/>
      <c r="AC7" s="56"/>
      <c r="AD7" s="56"/>
      <c r="AE7" s="56"/>
      <c r="AF7" s="56"/>
      <c r="AG7" s="56"/>
      <c r="AH7" s="57"/>
    </row>
    <row r="8" spans="2:34" x14ac:dyDescent="0.25">
      <c r="B8" s="3" t="s">
        <v>0</v>
      </c>
      <c r="C8" s="40">
        <v>200</v>
      </c>
      <c r="E8" s="7">
        <v>4</v>
      </c>
      <c r="F8" s="10">
        <f t="shared" si="4"/>
        <v>7.1420000000000011E-2</v>
      </c>
      <c r="G8" s="50" t="s">
        <v>78</v>
      </c>
      <c r="H8" s="39">
        <v>1.25</v>
      </c>
      <c r="I8" s="8">
        <f t="shared" ca="1" si="1"/>
        <v>0.53600000000000003</v>
      </c>
      <c r="J8" s="9">
        <f t="shared" ca="1" si="2"/>
        <v>1.7440000000000001E-2</v>
      </c>
      <c r="L8" s="3" t="s">
        <v>16</v>
      </c>
      <c r="M8" s="23">
        <f ca="1">($L$30*$M$7-$N$30*$M$7^2)/$M$3</f>
        <v>0.85856254451364022</v>
      </c>
      <c r="O8" s="16">
        <f t="shared" ca="1" si="3"/>
        <v>33.103315512018689</v>
      </c>
      <c r="P8" s="10">
        <f ca="1">$O8+$H8*(PI()/180)</f>
        <v>33.125132127668621</v>
      </c>
      <c r="Q8" s="10">
        <f ca="1">$T24*($C$16/2)*1000</f>
        <v>21.028125860526931</v>
      </c>
      <c r="R8" s="10">
        <f t="shared" ca="1" si="0"/>
        <v>0.827878970886887</v>
      </c>
      <c r="S8" s="19">
        <f ca="1">($C$3*$C$9*$F8/$C$4)*$T24*$S24</f>
        <v>49359.692664453069</v>
      </c>
      <c r="T8" s="17">
        <f ca="1">($C$9/$C$5)*$S24</f>
        <v>3.857203814377761E-3</v>
      </c>
      <c r="V8" s="3">
        <f ca="1">INDIRECT(G4&amp;"!j3")</f>
        <v>-0.43669999999999998</v>
      </c>
      <c r="W8" s="56">
        <f ca="1">INDIRECT(G4&amp;"!k3")</f>
        <v>1.1473</v>
      </c>
      <c r="X8" s="56"/>
      <c r="Y8" s="56"/>
      <c r="Z8" s="58" t="s">
        <v>81</v>
      </c>
      <c r="AA8" s="56"/>
      <c r="AB8" s="56"/>
      <c r="AC8" s="56"/>
      <c r="AD8" s="56"/>
      <c r="AE8" s="56"/>
      <c r="AF8" s="56"/>
      <c r="AG8" s="56"/>
      <c r="AH8" s="57"/>
    </row>
    <row r="9" spans="2:34" x14ac:dyDescent="0.25">
      <c r="B9" s="3" t="s">
        <v>23</v>
      </c>
      <c r="C9" s="40">
        <v>3</v>
      </c>
      <c r="E9" s="7">
        <v>5</v>
      </c>
      <c r="F9" s="10">
        <f t="shared" si="4"/>
        <v>8.9150000000000007E-2</v>
      </c>
      <c r="G9" s="50" t="s">
        <v>78</v>
      </c>
      <c r="H9" s="39">
        <v>1.25</v>
      </c>
      <c r="I9" s="8">
        <f t="shared" ca="1" si="1"/>
        <v>0.53600000000000003</v>
      </c>
      <c r="J9" s="9">
        <f t="shared" ca="1" si="2"/>
        <v>1.7440000000000001E-2</v>
      </c>
      <c r="L9" s="3" t="s">
        <v>19</v>
      </c>
      <c r="M9" s="21">
        <f ca="1">$L$30*$M$7+$N$30*$M$7^2</f>
        <v>0.12775604483557934</v>
      </c>
      <c r="O9" s="16">
        <f t="shared" ca="1" si="3"/>
        <v>27.578548324343053</v>
      </c>
      <c r="P9" s="10">
        <f ca="1">$O9+$H9*(PI()/180)</f>
        <v>27.600364939992982</v>
      </c>
      <c r="Q9" s="10">
        <f ca="1">$T25*($C$16/2)*1000</f>
        <v>19.125445124983429</v>
      </c>
      <c r="R9" s="10">
        <f t="shared" ca="1" si="0"/>
        <v>0.75297028051115866</v>
      </c>
      <c r="S9" s="19">
        <f ca="1">($C$3*$C$9*$F9/$C$4)*$T25*$S25</f>
        <v>66392.927159887782</v>
      </c>
      <c r="T9" s="17">
        <f ca="1">($C$9/$C$5)*$S25</f>
        <v>4.5699291967751746E-3</v>
      </c>
      <c r="V9" s="3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</row>
    <row r="10" spans="2:34" x14ac:dyDescent="0.25">
      <c r="B10" s="3" t="s">
        <v>6</v>
      </c>
      <c r="C10" s="40">
        <v>87</v>
      </c>
      <c r="E10" s="7">
        <v>6</v>
      </c>
      <c r="F10" s="10">
        <f t="shared" si="4"/>
        <v>0.10688</v>
      </c>
      <c r="G10" s="50" t="s">
        <v>78</v>
      </c>
      <c r="H10" s="39">
        <v>1.25</v>
      </c>
      <c r="I10" s="8">
        <f t="shared" ca="1" si="1"/>
        <v>0.53600000000000003</v>
      </c>
      <c r="J10" s="9">
        <f t="shared" ca="1" si="2"/>
        <v>1.7440000000000001E-2</v>
      </c>
      <c r="L10" s="3" t="s">
        <v>40</v>
      </c>
      <c r="M10" s="22">
        <f ca="1">($M$9*$C$3*$C$9^2*PI()*($C$16/2)^2)/2</f>
        <v>58.523625597136295</v>
      </c>
      <c r="O10" s="16">
        <f t="shared" ca="1" si="3"/>
        <v>23.541128484998129</v>
      </c>
      <c r="P10" s="10">
        <f ca="1">$O10+$H10*(PI()/180)</f>
        <v>23.562945100648058</v>
      </c>
      <c r="Q10" s="10">
        <f ca="1">$T26*($C$16/2)*1000</f>
        <v>16.701151517042181</v>
      </c>
      <c r="R10" s="10">
        <f t="shared" ca="1" si="0"/>
        <v>0.65752565027725118</v>
      </c>
      <c r="S10" s="19">
        <f ca="1">($C$3*$C$9*$F10/$C$4)*$T26*$S26</f>
        <v>80817.802621027498</v>
      </c>
      <c r="T10" s="17">
        <f ca="1">($C$9/$C$5)*$S26</f>
        <v>5.3135495051105609E-3</v>
      </c>
      <c r="V10" s="3">
        <f ca="1">INDIRECT(G4&amp;"!l3")</f>
        <v>1.482E-2</v>
      </c>
      <c r="W10" s="56">
        <f ca="1">INDIRECT(G4&amp;"!m3")</f>
        <v>3.4282705807709486E-2</v>
      </c>
      <c r="X10" s="56">
        <f ca="1">INDIRECT(G4&amp;"!n3")</f>
        <v>7.8428499082764364E-2</v>
      </c>
      <c r="Y10" s="56">
        <f ca="1">INDIRECT(G4&amp;"!o3")</f>
        <v>0.27160000000000001</v>
      </c>
      <c r="Z10" s="58" t="s">
        <v>80</v>
      </c>
      <c r="AA10" s="56"/>
      <c r="AB10" s="56"/>
      <c r="AC10" s="56"/>
      <c r="AD10" s="56"/>
      <c r="AE10" s="56"/>
      <c r="AF10" s="56"/>
      <c r="AG10" s="56"/>
      <c r="AH10" s="57"/>
    </row>
    <row r="11" spans="2:34" ht="15.75" thickBot="1" x14ac:dyDescent="0.3">
      <c r="B11" s="4" t="s">
        <v>27</v>
      </c>
      <c r="C11" s="43">
        <f>650/C10</f>
        <v>7.4712643678160919</v>
      </c>
      <c r="E11" s="7">
        <v>7</v>
      </c>
      <c r="F11" s="10">
        <f t="shared" si="4"/>
        <v>0.12461</v>
      </c>
      <c r="G11" s="50" t="s">
        <v>78</v>
      </c>
      <c r="H11" s="39">
        <v>1.25</v>
      </c>
      <c r="I11" s="8">
        <f t="shared" ca="1" si="1"/>
        <v>0.53600000000000003</v>
      </c>
      <c r="J11" s="9">
        <f t="shared" ca="1" si="2"/>
        <v>1.7440000000000001E-2</v>
      </c>
      <c r="L11" s="4" t="s">
        <v>39</v>
      </c>
      <c r="M11" s="6">
        <f ca="1">($C$9*$M$10)/($M$5*$M$8)</f>
        <v>3.0042672621786801</v>
      </c>
      <c r="O11" s="16">
        <f t="shared" ca="1" si="3"/>
        <v>20.489604149362101</v>
      </c>
      <c r="P11" s="10">
        <f ca="1">$O11+$H11*(PI()/180)</f>
        <v>20.51142076501203</v>
      </c>
      <c r="Q11" s="10">
        <f ca="1">$T27*($C$16/2)*1000</f>
        <v>14.08091259036425</v>
      </c>
      <c r="R11" s="10">
        <f t="shared" ca="1" si="0"/>
        <v>0.5543666374159153</v>
      </c>
      <c r="S11" s="19">
        <f ca="1">($C$3*$C$9*$F11/$C$4)*$T27*$S27</f>
        <v>90823.429566180479</v>
      </c>
      <c r="T11" s="17">
        <f ca="1">($C$9/$C$5)*$S27</f>
        <v>6.0748387266297667E-3</v>
      </c>
      <c r="V11" s="3">
        <f ca="1">INDIRECT(G4&amp;"!i1")</f>
        <v>100000</v>
      </c>
      <c r="W11" s="56">
        <v>-0.5</v>
      </c>
      <c r="X11" s="56"/>
      <c r="Y11" s="56"/>
      <c r="Z11" s="58" t="s">
        <v>79</v>
      </c>
      <c r="AA11" s="56"/>
      <c r="AB11" s="56"/>
      <c r="AC11" s="56"/>
      <c r="AD11" s="56"/>
      <c r="AE11" s="56"/>
      <c r="AF11" s="56"/>
      <c r="AG11" s="56"/>
      <c r="AH11" s="57"/>
    </row>
    <row r="12" spans="2:34" ht="15.75" thickBot="1" x14ac:dyDescent="0.3">
      <c r="E12" s="7">
        <v>8</v>
      </c>
      <c r="F12" s="10">
        <f t="shared" si="4"/>
        <v>0.14233999999999999</v>
      </c>
      <c r="G12" s="50" t="s">
        <v>78</v>
      </c>
      <c r="H12" s="39">
        <v>1.25</v>
      </c>
      <c r="I12" s="8">
        <f t="shared" ca="1" si="1"/>
        <v>0.53600000000000003</v>
      </c>
      <c r="J12" s="9">
        <f t="shared" ca="1" si="2"/>
        <v>1.7440000000000001E-2</v>
      </c>
      <c r="O12" s="16">
        <f t="shared" ca="1" si="3"/>
        <v>18.114588836358934</v>
      </c>
      <c r="P12" s="10">
        <f ca="1">$O12+$H12*(PI()/180)</f>
        <v>18.136405452008862</v>
      </c>
      <c r="Q12" s="10">
        <f ca="1">$T28*($C$16/2)*1000</f>
        <v>11.22744087072545</v>
      </c>
      <c r="R12" s="10">
        <f t="shared" ca="1" si="0"/>
        <v>0.44202523113092324</v>
      </c>
      <c r="S12" s="19">
        <f ca="1">($C$3*$C$9*$F12/$C$4)*$T28*$S28</f>
        <v>93249.853065281335</v>
      </c>
      <c r="T12" s="17">
        <f ca="1">($C$9/$C$5)*$S28</f>
        <v>6.8479561761840358E-3</v>
      </c>
      <c r="V12" s="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7"/>
    </row>
    <row r="13" spans="2:34" ht="15.75" thickBot="1" x14ac:dyDescent="0.3">
      <c r="B13" s="36" t="s">
        <v>32</v>
      </c>
      <c r="C13" s="37"/>
      <c r="E13" s="7">
        <v>9</v>
      </c>
      <c r="F13" s="10">
        <f t="shared" si="4"/>
        <v>0.16006999999999999</v>
      </c>
      <c r="G13" s="50" t="s">
        <v>78</v>
      </c>
      <c r="H13" s="39">
        <v>1.25</v>
      </c>
      <c r="I13" s="8">
        <f t="shared" ca="1" si="1"/>
        <v>0.53600000000000003</v>
      </c>
      <c r="J13" s="9">
        <f t="shared" ca="1" si="2"/>
        <v>1.7440000000000001E-2</v>
      </c>
      <c r="O13" s="16">
        <f t="shared" ca="1" si="3"/>
        <v>16.219594204113953</v>
      </c>
      <c r="P13" s="10">
        <f ca="1">$O13+$H13*(PI()/180)</f>
        <v>16.241410819763882</v>
      </c>
      <c r="Q13" s="10">
        <f ca="1">$T29*($C$16/2)*1000</f>
        <v>7.7877907133925701</v>
      </c>
      <c r="R13" s="10">
        <f t="shared" ca="1" si="0"/>
        <v>0.30660593359813271</v>
      </c>
      <c r="S13" s="19">
        <f ca="1">($C$3*$C$9*$F13/$C$4)*$T29*$S29</f>
        <v>81046.001574081485</v>
      </c>
      <c r="T13" s="17">
        <f ca="1">($C$9/$C$5)*$S29</f>
        <v>7.6300596130883481E-3</v>
      </c>
      <c r="V13" s="3">
        <v>1</v>
      </c>
      <c r="W13" s="56" t="s">
        <v>98</v>
      </c>
      <c r="X13" s="56">
        <v>1</v>
      </c>
      <c r="Y13" s="56"/>
      <c r="Z13" s="58" t="s">
        <v>84</v>
      </c>
      <c r="AA13" s="56"/>
      <c r="AB13" s="56"/>
      <c r="AC13" s="56"/>
      <c r="AD13" s="56"/>
      <c r="AE13" s="56"/>
      <c r="AF13" s="56"/>
      <c r="AG13" s="56"/>
      <c r="AH13" s="57"/>
    </row>
    <row r="14" spans="2:34" ht="15.75" thickBot="1" x14ac:dyDescent="0.3">
      <c r="B14" s="3" t="s">
        <v>47</v>
      </c>
      <c r="C14" s="44">
        <v>2</v>
      </c>
      <c r="E14" s="11">
        <v>10</v>
      </c>
      <c r="F14" s="12">
        <f t="shared" si="4"/>
        <v>0.17779999999999999</v>
      </c>
      <c r="G14" s="51" t="s">
        <v>78</v>
      </c>
      <c r="H14" s="46">
        <v>1.25</v>
      </c>
      <c r="I14" s="47">
        <f t="shared" ca="1" si="1"/>
        <v>0.53600000000000003</v>
      </c>
      <c r="J14" s="48">
        <f t="shared" ca="1" si="2"/>
        <v>1.7440000000000001E-2</v>
      </c>
      <c r="O14" s="49">
        <f t="shared" ca="1" si="3"/>
        <v>14.675589455343822</v>
      </c>
      <c r="P14" s="12">
        <f ca="1">$O14+$H14*(PI()/180)</f>
        <v>14.69740607099375</v>
      </c>
      <c r="Q14" s="12">
        <f ca="1">$T30*($C$16/2)*1000</f>
        <v>0</v>
      </c>
      <c r="R14" s="12">
        <f t="shared" ca="1" si="0"/>
        <v>0</v>
      </c>
      <c r="S14" s="20">
        <f ca="1">($C$3*$C$9*$F14/$C$4)*$T30*$S30</f>
        <v>0</v>
      </c>
      <c r="T14" s="18">
        <f ca="1">($C$9/$C$5)*$S30</f>
        <v>8.4189341645302604E-3</v>
      </c>
      <c r="V14" s="3">
        <v>0</v>
      </c>
      <c r="W14" s="56">
        <v>0</v>
      </c>
      <c r="X14" s="56">
        <v>0</v>
      </c>
      <c r="Y14" s="56"/>
      <c r="Z14" s="58" t="s">
        <v>85</v>
      </c>
      <c r="AA14" s="56"/>
      <c r="AB14" s="56"/>
      <c r="AC14" s="56"/>
      <c r="AD14" s="56"/>
      <c r="AE14" s="56"/>
      <c r="AF14" s="56"/>
      <c r="AG14" s="56"/>
      <c r="AH14" s="57"/>
    </row>
    <row r="15" spans="2:34" x14ac:dyDescent="0.25">
      <c r="B15" s="3" t="s">
        <v>45</v>
      </c>
      <c r="C15" s="44">
        <f>2*0.01823</f>
        <v>3.6459999999999999E-2</v>
      </c>
      <c r="K15" s="2"/>
      <c r="L15" s="2"/>
      <c r="M15" s="2"/>
      <c r="N15" s="2"/>
      <c r="V15" s="3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7"/>
    </row>
    <row r="16" spans="2:34" ht="15.75" thickBot="1" x14ac:dyDescent="0.3">
      <c r="B16" s="4" t="s">
        <v>46</v>
      </c>
      <c r="C16" s="45">
        <f>2*0.1778</f>
        <v>0.35560000000000003</v>
      </c>
      <c r="V16" s="3" t="s">
        <v>86</v>
      </c>
      <c r="W16" s="56" t="s">
        <v>87</v>
      </c>
      <c r="X16" s="56" t="s">
        <v>99</v>
      </c>
      <c r="Y16" s="56" t="s">
        <v>88</v>
      </c>
      <c r="Z16" s="56" t="s">
        <v>89</v>
      </c>
      <c r="AA16" s="56" t="s">
        <v>90</v>
      </c>
      <c r="AB16" s="56" t="s">
        <v>91</v>
      </c>
      <c r="AC16" s="56" t="s">
        <v>92</v>
      </c>
      <c r="AD16" s="56" t="s">
        <v>93</v>
      </c>
      <c r="AE16" s="56" t="s">
        <v>94</v>
      </c>
      <c r="AF16" s="56" t="s">
        <v>95</v>
      </c>
      <c r="AG16" s="56" t="s">
        <v>96</v>
      </c>
      <c r="AH16" s="57" t="s">
        <v>97</v>
      </c>
    </row>
    <row r="17" spans="1:34" ht="15.75" thickBot="1" x14ac:dyDescent="0.3">
      <c r="V17" s="59">
        <f>F5</f>
        <v>1.823E-2</v>
      </c>
      <c r="W17" s="60">
        <f ca="1">Q5</f>
        <v>7.7697414315482058</v>
      </c>
      <c r="X17" s="60">
        <f ca="1">O5</f>
        <v>68.619450570070612</v>
      </c>
      <c r="Y17" s="60">
        <f ca="1">INDIRECT(G5&amp;"!H3")</f>
        <v>0.41139999999999999</v>
      </c>
      <c r="Z17" s="56">
        <f ca="1">INDIRECT(G5&amp;"!I3")</f>
        <v>6.6004737999070837</v>
      </c>
      <c r="AA17" s="56">
        <f ca="1">INDIRECT(G5&amp;"!j3")</f>
        <v>-0.43669999999999998</v>
      </c>
      <c r="AB17" s="56">
        <f ca="1">INDIRECT(G5&amp;"!k3")</f>
        <v>1.1473</v>
      </c>
      <c r="AC17" s="56">
        <f ca="1">INDIRECT(G5&amp;"!l3")</f>
        <v>1.482E-2</v>
      </c>
      <c r="AD17" s="56">
        <f ca="1">INDIRECT(G5&amp;"!m3")</f>
        <v>3.4282705807709486E-2</v>
      </c>
      <c r="AE17" s="56">
        <f ca="1">INDIRECT(G5&amp;"!n3")</f>
        <v>7.8428499082764364E-2</v>
      </c>
      <c r="AF17" s="56">
        <f ca="1">INDIRECT(G5&amp;"!o3")</f>
        <v>0.27160000000000001</v>
      </c>
      <c r="AG17" s="56">
        <f ca="1">INDIRECT(G5&amp;"!i1")</f>
        <v>100000</v>
      </c>
      <c r="AH17" s="57"/>
    </row>
    <row r="18" spans="1:34" ht="15.75" thickBot="1" x14ac:dyDescent="0.3">
      <c r="B18" s="36" t="s">
        <v>102</v>
      </c>
      <c r="C18" s="37"/>
      <c r="E18" s="1" t="s">
        <v>37</v>
      </c>
      <c r="V18" s="59">
        <f t="shared" ref="V18:V25" si="5">F6</f>
        <v>3.5960000000000006E-2</v>
      </c>
      <c r="W18" s="60">
        <f t="shared" ref="W18:W25" ca="1" si="6">Q6</f>
        <v>17.665133334297991</v>
      </c>
      <c r="X18" s="60">
        <f t="shared" ref="X18:X25" ca="1" si="7">O6</f>
        <v>52.322153458655762</v>
      </c>
      <c r="Y18" s="60">
        <f t="shared" ref="Y18:Y25" ca="1" si="8">INDIRECT(G6&amp;"!H3")</f>
        <v>0.41139999999999999</v>
      </c>
      <c r="Z18" s="56">
        <f t="shared" ref="Z18:Z25" ca="1" si="9">INDIRECT(G6&amp;"!I3")</f>
        <v>6.6004737999070837</v>
      </c>
      <c r="AA18" s="56">
        <f t="shared" ref="AA18:AA25" ca="1" si="10">INDIRECT(G6&amp;"!j3")</f>
        <v>-0.43669999999999998</v>
      </c>
      <c r="AB18" s="56">
        <f t="shared" ref="AB18:AB25" ca="1" si="11">INDIRECT(G6&amp;"!k3")</f>
        <v>1.1473</v>
      </c>
      <c r="AC18" s="56">
        <f t="shared" ref="AC18:AC25" ca="1" si="12">INDIRECT(G6&amp;"!l3")</f>
        <v>1.482E-2</v>
      </c>
      <c r="AD18" s="56">
        <f t="shared" ref="AD18:AD25" ca="1" si="13">INDIRECT(G6&amp;"!m3")</f>
        <v>3.4282705807709486E-2</v>
      </c>
      <c r="AE18" s="56">
        <f t="shared" ref="AE18:AE25" ca="1" si="14">INDIRECT(G6&amp;"!n3")</f>
        <v>7.8428499082764364E-2</v>
      </c>
      <c r="AF18" s="56">
        <f t="shared" ref="AF18:AF25" ca="1" si="15">INDIRECT(G6&amp;"!o3")</f>
        <v>0.27160000000000001</v>
      </c>
      <c r="AG18" s="56">
        <f t="shared" ref="AG18:AG25" ca="1" si="16">INDIRECT(G6&amp;"!i1")</f>
        <v>100000</v>
      </c>
      <c r="AH18" s="57"/>
    </row>
    <row r="19" spans="1:34" ht="15.75" thickBot="1" x14ac:dyDescent="0.3">
      <c r="A19" s="2"/>
      <c r="B19" s="68" t="s">
        <v>103</v>
      </c>
      <c r="C19" s="69"/>
      <c r="E19" s="30" t="s">
        <v>41</v>
      </c>
      <c r="F19" s="31" t="s">
        <v>7</v>
      </c>
      <c r="G19" s="31" t="s">
        <v>13</v>
      </c>
      <c r="H19" s="31" t="s">
        <v>15</v>
      </c>
      <c r="I19" s="31" t="s">
        <v>5</v>
      </c>
      <c r="J19" s="31" t="s">
        <v>4</v>
      </c>
      <c r="K19" s="31" t="s">
        <v>8</v>
      </c>
      <c r="L19" s="31" t="s">
        <v>12</v>
      </c>
      <c r="M19" s="31" t="s">
        <v>9</v>
      </c>
      <c r="N19" s="31" t="s">
        <v>12</v>
      </c>
      <c r="O19" s="31" t="s">
        <v>10</v>
      </c>
      <c r="P19" s="31" t="s">
        <v>12</v>
      </c>
      <c r="Q19" s="31" t="s">
        <v>11</v>
      </c>
      <c r="R19" s="31" t="s">
        <v>12</v>
      </c>
      <c r="S19" s="31" t="s">
        <v>17</v>
      </c>
      <c r="T19" s="32" t="s">
        <v>18</v>
      </c>
      <c r="V19" s="59">
        <f t="shared" si="5"/>
        <v>5.3690000000000009E-2</v>
      </c>
      <c r="W19" s="60">
        <f t="shared" ca="1" si="6"/>
        <v>21.370222637972038</v>
      </c>
      <c r="X19" s="60">
        <f t="shared" ca="1" si="7"/>
        <v>40.934285879762037</v>
      </c>
      <c r="Y19" s="60">
        <f t="shared" ca="1" si="8"/>
        <v>0.41139999999999999</v>
      </c>
      <c r="Z19" s="56">
        <f t="shared" ca="1" si="9"/>
        <v>6.6004737999070837</v>
      </c>
      <c r="AA19" s="56">
        <f t="shared" ca="1" si="10"/>
        <v>-0.43669999999999998</v>
      </c>
      <c r="AB19" s="56">
        <f t="shared" ca="1" si="11"/>
        <v>1.1473</v>
      </c>
      <c r="AC19" s="56">
        <f t="shared" ca="1" si="12"/>
        <v>1.482E-2</v>
      </c>
      <c r="AD19" s="56">
        <f t="shared" ca="1" si="13"/>
        <v>3.4282705807709486E-2</v>
      </c>
      <c r="AE19" s="56">
        <f t="shared" ca="1" si="14"/>
        <v>7.8428499082764364E-2</v>
      </c>
      <c r="AF19" s="56">
        <f t="shared" ca="1" si="15"/>
        <v>0.27160000000000001</v>
      </c>
      <c r="AG19" s="56">
        <f t="shared" ca="1" si="16"/>
        <v>100000</v>
      </c>
      <c r="AH19" s="57"/>
    </row>
    <row r="20" spans="1:34" x14ac:dyDescent="0.25">
      <c r="A20" s="2"/>
      <c r="E20" s="24">
        <v>0</v>
      </c>
      <c r="F20" s="25">
        <f ca="1">J4/I4</f>
        <v>3.2537313432835821E-2</v>
      </c>
      <c r="G20" s="25">
        <f t="shared" ref="G20:G29" si="17">($C$14/2)*(SQRT($M$6^2 + 1)/$M$6)*(1-$E20)</f>
        <v>4.1562481593922884</v>
      </c>
      <c r="H20" s="25">
        <f t="shared" ref="H20:H29" si="18">(2/PI())*ACOS(EXP(-$G20))</f>
        <v>0.99002616341308736</v>
      </c>
      <c r="I20" s="25">
        <f t="shared" ref="I20:I30" si="19">$M$5*$F4/$C$9</f>
        <v>0</v>
      </c>
      <c r="J20" s="25">
        <f t="shared" ref="J20:J30" si="20">$H20*$I20^2/(1+$I20^2)</f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1</v>
      </c>
      <c r="T20" s="26">
        <v>0</v>
      </c>
      <c r="V20" s="59">
        <f t="shared" si="5"/>
        <v>7.1420000000000011E-2</v>
      </c>
      <c r="W20" s="60">
        <f t="shared" ca="1" si="6"/>
        <v>21.028125860526931</v>
      </c>
      <c r="X20" s="60">
        <f t="shared" ca="1" si="7"/>
        <v>33.103315512018689</v>
      </c>
      <c r="Y20" s="60">
        <f t="shared" ca="1" si="8"/>
        <v>0.41139999999999999</v>
      </c>
      <c r="Z20" s="56">
        <f t="shared" ca="1" si="9"/>
        <v>6.6004737999070837</v>
      </c>
      <c r="AA20" s="56">
        <f t="shared" ca="1" si="10"/>
        <v>-0.43669999999999998</v>
      </c>
      <c r="AB20" s="56">
        <f t="shared" ca="1" si="11"/>
        <v>1.1473</v>
      </c>
      <c r="AC20" s="56">
        <f t="shared" ca="1" si="12"/>
        <v>1.482E-2</v>
      </c>
      <c r="AD20" s="56">
        <f t="shared" ca="1" si="13"/>
        <v>3.4282705807709486E-2</v>
      </c>
      <c r="AE20" s="56">
        <f t="shared" ca="1" si="14"/>
        <v>7.8428499082764364E-2</v>
      </c>
      <c r="AF20" s="56">
        <f t="shared" ca="1" si="15"/>
        <v>0.27160000000000001</v>
      </c>
      <c r="AG20" s="56">
        <f t="shared" ca="1" si="16"/>
        <v>100000</v>
      </c>
      <c r="AH20" s="57"/>
    </row>
    <row r="21" spans="1:34" x14ac:dyDescent="0.25">
      <c r="A21" s="2"/>
      <c r="E21" s="24">
        <f>F5/($C$16/2)</f>
        <v>0.10253093363329582</v>
      </c>
      <c r="F21" s="25">
        <f ca="1">J5/I5</f>
        <v>3.2537313432835821E-2</v>
      </c>
      <c r="G21" s="25">
        <f t="shared" si="17"/>
        <v>3.7301041551981298</v>
      </c>
      <c r="H21" s="25">
        <f t="shared" si="18"/>
        <v>0.98472581174696072</v>
      </c>
      <c r="I21" s="25">
        <f t="shared" si="19"/>
        <v>0.41362557943013617</v>
      </c>
      <c r="J21" s="25">
        <f t="shared" si="20"/>
        <v>0.14386040060067631</v>
      </c>
      <c r="K21" s="25">
        <f t="shared" ref="K21:K30" ca="1" si="21">4*$J21*(1-$F21/$I21)*$E21</f>
        <v>5.4359362742535611E-2</v>
      </c>
      <c r="L21" s="25">
        <f t="shared" ref="L21:L30" ca="1" si="22">L20+($E21-$E20)*(K20+K21)/2</f>
        <v>2.786758106851586E-3</v>
      </c>
      <c r="M21" s="25">
        <f ca="1">2*$J21*(1-$F21/$I21)*(1/$I21^2+1)*$E21</f>
        <v>0.18604517775282498</v>
      </c>
      <c r="N21" s="25">
        <f ca="1">N20+($E21-$E20)*(M20+M21)/2</f>
        <v>9.5376928864848113E-3</v>
      </c>
      <c r="O21" s="25">
        <f ca="1">4*$J21*( 1+ ($F21*$I21))*$E21</f>
        <v>5.9794609988471373E-2</v>
      </c>
      <c r="P21" s="25">
        <f t="shared" ref="P21:P30" ca="1" si="23">P20+($E21-$E20)*(O20+O21)/2</f>
        <v>3.0653985941783831E-3</v>
      </c>
      <c r="Q21" s="25">
        <f t="shared" ref="Q21:Q30" ca="1" si="24">2*$J21*(1+$F21*$I21)*($I21^2/(1+$I21^2))*$E21</f>
        <v>4.3677521418079368E-3</v>
      </c>
      <c r="R21" s="25">
        <f t="shared" ref="R21:R30" ca="1" si="25">R20+($E21-$E20)*(Q20+Q21)/2</f>
        <v>2.2391485248919764E-4</v>
      </c>
      <c r="S21" s="25">
        <f ca="1">SQRT($I21^2 + 1 - ($M$7*COS($O5)/2)^2)</f>
        <v>1.0810251914669751</v>
      </c>
      <c r="T21" s="26">
        <f ca="1">(4*PI()*$M$6/$C$14)*($J21/$S21)*($M$7/$I5)</f>
        <v>4.3699333135816677E-2</v>
      </c>
      <c r="V21" s="59">
        <f t="shared" si="5"/>
        <v>8.9150000000000007E-2</v>
      </c>
      <c r="W21" s="60">
        <f t="shared" ca="1" si="6"/>
        <v>19.125445124983429</v>
      </c>
      <c r="X21" s="60">
        <f t="shared" ca="1" si="7"/>
        <v>27.578548324343053</v>
      </c>
      <c r="Y21" s="60">
        <f t="shared" ca="1" si="8"/>
        <v>0.41139999999999999</v>
      </c>
      <c r="Z21" s="56">
        <f t="shared" ca="1" si="9"/>
        <v>6.6004737999070837</v>
      </c>
      <c r="AA21" s="56">
        <f t="shared" ca="1" si="10"/>
        <v>-0.43669999999999998</v>
      </c>
      <c r="AB21" s="56">
        <f t="shared" ca="1" si="11"/>
        <v>1.1473</v>
      </c>
      <c r="AC21" s="56">
        <f t="shared" ca="1" si="12"/>
        <v>1.482E-2</v>
      </c>
      <c r="AD21" s="56">
        <f t="shared" ca="1" si="13"/>
        <v>3.4282705807709486E-2</v>
      </c>
      <c r="AE21" s="56">
        <f t="shared" ca="1" si="14"/>
        <v>7.8428499082764364E-2</v>
      </c>
      <c r="AF21" s="56">
        <f t="shared" ca="1" si="15"/>
        <v>0.27160000000000001</v>
      </c>
      <c r="AG21" s="56">
        <f t="shared" ca="1" si="16"/>
        <v>100000</v>
      </c>
      <c r="AH21" s="57"/>
    </row>
    <row r="22" spans="1:34" x14ac:dyDescent="0.25">
      <c r="A22" s="2"/>
      <c r="E22" s="24">
        <f t="shared" ref="E22:E30" si="26">F6/($C$16/2)</f>
        <v>0.20224971878515188</v>
      </c>
      <c r="F22" s="25">
        <f ca="1">J6/I6</f>
        <v>3.2537313432835821E-2</v>
      </c>
      <c r="G22" s="25">
        <f t="shared" si="17"/>
        <v>3.3156481379538931</v>
      </c>
      <c r="H22" s="25">
        <f t="shared" si="18"/>
        <v>0.97687893089741273</v>
      </c>
      <c r="I22" s="25">
        <f t="shared" si="19"/>
        <v>0.81590651872230924</v>
      </c>
      <c r="J22" s="25">
        <f t="shared" si="20"/>
        <v>0.39041263494020029</v>
      </c>
      <c r="K22" s="25">
        <f t="shared" ca="1" si="21"/>
        <v>0.30324795043694708</v>
      </c>
      <c r="L22" s="25">
        <f t="shared" ca="1" si="22"/>
        <v>2.0616841522690256E-2</v>
      </c>
      <c r="M22" s="25">
        <f t="shared" ref="M22:M30" ca="1" si="27">2*$J22*(1-$F22/$I22)*(1/(1+$I22^2))*$E22</f>
        <v>9.1026992508680238E-2</v>
      </c>
      <c r="N22" s="25">
        <f ca="1">N21+($E22-$E21)*(M21+M22)/2</f>
        <v>2.3352342995417573E-2</v>
      </c>
      <c r="O22" s="25">
        <f t="shared" ref="O22:O30" ca="1" si="28">4*$J22*(1+ ($F22*$I22))*$E22</f>
        <v>0.32422820505669026</v>
      </c>
      <c r="P22" s="25">
        <f t="shared" ca="1" si="23"/>
        <v>2.2212542887628098E-2</v>
      </c>
      <c r="Q22" s="25">
        <f t="shared" ca="1" si="24"/>
        <v>6.478939398448709E-2</v>
      </c>
      <c r="R22" s="25">
        <f t="shared" ca="1" si="25"/>
        <v>3.6720481506309624E-3</v>
      </c>
      <c r="S22" s="25">
        <f ca="1">SQRT($I22^2 + 1 - ($M$7*COS($O6)/2)^2)</f>
        <v>1.2903515860515258</v>
      </c>
      <c r="T22" s="26">
        <f ca="1">(4*PI()*$M$6/$C$14)*($J22/$S22)*($M$7/$I6)</f>
        <v>9.935395576095607E-2</v>
      </c>
      <c r="V22" s="59">
        <f t="shared" si="5"/>
        <v>0.10688</v>
      </c>
      <c r="W22" s="60">
        <f t="shared" ca="1" si="6"/>
        <v>16.701151517042181</v>
      </c>
      <c r="X22" s="60">
        <f t="shared" ca="1" si="7"/>
        <v>23.541128484998129</v>
      </c>
      <c r="Y22" s="60">
        <f t="shared" ca="1" si="8"/>
        <v>0.41139999999999999</v>
      </c>
      <c r="Z22" s="56">
        <f t="shared" ca="1" si="9"/>
        <v>6.6004737999070837</v>
      </c>
      <c r="AA22" s="56">
        <f t="shared" ca="1" si="10"/>
        <v>-0.43669999999999998</v>
      </c>
      <c r="AB22" s="56">
        <f t="shared" ca="1" si="11"/>
        <v>1.1473</v>
      </c>
      <c r="AC22" s="56">
        <f t="shared" ca="1" si="12"/>
        <v>1.482E-2</v>
      </c>
      <c r="AD22" s="56">
        <f t="shared" ca="1" si="13"/>
        <v>3.4282705807709486E-2</v>
      </c>
      <c r="AE22" s="56">
        <f t="shared" ca="1" si="14"/>
        <v>7.8428499082764364E-2</v>
      </c>
      <c r="AF22" s="56">
        <f t="shared" ca="1" si="15"/>
        <v>0.27160000000000001</v>
      </c>
      <c r="AG22" s="56">
        <f t="shared" ca="1" si="16"/>
        <v>100000</v>
      </c>
      <c r="AH22" s="57"/>
    </row>
    <row r="23" spans="1:34" x14ac:dyDescent="0.25">
      <c r="A23" s="2"/>
      <c r="E23" s="24">
        <f t="shared" si="26"/>
        <v>0.30196850393700791</v>
      </c>
      <c r="F23" s="25">
        <f ca="1">J7/I7</f>
        <v>3.2537313432835821E-2</v>
      </c>
      <c r="G23" s="25">
        <f t="shared" si="17"/>
        <v>2.9011921207096565</v>
      </c>
      <c r="H23" s="25">
        <f t="shared" si="18"/>
        <v>0.96499522774916313</v>
      </c>
      <c r="I23" s="25">
        <f t="shared" si="19"/>
        <v>1.2181874580144825</v>
      </c>
      <c r="J23" s="25">
        <f t="shared" si="20"/>
        <v>0.57650781542491825</v>
      </c>
      <c r="K23" s="25">
        <f t="shared" ca="1" si="21"/>
        <v>0.67774960411472152</v>
      </c>
      <c r="L23" s="25">
        <f t="shared" ca="1" si="22"/>
        <v>6.9528783711107267E-2</v>
      </c>
      <c r="M23" s="25">
        <f t="shared" ca="1" si="27"/>
        <v>0.13642408912241269</v>
      </c>
      <c r="N23" s="25">
        <f ca="1">N22+($E23-$E22)*(M22+M23)/2</f>
        <v>3.4692915766281682E-2</v>
      </c>
      <c r="O23" s="25">
        <f t="shared" ca="1" si="28"/>
        <v>0.72394967256687115</v>
      </c>
      <c r="P23" s="25">
        <f t="shared" ca="1" si="23"/>
        <v>7.4474055177464277E-2</v>
      </c>
      <c r="Q23" s="25">
        <f t="shared" ca="1" si="24"/>
        <v>0.21625114415467311</v>
      </c>
      <c r="R23" s="25">
        <f t="shared" ca="1" si="25"/>
        <v>1.7684558671461421E-2</v>
      </c>
      <c r="S23" s="25">
        <f ca="1">SQRT($I23^2 + 1 - ($M$7*COS($O7)/2)^2)</f>
        <v>1.5750606003518441</v>
      </c>
      <c r="T23" s="26">
        <f ca="1">(4*PI()*$M$6/$C$14)*($J23/$S23)*($M$7/$I7)</f>
        <v>0.12019247827880786</v>
      </c>
      <c r="V23" s="59">
        <f t="shared" si="5"/>
        <v>0.12461</v>
      </c>
      <c r="W23" s="60">
        <f t="shared" ca="1" si="6"/>
        <v>14.08091259036425</v>
      </c>
      <c r="X23" s="60">
        <f t="shared" ca="1" si="7"/>
        <v>20.489604149362101</v>
      </c>
      <c r="Y23" s="60">
        <f t="shared" ca="1" si="8"/>
        <v>0.41139999999999999</v>
      </c>
      <c r="Z23" s="56">
        <f t="shared" ca="1" si="9"/>
        <v>6.6004737999070837</v>
      </c>
      <c r="AA23" s="56">
        <f t="shared" ca="1" si="10"/>
        <v>-0.43669999999999998</v>
      </c>
      <c r="AB23" s="56">
        <f t="shared" ca="1" si="11"/>
        <v>1.1473</v>
      </c>
      <c r="AC23" s="56">
        <f t="shared" ca="1" si="12"/>
        <v>1.482E-2</v>
      </c>
      <c r="AD23" s="56">
        <f t="shared" ca="1" si="13"/>
        <v>3.4282705807709486E-2</v>
      </c>
      <c r="AE23" s="56">
        <f t="shared" ca="1" si="14"/>
        <v>7.8428499082764364E-2</v>
      </c>
      <c r="AF23" s="56">
        <f t="shared" ca="1" si="15"/>
        <v>0.27160000000000001</v>
      </c>
      <c r="AG23" s="56">
        <f t="shared" ca="1" si="16"/>
        <v>100000</v>
      </c>
      <c r="AH23" s="57"/>
    </row>
    <row r="24" spans="1:34" x14ac:dyDescent="0.25">
      <c r="A24" s="2"/>
      <c r="E24" s="24">
        <f t="shared" si="26"/>
        <v>0.40168728908886392</v>
      </c>
      <c r="F24" s="25">
        <f ca="1">J8/I8</f>
        <v>3.2537313432835821E-2</v>
      </c>
      <c r="G24" s="25">
        <f t="shared" si="17"/>
        <v>2.4867361034654198</v>
      </c>
      <c r="H24" s="25">
        <f t="shared" si="18"/>
        <v>0.94698406189276119</v>
      </c>
      <c r="I24" s="25">
        <f t="shared" si="19"/>
        <v>1.6204683973066556</v>
      </c>
      <c r="J24" s="25">
        <f t="shared" si="20"/>
        <v>0.68581320608145779</v>
      </c>
      <c r="K24" s="25">
        <f t="shared" ca="1" si="21"/>
        <v>1.0798041906614468</v>
      </c>
      <c r="L24" s="25">
        <f t="shared" ca="1" si="22"/>
        <v>0.15715934833816425</v>
      </c>
      <c r="M24" s="25">
        <f t="shared" ca="1" si="27"/>
        <v>0.14890080833040348</v>
      </c>
      <c r="N24" s="25">
        <f ca="1">N23+($E24-$E23)*(M23+M24)/2</f>
        <v>4.8919041840068046E-2</v>
      </c>
      <c r="O24" s="25">
        <f t="shared" ca="1" si="28"/>
        <v>1.1600297967760667</v>
      </c>
      <c r="P24" s="25">
        <f t="shared" ca="1" si="23"/>
        <v>0.16840812714442233</v>
      </c>
      <c r="Q24" s="25">
        <f t="shared" ca="1" si="24"/>
        <v>0.420051290243947</v>
      </c>
      <c r="R24" s="25">
        <f t="shared" ca="1" si="25"/>
        <v>4.9410211545160898E-2</v>
      </c>
      <c r="S24" s="25">
        <f ca="1">SQRT($I24^2 + 1 - ($M$7*COS($O8)/2)^2)</f>
        <v>1.9041729496978212</v>
      </c>
      <c r="T24" s="26">
        <f ca="1">(4*PI()*$M$6/$C$14)*($J24/$S24)*($M$7/$I8)</f>
        <v>0.11826842441241242</v>
      </c>
      <c r="V24" s="59">
        <f t="shared" si="5"/>
        <v>0.14233999999999999</v>
      </c>
      <c r="W24" s="60">
        <f t="shared" ca="1" si="6"/>
        <v>11.22744087072545</v>
      </c>
      <c r="X24" s="60">
        <f t="shared" ca="1" si="7"/>
        <v>18.114588836358934</v>
      </c>
      <c r="Y24" s="60">
        <f t="shared" ca="1" si="8"/>
        <v>0.41139999999999999</v>
      </c>
      <c r="Z24" s="56">
        <f t="shared" ca="1" si="9"/>
        <v>6.6004737999070837</v>
      </c>
      <c r="AA24" s="56">
        <f t="shared" ca="1" si="10"/>
        <v>-0.43669999999999998</v>
      </c>
      <c r="AB24" s="56">
        <f t="shared" ca="1" si="11"/>
        <v>1.1473</v>
      </c>
      <c r="AC24" s="56">
        <f t="shared" ca="1" si="12"/>
        <v>1.482E-2</v>
      </c>
      <c r="AD24" s="56">
        <f t="shared" ca="1" si="13"/>
        <v>3.4282705807709486E-2</v>
      </c>
      <c r="AE24" s="56">
        <f t="shared" ca="1" si="14"/>
        <v>7.8428499082764364E-2</v>
      </c>
      <c r="AF24" s="56">
        <f t="shared" ca="1" si="15"/>
        <v>0.27160000000000001</v>
      </c>
      <c r="AG24" s="56">
        <f t="shared" ca="1" si="16"/>
        <v>100000</v>
      </c>
      <c r="AH24" s="57"/>
    </row>
    <row r="25" spans="1:34" ht="15.75" thickBot="1" x14ac:dyDescent="0.3">
      <c r="A25" s="2"/>
      <c r="E25" s="24">
        <f t="shared" si="26"/>
        <v>0.50140607424071992</v>
      </c>
      <c r="F25" s="25">
        <f ca="1">J9/I9</f>
        <v>3.2537313432835821E-2</v>
      </c>
      <c r="G25" s="25">
        <f t="shared" si="17"/>
        <v>2.0722800862211832</v>
      </c>
      <c r="H25" s="25">
        <f t="shared" si="18"/>
        <v>0.919637334361738</v>
      </c>
      <c r="I25" s="25">
        <f t="shared" si="19"/>
        <v>2.0227493365988285</v>
      </c>
      <c r="J25" s="25">
        <f t="shared" si="20"/>
        <v>0.73901577942786367</v>
      </c>
      <c r="K25" s="25">
        <f t="shared" ca="1" si="21"/>
        <v>1.4583459902359739</v>
      </c>
      <c r="L25" s="25">
        <f t="shared" ca="1" si="22"/>
        <v>0.28370997462419145</v>
      </c>
      <c r="M25" s="25">
        <f t="shared" ca="1" si="27"/>
        <v>0.14321336821912398</v>
      </c>
      <c r="N25" s="25">
        <f ca="1">N24+($E25-$E24)*(M24+M25)/2</f>
        <v>6.3483677245644882E-2</v>
      </c>
      <c r="O25" s="25">
        <f t="shared" ca="1" si="28"/>
        <v>1.5797379532652929</v>
      </c>
      <c r="P25" s="25">
        <f t="shared" ca="1" si="23"/>
        <v>0.30501128296060143</v>
      </c>
      <c r="Q25" s="25">
        <f t="shared" ca="1" si="24"/>
        <v>0.63473460200176757</v>
      </c>
      <c r="R25" s="25">
        <f t="shared" ca="1" si="25"/>
        <v>0.10200119543019047</v>
      </c>
      <c r="S25" s="25">
        <f ca="1">SQRT($I25^2 + 1 - ($M$7*COS($O9)/2)^2)</f>
        <v>2.2560217134746781</v>
      </c>
      <c r="T25" s="26">
        <f ca="1">(4*PI()*$M$6/$C$14)*($J25/$S25)*($M$7/$I9)</f>
        <v>0.1075671829301655</v>
      </c>
      <c r="V25" s="61">
        <f t="shared" si="5"/>
        <v>0.16006999999999999</v>
      </c>
      <c r="W25" s="62">
        <f t="shared" ca="1" si="6"/>
        <v>7.7877907133925701</v>
      </c>
      <c r="X25" s="62">
        <f t="shared" ca="1" si="7"/>
        <v>16.219594204113953</v>
      </c>
      <c r="Y25" s="62">
        <f t="shared" ca="1" si="8"/>
        <v>0.41139999999999999</v>
      </c>
      <c r="Z25" s="63">
        <f t="shared" ca="1" si="9"/>
        <v>6.6004737999070837</v>
      </c>
      <c r="AA25" s="63">
        <f t="shared" ca="1" si="10"/>
        <v>-0.43669999999999998</v>
      </c>
      <c r="AB25" s="63">
        <f t="shared" ca="1" si="11"/>
        <v>1.1473</v>
      </c>
      <c r="AC25" s="63">
        <f t="shared" ca="1" si="12"/>
        <v>1.482E-2</v>
      </c>
      <c r="AD25" s="63">
        <f t="shared" ca="1" si="13"/>
        <v>3.4282705807709486E-2</v>
      </c>
      <c r="AE25" s="63">
        <f t="shared" ca="1" si="14"/>
        <v>7.8428499082764364E-2</v>
      </c>
      <c r="AF25" s="63">
        <f t="shared" ca="1" si="15"/>
        <v>0.27160000000000001</v>
      </c>
      <c r="AG25" s="63">
        <f t="shared" ca="1" si="16"/>
        <v>100000</v>
      </c>
      <c r="AH25" s="64"/>
    </row>
    <row r="26" spans="1:34" x14ac:dyDescent="0.25">
      <c r="A26" s="2"/>
      <c r="E26" s="24">
        <f t="shared" si="26"/>
        <v>0.60112485939257587</v>
      </c>
      <c r="F26" s="25">
        <f ca="1">J10/I10</f>
        <v>3.2537313432835821E-2</v>
      </c>
      <c r="G26" s="25">
        <f t="shared" si="17"/>
        <v>1.6578240689769468</v>
      </c>
      <c r="H26" s="25">
        <f t="shared" si="18"/>
        <v>0.87794369191460919</v>
      </c>
      <c r="I26" s="25">
        <f t="shared" si="19"/>
        <v>2.4250302758910012</v>
      </c>
      <c r="J26" s="25">
        <f t="shared" si="20"/>
        <v>0.75034991138260776</v>
      </c>
      <c r="K26" s="25">
        <f t="shared" ca="1" si="21"/>
        <v>1.7800082670640387</v>
      </c>
      <c r="L26" s="25">
        <f t="shared" ca="1" si="22"/>
        <v>0.44517235083884044</v>
      </c>
      <c r="M26" s="25">
        <f t="shared" ca="1" si="27"/>
        <v>0.12934655506073578</v>
      </c>
      <c r="N26" s="25">
        <f ca="1">N25+($E26-$E25)*(M25+M26)/2</f>
        <v>7.7073349460920218E-2</v>
      </c>
      <c r="O26" s="25">
        <f t="shared" ca="1" si="28"/>
        <v>1.9465757406039585</v>
      </c>
      <c r="P26" s="25">
        <f t="shared" ca="1" si="23"/>
        <v>0.48083114176909914</v>
      </c>
      <c r="Q26" s="25">
        <f t="shared" ca="1" si="24"/>
        <v>0.83183747882305914</v>
      </c>
      <c r="R26" s="25">
        <f t="shared" ca="1" si="25"/>
        <v>0.17512358854893106</v>
      </c>
      <c r="S26" s="25">
        <f ca="1">SQRT($I26^2 + 1 - ($M$7*COS($O10)/2)^2)</f>
        <v>2.6231222723562468</v>
      </c>
      <c r="T26" s="26">
        <f ca="1">(4*PI()*$M$6/$C$14)*($J26/$S26)*($M$7/$I10)</f>
        <v>9.393223575389302E-2</v>
      </c>
    </row>
    <row r="27" spans="1:34" x14ac:dyDescent="0.25">
      <c r="A27" s="2"/>
      <c r="E27" s="24">
        <f t="shared" si="26"/>
        <v>0.70084364454443193</v>
      </c>
      <c r="F27" s="25">
        <f ca="1">J11/I11</f>
        <v>3.2537313432835821E-2</v>
      </c>
      <c r="G27" s="25">
        <f t="shared" si="17"/>
        <v>1.2433680517327099</v>
      </c>
      <c r="H27" s="25">
        <f t="shared" si="18"/>
        <v>0.81374599381605606</v>
      </c>
      <c r="I27" s="25">
        <f t="shared" si="19"/>
        <v>2.8273112151831743</v>
      </c>
      <c r="J27" s="25">
        <f t="shared" si="20"/>
        <v>0.72326632298450866</v>
      </c>
      <c r="K27" s="25">
        <f t="shared" ca="1" si="21"/>
        <v>2.0042525168122407</v>
      </c>
      <c r="L27" s="25">
        <f t="shared" ca="1" si="22"/>
        <v>0.63385329487181696</v>
      </c>
      <c r="M27" s="25">
        <f t="shared" ca="1" si="27"/>
        <v>0.11142549970296027</v>
      </c>
      <c r="N27" s="25">
        <f ca="1">N26+($E27-$E26)*(M26+M27)/2</f>
        <v>8.9078097860696176E-2</v>
      </c>
      <c r="O27" s="25">
        <f t="shared" ca="1" si="28"/>
        <v>2.2141104063559705</v>
      </c>
      <c r="P27" s="25">
        <f t="shared" ca="1" si="23"/>
        <v>0.68828042575559967</v>
      </c>
      <c r="Q27" s="25">
        <f t="shared" ca="1" si="24"/>
        <v>0.98396275032771896</v>
      </c>
      <c r="R27" s="25">
        <f t="shared" ca="1" si="25"/>
        <v>0.26565828501361977</v>
      </c>
      <c r="S27" s="25">
        <f ca="1">SQRT($I27^2 + 1 - ($M$7*COS($O11)/2)^2)</f>
        <v>2.9989453847128948</v>
      </c>
      <c r="T27" s="26">
        <f ca="1">(4*PI()*$M$6/$C$14)*($J27/$S27)*($M$7/$I11)</f>
        <v>7.9195233916559332E-2</v>
      </c>
    </row>
    <row r="28" spans="1:34" x14ac:dyDescent="0.25">
      <c r="A28" s="2"/>
      <c r="E28" s="24">
        <f t="shared" si="26"/>
        <v>0.80056242969628788</v>
      </c>
      <c r="F28" s="25">
        <f ca="1">J12/I12</f>
        <v>3.2537313432835821E-2</v>
      </c>
      <c r="G28" s="25">
        <f t="shared" si="17"/>
        <v>0.82891203448847361</v>
      </c>
      <c r="H28" s="25">
        <f t="shared" si="18"/>
        <v>0.71241883378327453</v>
      </c>
      <c r="I28" s="25">
        <f t="shared" si="19"/>
        <v>3.229592154475347</v>
      </c>
      <c r="J28" s="25">
        <f t="shared" si="20"/>
        <v>0.65009142461110692</v>
      </c>
      <c r="K28" s="25">
        <f t="shared" ca="1" si="21"/>
        <v>2.0607819326093719</v>
      </c>
      <c r="L28" s="25">
        <f t="shared" ca="1" si="22"/>
        <v>0.83653344332020041</v>
      </c>
      <c r="M28" s="25">
        <f t="shared" ca="1" si="27"/>
        <v>9.0145847244283109E-2</v>
      </c>
      <c r="N28" s="25">
        <f ca="1">N27+($E28-$E27)*(M27+M28)/2</f>
        <v>9.912832278019737E-2</v>
      </c>
      <c r="O28" s="25">
        <f t="shared" ca="1" si="28"/>
        <v>2.3005105941336637</v>
      </c>
      <c r="P28" s="25">
        <f t="shared" ca="1" si="23"/>
        <v>0.91337668655054105</v>
      </c>
      <c r="Q28" s="25">
        <f t="shared" ca="1" si="24"/>
        <v>1.049622875304457</v>
      </c>
      <c r="R28" s="25">
        <f t="shared" ca="1" si="25"/>
        <v>0.36705162905877853</v>
      </c>
      <c r="S28" s="25">
        <f ca="1">SQRT($I28^2 + 1 - ($M$7*COS($O12)/2)^2)</f>
        <v>3.3806076989761857</v>
      </c>
      <c r="T28" s="26">
        <f ca="1">(4*PI()*$M$6/$C$14)*($J28/$S28)*($M$7/$I12)</f>
        <v>6.3146461590131889E-2</v>
      </c>
    </row>
    <row r="29" spans="1:34" x14ac:dyDescent="0.25">
      <c r="A29" s="2"/>
      <c r="E29" s="24">
        <f t="shared" si="26"/>
        <v>0.90028121484814383</v>
      </c>
      <c r="F29" s="25">
        <f ca="1">J13/I13</f>
        <v>3.2537313432835821E-2</v>
      </c>
      <c r="G29" s="25">
        <f t="shared" si="17"/>
        <v>0.41445601724423725</v>
      </c>
      <c r="H29" s="25">
        <f t="shared" si="18"/>
        <v>0.54051944987839828</v>
      </c>
      <c r="I29" s="25">
        <f t="shared" si="19"/>
        <v>3.6318730937675201</v>
      </c>
      <c r="J29" s="25">
        <f t="shared" si="20"/>
        <v>0.50242922280734081</v>
      </c>
      <c r="K29" s="25">
        <f t="shared" ca="1" si="21"/>
        <v>1.7931010704265291</v>
      </c>
      <c r="L29" s="25">
        <f t="shared" ca="1" si="22"/>
        <v>1.0286857089102637</v>
      </c>
      <c r="M29" s="25">
        <f t="shared" ca="1" si="27"/>
        <v>6.3179620038898002E-2</v>
      </c>
      <c r="N29" s="25">
        <f ca="1">N28+($E29-$E28)*(M28+M29)/2</f>
        <v>0.1067730374453571</v>
      </c>
      <c r="O29" s="25">
        <f t="shared" ca="1" si="28"/>
        <v>2.0231190908220422</v>
      </c>
      <c r="P29" s="25">
        <f t="shared" ca="1" si="23"/>
        <v>1.1289502363656834</v>
      </c>
      <c r="Q29" s="25">
        <f t="shared" ca="1" si="24"/>
        <v>0.94027527841698444</v>
      </c>
      <c r="R29" s="25">
        <f t="shared" ca="1" si="25"/>
        <v>0.46626674229129017</v>
      </c>
      <c r="S29" s="25">
        <f ca="1">SQRT($I29^2 + 1 - ($M$7*COS($O13)/2)^2)</f>
        <v>3.7667060956612812</v>
      </c>
      <c r="T29" s="26">
        <f ca="1">(4*PI()*$M$6/$C$14)*($J29/$S29)*($M$7/$I13)</f>
        <v>4.3800847656876092E-2</v>
      </c>
    </row>
    <row r="30" spans="1:34" ht="15.75" thickBot="1" x14ac:dyDescent="0.3">
      <c r="A30" s="2"/>
      <c r="E30" s="24">
        <f t="shared" si="26"/>
        <v>0.99999999999999989</v>
      </c>
      <c r="F30" s="27">
        <f ca="1">J14/I14</f>
        <v>3.2537313432835821E-2</v>
      </c>
      <c r="G30" s="27">
        <v>0</v>
      </c>
      <c r="H30" s="27">
        <v>0</v>
      </c>
      <c r="I30" s="27">
        <f t="shared" si="19"/>
        <v>4.0341540330596928</v>
      </c>
      <c r="J30" s="27">
        <f t="shared" si="20"/>
        <v>0</v>
      </c>
      <c r="K30" s="27">
        <f t="shared" ca="1" si="21"/>
        <v>0</v>
      </c>
      <c r="L30" s="28">
        <f t="shared" ca="1" si="22"/>
        <v>1.1180886391089768</v>
      </c>
      <c r="M30" s="27">
        <f t="shared" ca="1" si="27"/>
        <v>0</v>
      </c>
      <c r="N30" s="28">
        <f ca="1">N29+($E30-$E29)*(M29+M30)/2</f>
        <v>0.10992313492367449</v>
      </c>
      <c r="O30" s="27">
        <f t="shared" ca="1" si="28"/>
        <v>0</v>
      </c>
      <c r="P30" s="28">
        <f t="shared" ca="1" si="23"/>
        <v>1.2298217253428341</v>
      </c>
      <c r="Q30" s="27">
        <f t="shared" ca="1" si="24"/>
        <v>0</v>
      </c>
      <c r="R30" s="28">
        <f t="shared" ca="1" si="25"/>
        <v>0.51314829652732263</v>
      </c>
      <c r="S30" s="27">
        <f ca="1">SQRT($I30^2 + 1 - ($M$7*COS($O14)/2)^2)</f>
        <v>4.156147165889772</v>
      </c>
      <c r="T30" s="29">
        <f ca="1">(4*PI()*$M$6/$C$14)*($J30/$S30)*($M$7/$I14)</f>
        <v>0</v>
      </c>
    </row>
  </sheetData>
  <mergeCells count="9">
    <mergeCell ref="B13:C13"/>
    <mergeCell ref="B18:C18"/>
    <mergeCell ref="B19:C19"/>
    <mergeCell ref="E1:J1"/>
    <mergeCell ref="B2:C2"/>
    <mergeCell ref="E2:J2"/>
    <mergeCell ref="L2:M2"/>
    <mergeCell ref="O2:T2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zoomScaleNormal="100" workbookViewId="0">
      <pane ySplit="7" topLeftCell="A8" activePane="bottomLeft" state="frozen"/>
      <selection pane="bottomLeft" activeCell="N3" sqref="N3"/>
    </sheetView>
  </sheetViews>
  <sheetFormatPr defaultRowHeight="15" x14ac:dyDescent="0.25"/>
  <sheetData>
    <row r="1" spans="1:15" x14ac:dyDescent="0.25">
      <c r="A1" t="s">
        <v>77</v>
      </c>
      <c r="H1" t="s">
        <v>25</v>
      </c>
      <c r="I1">
        <v>100000</v>
      </c>
    </row>
    <row r="2" spans="1:15" x14ac:dyDescent="0.25">
      <c r="A2" t="s">
        <v>76</v>
      </c>
      <c r="H2" t="s">
        <v>61</v>
      </c>
      <c r="I2" t="s">
        <v>62</v>
      </c>
      <c r="J2" t="s">
        <v>60</v>
      </c>
      <c r="K2" t="s">
        <v>59</v>
      </c>
      <c r="L2" t="s">
        <v>58</v>
      </c>
      <c r="M2" t="s">
        <v>55</v>
      </c>
      <c r="N2" t="s">
        <v>51</v>
      </c>
      <c r="O2" t="s">
        <v>54</v>
      </c>
    </row>
    <row r="3" spans="1:15" x14ac:dyDescent="0.25">
      <c r="A3" t="s">
        <v>75</v>
      </c>
      <c r="H3">
        <f>VLOOKUP(0,A9:C98,3,FALSE)</f>
        <v>0.41139999999999999</v>
      </c>
      <c r="I3">
        <f>(K3-J3)/(VLOOKUP(K3,C9:I98,7,FALSE)-VLOOKUP(J3,C9:I98,7,FALSE))</f>
        <v>6.6004737999070837</v>
      </c>
      <c r="J3">
        <f>C17</f>
        <v>-0.43669999999999998</v>
      </c>
      <c r="K3">
        <f>C72</f>
        <v>1.1473</v>
      </c>
      <c r="L3">
        <f>SMALL(B9:B98,1)</f>
        <v>1.482E-2</v>
      </c>
      <c r="M3">
        <f>M6/(O6^2)</f>
        <v>3.4282705807709486E-2</v>
      </c>
      <c r="N3">
        <f>L6/(N6^2)</f>
        <v>7.8428499082764364E-2</v>
      </c>
      <c r="O3">
        <f>VLOOKUP(L3,B9:C98,2,FALSE)</f>
        <v>0.27160000000000001</v>
      </c>
    </row>
    <row r="4" spans="1:15" x14ac:dyDescent="0.25">
      <c r="A4" t="s">
        <v>74</v>
      </c>
    </row>
    <row r="5" spans="1:15" x14ac:dyDescent="0.25">
      <c r="A5" t="s">
        <v>73</v>
      </c>
      <c r="L5" t="s">
        <v>53</v>
      </c>
      <c r="M5" t="s">
        <v>57</v>
      </c>
      <c r="N5" t="s">
        <v>52</v>
      </c>
      <c r="O5" t="s">
        <v>56</v>
      </c>
    </row>
    <row r="6" spans="1:15" x14ac:dyDescent="0.25">
      <c r="A6" t="s">
        <v>72</v>
      </c>
      <c r="L6">
        <f>0.03475-L3</f>
        <v>1.9930000000000003E-2</v>
      </c>
      <c r="M6">
        <f>0.04705-L3</f>
        <v>3.2230000000000002E-2</v>
      </c>
      <c r="N6">
        <f>-0.2325-O3</f>
        <v>-0.50409999999999999</v>
      </c>
      <c r="O6">
        <f>1.2412-O3</f>
        <v>0.96960000000000002</v>
      </c>
    </row>
    <row r="7" spans="1:15" x14ac:dyDescent="0.25">
      <c r="A7" t="s">
        <v>71</v>
      </c>
      <c r="B7" t="s">
        <v>21</v>
      </c>
      <c r="C7" t="s">
        <v>20</v>
      </c>
      <c r="D7" t="s">
        <v>70</v>
      </c>
      <c r="E7" t="s">
        <v>69</v>
      </c>
      <c r="F7" t="s">
        <v>68</v>
      </c>
      <c r="G7" t="s">
        <v>67</v>
      </c>
      <c r="I7" t="s">
        <v>100</v>
      </c>
      <c r="J7" t="s">
        <v>66</v>
      </c>
    </row>
    <row r="8" spans="1:15" x14ac:dyDescent="0.25">
      <c r="A8" t="s">
        <v>65</v>
      </c>
      <c r="B8" t="s">
        <v>64</v>
      </c>
      <c r="C8" t="s">
        <v>63</v>
      </c>
      <c r="D8" t="s">
        <v>64</v>
      </c>
      <c r="E8" t="s">
        <v>63</v>
      </c>
      <c r="F8" t="s">
        <v>63</v>
      </c>
      <c r="G8" t="s">
        <v>63</v>
      </c>
      <c r="J8">
        <f>MAX((J9:J98))</f>
        <v>58.656716417910452</v>
      </c>
    </row>
    <row r="9" spans="1:15" x14ac:dyDescent="0.25">
      <c r="A9">
        <v>-8.25</v>
      </c>
      <c r="B9">
        <v>9.2999999999999999E-2</v>
      </c>
      <c r="C9">
        <v>-0.34110000000000001</v>
      </c>
      <c r="D9">
        <v>8.8340000000000002E-2</v>
      </c>
      <c r="E9">
        <v>-3.6299999999999999E-2</v>
      </c>
      <c r="F9">
        <v>1</v>
      </c>
      <c r="G9">
        <v>0.10100000000000001</v>
      </c>
      <c r="I9">
        <f>A9*PI()/180</f>
        <v>-0.14398966328953219</v>
      </c>
      <c r="J9">
        <f>C9/B9</f>
        <v>-3.6677419354838712</v>
      </c>
    </row>
    <row r="10" spans="1:15" x14ac:dyDescent="0.25">
      <c r="A10">
        <v>-8</v>
      </c>
      <c r="B10">
        <v>9.1189999999999993E-2</v>
      </c>
      <c r="C10">
        <v>-0.35859999999999997</v>
      </c>
      <c r="D10">
        <v>8.6699999999999999E-2</v>
      </c>
      <c r="E10">
        <v>-3.85E-2</v>
      </c>
      <c r="F10">
        <v>1</v>
      </c>
      <c r="G10">
        <v>0.10340000000000001</v>
      </c>
      <c r="I10">
        <f t="shared" ref="I10:I73" si="0">A10*PI()/180</f>
        <v>-0.13962634015954636</v>
      </c>
      <c r="J10">
        <f t="shared" ref="J10:J73" si="1">C10/B10</f>
        <v>-3.9324487334137515</v>
      </c>
    </row>
    <row r="11" spans="1:15" x14ac:dyDescent="0.25">
      <c r="A11">
        <v>-7.75</v>
      </c>
      <c r="B11">
        <v>8.9499999999999996E-2</v>
      </c>
      <c r="C11">
        <v>-0.38090000000000002</v>
      </c>
      <c r="D11">
        <v>8.5190000000000002E-2</v>
      </c>
      <c r="E11">
        <v>-4.0399999999999998E-2</v>
      </c>
      <c r="F11">
        <v>1</v>
      </c>
      <c r="G11">
        <v>0.104</v>
      </c>
      <c r="I11">
        <f t="shared" si="0"/>
        <v>-0.13526301702956053</v>
      </c>
      <c r="J11">
        <f t="shared" si="1"/>
        <v>-4.2558659217877102</v>
      </c>
    </row>
    <row r="12" spans="1:15" x14ac:dyDescent="0.25">
      <c r="A12">
        <v>-7.5</v>
      </c>
      <c r="B12">
        <v>8.5250000000000006E-2</v>
      </c>
      <c r="C12">
        <v>-0.36580000000000001</v>
      </c>
      <c r="D12">
        <v>8.0949999999999994E-2</v>
      </c>
      <c r="E12">
        <v>-3.6400000000000002E-2</v>
      </c>
      <c r="F12">
        <v>1</v>
      </c>
      <c r="G12">
        <v>0.10730000000000001</v>
      </c>
      <c r="I12">
        <f t="shared" si="0"/>
        <v>-0.1308996938995747</v>
      </c>
      <c r="J12">
        <f t="shared" si="1"/>
        <v>-4.290909090909091</v>
      </c>
    </row>
    <row r="13" spans="1:15" x14ac:dyDescent="0.25">
      <c r="A13">
        <v>-7.25</v>
      </c>
      <c r="B13">
        <v>8.3030000000000007E-2</v>
      </c>
      <c r="C13">
        <v>-0.36270000000000002</v>
      </c>
      <c r="D13">
        <v>7.8799999999999995E-2</v>
      </c>
      <c r="E13">
        <v>-3.4099999999999998E-2</v>
      </c>
      <c r="F13">
        <v>1</v>
      </c>
      <c r="G13">
        <v>0.11119999999999999</v>
      </c>
      <c r="I13">
        <f t="shared" si="0"/>
        <v>-0.1265363707695889</v>
      </c>
      <c r="J13">
        <f t="shared" si="1"/>
        <v>-4.3683006142358183</v>
      </c>
    </row>
    <row r="14" spans="1:15" x14ac:dyDescent="0.25">
      <c r="A14">
        <v>-7</v>
      </c>
      <c r="B14">
        <v>8.1220000000000001E-2</v>
      </c>
      <c r="C14">
        <v>-0.37680000000000002</v>
      </c>
      <c r="D14">
        <v>7.7130000000000004E-2</v>
      </c>
      <c r="E14">
        <v>-3.3099999999999997E-2</v>
      </c>
      <c r="F14">
        <v>1</v>
      </c>
      <c r="G14">
        <v>0.11459999999999999</v>
      </c>
      <c r="I14">
        <f t="shared" si="0"/>
        <v>-0.12217304763960307</v>
      </c>
      <c r="J14">
        <f t="shared" si="1"/>
        <v>-4.6392514159074123</v>
      </c>
    </row>
    <row r="15" spans="1:15" x14ac:dyDescent="0.25">
      <c r="A15">
        <v>-6.75</v>
      </c>
      <c r="B15">
        <v>7.0760000000000003E-2</v>
      </c>
      <c r="C15">
        <v>-0.36459999999999998</v>
      </c>
      <c r="D15">
        <v>6.7220000000000002E-2</v>
      </c>
      <c r="E15">
        <v>-3.6200000000000003E-2</v>
      </c>
      <c r="F15">
        <v>0.98939999999999995</v>
      </c>
      <c r="G15">
        <v>0.1197</v>
      </c>
      <c r="I15">
        <f t="shared" si="0"/>
        <v>-0.11780972450961724</v>
      </c>
      <c r="J15">
        <f t="shared" si="1"/>
        <v>-5.1526286037309212</v>
      </c>
    </row>
    <row r="16" spans="1:15" x14ac:dyDescent="0.25">
      <c r="A16">
        <v>-6.5</v>
      </c>
      <c r="B16">
        <v>6.6769999999999996E-2</v>
      </c>
      <c r="C16">
        <v>-0.33069999999999999</v>
      </c>
      <c r="D16">
        <v>6.3229999999999995E-2</v>
      </c>
      <c r="E16">
        <v>-3.2300000000000002E-2</v>
      </c>
      <c r="F16">
        <v>0.98660000000000003</v>
      </c>
      <c r="G16">
        <v>0.12540000000000001</v>
      </c>
      <c r="I16">
        <f t="shared" si="0"/>
        <v>-0.11344640137963143</v>
      </c>
      <c r="J16">
        <f t="shared" si="1"/>
        <v>-4.9528231241575558</v>
      </c>
    </row>
    <row r="17" spans="1:10" x14ac:dyDescent="0.25">
      <c r="A17">
        <v>-6.25</v>
      </c>
      <c r="B17">
        <v>7.5359999999999996E-2</v>
      </c>
      <c r="C17">
        <v>-0.43669999999999998</v>
      </c>
      <c r="D17">
        <v>7.1480000000000002E-2</v>
      </c>
      <c r="E17">
        <v>-3.5900000000000001E-2</v>
      </c>
      <c r="F17">
        <v>0.99690000000000001</v>
      </c>
      <c r="G17">
        <v>0.1198</v>
      </c>
      <c r="I17">
        <f t="shared" si="0"/>
        <v>-0.1090830782496456</v>
      </c>
      <c r="J17">
        <f t="shared" si="1"/>
        <v>-5.7948513800424628</v>
      </c>
    </row>
    <row r="18" spans="1:10" x14ac:dyDescent="0.25">
      <c r="A18">
        <v>-6</v>
      </c>
      <c r="B18">
        <v>7.2309999999999999E-2</v>
      </c>
      <c r="C18">
        <v>-0.40870000000000001</v>
      </c>
      <c r="D18">
        <v>6.8500000000000005E-2</v>
      </c>
      <c r="E18">
        <v>-3.3700000000000001E-2</v>
      </c>
      <c r="F18">
        <v>0.99199999999999999</v>
      </c>
      <c r="G18">
        <v>0.12470000000000001</v>
      </c>
      <c r="I18">
        <f t="shared" si="0"/>
        <v>-0.10471975511965977</v>
      </c>
      <c r="J18">
        <f t="shared" si="1"/>
        <v>-5.6520536578619831</v>
      </c>
    </row>
    <row r="19" spans="1:10" x14ac:dyDescent="0.25">
      <c r="A19">
        <v>-5.75</v>
      </c>
      <c r="B19">
        <v>6.6019999999999995E-2</v>
      </c>
      <c r="C19">
        <v>-0.3765</v>
      </c>
      <c r="D19">
        <v>6.2050000000000001E-2</v>
      </c>
      <c r="E19">
        <v>-4.5400000000000003E-2</v>
      </c>
      <c r="F19">
        <v>0.98150000000000004</v>
      </c>
      <c r="G19">
        <v>0.13619999999999999</v>
      </c>
      <c r="I19">
        <f t="shared" si="0"/>
        <v>-0.10035643198967394</v>
      </c>
      <c r="J19">
        <f t="shared" si="1"/>
        <v>-5.7028173280823999</v>
      </c>
    </row>
    <row r="20" spans="1:10" x14ac:dyDescent="0.25">
      <c r="A20">
        <v>-5.5</v>
      </c>
      <c r="B20">
        <v>6.0760000000000002E-2</v>
      </c>
      <c r="C20">
        <v>-0.3422</v>
      </c>
      <c r="D20">
        <v>5.6599999999999998E-2</v>
      </c>
      <c r="E20">
        <v>-5.4399999999999997E-2</v>
      </c>
      <c r="F20">
        <v>0.97250000000000003</v>
      </c>
      <c r="G20">
        <v>0.14979999999999999</v>
      </c>
      <c r="I20">
        <f t="shared" si="0"/>
        <v>-9.599310885968812E-2</v>
      </c>
      <c r="J20">
        <f t="shared" si="1"/>
        <v>-5.6319947333772218</v>
      </c>
    </row>
    <row r="21" spans="1:10" x14ac:dyDescent="0.25">
      <c r="A21">
        <v>-5.25</v>
      </c>
      <c r="B21">
        <v>5.6559999999999999E-2</v>
      </c>
      <c r="C21">
        <v>-0.31230000000000002</v>
      </c>
      <c r="D21">
        <v>5.2220000000000003E-2</v>
      </c>
      <c r="E21">
        <v>-6.0199999999999997E-2</v>
      </c>
      <c r="F21">
        <v>0.96189999999999998</v>
      </c>
      <c r="G21">
        <v>0.16400000000000001</v>
      </c>
      <c r="I21">
        <f t="shared" si="0"/>
        <v>-9.1629785729702304E-2</v>
      </c>
      <c r="J21">
        <f t="shared" si="1"/>
        <v>-5.5215700141442721</v>
      </c>
    </row>
    <row r="22" spans="1:10" x14ac:dyDescent="0.25">
      <c r="A22">
        <v>-5</v>
      </c>
      <c r="B22">
        <v>5.3069999999999999E-2</v>
      </c>
      <c r="C22">
        <v>-0.28139999999999998</v>
      </c>
      <c r="D22">
        <v>4.87E-2</v>
      </c>
      <c r="E22">
        <v>-6.2399999999999997E-2</v>
      </c>
      <c r="F22">
        <v>0.95420000000000005</v>
      </c>
      <c r="G22">
        <v>0.17269999999999999</v>
      </c>
      <c r="I22">
        <f t="shared" si="0"/>
        <v>-8.7266462599716474E-2</v>
      </c>
      <c r="J22">
        <f t="shared" si="1"/>
        <v>-5.3024307518371963</v>
      </c>
    </row>
    <row r="23" spans="1:10" x14ac:dyDescent="0.25">
      <c r="A23">
        <v>-4.75</v>
      </c>
      <c r="B23">
        <v>3.4750000000000003E-2</v>
      </c>
      <c r="C23">
        <v>-0.23250000000000001</v>
      </c>
      <c r="D23">
        <v>2.7830000000000001E-2</v>
      </c>
      <c r="E23">
        <v>-7.4300000000000005E-2</v>
      </c>
      <c r="F23">
        <v>0.94569999999999999</v>
      </c>
      <c r="G23">
        <v>6.3899999999999998E-2</v>
      </c>
      <c r="I23">
        <f t="shared" si="0"/>
        <v>-8.2903139469730644E-2</v>
      </c>
      <c r="J23">
        <f t="shared" si="1"/>
        <v>-6.6906474820143886</v>
      </c>
    </row>
    <row r="24" spans="1:10" x14ac:dyDescent="0.25">
      <c r="A24">
        <v>-4.5</v>
      </c>
      <c r="B24">
        <v>3.125E-2</v>
      </c>
      <c r="C24">
        <v>-0.20100000000000001</v>
      </c>
      <c r="D24">
        <v>2.401E-2</v>
      </c>
      <c r="E24">
        <v>-7.5800000000000006E-2</v>
      </c>
      <c r="F24">
        <v>0.93710000000000004</v>
      </c>
      <c r="G24">
        <v>6.1699999999999998E-2</v>
      </c>
      <c r="I24">
        <f t="shared" si="0"/>
        <v>-7.8539816339744828E-2</v>
      </c>
      <c r="J24">
        <f t="shared" si="1"/>
        <v>-6.4320000000000004</v>
      </c>
    </row>
    <row r="25" spans="1:10" x14ac:dyDescent="0.25">
      <c r="A25">
        <v>-4.25</v>
      </c>
      <c r="B25">
        <v>2.8139999999999998E-2</v>
      </c>
      <c r="C25">
        <v>-0.16009999999999999</v>
      </c>
      <c r="D25">
        <v>2.0299999999999999E-2</v>
      </c>
      <c r="E25">
        <v>-7.85E-2</v>
      </c>
      <c r="F25">
        <v>0.93130000000000002</v>
      </c>
      <c r="G25">
        <v>6.1400000000000003E-2</v>
      </c>
      <c r="I25">
        <f t="shared" si="0"/>
        <v>-7.4176493209759012E-2</v>
      </c>
      <c r="J25">
        <f t="shared" si="1"/>
        <v>-5.6894100923951667</v>
      </c>
    </row>
    <row r="26" spans="1:10" x14ac:dyDescent="0.25">
      <c r="A26">
        <v>-4</v>
      </c>
      <c r="B26">
        <v>2.622E-2</v>
      </c>
      <c r="C26">
        <v>-0.12570000000000001</v>
      </c>
      <c r="D26">
        <v>1.7829999999999999E-2</v>
      </c>
      <c r="E26">
        <v>-7.9600000000000004E-2</v>
      </c>
      <c r="F26">
        <v>0.92279999999999995</v>
      </c>
      <c r="G26">
        <v>6.4100000000000004E-2</v>
      </c>
      <c r="I26">
        <f t="shared" si="0"/>
        <v>-6.9813170079773182E-2</v>
      </c>
      <c r="J26">
        <f t="shared" si="1"/>
        <v>-4.7940503432494284</v>
      </c>
    </row>
    <row r="27" spans="1:10" x14ac:dyDescent="0.25">
      <c r="A27">
        <v>-3.75</v>
      </c>
      <c r="B27">
        <v>2.3810000000000001E-2</v>
      </c>
      <c r="C27">
        <v>-8.3799999999999999E-2</v>
      </c>
      <c r="D27">
        <v>1.525E-2</v>
      </c>
      <c r="E27">
        <v>-8.2199999999999995E-2</v>
      </c>
      <c r="F27">
        <v>0.91749999999999998</v>
      </c>
      <c r="G27">
        <v>6.7500000000000004E-2</v>
      </c>
      <c r="I27">
        <f t="shared" si="0"/>
        <v>-6.5449846949787352E-2</v>
      </c>
      <c r="J27">
        <f t="shared" si="1"/>
        <v>-3.5195296094078117</v>
      </c>
    </row>
    <row r="28" spans="1:10" x14ac:dyDescent="0.25">
      <c r="A28">
        <v>-3.5</v>
      </c>
      <c r="B28">
        <v>2.2329999999999999E-2</v>
      </c>
      <c r="C28">
        <v>-4.7600000000000003E-2</v>
      </c>
      <c r="D28">
        <v>1.359E-2</v>
      </c>
      <c r="E28">
        <v>-8.3500000000000005E-2</v>
      </c>
      <c r="F28">
        <v>0.91010000000000002</v>
      </c>
      <c r="G28">
        <v>7.2900000000000006E-2</v>
      </c>
      <c r="I28">
        <f t="shared" si="0"/>
        <v>-6.1086523819801536E-2</v>
      </c>
      <c r="J28">
        <f t="shared" si="1"/>
        <v>-2.1316614420062696</v>
      </c>
    </row>
    <row r="29" spans="1:10" x14ac:dyDescent="0.25">
      <c r="A29">
        <v>-3.25</v>
      </c>
      <c r="B29">
        <v>2.085E-2</v>
      </c>
      <c r="C29">
        <v>-9.7999999999999997E-3</v>
      </c>
      <c r="D29">
        <v>1.209E-2</v>
      </c>
      <c r="E29">
        <v>-8.5000000000000006E-2</v>
      </c>
      <c r="F29">
        <v>0.90349999999999997</v>
      </c>
      <c r="G29">
        <v>8.5900000000000004E-2</v>
      </c>
      <c r="I29">
        <f t="shared" si="0"/>
        <v>-5.6723200689815713E-2</v>
      </c>
      <c r="J29">
        <f t="shared" si="1"/>
        <v>-0.47002398081534769</v>
      </c>
    </row>
    <row r="30" spans="1:10" x14ac:dyDescent="0.25">
      <c r="A30">
        <v>-3</v>
      </c>
      <c r="B30">
        <v>1.9369999999999998E-2</v>
      </c>
      <c r="C30">
        <v>2.1700000000000001E-2</v>
      </c>
      <c r="D30">
        <v>1.082E-2</v>
      </c>
      <c r="E30">
        <v>-8.5500000000000007E-2</v>
      </c>
      <c r="F30">
        <v>0.89570000000000005</v>
      </c>
      <c r="G30">
        <v>0.12870000000000001</v>
      </c>
      <c r="I30">
        <f t="shared" si="0"/>
        <v>-5.2359877559829883E-2</v>
      </c>
      <c r="J30">
        <f t="shared" si="1"/>
        <v>1.1202891068662881</v>
      </c>
    </row>
    <row r="31" spans="1:10" x14ac:dyDescent="0.25">
      <c r="A31">
        <v>-2.75</v>
      </c>
      <c r="B31">
        <v>1.806E-2</v>
      </c>
      <c r="C31">
        <v>5.3499999999999999E-2</v>
      </c>
      <c r="D31">
        <v>1.013E-2</v>
      </c>
      <c r="E31">
        <v>-8.6499999999999994E-2</v>
      </c>
      <c r="F31">
        <v>0.88839999999999997</v>
      </c>
      <c r="G31">
        <v>0.25290000000000001</v>
      </c>
      <c r="I31">
        <f t="shared" si="0"/>
        <v>-4.799655442984406E-2</v>
      </c>
      <c r="J31">
        <f t="shared" si="1"/>
        <v>2.9623477297895904</v>
      </c>
    </row>
    <row r="32" spans="1:10" x14ac:dyDescent="0.25">
      <c r="A32">
        <v>-2.5</v>
      </c>
      <c r="B32">
        <v>1.703E-2</v>
      </c>
      <c r="C32">
        <v>7.8700000000000006E-2</v>
      </c>
      <c r="D32">
        <v>9.8099999999999993E-3</v>
      </c>
      <c r="E32">
        <v>-8.6099999999999996E-2</v>
      </c>
      <c r="F32">
        <v>0.87970000000000004</v>
      </c>
      <c r="G32">
        <v>0.40600000000000003</v>
      </c>
      <c r="I32">
        <f t="shared" si="0"/>
        <v>-4.3633231299858237E-2</v>
      </c>
      <c r="J32">
        <f t="shared" si="1"/>
        <v>4.6212566059894309</v>
      </c>
    </row>
    <row r="33" spans="1:10" x14ac:dyDescent="0.25">
      <c r="A33">
        <v>-2.25</v>
      </c>
      <c r="B33">
        <v>1.601E-2</v>
      </c>
      <c r="C33">
        <v>0.106</v>
      </c>
      <c r="D33">
        <v>9.5999999999999992E-3</v>
      </c>
      <c r="E33">
        <v>-8.5300000000000001E-2</v>
      </c>
      <c r="F33">
        <v>0.873</v>
      </c>
      <c r="G33">
        <v>0.61509999999999998</v>
      </c>
      <c r="I33">
        <f t="shared" si="0"/>
        <v>-3.9269908169872414E-2</v>
      </c>
      <c r="J33">
        <f t="shared" si="1"/>
        <v>6.6208619612742039</v>
      </c>
    </row>
    <row r="34" spans="1:10" x14ac:dyDescent="0.25">
      <c r="A34">
        <v>-2</v>
      </c>
      <c r="B34">
        <v>1.4970000000000001E-2</v>
      </c>
      <c r="C34">
        <v>0.18149999999999999</v>
      </c>
      <c r="D34">
        <v>9.1699999999999993E-3</v>
      </c>
      <c r="E34">
        <v>-9.1499999999999998E-2</v>
      </c>
      <c r="F34">
        <v>0.87190000000000001</v>
      </c>
      <c r="G34">
        <v>0.95389999999999997</v>
      </c>
      <c r="I34">
        <f t="shared" si="0"/>
        <v>-3.4906585039886591E-2</v>
      </c>
      <c r="J34">
        <f t="shared" si="1"/>
        <v>12.124248496993987</v>
      </c>
    </row>
    <row r="35" spans="1:10" x14ac:dyDescent="0.25">
      <c r="A35">
        <v>-1.75</v>
      </c>
      <c r="B35">
        <v>1.4829999999999999E-2</v>
      </c>
      <c r="C35">
        <v>0.24229999999999999</v>
      </c>
      <c r="D35">
        <v>8.6400000000000001E-3</v>
      </c>
      <c r="E35">
        <v>-9.8299999999999998E-2</v>
      </c>
      <c r="F35">
        <v>0.86480000000000001</v>
      </c>
      <c r="G35">
        <v>1</v>
      </c>
      <c r="I35">
        <f t="shared" si="0"/>
        <v>-3.0543261909900768E-2</v>
      </c>
      <c r="J35">
        <f t="shared" si="1"/>
        <v>16.338503034389749</v>
      </c>
    </row>
    <row r="36" spans="1:10" x14ac:dyDescent="0.25">
      <c r="A36">
        <v>-1.5</v>
      </c>
      <c r="B36">
        <v>1.482E-2</v>
      </c>
      <c r="C36">
        <v>0.27160000000000001</v>
      </c>
      <c r="D36">
        <v>8.3400000000000002E-3</v>
      </c>
      <c r="E36">
        <v>-9.8599999999999993E-2</v>
      </c>
      <c r="F36">
        <v>0.8569</v>
      </c>
      <c r="G36">
        <v>1</v>
      </c>
      <c r="I36">
        <f t="shared" si="0"/>
        <v>-2.6179938779914941E-2</v>
      </c>
      <c r="J36">
        <f t="shared" si="1"/>
        <v>18.326585695006749</v>
      </c>
    </row>
    <row r="37" spans="1:10" x14ac:dyDescent="0.25">
      <c r="A37">
        <v>-1.25</v>
      </c>
      <c r="B37">
        <v>1.506E-2</v>
      </c>
      <c r="C37">
        <v>0.29189999999999999</v>
      </c>
      <c r="D37">
        <v>8.3599999999999994E-3</v>
      </c>
      <c r="E37">
        <v>-9.7500000000000003E-2</v>
      </c>
      <c r="F37">
        <v>0.84609999999999996</v>
      </c>
      <c r="G37">
        <v>1</v>
      </c>
      <c r="I37">
        <f t="shared" si="0"/>
        <v>-2.1816615649929118E-2</v>
      </c>
      <c r="J37">
        <f t="shared" si="1"/>
        <v>19.382470119521912</v>
      </c>
    </row>
    <row r="38" spans="1:10" x14ac:dyDescent="0.25">
      <c r="A38">
        <v>-1</v>
      </c>
      <c r="B38">
        <v>1.521E-2</v>
      </c>
      <c r="C38">
        <v>0.31709999999999999</v>
      </c>
      <c r="D38">
        <v>8.3000000000000001E-3</v>
      </c>
      <c r="E38">
        <v>-9.7000000000000003E-2</v>
      </c>
      <c r="F38">
        <v>0.8377</v>
      </c>
      <c r="G38">
        <v>1</v>
      </c>
      <c r="I38">
        <f t="shared" si="0"/>
        <v>-1.7453292519943295E-2</v>
      </c>
      <c r="J38">
        <f t="shared" si="1"/>
        <v>20.848126232741617</v>
      </c>
    </row>
    <row r="39" spans="1:10" x14ac:dyDescent="0.25">
      <c r="A39">
        <v>-0.75</v>
      </c>
      <c r="B39">
        <v>1.537E-2</v>
      </c>
      <c r="C39">
        <v>0.34160000000000001</v>
      </c>
      <c r="D39">
        <v>8.2900000000000005E-3</v>
      </c>
      <c r="E39">
        <v>-9.6299999999999997E-2</v>
      </c>
      <c r="F39">
        <v>0.82909999999999995</v>
      </c>
      <c r="G39">
        <v>1</v>
      </c>
      <c r="I39">
        <f t="shared" si="0"/>
        <v>-1.3089969389957471E-2</v>
      </c>
      <c r="J39">
        <f t="shared" si="1"/>
        <v>22.225113858165258</v>
      </c>
    </row>
    <row r="40" spans="1:10" x14ac:dyDescent="0.25">
      <c r="A40">
        <v>-0.5</v>
      </c>
      <c r="B40">
        <v>1.5650000000000001E-2</v>
      </c>
      <c r="C40">
        <v>0.36359999999999998</v>
      </c>
      <c r="D40">
        <v>8.4200000000000004E-3</v>
      </c>
      <c r="E40">
        <v>-9.5399999999999999E-2</v>
      </c>
      <c r="F40">
        <v>0.82010000000000005</v>
      </c>
      <c r="G40">
        <v>1</v>
      </c>
      <c r="I40">
        <f t="shared" si="0"/>
        <v>-8.7266462599716477E-3</v>
      </c>
      <c r="J40">
        <f t="shared" si="1"/>
        <v>23.233226837060702</v>
      </c>
    </row>
    <row r="41" spans="1:10" x14ac:dyDescent="0.25">
      <c r="A41">
        <v>-0.25</v>
      </c>
      <c r="B41">
        <v>1.5779999999999999E-2</v>
      </c>
      <c r="C41">
        <v>0.39050000000000001</v>
      </c>
      <c r="D41">
        <v>8.3800000000000003E-3</v>
      </c>
      <c r="E41">
        <v>-9.5000000000000001E-2</v>
      </c>
      <c r="F41">
        <v>0.81299999999999994</v>
      </c>
      <c r="G41">
        <v>1</v>
      </c>
      <c r="I41">
        <f t="shared" si="0"/>
        <v>-4.3633231299858239E-3</v>
      </c>
      <c r="J41">
        <f t="shared" si="1"/>
        <v>24.746514575411915</v>
      </c>
    </row>
    <row r="42" spans="1:10" x14ac:dyDescent="0.25">
      <c r="A42">
        <v>0</v>
      </c>
      <c r="B42">
        <v>1.6140000000000002E-2</v>
      </c>
      <c r="C42">
        <v>0.41139999999999999</v>
      </c>
      <c r="D42">
        <v>8.6400000000000001E-3</v>
      </c>
      <c r="E42">
        <v>-9.3899999999999997E-2</v>
      </c>
      <c r="F42">
        <v>0.80369999999999997</v>
      </c>
      <c r="G42">
        <v>1</v>
      </c>
      <c r="I42">
        <f t="shared" si="0"/>
        <v>0</v>
      </c>
      <c r="J42">
        <f t="shared" si="1"/>
        <v>25.489467162329614</v>
      </c>
    </row>
    <row r="43" spans="1:10" x14ac:dyDescent="0.25">
      <c r="A43">
        <v>0.25</v>
      </c>
      <c r="B43">
        <v>1.626E-2</v>
      </c>
      <c r="C43">
        <v>0.43919999999999998</v>
      </c>
      <c r="D43">
        <v>8.6099999999999996E-3</v>
      </c>
      <c r="E43">
        <v>-9.3600000000000003E-2</v>
      </c>
      <c r="F43">
        <v>0.79749999999999999</v>
      </c>
      <c r="G43">
        <v>1</v>
      </c>
      <c r="I43">
        <f t="shared" si="0"/>
        <v>4.3633231299858239E-3</v>
      </c>
      <c r="J43">
        <f t="shared" si="1"/>
        <v>27.011070110701105</v>
      </c>
    </row>
    <row r="44" spans="1:10" x14ac:dyDescent="0.25">
      <c r="A44">
        <v>0.5</v>
      </c>
      <c r="B44">
        <v>1.67E-2</v>
      </c>
      <c r="C44">
        <v>0.45939999999999998</v>
      </c>
      <c r="D44">
        <v>8.9800000000000001E-3</v>
      </c>
      <c r="E44">
        <v>-9.2499999999999999E-2</v>
      </c>
      <c r="F44">
        <v>0.78820000000000001</v>
      </c>
      <c r="G44">
        <v>1</v>
      </c>
      <c r="I44">
        <f t="shared" si="0"/>
        <v>8.7266462599716477E-3</v>
      </c>
      <c r="J44">
        <f t="shared" si="1"/>
        <v>27.508982035928142</v>
      </c>
    </row>
    <row r="45" spans="1:10" x14ac:dyDescent="0.25">
      <c r="A45">
        <v>0.75</v>
      </c>
      <c r="B45">
        <v>1.6820000000000002E-2</v>
      </c>
      <c r="C45">
        <v>0.48759999999999998</v>
      </c>
      <c r="D45">
        <v>8.9800000000000001E-3</v>
      </c>
      <c r="E45">
        <v>-9.2299999999999993E-2</v>
      </c>
      <c r="F45">
        <v>0.7823</v>
      </c>
      <c r="G45">
        <v>1</v>
      </c>
      <c r="I45">
        <f t="shared" si="0"/>
        <v>1.3089969389957471E-2</v>
      </c>
      <c r="J45">
        <f t="shared" si="1"/>
        <v>28.98929845422116</v>
      </c>
    </row>
    <row r="46" spans="1:10" x14ac:dyDescent="0.25">
      <c r="A46">
        <v>1</v>
      </c>
      <c r="B46">
        <v>1.7299999999999999E-2</v>
      </c>
      <c r="C46">
        <v>0.50760000000000005</v>
      </c>
      <c r="D46">
        <v>9.4299999999999991E-3</v>
      </c>
      <c r="E46">
        <v>-9.1200000000000003E-2</v>
      </c>
      <c r="F46">
        <v>0.77300000000000002</v>
      </c>
      <c r="G46">
        <v>1</v>
      </c>
      <c r="I46">
        <f t="shared" si="0"/>
        <v>1.7453292519943295E-2</v>
      </c>
      <c r="J46">
        <f t="shared" si="1"/>
        <v>29.341040462427749</v>
      </c>
    </row>
    <row r="47" spans="1:10" x14ac:dyDescent="0.25">
      <c r="A47">
        <v>1.25</v>
      </c>
      <c r="B47">
        <v>1.7440000000000001E-2</v>
      </c>
      <c r="C47">
        <v>0.53600000000000003</v>
      </c>
      <c r="D47">
        <v>9.4699999999999993E-3</v>
      </c>
      <c r="E47">
        <v>-9.0999999999999998E-2</v>
      </c>
      <c r="F47">
        <v>0.76749999999999996</v>
      </c>
      <c r="G47">
        <v>1</v>
      </c>
      <c r="I47">
        <f t="shared" si="0"/>
        <v>2.1816615649929118E-2</v>
      </c>
      <c r="J47">
        <f t="shared" si="1"/>
        <v>30.73394495412844</v>
      </c>
    </row>
    <row r="48" spans="1:10" x14ac:dyDescent="0.25">
      <c r="A48">
        <v>1.5</v>
      </c>
      <c r="B48">
        <v>1.7979999999999999E-2</v>
      </c>
      <c r="C48">
        <v>0.55589999999999995</v>
      </c>
      <c r="D48">
        <v>0.01</v>
      </c>
      <c r="E48">
        <v>-8.9899999999999994E-2</v>
      </c>
      <c r="F48">
        <v>0.75819999999999999</v>
      </c>
      <c r="G48">
        <v>1</v>
      </c>
      <c r="I48">
        <f t="shared" si="0"/>
        <v>2.6179938779914941E-2</v>
      </c>
      <c r="J48">
        <f t="shared" si="1"/>
        <v>30.917686318131256</v>
      </c>
    </row>
    <row r="49" spans="1:10" x14ac:dyDescent="0.25">
      <c r="A49">
        <v>1.75</v>
      </c>
      <c r="B49">
        <v>1.8120000000000001E-2</v>
      </c>
      <c r="C49">
        <v>0.58430000000000004</v>
      </c>
      <c r="D49">
        <v>1.0070000000000001E-2</v>
      </c>
      <c r="E49">
        <v>-8.9700000000000002E-2</v>
      </c>
      <c r="F49">
        <v>0.75280000000000002</v>
      </c>
      <c r="G49">
        <v>1</v>
      </c>
      <c r="I49">
        <f t="shared" si="0"/>
        <v>3.0543261909900768E-2</v>
      </c>
      <c r="J49">
        <f t="shared" si="1"/>
        <v>32.246136865342166</v>
      </c>
    </row>
    <row r="50" spans="1:10" x14ac:dyDescent="0.25">
      <c r="A50">
        <v>2</v>
      </c>
      <c r="B50">
        <v>1.8710000000000001E-2</v>
      </c>
      <c r="C50">
        <v>0.60409999999999997</v>
      </c>
      <c r="D50">
        <v>1.0670000000000001E-2</v>
      </c>
      <c r="E50">
        <v>-8.8700000000000001E-2</v>
      </c>
      <c r="F50">
        <v>0.74370000000000003</v>
      </c>
      <c r="G50">
        <v>1</v>
      </c>
      <c r="I50">
        <f t="shared" si="0"/>
        <v>3.4906585039886591E-2</v>
      </c>
      <c r="J50">
        <f t="shared" si="1"/>
        <v>32.287546766435057</v>
      </c>
    </row>
    <row r="51" spans="1:10" x14ac:dyDescent="0.25">
      <c r="A51">
        <v>2.25</v>
      </c>
      <c r="B51">
        <v>1.8849999999999999E-2</v>
      </c>
      <c r="C51">
        <v>0.63260000000000005</v>
      </c>
      <c r="D51">
        <v>1.076E-2</v>
      </c>
      <c r="E51">
        <v>-8.8400000000000006E-2</v>
      </c>
      <c r="F51">
        <v>0.73819999999999997</v>
      </c>
      <c r="G51">
        <v>1</v>
      </c>
      <c r="I51">
        <f t="shared" si="0"/>
        <v>3.9269908169872414E-2</v>
      </c>
      <c r="J51">
        <f t="shared" si="1"/>
        <v>33.559681697612739</v>
      </c>
    </row>
    <row r="52" spans="1:10" x14ac:dyDescent="0.25">
      <c r="A52">
        <v>2.5</v>
      </c>
      <c r="B52">
        <v>1.9480000000000001E-2</v>
      </c>
      <c r="C52">
        <v>0.6522</v>
      </c>
      <c r="D52">
        <v>1.1440000000000001E-2</v>
      </c>
      <c r="E52">
        <v>-8.7499999999999994E-2</v>
      </c>
      <c r="F52">
        <v>0.72909999999999997</v>
      </c>
      <c r="G52">
        <v>1</v>
      </c>
      <c r="I52">
        <f t="shared" si="0"/>
        <v>4.3633231299858237E-2</v>
      </c>
      <c r="J52">
        <f t="shared" si="1"/>
        <v>33.48049281314168</v>
      </c>
    </row>
    <row r="53" spans="1:10" x14ac:dyDescent="0.25">
      <c r="A53">
        <v>2.75</v>
      </c>
      <c r="B53">
        <v>1.9609999999999999E-2</v>
      </c>
      <c r="C53">
        <v>0.68100000000000005</v>
      </c>
      <c r="D53">
        <v>1.153E-2</v>
      </c>
      <c r="E53">
        <v>-8.72E-2</v>
      </c>
      <c r="F53">
        <v>0.72350000000000003</v>
      </c>
      <c r="G53">
        <v>1</v>
      </c>
      <c r="I53">
        <f t="shared" si="0"/>
        <v>4.799655442984406E-2</v>
      </c>
      <c r="J53">
        <f t="shared" si="1"/>
        <v>34.727180010198886</v>
      </c>
    </row>
    <row r="54" spans="1:10" x14ac:dyDescent="0.25">
      <c r="A54">
        <v>3</v>
      </c>
      <c r="B54">
        <v>2.027E-2</v>
      </c>
      <c r="C54">
        <v>0.70040000000000002</v>
      </c>
      <c r="D54">
        <v>1.2239999999999999E-2</v>
      </c>
      <c r="E54">
        <v>-8.6199999999999999E-2</v>
      </c>
      <c r="F54">
        <v>0.71419999999999995</v>
      </c>
      <c r="G54">
        <v>1</v>
      </c>
      <c r="I54">
        <f t="shared" si="0"/>
        <v>5.2359877559829883E-2</v>
      </c>
      <c r="J54">
        <f t="shared" si="1"/>
        <v>34.553527380365075</v>
      </c>
    </row>
    <row r="55" spans="1:10" x14ac:dyDescent="0.25">
      <c r="A55">
        <v>3.25</v>
      </c>
      <c r="B55">
        <v>2.036E-2</v>
      </c>
      <c r="C55">
        <v>0.72970000000000002</v>
      </c>
      <c r="D55">
        <v>1.231E-2</v>
      </c>
      <c r="E55">
        <v>-8.5999999999999993E-2</v>
      </c>
      <c r="F55">
        <v>0.70860000000000001</v>
      </c>
      <c r="G55">
        <v>1</v>
      </c>
      <c r="I55">
        <f t="shared" si="0"/>
        <v>5.6723200689815713E-2</v>
      </c>
      <c r="J55">
        <f t="shared" si="1"/>
        <v>35.83988212180747</v>
      </c>
    </row>
    <row r="56" spans="1:10" x14ac:dyDescent="0.25">
      <c r="A56">
        <v>3.5</v>
      </c>
      <c r="B56">
        <v>2.1010000000000001E-2</v>
      </c>
      <c r="C56">
        <v>0.74890000000000001</v>
      </c>
      <c r="D56">
        <v>1.306E-2</v>
      </c>
      <c r="E56">
        <v>-8.4900000000000003E-2</v>
      </c>
      <c r="F56">
        <v>0.69889999999999997</v>
      </c>
      <c r="G56">
        <v>1</v>
      </c>
      <c r="I56">
        <f t="shared" si="0"/>
        <v>6.1086523819801536E-2</v>
      </c>
      <c r="J56">
        <f t="shared" si="1"/>
        <v>35.644930985245118</v>
      </c>
    </row>
    <row r="57" spans="1:10" x14ac:dyDescent="0.25">
      <c r="A57">
        <v>3.75</v>
      </c>
      <c r="B57">
        <v>2.1010000000000001E-2</v>
      </c>
      <c r="C57">
        <v>0.77939999999999998</v>
      </c>
      <c r="D57">
        <v>1.3050000000000001E-2</v>
      </c>
      <c r="E57">
        <v>-8.4699999999999998E-2</v>
      </c>
      <c r="F57">
        <v>0.69330000000000003</v>
      </c>
      <c r="G57">
        <v>1</v>
      </c>
      <c r="I57">
        <f t="shared" si="0"/>
        <v>6.5449846949787352E-2</v>
      </c>
      <c r="J57">
        <f t="shared" si="1"/>
        <v>37.096620656830076</v>
      </c>
    </row>
    <row r="58" spans="1:10" x14ac:dyDescent="0.25">
      <c r="A58">
        <v>4</v>
      </c>
      <c r="B58">
        <v>2.1649999999999999E-2</v>
      </c>
      <c r="C58">
        <v>0.7984</v>
      </c>
      <c r="D58">
        <v>1.3780000000000001E-2</v>
      </c>
      <c r="E58">
        <v>-8.3500000000000005E-2</v>
      </c>
      <c r="F58">
        <v>0.68279999999999996</v>
      </c>
      <c r="G58">
        <v>1</v>
      </c>
      <c r="I58">
        <f t="shared" si="0"/>
        <v>6.9813170079773182E-2</v>
      </c>
      <c r="J58">
        <f t="shared" si="1"/>
        <v>36.877598152424945</v>
      </c>
    </row>
    <row r="59" spans="1:10" x14ac:dyDescent="0.25">
      <c r="A59">
        <v>4.25</v>
      </c>
      <c r="B59">
        <v>2.1940000000000001E-2</v>
      </c>
      <c r="C59">
        <v>0.82330000000000003</v>
      </c>
      <c r="D59">
        <v>1.413E-2</v>
      </c>
      <c r="E59">
        <v>-8.2799999999999999E-2</v>
      </c>
      <c r="F59">
        <v>0.67469999999999997</v>
      </c>
      <c r="G59">
        <v>1</v>
      </c>
      <c r="I59">
        <f t="shared" si="0"/>
        <v>7.4176493209759012E-2</v>
      </c>
      <c r="J59">
        <f t="shared" si="1"/>
        <v>37.525068368277118</v>
      </c>
    </row>
    <row r="60" spans="1:10" x14ac:dyDescent="0.25">
      <c r="A60">
        <v>4.5</v>
      </c>
      <c r="B60">
        <v>2.2079999999999999E-2</v>
      </c>
      <c r="C60">
        <v>0.84970000000000001</v>
      </c>
      <c r="D60">
        <v>1.4330000000000001E-2</v>
      </c>
      <c r="E60">
        <v>-8.2100000000000006E-2</v>
      </c>
      <c r="F60">
        <v>0.66610000000000003</v>
      </c>
      <c r="G60">
        <v>1</v>
      </c>
      <c r="I60">
        <f t="shared" si="0"/>
        <v>7.8539816339744828E-2</v>
      </c>
      <c r="J60">
        <f t="shared" si="1"/>
        <v>38.482789855072468</v>
      </c>
    </row>
    <row r="61" spans="1:10" x14ac:dyDescent="0.25">
      <c r="A61">
        <v>4.75</v>
      </c>
      <c r="B61">
        <v>2.248E-2</v>
      </c>
      <c r="C61">
        <v>0.87150000000000005</v>
      </c>
      <c r="D61">
        <v>1.4840000000000001E-2</v>
      </c>
      <c r="E61">
        <v>-8.1100000000000005E-2</v>
      </c>
      <c r="F61">
        <v>0.65580000000000005</v>
      </c>
      <c r="G61">
        <v>1</v>
      </c>
      <c r="I61">
        <f t="shared" si="0"/>
        <v>8.2903139469730644E-2</v>
      </c>
      <c r="J61">
        <f t="shared" si="1"/>
        <v>38.767793594306049</v>
      </c>
    </row>
    <row r="62" spans="1:10" x14ac:dyDescent="0.25">
      <c r="A62">
        <v>5</v>
      </c>
      <c r="B62">
        <v>2.23E-2</v>
      </c>
      <c r="C62">
        <v>0.9022</v>
      </c>
      <c r="D62">
        <v>1.4670000000000001E-2</v>
      </c>
      <c r="E62">
        <v>-8.0600000000000005E-2</v>
      </c>
      <c r="F62">
        <v>0.64810000000000001</v>
      </c>
      <c r="G62">
        <v>1</v>
      </c>
      <c r="I62">
        <f t="shared" si="0"/>
        <v>8.7266462599716474E-2</v>
      </c>
      <c r="J62">
        <f t="shared" si="1"/>
        <v>40.457399103139011</v>
      </c>
    </row>
    <row r="63" spans="1:10" x14ac:dyDescent="0.25">
      <c r="A63">
        <v>5.25</v>
      </c>
      <c r="B63">
        <v>2.2509999999999999E-2</v>
      </c>
      <c r="C63">
        <v>0.92510000000000003</v>
      </c>
      <c r="D63">
        <v>1.502E-2</v>
      </c>
      <c r="E63">
        <v>-7.9500000000000001E-2</v>
      </c>
      <c r="F63">
        <v>0.63680000000000003</v>
      </c>
      <c r="G63">
        <v>1</v>
      </c>
      <c r="I63">
        <f t="shared" si="0"/>
        <v>9.1629785729702304E-2</v>
      </c>
      <c r="J63">
        <f t="shared" si="1"/>
        <v>41.097290093291875</v>
      </c>
    </row>
    <row r="64" spans="1:10" x14ac:dyDescent="0.25">
      <c r="A64">
        <v>5.5</v>
      </c>
      <c r="B64">
        <v>2.2669999999999999E-2</v>
      </c>
      <c r="C64">
        <v>0.94850000000000001</v>
      </c>
      <c r="D64">
        <v>1.528E-2</v>
      </c>
      <c r="E64">
        <v>-7.8399999999999997E-2</v>
      </c>
      <c r="F64">
        <v>0.62509999999999999</v>
      </c>
      <c r="G64">
        <v>1</v>
      </c>
      <c r="I64">
        <f t="shared" si="0"/>
        <v>9.599310885968812E-2</v>
      </c>
      <c r="J64">
        <f t="shared" si="1"/>
        <v>41.839435377150423</v>
      </c>
    </row>
    <row r="65" spans="1:10" x14ac:dyDescent="0.25">
      <c r="A65">
        <v>5.75</v>
      </c>
      <c r="B65">
        <v>2.2599999999999999E-2</v>
      </c>
      <c r="C65">
        <v>0.97440000000000004</v>
      </c>
      <c r="D65">
        <v>1.5299999999999999E-2</v>
      </c>
      <c r="E65">
        <v>-7.7399999999999997E-2</v>
      </c>
      <c r="F65">
        <v>0.61360000000000003</v>
      </c>
      <c r="G65">
        <v>1</v>
      </c>
      <c r="I65">
        <f t="shared" si="0"/>
        <v>0.10035643198967394</v>
      </c>
      <c r="J65">
        <f t="shared" si="1"/>
        <v>43.115044247787615</v>
      </c>
    </row>
    <row r="66" spans="1:10" x14ac:dyDescent="0.25">
      <c r="A66">
        <v>6</v>
      </c>
      <c r="B66">
        <v>2.2339999999999999E-2</v>
      </c>
      <c r="C66">
        <v>1.0025999999999999</v>
      </c>
      <c r="D66">
        <v>1.5100000000000001E-2</v>
      </c>
      <c r="E66">
        <v>-7.6499999999999999E-2</v>
      </c>
      <c r="F66">
        <v>0.60209999999999997</v>
      </c>
      <c r="G66">
        <v>1</v>
      </c>
      <c r="I66">
        <f t="shared" si="0"/>
        <v>0.10471975511965977</v>
      </c>
      <c r="J66">
        <f t="shared" si="1"/>
        <v>44.879140555058193</v>
      </c>
    </row>
    <row r="67" spans="1:10" x14ac:dyDescent="0.25">
      <c r="A67">
        <v>6.25</v>
      </c>
      <c r="B67">
        <v>2.197E-2</v>
      </c>
      <c r="C67">
        <v>1.0313000000000001</v>
      </c>
      <c r="D67">
        <v>1.481E-2</v>
      </c>
      <c r="E67">
        <v>-7.5700000000000003E-2</v>
      </c>
      <c r="F67">
        <v>0.5897</v>
      </c>
      <c r="G67">
        <v>1</v>
      </c>
      <c r="I67">
        <f t="shared" si="0"/>
        <v>0.1090830782496456</v>
      </c>
      <c r="J67">
        <f t="shared" si="1"/>
        <v>46.941283568502506</v>
      </c>
    </row>
    <row r="68" spans="1:10" x14ac:dyDescent="0.25">
      <c r="A68">
        <v>6.5</v>
      </c>
      <c r="B68">
        <v>2.171E-2</v>
      </c>
      <c r="C68">
        <v>1.0570999999999999</v>
      </c>
      <c r="D68">
        <v>1.4659999999999999E-2</v>
      </c>
      <c r="E68">
        <v>-7.4499999999999997E-2</v>
      </c>
      <c r="F68">
        <v>0.57530000000000003</v>
      </c>
      <c r="G68">
        <v>1</v>
      </c>
      <c r="I68">
        <f t="shared" si="0"/>
        <v>0.11344640137963143</v>
      </c>
      <c r="J68">
        <f t="shared" si="1"/>
        <v>48.691847075080602</v>
      </c>
    </row>
    <row r="69" spans="1:10" x14ac:dyDescent="0.25">
      <c r="A69">
        <v>6.75</v>
      </c>
      <c r="B69">
        <v>2.155E-2</v>
      </c>
      <c r="C69">
        <v>1.0798000000000001</v>
      </c>
      <c r="D69">
        <v>1.464E-2</v>
      </c>
      <c r="E69">
        <v>-7.2999999999999995E-2</v>
      </c>
      <c r="F69">
        <v>0.55879999999999996</v>
      </c>
      <c r="G69">
        <v>1</v>
      </c>
      <c r="I69">
        <f t="shared" si="0"/>
        <v>0.11780972450961724</v>
      </c>
      <c r="J69">
        <f t="shared" si="1"/>
        <v>50.106728538283065</v>
      </c>
    </row>
    <row r="70" spans="1:10" x14ac:dyDescent="0.25">
      <c r="A70">
        <v>7</v>
      </c>
      <c r="B70">
        <v>2.1299999999999999E-2</v>
      </c>
      <c r="C70">
        <v>1.1024</v>
      </c>
      <c r="D70">
        <v>1.455E-2</v>
      </c>
      <c r="E70">
        <v>-7.1300000000000002E-2</v>
      </c>
      <c r="F70">
        <v>0.5403</v>
      </c>
      <c r="G70">
        <v>1</v>
      </c>
      <c r="I70">
        <f t="shared" si="0"/>
        <v>0.12217304763960307</v>
      </c>
      <c r="J70">
        <f t="shared" si="1"/>
        <v>51.755868544600943</v>
      </c>
    </row>
    <row r="71" spans="1:10" x14ac:dyDescent="0.25">
      <c r="A71">
        <v>7.25</v>
      </c>
      <c r="B71">
        <v>2.0840000000000001E-2</v>
      </c>
      <c r="C71">
        <v>1.1267</v>
      </c>
      <c r="D71">
        <v>1.4189999999999999E-2</v>
      </c>
      <c r="E71">
        <v>-6.9699999999999998E-2</v>
      </c>
      <c r="F71">
        <v>0.52010000000000001</v>
      </c>
      <c r="G71">
        <v>1</v>
      </c>
      <c r="I71">
        <f t="shared" si="0"/>
        <v>0.1265363707695889</v>
      </c>
      <c r="J71">
        <f t="shared" si="1"/>
        <v>54.064299424184263</v>
      </c>
    </row>
    <row r="72" spans="1:10" x14ac:dyDescent="0.25">
      <c r="A72">
        <v>7.5</v>
      </c>
      <c r="B72">
        <v>2.0539999999999999E-2</v>
      </c>
      <c r="C72">
        <v>1.1473</v>
      </c>
      <c r="D72">
        <v>1.4019999999999999E-2</v>
      </c>
      <c r="E72">
        <v>-6.7699999999999996E-2</v>
      </c>
      <c r="F72">
        <v>0.49590000000000001</v>
      </c>
      <c r="G72">
        <v>1</v>
      </c>
      <c r="I72">
        <f t="shared" si="0"/>
        <v>0.1308996938995747</v>
      </c>
      <c r="J72">
        <f t="shared" si="1"/>
        <v>55.856864654333009</v>
      </c>
    </row>
    <row r="73" spans="1:10" x14ac:dyDescent="0.25">
      <c r="A73">
        <v>7.75</v>
      </c>
      <c r="B73">
        <v>2.0219999999999998E-2</v>
      </c>
      <c r="C73">
        <v>1.1657</v>
      </c>
      <c r="D73">
        <v>1.3780000000000001E-2</v>
      </c>
      <c r="E73">
        <v>-6.5299999999999997E-2</v>
      </c>
      <c r="F73">
        <v>0.4642</v>
      </c>
      <c r="G73">
        <v>1</v>
      </c>
      <c r="I73">
        <f t="shared" si="0"/>
        <v>0.13526301702956053</v>
      </c>
      <c r="J73">
        <f t="shared" si="1"/>
        <v>57.650840751730961</v>
      </c>
    </row>
    <row r="74" spans="1:10" x14ac:dyDescent="0.25">
      <c r="A74">
        <v>8</v>
      </c>
      <c r="B74">
        <v>2.01E-2</v>
      </c>
      <c r="C74">
        <v>1.179</v>
      </c>
      <c r="D74">
        <v>1.3610000000000001E-2</v>
      </c>
      <c r="E74">
        <v>-6.2199999999999998E-2</v>
      </c>
      <c r="F74">
        <v>0.4173</v>
      </c>
      <c r="G74">
        <v>1</v>
      </c>
      <c r="I74">
        <f t="shared" ref="I74:I96" si="2">A74*PI()/180</f>
        <v>0.13962634015954636</v>
      </c>
      <c r="J74">
        <f t="shared" ref="J74:J96" si="3">C74/B74</f>
        <v>58.656716417910452</v>
      </c>
    </row>
    <row r="75" spans="1:10" x14ac:dyDescent="0.25">
      <c r="A75">
        <v>8.25</v>
      </c>
      <c r="B75">
        <v>2.0639999999999999E-2</v>
      </c>
      <c r="C75">
        <v>1.1845000000000001</v>
      </c>
      <c r="D75">
        <v>1.387E-2</v>
      </c>
      <c r="E75">
        <v>-5.8299999999999998E-2</v>
      </c>
      <c r="F75">
        <v>0.34689999999999999</v>
      </c>
      <c r="G75">
        <v>1</v>
      </c>
      <c r="I75">
        <f t="shared" si="2"/>
        <v>0.14398966328953219</v>
      </c>
      <c r="J75">
        <f t="shared" si="3"/>
        <v>57.388565891472879</v>
      </c>
    </row>
    <row r="76" spans="1:10" x14ac:dyDescent="0.25">
      <c r="A76">
        <v>8.5</v>
      </c>
      <c r="B76">
        <v>2.2009999999999998E-2</v>
      </c>
      <c r="C76">
        <v>1.1833</v>
      </c>
      <c r="D76">
        <v>1.472E-2</v>
      </c>
      <c r="E76">
        <v>-5.3999999999999999E-2</v>
      </c>
      <c r="F76">
        <v>0.27010000000000001</v>
      </c>
      <c r="G76">
        <v>1</v>
      </c>
      <c r="I76">
        <f t="shared" si="2"/>
        <v>0.14835298641951802</v>
      </c>
      <c r="J76">
        <f t="shared" si="3"/>
        <v>53.761926397092239</v>
      </c>
    </row>
    <row r="77" spans="1:10" x14ac:dyDescent="0.25">
      <c r="A77">
        <v>8.75</v>
      </c>
      <c r="B77">
        <v>2.3810000000000001E-2</v>
      </c>
      <c r="C77">
        <v>1.1793</v>
      </c>
      <c r="D77">
        <v>1.6070000000000001E-2</v>
      </c>
      <c r="E77">
        <v>-4.9799999999999997E-2</v>
      </c>
      <c r="F77">
        <v>0.20899999999999999</v>
      </c>
      <c r="G77">
        <v>1</v>
      </c>
      <c r="I77">
        <f t="shared" si="2"/>
        <v>0.15271630954950383</v>
      </c>
      <c r="J77">
        <f t="shared" si="3"/>
        <v>49.52960940781184</v>
      </c>
    </row>
    <row r="78" spans="1:10" x14ac:dyDescent="0.25">
      <c r="A78">
        <v>9</v>
      </c>
      <c r="B78">
        <v>2.58E-2</v>
      </c>
      <c r="C78">
        <v>1.1711</v>
      </c>
      <c r="D78">
        <v>1.7670000000000002E-2</v>
      </c>
      <c r="E78">
        <v>-4.53E-2</v>
      </c>
      <c r="F78">
        <v>0.1588</v>
      </c>
      <c r="G78">
        <v>1</v>
      </c>
      <c r="I78">
        <f t="shared" si="2"/>
        <v>0.15707963267948966</v>
      </c>
      <c r="J78">
        <f t="shared" si="3"/>
        <v>45.391472868217058</v>
      </c>
    </row>
    <row r="79" spans="1:10" x14ac:dyDescent="0.25">
      <c r="A79">
        <v>9.25</v>
      </c>
      <c r="B79">
        <v>2.8129999999999999E-2</v>
      </c>
      <c r="C79">
        <v>1.1589</v>
      </c>
      <c r="D79">
        <v>1.9630000000000002E-2</v>
      </c>
      <c r="E79">
        <v>-4.0500000000000001E-2</v>
      </c>
      <c r="F79">
        <v>0.1178</v>
      </c>
      <c r="G79">
        <v>1</v>
      </c>
      <c r="I79">
        <f t="shared" si="2"/>
        <v>0.16144295580947549</v>
      </c>
      <c r="J79">
        <f t="shared" si="3"/>
        <v>41.198009242801284</v>
      </c>
    </row>
    <row r="80" spans="1:10" x14ac:dyDescent="0.25">
      <c r="A80">
        <v>9.5</v>
      </c>
      <c r="B80">
        <v>3.0859999999999999E-2</v>
      </c>
      <c r="C80">
        <v>1.1460999999999999</v>
      </c>
      <c r="D80">
        <v>2.206E-2</v>
      </c>
      <c r="E80">
        <v>-3.6299999999999999E-2</v>
      </c>
      <c r="F80">
        <v>8.7499999999999994E-2</v>
      </c>
      <c r="G80">
        <v>1</v>
      </c>
      <c r="I80">
        <f t="shared" si="2"/>
        <v>0.16580627893946129</v>
      </c>
      <c r="J80">
        <f t="shared" si="3"/>
        <v>37.138690861957222</v>
      </c>
    </row>
    <row r="81" spans="1:10" x14ac:dyDescent="0.25">
      <c r="A81">
        <v>9.75</v>
      </c>
      <c r="B81">
        <v>3.354E-2</v>
      </c>
      <c r="C81">
        <v>1.1379999999999999</v>
      </c>
      <c r="D81">
        <v>2.4549999999999999E-2</v>
      </c>
      <c r="E81">
        <v>-3.3000000000000002E-2</v>
      </c>
      <c r="F81">
        <v>7.17E-2</v>
      </c>
      <c r="G81">
        <v>1</v>
      </c>
      <c r="I81">
        <f t="shared" si="2"/>
        <v>0.17016960206944712</v>
      </c>
      <c r="J81">
        <f t="shared" si="3"/>
        <v>33.929636255217645</v>
      </c>
    </row>
    <row r="82" spans="1:10" x14ac:dyDescent="0.25">
      <c r="A82">
        <v>10</v>
      </c>
      <c r="B82">
        <v>3.576E-2</v>
      </c>
      <c r="C82">
        <v>1.1395999999999999</v>
      </c>
      <c r="D82">
        <v>2.6759999999999999E-2</v>
      </c>
      <c r="E82">
        <v>-3.0599999999999999E-2</v>
      </c>
      <c r="F82">
        <v>6.1899999999999997E-2</v>
      </c>
      <c r="G82">
        <v>1</v>
      </c>
      <c r="I82">
        <f t="shared" si="2"/>
        <v>0.17453292519943295</v>
      </c>
      <c r="J82">
        <f t="shared" si="3"/>
        <v>31.86800894854586</v>
      </c>
    </row>
    <row r="83" spans="1:10" x14ac:dyDescent="0.25">
      <c r="A83">
        <v>10.25</v>
      </c>
      <c r="B83">
        <v>3.789E-2</v>
      </c>
      <c r="C83">
        <v>1.1464000000000001</v>
      </c>
      <c r="D83">
        <v>2.886E-2</v>
      </c>
      <c r="E83">
        <v>-2.86E-2</v>
      </c>
      <c r="F83">
        <v>5.5800000000000002E-2</v>
      </c>
      <c r="G83">
        <v>1</v>
      </c>
      <c r="I83">
        <f t="shared" si="2"/>
        <v>0.17889624832941875</v>
      </c>
      <c r="J83">
        <f t="shared" si="3"/>
        <v>30.256004222750068</v>
      </c>
    </row>
    <row r="84" spans="1:10" x14ac:dyDescent="0.25">
      <c r="A84">
        <v>10.5</v>
      </c>
      <c r="B84">
        <v>3.977E-2</v>
      </c>
      <c r="C84">
        <v>1.1564000000000001</v>
      </c>
      <c r="D84">
        <v>3.073E-2</v>
      </c>
      <c r="E84">
        <v>-2.7099999999999999E-2</v>
      </c>
      <c r="F84">
        <v>5.0299999999999997E-2</v>
      </c>
      <c r="G84">
        <v>1</v>
      </c>
      <c r="I84">
        <f t="shared" si="2"/>
        <v>0.18325957145940461</v>
      </c>
      <c r="J84">
        <f t="shared" si="3"/>
        <v>29.077193864722155</v>
      </c>
    </row>
    <row r="85" spans="1:10" x14ac:dyDescent="0.25">
      <c r="A85">
        <v>10.75</v>
      </c>
      <c r="B85">
        <v>4.2000000000000003E-2</v>
      </c>
      <c r="C85">
        <v>1.1836</v>
      </c>
      <c r="D85">
        <v>3.2939999999999997E-2</v>
      </c>
      <c r="E85">
        <v>-2.5999999999999999E-2</v>
      </c>
      <c r="F85">
        <v>4.6800000000000001E-2</v>
      </c>
      <c r="G85">
        <v>1</v>
      </c>
      <c r="I85">
        <f t="shared" si="2"/>
        <v>0.18762289458939041</v>
      </c>
      <c r="J85">
        <f t="shared" si="3"/>
        <v>28.18095238095238</v>
      </c>
    </row>
    <row r="86" spans="1:10" x14ac:dyDescent="0.25">
      <c r="A86">
        <v>11</v>
      </c>
      <c r="B86">
        <v>4.4229999999999998E-2</v>
      </c>
      <c r="C86">
        <v>1.2126999999999999</v>
      </c>
      <c r="D86">
        <v>3.5389999999999998E-2</v>
      </c>
      <c r="E86">
        <v>-2.5399999999999999E-2</v>
      </c>
      <c r="F86">
        <v>4.4600000000000001E-2</v>
      </c>
      <c r="G86">
        <v>1</v>
      </c>
      <c r="I86">
        <f t="shared" si="2"/>
        <v>0.19198621771937624</v>
      </c>
      <c r="J86">
        <f t="shared" si="3"/>
        <v>27.418042052905268</v>
      </c>
    </row>
    <row r="87" spans="1:10" x14ac:dyDescent="0.25">
      <c r="A87">
        <v>11.25</v>
      </c>
      <c r="B87">
        <v>4.7050000000000002E-2</v>
      </c>
      <c r="C87">
        <v>1.2412000000000001</v>
      </c>
      <c r="D87">
        <v>3.8469999999999997E-2</v>
      </c>
      <c r="E87">
        <v>-2.5000000000000001E-2</v>
      </c>
      <c r="F87">
        <v>4.2900000000000001E-2</v>
      </c>
      <c r="G87">
        <v>1</v>
      </c>
      <c r="I87">
        <f t="shared" si="2"/>
        <v>0.19634954084936207</v>
      </c>
      <c r="J87">
        <f t="shared" si="3"/>
        <v>26.380446333687566</v>
      </c>
    </row>
    <row r="88" spans="1:10" x14ac:dyDescent="0.25">
      <c r="A88">
        <v>11.5</v>
      </c>
      <c r="B88">
        <v>5.0139999999999997E-2</v>
      </c>
      <c r="C88">
        <v>1.2613000000000001</v>
      </c>
      <c r="D88">
        <v>4.1849999999999998E-2</v>
      </c>
      <c r="E88">
        <v>-2.4299999999999999E-2</v>
      </c>
      <c r="F88">
        <v>4.2000000000000003E-2</v>
      </c>
      <c r="G88">
        <v>1</v>
      </c>
      <c r="I88">
        <f t="shared" si="2"/>
        <v>0.20071286397934787</v>
      </c>
      <c r="J88">
        <f t="shared" si="3"/>
        <v>25.155564419625055</v>
      </c>
    </row>
    <row r="89" spans="1:10" x14ac:dyDescent="0.25">
      <c r="A89">
        <v>11.75</v>
      </c>
      <c r="B89">
        <v>5.3260000000000002E-2</v>
      </c>
      <c r="C89">
        <v>1.2723</v>
      </c>
      <c r="D89">
        <v>4.5260000000000002E-2</v>
      </c>
      <c r="E89">
        <v>-2.3E-2</v>
      </c>
      <c r="F89">
        <v>4.1399999999999999E-2</v>
      </c>
      <c r="G89">
        <v>1</v>
      </c>
      <c r="I89">
        <f t="shared" si="2"/>
        <v>0.20507618710933373</v>
      </c>
      <c r="J89">
        <f t="shared" si="3"/>
        <v>23.88847164851671</v>
      </c>
    </row>
    <row r="90" spans="1:10" x14ac:dyDescent="0.25">
      <c r="A90">
        <v>12</v>
      </c>
      <c r="B90">
        <v>5.6059999999999999E-2</v>
      </c>
      <c r="C90">
        <v>1.2774000000000001</v>
      </c>
      <c r="D90">
        <v>4.8250000000000001E-2</v>
      </c>
      <c r="E90">
        <v>-2.1600000000000001E-2</v>
      </c>
      <c r="F90">
        <v>4.0099999999999997E-2</v>
      </c>
      <c r="G90">
        <v>1</v>
      </c>
      <c r="I90">
        <f t="shared" si="2"/>
        <v>0.20943951023931953</v>
      </c>
      <c r="J90">
        <f t="shared" si="3"/>
        <v>22.786300392436676</v>
      </c>
    </row>
    <row r="91" spans="1:10" x14ac:dyDescent="0.25">
      <c r="A91">
        <v>12.25</v>
      </c>
      <c r="B91">
        <v>5.9369999999999999E-2</v>
      </c>
      <c r="C91">
        <v>1.2804</v>
      </c>
      <c r="D91">
        <v>5.1790000000000003E-2</v>
      </c>
      <c r="E91">
        <v>-2.0299999999999999E-2</v>
      </c>
      <c r="F91">
        <v>3.9199999999999999E-2</v>
      </c>
      <c r="G91">
        <v>1</v>
      </c>
      <c r="I91">
        <f t="shared" si="2"/>
        <v>0.21380283336930536</v>
      </c>
      <c r="J91">
        <f t="shared" si="3"/>
        <v>21.566447700859019</v>
      </c>
    </row>
    <row r="92" spans="1:10" x14ac:dyDescent="0.25">
      <c r="A92">
        <v>12.5</v>
      </c>
      <c r="B92">
        <v>6.3270000000000007E-2</v>
      </c>
      <c r="C92">
        <v>1.2793000000000001</v>
      </c>
      <c r="D92">
        <v>5.5930000000000001E-2</v>
      </c>
      <c r="E92">
        <v>-1.9E-2</v>
      </c>
      <c r="F92">
        <v>3.8699999999999998E-2</v>
      </c>
      <c r="G92">
        <v>1</v>
      </c>
      <c r="I92">
        <f t="shared" si="2"/>
        <v>0.21816615649929119</v>
      </c>
      <c r="J92">
        <f t="shared" si="3"/>
        <v>20.219693377588115</v>
      </c>
    </row>
    <row r="93" spans="1:10" x14ac:dyDescent="0.25">
      <c r="A93">
        <v>12.75</v>
      </c>
      <c r="B93">
        <v>6.6909999999999997E-2</v>
      </c>
      <c r="C93">
        <v>1.2706</v>
      </c>
      <c r="D93">
        <v>5.9859999999999997E-2</v>
      </c>
      <c r="E93">
        <v>-1.7500000000000002E-2</v>
      </c>
      <c r="F93">
        <v>3.8699999999999998E-2</v>
      </c>
      <c r="G93">
        <v>1</v>
      </c>
      <c r="I93">
        <f t="shared" si="2"/>
        <v>0.22252947962927699</v>
      </c>
      <c r="J93">
        <f t="shared" si="3"/>
        <v>18.989687640113587</v>
      </c>
    </row>
    <row r="94" spans="1:10" x14ac:dyDescent="0.25">
      <c r="A94">
        <v>13</v>
      </c>
      <c r="B94">
        <v>7.0599999999999996E-2</v>
      </c>
      <c r="C94">
        <v>1.2574000000000001</v>
      </c>
      <c r="D94">
        <v>6.3869999999999996E-2</v>
      </c>
      <c r="E94">
        <v>-1.6199999999999999E-2</v>
      </c>
      <c r="F94">
        <v>3.8899999999999997E-2</v>
      </c>
      <c r="G94">
        <v>1</v>
      </c>
      <c r="I94">
        <f t="shared" si="2"/>
        <v>0.22689280275926285</v>
      </c>
      <c r="J94">
        <f t="shared" si="3"/>
        <v>17.81019830028329</v>
      </c>
    </row>
    <row r="95" spans="1:10" x14ac:dyDescent="0.25">
      <c r="A95">
        <v>13.25</v>
      </c>
      <c r="B95">
        <v>7.4679999999999996E-2</v>
      </c>
      <c r="C95">
        <v>1.2394000000000001</v>
      </c>
      <c r="D95">
        <v>6.8279999999999993E-2</v>
      </c>
      <c r="E95">
        <v>-1.55E-2</v>
      </c>
      <c r="F95">
        <v>3.9300000000000002E-2</v>
      </c>
      <c r="G95">
        <v>1</v>
      </c>
      <c r="I95">
        <f t="shared" si="2"/>
        <v>0.23125612588924865</v>
      </c>
      <c r="J95">
        <f t="shared" si="3"/>
        <v>16.596143545795396</v>
      </c>
    </row>
    <row r="96" spans="1:10" x14ac:dyDescent="0.25">
      <c r="A96">
        <v>13.5</v>
      </c>
      <c r="B96">
        <v>7.9640000000000002E-2</v>
      </c>
      <c r="C96">
        <v>1.2153</v>
      </c>
      <c r="D96">
        <v>7.3590000000000003E-2</v>
      </c>
      <c r="E96">
        <v>-1.5699999999999999E-2</v>
      </c>
      <c r="F96">
        <v>3.9899999999999998E-2</v>
      </c>
      <c r="G96">
        <v>1</v>
      </c>
      <c r="I96">
        <f t="shared" si="2"/>
        <v>0.23561944901923448</v>
      </c>
      <c r="J96">
        <f t="shared" si="3"/>
        <v>15.259919638372677</v>
      </c>
    </row>
    <row r="97" spans="1:10" x14ac:dyDescent="0.25">
      <c r="A97">
        <v>13.75</v>
      </c>
      <c r="B97">
        <v>8.5860000000000006E-2</v>
      </c>
      <c r="C97">
        <v>1.1823999999999999</v>
      </c>
      <c r="D97">
        <v>8.0170000000000005E-2</v>
      </c>
      <c r="E97">
        <v>-1.7299999999999999E-2</v>
      </c>
      <c r="F97">
        <v>4.0599999999999997E-2</v>
      </c>
      <c r="G97">
        <v>1</v>
      </c>
      <c r="I97">
        <f t="shared" ref="I97:I98" si="4">A97*PI()/180</f>
        <v>0.23998277214922031</v>
      </c>
      <c r="J97">
        <f t="shared" ref="J97:J98" si="5">C97/B97</f>
        <v>13.771255532261819</v>
      </c>
    </row>
    <row r="98" spans="1:10" x14ac:dyDescent="0.25">
      <c r="A98">
        <v>14</v>
      </c>
      <c r="B98">
        <v>9.2969999999999997E-2</v>
      </c>
      <c r="C98">
        <v>1.1505000000000001</v>
      </c>
      <c r="D98">
        <v>8.7559999999999999E-2</v>
      </c>
      <c r="E98">
        <v>-2.01E-2</v>
      </c>
      <c r="F98">
        <v>4.1300000000000003E-2</v>
      </c>
      <c r="G98">
        <v>1</v>
      </c>
      <c r="I98">
        <f t="shared" si="4"/>
        <v>0.24434609527920614</v>
      </c>
      <c r="J98">
        <f t="shared" si="5"/>
        <v>12.374959664407875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 Prop</vt:lpstr>
      <vt:lpstr>Larrabee</vt:lpstr>
      <vt:lpstr>E193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Montero</dc:creator>
  <cp:lastModifiedBy>Diego Montero</cp:lastModifiedBy>
  <dcterms:created xsi:type="dcterms:W3CDTF">2016-05-30T16:53:41Z</dcterms:created>
  <dcterms:modified xsi:type="dcterms:W3CDTF">2016-06-25T03:42:34Z</dcterms:modified>
</cp:coreProperties>
</file>