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mc:AlternateContent xmlns:mc="http://schemas.openxmlformats.org/markup-compatibility/2006">
    <mc:Choice Requires="x15">
      <x15ac:absPath xmlns:x15ac="http://schemas.microsoft.com/office/spreadsheetml/2010/11/ac" url="\\psf\Home\Desktop\"/>
    </mc:Choice>
  </mc:AlternateContent>
  <xr:revisionPtr revIDLastSave="0" documentId="13_ncr:1_{2156417A-9A80-4840-941E-FD9D9E959BF8}" xr6:coauthVersionLast="40" xr6:coauthVersionMax="40" xr10:uidLastSave="{00000000-0000-0000-0000-000000000000}"/>
  <bookViews>
    <workbookView xWindow="0" yWindow="458" windowWidth="33600" windowHeight="20543" tabRatio="745" xr2:uid="{00000000-000D-0000-FFFF-FFFF00000000}"/>
  </bookViews>
  <sheets>
    <sheet name="Income Statement" sheetId="41" r:id="rId1"/>
    <sheet name="Revenue" sheetId="62" r:id="rId2"/>
    <sheet name="Vs Consensus" sheetId="63" r:id="rId3"/>
    <sheet name="Balance Sheet" sheetId="44" r:id="rId4"/>
    <sheet name="Cash Flow" sheetId="43" r:id="rId5"/>
    <sheet name="PE Multiple" sheetId="59" r:id="rId6"/>
    <sheet name="DCF" sheetId="50" r:id="rId7"/>
    <sheet name="Pipeline" sheetId="60" r:id="rId8"/>
    <sheet name="Catalysts" sheetId="61" r:id="rId9"/>
    <sheet name="Oral Treprostinil" sheetId="65" r:id="rId10"/>
    <sheet name="Cover" sheetId="58"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Fill" localSheetId="8" hidden="1">#REF!</definedName>
    <definedName name="_Fill" localSheetId="9" hidden="1">#REF!</definedName>
    <definedName name="_Fill" localSheetId="5" hidden="1">#REF!</definedName>
    <definedName name="_Fill" localSheetId="7" hidden="1">#REF!</definedName>
    <definedName name="_Fill" localSheetId="1" hidden="1">#REF!</definedName>
    <definedName name="_Fill" localSheetId="2" hidden="1">#REF!</definedName>
    <definedName name="_Fill" hidden="1">#REF!</definedName>
    <definedName name="_ok1" localSheetId="8">Catalysts!_ok1</definedName>
    <definedName name="_ok1" localSheetId="9">'Oral Treprostinil'!_ok1</definedName>
    <definedName name="_ok1" localSheetId="5">'PE Multiple'!_ok1</definedName>
    <definedName name="_ok1" localSheetId="7">Pipeline!_ok1</definedName>
    <definedName name="_ok1" localSheetId="1">Revenue!_ok1</definedName>
    <definedName name="_ok1" localSheetId="2">'Vs Consensus'!_ok1</definedName>
    <definedName name="_ok1">[0]!_ok1</definedName>
    <definedName name="_Order1" hidden="1">0</definedName>
    <definedName name="_Order2" hidden="1">0</definedName>
    <definedName name="_REP35" localSheetId="8">#REF!</definedName>
    <definedName name="_REP35" localSheetId="9">#REF!</definedName>
    <definedName name="_REP35" localSheetId="5">#REF!</definedName>
    <definedName name="_REP35" localSheetId="7">#REF!</definedName>
    <definedName name="_REP35" localSheetId="1">#REF!</definedName>
    <definedName name="_REP35" localSheetId="2">#REF!</definedName>
    <definedName name="_REP35">#REF!</definedName>
    <definedName name="_REV2003" localSheetId="8">[1]A!$K$16</definedName>
    <definedName name="_REV2003" localSheetId="9">[1]A!$K$16</definedName>
    <definedName name="_REV2003" localSheetId="5">[1]A!$K$16</definedName>
    <definedName name="_REV2003" localSheetId="7">[1]A!$K$16</definedName>
    <definedName name="_REV2003" localSheetId="1">[1]A!$K$16</definedName>
    <definedName name="_REV2003" localSheetId="2">[1]A!$K$16</definedName>
    <definedName name="_REV2003">[2]A!$K$16</definedName>
    <definedName name="_REV2004" localSheetId="8">[1]A!$M$16</definedName>
    <definedName name="_REV2004" localSheetId="9">[1]A!$M$16</definedName>
    <definedName name="_REV2004" localSheetId="5">[1]A!$M$16</definedName>
    <definedName name="_REV2004" localSheetId="7">[1]A!$M$16</definedName>
    <definedName name="_REV2004" localSheetId="1">[1]A!$M$16</definedName>
    <definedName name="_REV2004" localSheetId="2">[1]A!$M$16</definedName>
    <definedName name="_REV2004">[2]A!$M$16</definedName>
    <definedName name="_REV2005" localSheetId="8">[1]A!$O$16</definedName>
    <definedName name="_REV2005" localSheetId="9">[1]A!$O$16</definedName>
    <definedName name="_REV2005" localSheetId="5">[1]A!$O$16</definedName>
    <definedName name="_REV2005" localSheetId="7">[1]A!$O$16</definedName>
    <definedName name="_REV2005" localSheetId="1">[1]A!$O$16</definedName>
    <definedName name="_REV2005" localSheetId="2">[1]A!$O$16</definedName>
    <definedName name="_REV2005">[2]A!$O$16</definedName>
    <definedName name="_REV2006" localSheetId="8">[1]A!$Q$16</definedName>
    <definedName name="_REV2006" localSheetId="9">[1]A!$Q$16</definedName>
    <definedName name="_REV2006" localSheetId="5">[1]A!$Q$16</definedName>
    <definedName name="_REV2006" localSheetId="7">[1]A!$Q$16</definedName>
    <definedName name="_REV2006" localSheetId="1">[1]A!$Q$16</definedName>
    <definedName name="_REV2006" localSheetId="2">[1]A!$Q$16</definedName>
    <definedName name="_REV2006">[2]A!$Q$16</definedName>
    <definedName name="_REV2007" localSheetId="8">[1]A!$S$16</definedName>
    <definedName name="_REV2007" localSheetId="9">[1]A!$S$16</definedName>
    <definedName name="_REV2007" localSheetId="5">[1]A!$S$16</definedName>
    <definedName name="_REV2007" localSheetId="7">[1]A!$S$16</definedName>
    <definedName name="_REV2007" localSheetId="1">[1]A!$S$16</definedName>
    <definedName name="_REV2007" localSheetId="2">[1]A!$S$16</definedName>
    <definedName name="_REV2007">[2]A!$S$16</definedName>
    <definedName name="a" localSheetId="8" hidden="1">#REF!</definedName>
    <definedName name="a" localSheetId="9" hidden="1">#REF!</definedName>
    <definedName name="a" localSheetId="5" hidden="1">#REF!</definedName>
    <definedName name="a" localSheetId="7" hidden="1">#REF!</definedName>
    <definedName name="a" localSheetId="1" hidden="1">#REF!</definedName>
    <definedName name="a" localSheetId="2" hidden="1">#REF!</definedName>
    <definedName name="a" hidden="1">#REF!</definedName>
    <definedName name="aa" localSheetId="8" hidden="1">#REF!</definedName>
    <definedName name="aa" localSheetId="9" hidden="1">#REF!</definedName>
    <definedName name="aa" localSheetId="5" hidden="1">#REF!</definedName>
    <definedName name="aa" localSheetId="7" hidden="1">#REF!</definedName>
    <definedName name="aa" localSheetId="1" hidden="1">#REF!</definedName>
    <definedName name="aa" localSheetId="2" hidden="1">#REF!</definedName>
    <definedName name="aa" hidden="1">#REF!</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b" localSheetId="8" hidden="1">#REF!</definedName>
    <definedName name="ab" localSheetId="9" hidden="1">#REF!</definedName>
    <definedName name="ab" localSheetId="5" hidden="1">#REF!</definedName>
    <definedName name="ab" localSheetId="7" hidden="1">#REF!</definedName>
    <definedName name="ab" localSheetId="1" hidden="1">#REF!</definedName>
    <definedName name="ab" localSheetId="2" hidden="1">#REF!</definedName>
    <definedName name="ab" hidden="1">#REF!</definedName>
    <definedName name="agrmnt_annual" localSheetId="8">#REF!</definedName>
    <definedName name="agrmnt_annual" localSheetId="9">#REF!</definedName>
    <definedName name="agrmnt_annual" localSheetId="5">#REF!</definedName>
    <definedName name="agrmnt_annual" localSheetId="7">#REF!</definedName>
    <definedName name="agrmnt_annual" localSheetId="1">#REF!</definedName>
    <definedName name="agrmnt_annual" localSheetId="2">#REF!</definedName>
    <definedName name="agrmnt_annual">#REF!</definedName>
    <definedName name="agrmnt0100">#REF!</definedName>
    <definedName name="Annual">#REF!</definedName>
    <definedName name="AnnualCF" localSheetId="8">[3]annual!$B$129:$AH$188</definedName>
    <definedName name="AnnualCF" localSheetId="9">[3]annual!$B$129:$AH$188</definedName>
    <definedName name="AnnualCF" localSheetId="5">[3]annual!$B$129:$AH$188</definedName>
    <definedName name="AnnualCF" localSheetId="7">[3]annual!$B$129:$AH$188</definedName>
    <definedName name="AnnualCF" localSheetId="1">[3]annual!$B$129:$AH$188</definedName>
    <definedName name="AnnualCF" localSheetId="2">[3]annual!$B$129:$AH$188</definedName>
    <definedName name="AnnualCF">[4]annual!$B$129:$AH$188</definedName>
    <definedName name="AnnualPL" localSheetId="8">[3]annual!$B$3:$AH$100</definedName>
    <definedName name="AnnualPL" localSheetId="9">[3]annual!$B$3:$AH$100</definedName>
    <definedName name="AnnualPL" localSheetId="5">[3]annual!$B$3:$AH$100</definedName>
    <definedName name="AnnualPL" localSheetId="7">[3]annual!$B$3:$AH$100</definedName>
    <definedName name="AnnualPL" localSheetId="1">[3]annual!$B$3:$AH$100</definedName>
    <definedName name="AnnualPL" localSheetId="2">[3]annual!$B$3:$AH$100</definedName>
    <definedName name="AnnualPL">[4]annual!$B$3:$AH$100</definedName>
    <definedName name="anscount" hidden="1">2</definedName>
    <definedName name="apportioment" localSheetId="8">#REF!</definedName>
    <definedName name="apportioment" localSheetId="9">#REF!</definedName>
    <definedName name="apportioment" localSheetId="5">#REF!</definedName>
    <definedName name="apportioment" localSheetId="7">#REF!</definedName>
    <definedName name="apportioment" localSheetId="1">#REF!</definedName>
    <definedName name="apportioment" localSheetId="2">#REF!</definedName>
    <definedName name="apportioment">#REF!</definedName>
    <definedName name="AsiaNat" localSheetId="8">#REF!</definedName>
    <definedName name="AsiaNat" localSheetId="9">#REF!</definedName>
    <definedName name="AsiaNat" localSheetId="5">#REF!</definedName>
    <definedName name="AsiaNat" localSheetId="7">#REF!</definedName>
    <definedName name="AsiaNat" localSheetId="1">#REF!</definedName>
    <definedName name="AsiaNat" localSheetId="2">#REF!</definedName>
    <definedName name="AsiaNat">#REF!</definedName>
    <definedName name="AvgVol">#REF!</definedName>
    <definedName name="Balance">#REF!</definedName>
    <definedName name="begblock">#REF!</definedName>
    <definedName name="begtemp">#REF!</definedName>
    <definedName name="CAD">#REF!</definedName>
    <definedName name="Campath_sales">#REF!</definedName>
    <definedName name="Cash_Debt">#REF!</definedName>
    <definedName name="Cashflow">#REF!</definedName>
    <definedName name="chart">"Chart 2"</definedName>
    <definedName name="ChartData" localSheetId="8">#REF!</definedName>
    <definedName name="ChartData" localSheetId="9">#REF!</definedName>
    <definedName name="ChartData" localSheetId="5">#REF!</definedName>
    <definedName name="ChartData" localSheetId="7">#REF!</definedName>
    <definedName name="ChartData" localSheetId="1">#REF!</definedName>
    <definedName name="ChartData" localSheetId="2">#REF!</definedName>
    <definedName name="ChartData">#REF!</definedName>
    <definedName name="CIQWBGuid" hidden="1">"UTHR_7.25.13.xls"</definedName>
    <definedName name="client" localSheetId="8">#REF!</definedName>
    <definedName name="client" localSheetId="9">#REF!</definedName>
    <definedName name="client" localSheetId="5">#REF!</definedName>
    <definedName name="client" localSheetId="7">#REF!</definedName>
    <definedName name="client" localSheetId="1">#REF!</definedName>
    <definedName name="client" localSheetId="2">#REF!</definedName>
    <definedName name="client">#REF!</definedName>
    <definedName name="CNY">#REF!</definedName>
    <definedName name="comp1_ib1">#REF!</definedName>
    <definedName name="comp10_ib1">#REF!</definedName>
    <definedName name="comp2_ib1">#REF!</definedName>
    <definedName name="comp3_ib1">#REF!</definedName>
    <definedName name="comp4_ib1">#REF!</definedName>
    <definedName name="comp5_ib1">#REF!</definedName>
    <definedName name="comp6_ib1">#REF!</definedName>
    <definedName name="comp7_ib1">#REF!</definedName>
    <definedName name="comp8_ib1">#REF!</definedName>
    <definedName name="comp9_ib1">#REF!</definedName>
    <definedName name="currency">#REF!</definedName>
    <definedName name="D" localSheetId="8">[5]WACC!$G$104</definedName>
    <definedName name="D" localSheetId="9">[5]WACC!$G$104</definedName>
    <definedName name="D" localSheetId="5">[5]WACC!$G$104</definedName>
    <definedName name="D" localSheetId="7">[5]WACC!$G$104</definedName>
    <definedName name="D" localSheetId="1">[5]WACC!$G$104</definedName>
    <definedName name="D" localSheetId="2">[5]WACC!$G$104</definedName>
    <definedName name="D">[5]WACC!$G$104</definedName>
    <definedName name="DATA1" localSheetId="8">#REF!</definedName>
    <definedName name="DATA1" localSheetId="9">#REF!</definedName>
    <definedName name="DATA1" localSheetId="5">#REF!</definedName>
    <definedName name="DATA1" localSheetId="7">#REF!</definedName>
    <definedName name="DATA1" localSheetId="1">#REF!</definedName>
    <definedName name="DATA1" localSheetId="2">#REF!</definedName>
    <definedName name="DATA1">#REF!</definedName>
    <definedName name="DATA12" localSheetId="8">#REF!</definedName>
    <definedName name="DATA12" localSheetId="9">#REF!</definedName>
    <definedName name="DATA12" localSheetId="5">#REF!</definedName>
    <definedName name="DATA12" localSheetId="7">#REF!</definedName>
    <definedName name="DATA12" localSheetId="1">#REF!</definedName>
    <definedName name="DATA12" localSheetId="2">#REF!</definedName>
    <definedName name="DATA12">#REF!</definedName>
    <definedName name="DATA13">#REF!</definedName>
    <definedName name="DATA2">#REF!</definedName>
    <definedName name="DataFreq">#REF!</definedName>
    <definedName name="DataRange">#REF!</definedName>
    <definedName name="DebtChoice" localSheetId="8">[6]MAIN!$X$44</definedName>
    <definedName name="DebtChoice" localSheetId="9">[6]MAIN!$X$44</definedName>
    <definedName name="DebtChoice" localSheetId="5">[6]MAIN!$X$44</definedName>
    <definedName name="DebtChoice" localSheetId="7">[6]MAIN!$X$44</definedName>
    <definedName name="DebtChoice" localSheetId="1">[6]MAIN!$X$44</definedName>
    <definedName name="DebtChoice" localSheetId="2">[6]MAIN!$X$44</definedName>
    <definedName name="DebtChoice">[7]MAIN!$X$44</definedName>
    <definedName name="Description" localSheetId="8">#REF!</definedName>
    <definedName name="Description" localSheetId="9">#REF!</definedName>
    <definedName name="Description" localSheetId="5">#REF!</definedName>
    <definedName name="Description" localSheetId="7">#REF!</definedName>
    <definedName name="Description" localSheetId="1">#REF!</definedName>
    <definedName name="Description" localSheetId="2">#REF!</definedName>
    <definedName name="Description">#REF!</definedName>
    <definedName name="DSheet" localSheetId="8">#REF!</definedName>
    <definedName name="DSheet" localSheetId="9">#REF!</definedName>
    <definedName name="DSheet" localSheetId="5">#REF!</definedName>
    <definedName name="DSheet" localSheetId="7">#REF!</definedName>
    <definedName name="DSheet" localSheetId="1">#REF!</definedName>
    <definedName name="DSheet" localSheetId="2">#REF!</definedName>
    <definedName name="DSheet">#REF!</definedName>
    <definedName name="E" localSheetId="8">[5]WACC!$G$106</definedName>
    <definedName name="E" localSheetId="9">[5]WACC!$G$106</definedName>
    <definedName name="E" localSheetId="5">[5]WACC!$G$106</definedName>
    <definedName name="E" localSheetId="7">[5]WACC!$G$106</definedName>
    <definedName name="E" localSheetId="1">[5]WACC!$G$106</definedName>
    <definedName name="E" localSheetId="2">[5]WACC!$G$106</definedName>
    <definedName name="E">[5]WACC!$G$106</definedName>
    <definedName name="EuropeNat" localSheetId="8">#REF!</definedName>
    <definedName name="EuropeNat" localSheetId="9">#REF!</definedName>
    <definedName name="EuropeNat" localSheetId="5">#REF!</definedName>
    <definedName name="EuropeNat" localSheetId="7">#REF!</definedName>
    <definedName name="EuropeNat" localSheetId="1">#REF!</definedName>
    <definedName name="EuropeNat" localSheetId="2">#REF!</definedName>
    <definedName name="EuropeNat">#REF!</definedName>
    <definedName name="EURRATE">#REF!</definedName>
    <definedName name="ExchCodes" localSheetId="8">#REF!</definedName>
    <definedName name="ExchCodes" localSheetId="9">#REF!</definedName>
    <definedName name="ExchCodes" localSheetId="5">#REF!</definedName>
    <definedName name="ExchCodes" localSheetId="7">#REF!</definedName>
    <definedName name="ExchCodes" localSheetId="1">#REF!</definedName>
    <definedName name="ExchCodes" localSheetId="2">#REF!</definedName>
    <definedName name="ExchCodes">#REF!</definedName>
    <definedName name="EXCTABLE">#REF!</definedName>
    <definedName name="GBP">#REF!</definedName>
    <definedName name="h">[0]!h</definedName>
    <definedName name="HKD">#REF!</definedName>
    <definedName name="inc_bal1">#REF!</definedName>
    <definedName name="income">#REF!</definedName>
    <definedName name="inflList" hidden="1">"00000000000000000000000000000000000000000000000000000000000000000000000000000000000000000000000000000000000000000000000000000000000000000000000000000000000000000000000000000000000000000000000000000000"</definedName>
    <definedName name="Initial_Dividend_of_freely_Tradable_Value" localSheetId="8">#REF!</definedName>
    <definedName name="Initial_Dividend_of_freely_Tradable_Value" localSheetId="9">#REF!</definedName>
    <definedName name="Initial_Dividend_of_freely_Tradable_Value" localSheetId="5">#REF!</definedName>
    <definedName name="Initial_Dividend_of_freely_Tradable_Value" localSheetId="7">#REF!</definedName>
    <definedName name="Initial_Dividend_of_freely_Tradable_Value" localSheetId="1">#REF!</definedName>
    <definedName name="Initial_Dividend_of_freely_Tradable_Value" localSheetId="2">#REF!</definedName>
    <definedName name="Initial_Dividend_of_freely_Tradable_Value">#REF!</definedName>
    <definedName name="inlicense" localSheetId="8">[8]A!#REF!</definedName>
    <definedName name="inlicense" localSheetId="9">[8]A!#REF!</definedName>
    <definedName name="inlicense" localSheetId="5">[8]A!#REF!</definedName>
    <definedName name="inlicense" localSheetId="7">[8]A!#REF!</definedName>
    <definedName name="inlicense" localSheetId="1">[8]A!#REF!</definedName>
    <definedName name="inlicense" localSheetId="2">[8]A!#REF!</definedName>
    <definedName name="inlicense">[9]A!#REF!</definedName>
    <definedName name="Intervals" localSheetId="8">#REF!</definedName>
    <definedName name="Intervals" localSheetId="9">#REF!</definedName>
    <definedName name="Intervals" localSheetId="5">#REF!</definedName>
    <definedName name="Intervals" localSheetId="7">#REF!</definedName>
    <definedName name="Intervals" localSheetId="1">#REF!</definedName>
    <definedName name="Intervals" localSheetId="2">#REF!</definedName>
    <definedName name="Intervals">#REF!</definedName>
    <definedName name="IQ_ADDIN" hidden="1">"AUTO"</definedName>
    <definedName name="IQ_CH" hidden="1">110000</definedName>
    <definedName name="IQ_CQ" hidden="1">5000</definedName>
    <definedName name="IQ_CY" hidden="1">10000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MONTH" hidden="1">15000</definedName>
    <definedName name="IQ_NAMES_REVISION_DATE_" hidden="1">40318.3155555556</definedName>
    <definedName name="IQ_NTM" hidden="1">6000</definedName>
    <definedName name="IQ_OPENED55" hidden="1">1</definedName>
    <definedName name="IQ_TODAY" hidden="1">0</definedName>
    <definedName name="IQ_WEEK" hidden="1">50000</definedName>
    <definedName name="IQ_YTD" hidden="1">3000</definedName>
    <definedName name="IR" localSheetId="8">#REF!</definedName>
    <definedName name="IR" localSheetId="9">#REF!</definedName>
    <definedName name="IR" localSheetId="5">#REF!</definedName>
    <definedName name="IR" localSheetId="7">#REF!</definedName>
    <definedName name="IR" localSheetId="1">#REF!</definedName>
    <definedName name="IR" localSheetId="2">#REF!</definedName>
    <definedName name="IR">#REF!</definedName>
    <definedName name="IS" localSheetId="8">#REF!</definedName>
    <definedName name="IS" localSheetId="9">#REF!</definedName>
    <definedName name="IS" localSheetId="5">#REF!</definedName>
    <definedName name="IS" localSheetId="7">#REF!</definedName>
    <definedName name="IS" localSheetId="1">#REF!</definedName>
    <definedName name="IS" localSheetId="2">#REF!</definedName>
    <definedName name="IS">#REF!</definedName>
    <definedName name="jhf" localSheetId="8"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jhf" localSheetId="9"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jhf" localSheetId="7"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jhf" localSheetId="1"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jhf" localSheetId="2"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jhf"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JPY">#REF!</definedName>
    <definedName name="JPYRATE">#REF!</definedName>
    <definedName name="limcount" hidden="1">2</definedName>
    <definedName name="linked_block" localSheetId="8">#REF!</definedName>
    <definedName name="linked_block" localSheetId="9">#REF!</definedName>
    <definedName name="linked_block" localSheetId="5">#REF!</definedName>
    <definedName name="linked_block" localSheetId="7">#REF!</definedName>
    <definedName name="linked_block" localSheetId="1">#REF!</definedName>
    <definedName name="linked_block" localSheetId="2">#REF!</definedName>
    <definedName name="linked_block">#REF!</definedName>
    <definedName name="ListOffset" hidden="1">1</definedName>
    <definedName name="MaxVol" localSheetId="8">#REF!</definedName>
    <definedName name="MaxVol" localSheetId="9">#REF!</definedName>
    <definedName name="MaxVol" localSheetId="5">#REF!</definedName>
    <definedName name="MaxVol" localSheetId="7">#REF!</definedName>
    <definedName name="MaxVol" localSheetId="1">#REF!</definedName>
    <definedName name="MaxVol" localSheetId="2">#REF!</definedName>
    <definedName name="MaxVol">#REF!</definedName>
    <definedName name="MaxVolEP" localSheetId="8">#REF!</definedName>
    <definedName name="MaxVolEP" localSheetId="9">#REF!</definedName>
    <definedName name="MaxVolEP" localSheetId="5">#REF!</definedName>
    <definedName name="MaxVolEP" localSheetId="7">#REF!</definedName>
    <definedName name="MaxVolEP" localSheetId="1">#REF!</definedName>
    <definedName name="MaxVolEP" localSheetId="2">#REF!</definedName>
    <definedName name="MaxVolEP">#REF!</definedName>
    <definedName name="MaxVolSP">#REF!</definedName>
    <definedName name="MinVol">#REF!</definedName>
    <definedName name="MinVolEP">#REF!</definedName>
    <definedName name="MinVolSP">#REF!</definedName>
    <definedName name="Note1">#REF!</definedName>
    <definedName name="Note2">#REF!</definedName>
    <definedName name="Note3">#REF!</definedName>
    <definedName name="ok" localSheetId="8">Catalysts!ok</definedName>
    <definedName name="ok" localSheetId="9">'Oral Treprostinil'!ok</definedName>
    <definedName name="ok" localSheetId="5">'PE Multiple'!ok</definedName>
    <definedName name="ok" localSheetId="7">Pipeline!ok</definedName>
    <definedName name="ok" localSheetId="1">Revenue!ok</definedName>
    <definedName name="ok" localSheetId="2">'Vs Consensus'!ok</definedName>
    <definedName name="ok">[0]!ok</definedName>
    <definedName name="_xlnm.Print_Area" localSheetId="3">'Balance Sheet'!$A$1:$Q$60</definedName>
    <definedName name="_xlnm.Print_Area" localSheetId="8">Catalysts!$B$1:$E$11</definedName>
    <definedName name="_xlnm.Print_Area" localSheetId="6">DCF!$A$1:$L$33</definedName>
    <definedName name="_xlnm.Print_Area" localSheetId="0">'Income Statement'!$A$1:$AC$56</definedName>
    <definedName name="_xlnm.Print_Area" localSheetId="9">'Oral Treprostinil'!$B$1:$E$35</definedName>
    <definedName name="_xlnm.Print_Area" localSheetId="5">'PE Multiple'!$B$1:$J$32</definedName>
    <definedName name="_xlnm.Print_Area" localSheetId="7">Pipeline!$B$1:$F$19</definedName>
    <definedName name="_xlnm.Print_Area" localSheetId="1">Revenue!$A$1:$Q$73</definedName>
    <definedName name="_xlnm.Print_Area" localSheetId="2">'Vs Consensus'!$A$1:$F$19</definedName>
    <definedName name="_xlnm.Print_Area">#REF!</definedName>
    <definedName name="Print_macro.Print_macro" localSheetId="8">Catalysts!Print_macro.Print_macro</definedName>
    <definedName name="Print_macro.Print_macro" localSheetId="9">'Oral Treprostinil'!Print_macro.Print_macro</definedName>
    <definedName name="Print_macro.Print_macro" localSheetId="5">'PE Multiple'!Print_macro.Print_macro</definedName>
    <definedName name="Print_macro.Print_macro" localSheetId="7">Pipeline!Print_macro.Print_macro</definedName>
    <definedName name="Print_macro.Print_macro" localSheetId="1">Revenue!Print_macro.Print_macro</definedName>
    <definedName name="Print_macro.Print_macro" localSheetId="2">'Vs Consensus'!Print_macro.Print_macro</definedName>
    <definedName name="Print_macro.Print_macro">[0]!Print_macro.Print_macro</definedName>
    <definedName name="_xlnm.Print_Titles">#N/A</definedName>
    <definedName name="PrivCotic" localSheetId="8">[6]MAIN!$F$12</definedName>
    <definedName name="PrivCotic" localSheetId="9">[6]MAIN!$F$12</definedName>
    <definedName name="PrivCotic" localSheetId="5">[6]MAIN!$F$12</definedName>
    <definedName name="PrivCotic" localSheetId="7">[6]MAIN!$F$12</definedName>
    <definedName name="PrivCotic" localSheetId="1">[6]MAIN!$F$12</definedName>
    <definedName name="PrivCotic" localSheetId="2">[6]MAIN!$F$12</definedName>
    <definedName name="PrivCotic">[7]MAIN!$F$12</definedName>
    <definedName name="ProdSum" localSheetId="8">#REF!</definedName>
    <definedName name="ProdSum" localSheetId="9">#REF!</definedName>
    <definedName name="ProdSum" localSheetId="5">#REF!</definedName>
    <definedName name="ProdSum" localSheetId="7">#REF!</definedName>
    <definedName name="ProdSum" localSheetId="1">#REF!</definedName>
    <definedName name="ProdSum" localSheetId="2">#REF!</definedName>
    <definedName name="ProdSum">#REF!</definedName>
    <definedName name="Profit_Loss" localSheetId="8">#REF!</definedName>
    <definedName name="Profit_Loss" localSheetId="9">#REF!</definedName>
    <definedName name="Profit_Loss" localSheetId="5">#REF!</definedName>
    <definedName name="Profit_Loss" localSheetId="7">#REF!</definedName>
    <definedName name="Profit_Loss" localSheetId="1">#REF!</definedName>
    <definedName name="Profit_Loss" localSheetId="2">#REF!</definedName>
    <definedName name="Profit_Loss">#REF!</definedName>
    <definedName name="q_item" localSheetId="8">'[6]EDIT DATA'!#REF!</definedName>
    <definedName name="q_item" localSheetId="9">'[6]EDIT DATA'!#REF!</definedName>
    <definedName name="q_item" localSheetId="5">'[6]EDIT DATA'!#REF!</definedName>
    <definedName name="q_item" localSheetId="7">'[6]EDIT DATA'!#REF!</definedName>
    <definedName name="q_item" localSheetId="1">'[6]EDIT DATA'!#REF!</definedName>
    <definedName name="q_item" localSheetId="2">'[6]EDIT DATA'!#REF!</definedName>
    <definedName name="q_item">'[7]EDIT DATA'!#REF!</definedName>
    <definedName name="QRTLY" localSheetId="8">#REF!</definedName>
    <definedName name="QRTLY" localSheetId="9">#REF!</definedName>
    <definedName name="QRTLY" localSheetId="5">#REF!</definedName>
    <definedName name="QRTLY" localSheetId="7">#REF!</definedName>
    <definedName name="QRTLY" localSheetId="1">#REF!</definedName>
    <definedName name="QRTLY" localSheetId="2">#REF!</definedName>
    <definedName name="QRTLY">#REF!</definedName>
    <definedName name="qrtly02" localSheetId="8">[10]Quarterly!#REF!</definedName>
    <definedName name="qrtly02" localSheetId="9">[10]Quarterly!#REF!</definedName>
    <definedName name="qrtly02" localSheetId="5">[10]Quarterly!#REF!</definedName>
    <definedName name="qrtly02" localSheetId="7">[10]Quarterly!#REF!</definedName>
    <definedName name="qrtly02" localSheetId="1">[10]Quarterly!#REF!</definedName>
    <definedName name="qrtly02" localSheetId="2">[10]Quarterly!#REF!</definedName>
    <definedName name="qrtly02">[11]Quarterly!#REF!</definedName>
    <definedName name="qrtly03" localSheetId="8">[10]Quarterly!#REF!</definedName>
    <definedName name="qrtly03" localSheetId="9">[10]Quarterly!#REF!</definedName>
    <definedName name="qrtly03" localSheetId="5">[10]Quarterly!#REF!</definedName>
    <definedName name="qrtly03" localSheetId="7">[10]Quarterly!#REF!</definedName>
    <definedName name="qrtly03" localSheetId="1">[10]Quarterly!#REF!</definedName>
    <definedName name="qrtly03" localSheetId="2">[10]Quarterly!#REF!</definedName>
    <definedName name="qrtly03">[11]Quarterly!#REF!</definedName>
    <definedName name="qrtly04" localSheetId="8">[10]Quarterly!#REF!</definedName>
    <definedName name="qrtly04" localSheetId="9">[10]Quarterly!#REF!</definedName>
    <definedName name="qrtly04" localSheetId="5">[10]Quarterly!#REF!</definedName>
    <definedName name="qrtly04" localSheetId="7">[10]Quarterly!#REF!</definedName>
    <definedName name="qrtly04" localSheetId="1">[10]Quarterly!#REF!</definedName>
    <definedName name="qrtly04" localSheetId="2">[10]Quarterly!#REF!</definedName>
    <definedName name="qrtly04">[11]Quarterly!#REF!</definedName>
    <definedName name="Quarterly" localSheetId="8">#REF!</definedName>
    <definedName name="Quarterly" localSheetId="9">#REF!</definedName>
    <definedName name="Quarterly" localSheetId="5">#REF!</definedName>
    <definedName name="Quarterly" localSheetId="7">#REF!</definedName>
    <definedName name="Quarterly" localSheetId="1">#REF!</definedName>
    <definedName name="Quarterly" localSheetId="2">#REF!</definedName>
    <definedName name="Quarterly">#REF!</definedName>
    <definedName name="Quarterly2001" localSheetId="8">[3]quarterly!$B$627:$P$676</definedName>
    <definedName name="Quarterly2001" localSheetId="9">[3]quarterly!$B$627:$P$676</definedName>
    <definedName name="Quarterly2001" localSheetId="5">[3]quarterly!$B$627:$P$676</definedName>
    <definedName name="Quarterly2001" localSheetId="7">[3]quarterly!$B$627:$P$676</definedName>
    <definedName name="Quarterly2001" localSheetId="1">[3]quarterly!$B$627:$P$676</definedName>
    <definedName name="Quarterly2001" localSheetId="2">[3]quarterly!$B$627:$P$676</definedName>
    <definedName name="Quarterly2001">[4]quarterly!$B$627:$P$676</definedName>
    <definedName name="Quarterly2002" localSheetId="8">[3]quarterly!$B$574:$P$625</definedName>
    <definedName name="Quarterly2002" localSheetId="9">[3]quarterly!$B$574:$P$625</definedName>
    <definedName name="Quarterly2002" localSheetId="5">[3]quarterly!$B$574:$P$625</definedName>
    <definedName name="Quarterly2002" localSheetId="7">[3]quarterly!$B$574:$P$625</definedName>
    <definedName name="Quarterly2002" localSheetId="1">[3]quarterly!$B$574:$P$625</definedName>
    <definedName name="Quarterly2002" localSheetId="2">[3]quarterly!$B$574:$P$625</definedName>
    <definedName name="Quarterly2002">[4]quarterly!$B$574:$P$625</definedName>
    <definedName name="Quarterly2003" localSheetId="8">[3]quarterly!$B$498:$P$572</definedName>
    <definedName name="Quarterly2003" localSheetId="9">[3]quarterly!$B$498:$P$572</definedName>
    <definedName name="Quarterly2003" localSheetId="5">[3]quarterly!$B$498:$P$572</definedName>
    <definedName name="Quarterly2003" localSheetId="7">[3]quarterly!$B$498:$P$572</definedName>
    <definedName name="Quarterly2003" localSheetId="1">[3]quarterly!$B$498:$P$572</definedName>
    <definedName name="Quarterly2003" localSheetId="2">[3]quarterly!$B$498:$P$572</definedName>
    <definedName name="Quarterly2003">[4]quarterly!$B$498:$P$572</definedName>
    <definedName name="quarterly20032004" localSheetId="8">[10]Quarterly!#REF!</definedName>
    <definedName name="quarterly20032004" localSheetId="9">[10]Quarterly!#REF!</definedName>
    <definedName name="quarterly20032004" localSheetId="5">[10]Quarterly!#REF!</definedName>
    <definedName name="quarterly20032004" localSheetId="7">[10]Quarterly!#REF!</definedName>
    <definedName name="quarterly20032004" localSheetId="1">[10]Quarterly!#REF!</definedName>
    <definedName name="quarterly20032004" localSheetId="2">[10]Quarterly!#REF!</definedName>
    <definedName name="quarterly20032004">[11]Quarterly!#REF!</definedName>
    <definedName name="Quarterly2004" localSheetId="8">[3]quarterly!$B$422:$P$496</definedName>
    <definedName name="Quarterly2004" localSheetId="9">[3]quarterly!$B$422:$P$496</definedName>
    <definedName name="Quarterly2004" localSheetId="5">[3]quarterly!$B$422:$P$496</definedName>
    <definedName name="Quarterly2004" localSheetId="7">[3]quarterly!$B$422:$P$496</definedName>
    <definedName name="Quarterly2004" localSheetId="1">[3]quarterly!$B$422:$P$496</definedName>
    <definedName name="Quarterly2004" localSheetId="2">[3]quarterly!$B$422:$P$496</definedName>
    <definedName name="Quarterly2004">[4]quarterly!$B$422:$P$496</definedName>
    <definedName name="Quarterly2005" localSheetId="8">[3]quarterly!$B$345:$P$419</definedName>
    <definedName name="Quarterly2005" localSheetId="9">[3]quarterly!$B$345:$P$419</definedName>
    <definedName name="Quarterly2005" localSheetId="5">[3]quarterly!$B$345:$P$419</definedName>
    <definedName name="Quarterly2005" localSheetId="7">[3]quarterly!$B$345:$P$419</definedName>
    <definedName name="Quarterly2005" localSheetId="1">[3]quarterly!$B$345:$P$419</definedName>
    <definedName name="Quarterly2005" localSheetId="2">[3]quarterly!$B$345:$P$419</definedName>
    <definedName name="Quarterly2005">[4]quarterly!$B$345:$P$419</definedName>
    <definedName name="Quarterly2006" localSheetId="8">[3]quarterly!$B$261:$P$342</definedName>
    <definedName name="Quarterly2006" localSheetId="9">[3]quarterly!$B$261:$P$342</definedName>
    <definedName name="Quarterly2006" localSheetId="5">[3]quarterly!$B$261:$P$342</definedName>
    <definedName name="Quarterly2006" localSheetId="7">[3]quarterly!$B$261:$P$342</definedName>
    <definedName name="Quarterly2006" localSheetId="1">[3]quarterly!$B$261:$P$342</definedName>
    <definedName name="Quarterly2006" localSheetId="2">[3]quarterly!$B$261:$P$342</definedName>
    <definedName name="Quarterly2006">[4]quarterly!$B$261:$P$342</definedName>
    <definedName name="rep1_multsumm" localSheetId="8">#REF!</definedName>
    <definedName name="rep1_multsumm" localSheetId="9">#REF!</definedName>
    <definedName name="rep1_multsumm" localSheetId="5">#REF!</definedName>
    <definedName name="rep1_multsumm" localSheetId="7">#REF!</definedName>
    <definedName name="rep1_multsumm" localSheetId="1">#REF!</definedName>
    <definedName name="rep1_multsumm" localSheetId="2">#REF!</definedName>
    <definedName name="rep1_multsumm">#REF!</definedName>
    <definedName name="ReportGroup" hidden="1">0</definedName>
    <definedName name="reports1" localSheetId="8">#REF!</definedName>
    <definedName name="reports1" localSheetId="9">#REF!</definedName>
    <definedName name="reports1" localSheetId="5">#REF!</definedName>
    <definedName name="reports1" localSheetId="7">#REF!</definedName>
    <definedName name="reports1" localSheetId="1">#REF!</definedName>
    <definedName name="reports1" localSheetId="2">#REF!</definedName>
    <definedName name="reports1">#REF!</definedName>
    <definedName name="ROWNat">#REF!</definedName>
    <definedName name="S">#REF!</definedName>
    <definedName name="SCP" localSheetId="8">[5]WACC!$G$59</definedName>
    <definedName name="SCP" localSheetId="9">[5]WACC!$G$59</definedName>
    <definedName name="SCP" localSheetId="5">[5]WACC!$G$59</definedName>
    <definedName name="SCP" localSheetId="7">[5]WACC!$G$59</definedName>
    <definedName name="SCP" localSheetId="1">[5]WACC!$G$59</definedName>
    <definedName name="SCP" localSheetId="2">[5]WACC!$G$59</definedName>
    <definedName name="SCP">[5]WACC!$G$59</definedName>
    <definedName name="sencount" hidden="1">2</definedName>
    <definedName name="Set">" "</definedName>
    <definedName name="SGD">#REF!</definedName>
    <definedName name="SGDCNY">#REF!</definedName>
    <definedName name="Share_Data" localSheetId="8">#REF!,#REF!</definedName>
    <definedName name="Share_Data" localSheetId="9">#REF!,#REF!</definedName>
    <definedName name="Share_Data" localSheetId="5">#REF!,#REF!</definedName>
    <definedName name="Share_Data" localSheetId="7">#REF!,#REF!</definedName>
    <definedName name="Share_Data" localSheetId="1">#REF!,#REF!</definedName>
    <definedName name="Share_Data" localSheetId="2">#REF!,#REF!</definedName>
    <definedName name="Share_Data">#REF!,#REF!</definedName>
    <definedName name="shareprice" localSheetId="8">#REF!</definedName>
    <definedName name="shareprice" localSheetId="9">#REF!</definedName>
    <definedName name="shareprice" localSheetId="5">#REF!</definedName>
    <definedName name="shareprice" localSheetId="7">#REF!</definedName>
    <definedName name="shareprice" localSheetId="1">#REF!</definedName>
    <definedName name="shareprice" localSheetId="2">#REF!</definedName>
    <definedName name="shareprice">#REF!</definedName>
    <definedName name="sharepricedate" localSheetId="8">#REF!</definedName>
    <definedName name="sharepricedate" localSheetId="9">#REF!</definedName>
    <definedName name="sharepricedate" localSheetId="5">#REF!</definedName>
    <definedName name="sharepricedate" localSheetId="7">#REF!</definedName>
    <definedName name="sharepricedate" localSheetId="1">#REF!</definedName>
    <definedName name="sharepricedate" localSheetId="2">#REF!</definedName>
    <definedName name="sharepricedate">#REF!</definedName>
    <definedName name="SPWS_WBID">"818727DB-ACA7-11D2-BACD-444553540000"</definedName>
    <definedName name="SS" localSheetId="8">#REF!</definedName>
    <definedName name="SS" localSheetId="9">#REF!</definedName>
    <definedName name="SS" localSheetId="5">#REF!</definedName>
    <definedName name="SS" localSheetId="7">#REF!</definedName>
    <definedName name="SS" localSheetId="1">#REF!</definedName>
    <definedName name="SS" localSheetId="2">#REF!</definedName>
    <definedName name="SS">#REF!</definedName>
    <definedName name="SUBJ" localSheetId="8">'[6]EDIT DATA'!$A$11</definedName>
    <definedName name="SUBJ" localSheetId="9">'[6]EDIT DATA'!$A$11</definedName>
    <definedName name="SUBJ" localSheetId="5">'[6]EDIT DATA'!$A$11</definedName>
    <definedName name="SUBJ" localSheetId="7">'[6]EDIT DATA'!$A$11</definedName>
    <definedName name="SUBJ" localSheetId="1">'[6]EDIT DATA'!$A$11</definedName>
    <definedName name="SUBJ" localSheetId="2">'[6]EDIT DATA'!$A$11</definedName>
    <definedName name="SUBJ">'[7]EDIT DATA'!$A$11</definedName>
    <definedName name="subj_ib1" localSheetId="8">#REF!</definedName>
    <definedName name="subj_ib1" localSheetId="9">#REF!</definedName>
    <definedName name="subj_ib1" localSheetId="5">#REF!</definedName>
    <definedName name="subj_ib1" localSheetId="7">#REF!</definedName>
    <definedName name="subj_ib1" localSheetId="1">#REF!</definedName>
    <definedName name="subj_ib1" localSheetId="2">#REF!</definedName>
    <definedName name="subj_ib1">#REF!</definedName>
    <definedName name="subject" localSheetId="8">#REF!</definedName>
    <definedName name="subject" localSheetId="9">#REF!</definedName>
    <definedName name="subject" localSheetId="5">#REF!</definedName>
    <definedName name="subject" localSheetId="7">#REF!</definedName>
    <definedName name="subject" localSheetId="1">#REF!</definedName>
    <definedName name="subject" localSheetId="2">#REF!</definedName>
    <definedName name="subject">#REF!</definedName>
    <definedName name="subjtic" localSheetId="8">[6]MAIN!$F$10</definedName>
    <definedName name="subjtic" localSheetId="9">[6]MAIN!$F$10</definedName>
    <definedName name="subjtic" localSheetId="5">[6]MAIN!$F$10</definedName>
    <definedName name="subjtic" localSheetId="7">[6]MAIN!$F$10</definedName>
    <definedName name="subjtic" localSheetId="1">[6]MAIN!$F$10</definedName>
    <definedName name="subjtic" localSheetId="2">[6]MAIN!$F$10</definedName>
    <definedName name="subjtic">[7]MAIN!$F$10</definedName>
    <definedName name="symbol" localSheetId="8">#REF!</definedName>
    <definedName name="symbol" localSheetId="9">#REF!</definedName>
    <definedName name="symbol" localSheetId="5">#REF!</definedName>
    <definedName name="symbol" localSheetId="7">#REF!</definedName>
    <definedName name="symbol" localSheetId="1">#REF!</definedName>
    <definedName name="symbol" localSheetId="2">#REF!</definedName>
    <definedName name="symbol">#REF!</definedName>
    <definedName name="T" localSheetId="8">#REF!</definedName>
    <definedName name="T" localSheetId="9">#REF!</definedName>
    <definedName name="T" localSheetId="5">#REF!</definedName>
    <definedName name="T" localSheetId="7">#REF!</definedName>
    <definedName name="T" localSheetId="1">#REF!</definedName>
    <definedName name="T" localSheetId="2">#REF!</definedName>
    <definedName name="T">#REF!</definedName>
    <definedName name="tempblock">#REF!</definedName>
    <definedName name="TestAdd">"Test RefersTo1"</definedName>
    <definedName name="Ticker">"AHP"</definedName>
    <definedName name="treeList" hidden="1">"00000000000000000000000000000000000000000000000000000000000000000000000000000000000000000000000000000000000000000000000000000000000000000000000000000000000000000000000000000000000000000000000000000000"</definedName>
    <definedName name="TWD">#REF!</definedName>
    <definedName name="USNat" localSheetId="8">#REF!</definedName>
    <definedName name="USNat" localSheetId="9">#REF!</definedName>
    <definedName name="USNat" localSheetId="5">#REF!</definedName>
    <definedName name="USNat" localSheetId="7">#REF!</definedName>
    <definedName name="USNat" localSheetId="1">#REF!</definedName>
    <definedName name="USNat" localSheetId="2">#REF!</definedName>
    <definedName name="USNat">#REF!</definedName>
    <definedName name="USVireadEmtriva" localSheetId="8">[3]viread!$B$2:$Y$102</definedName>
    <definedName name="USVireadEmtriva" localSheetId="9">[3]viread!$B$2:$Y$102</definedName>
    <definedName name="USVireadEmtriva" localSheetId="5">[3]viread!$B$2:$Y$102</definedName>
    <definedName name="USVireadEmtriva" localSheetId="7">[3]viread!$B$2:$Y$102</definedName>
    <definedName name="USVireadEmtriva" localSheetId="1">[3]viread!$B$2:$Y$102</definedName>
    <definedName name="USVireadEmtriva" localSheetId="2">[3]viread!$B$2:$Y$102</definedName>
    <definedName name="USVireadEmtriva">[4]viread!$B$2:$Y$102</definedName>
    <definedName name="V" localSheetId="8">#REF!</definedName>
    <definedName name="V" localSheetId="9">#REF!</definedName>
    <definedName name="V" localSheetId="5">#REF!</definedName>
    <definedName name="V" localSheetId="7">#REF!</definedName>
    <definedName name="V" localSheetId="1">#REF!</definedName>
    <definedName name="V" localSheetId="2">#REF!</definedName>
    <definedName name="V">#REF!</definedName>
    <definedName name="valdate" localSheetId="8">[6]MAIN!$F$6</definedName>
    <definedName name="valdate" localSheetId="9">[6]MAIN!$F$6</definedName>
    <definedName name="valdate" localSheetId="5">[6]MAIN!$F$6</definedName>
    <definedName name="valdate" localSheetId="7">[6]MAIN!$F$6</definedName>
    <definedName name="valdate" localSheetId="1">[6]MAIN!$F$6</definedName>
    <definedName name="valdate" localSheetId="2">[6]MAIN!$F$6</definedName>
    <definedName name="valdate">[7]MAIN!$F$6</definedName>
    <definedName name="valuationdate" localSheetId="8">#REF!</definedName>
    <definedName name="valuationdate" localSheetId="9">#REF!</definedName>
    <definedName name="valuationdate" localSheetId="5">#REF!</definedName>
    <definedName name="valuationdate" localSheetId="7">#REF!</definedName>
    <definedName name="valuationdate" localSheetId="1">#REF!</definedName>
    <definedName name="valuationdate" localSheetId="2">#REF!</definedName>
    <definedName name="valuationdate">#REF!</definedName>
    <definedName name="Vol" localSheetId="8">#REF!</definedName>
    <definedName name="Vol" localSheetId="9">#REF!</definedName>
    <definedName name="Vol" localSheetId="5">#REF!</definedName>
    <definedName name="Vol" localSheetId="7">#REF!</definedName>
    <definedName name="Vol" localSheetId="1">#REF!</definedName>
    <definedName name="Vol" localSheetId="2">#REF!</definedName>
    <definedName name="Vol">#REF!</definedName>
    <definedName name="Volatilities">#REF!</definedName>
    <definedName name="wrn.Print._.Disk." localSheetId="8"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Disk." localSheetId="9"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Disk." localSheetId="5"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Disk." localSheetId="7"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Disk." localSheetId="1"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Disk." localSheetId="2"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rn.Print._.Disk." hidden="1">{#N/A,#N/A,FALSE,"Intro";#N/A,#N/A,FALSE,"General Assumptions";#N/A,#N/A,FALSE,"Specific Assumptions";#N/A,#N/A,FALSE,"Value Growth";#N/A,#N/A,FALSE,"Dividend Yield";#N/A,#N/A,FALSE,"C Corporation Equivalent Yield";#N/A,#N/A,FALSE,"Dividend Growth";#N/A,#N/A,FALSE,"Holding Period";#N/A,#N/A,FALSE,"Required Return";#N/A,#N/A,FALSE,"Analysis of Prospective Returns";#N/A,#N/A,FALSE,"Multiple Scenario Analysis";#N/A,#N/A,FALSE,"Base QMDM";#N/A,#N/A,FALSE,"Tables";#N/A,#N/A,FALSE,"Special";#N/A,#N/A,FALSE,"Chart Data";#N/A,#N/A,FALSE,"QMDM-Analysis";#N/A,#N/A,FALSE,"QMDM-Components";#N/A,#N/A,FALSE,"Multi-Scenario QMDM";#N/A,#N/A,FALSE,"Scenario #1";#N/A,#N/A,FALSE,"Scenario #2"}</definedName>
    <definedName name="WWNat" localSheetId="8">#REF!</definedName>
    <definedName name="WWNat" localSheetId="9">#REF!</definedName>
    <definedName name="WWNat" localSheetId="5">#REF!</definedName>
    <definedName name="WWNat" localSheetId="7">#REF!</definedName>
    <definedName name="WWNat" localSheetId="1">#REF!</definedName>
    <definedName name="WWNat" localSheetId="2">#REF!</definedName>
    <definedName name="WWNat">#REF!</definedName>
    <definedName name="X" localSheetId="8">#REF!</definedName>
    <definedName name="X" localSheetId="9">#REF!</definedName>
    <definedName name="X" localSheetId="5">#REF!</definedName>
    <definedName name="X" localSheetId="7">#REF!</definedName>
    <definedName name="X" localSheetId="1">#REF!</definedName>
    <definedName name="X" localSheetId="2">#REF!</definedName>
    <definedName name="X">#REF!</definedName>
    <definedName name="xyz" localSheetId="8">Catalysts!xyz</definedName>
    <definedName name="xyz" localSheetId="9">'Oral Treprostinil'!xyz</definedName>
    <definedName name="xyz" localSheetId="5">'PE Multiple'!xyz</definedName>
    <definedName name="xyz" localSheetId="7">Pipeline!xyz</definedName>
    <definedName name="xyz" localSheetId="1">Revenue!xyz</definedName>
    <definedName name="xyz" localSheetId="2">'Vs Consensus'!xyz</definedName>
    <definedName name="xyz">[0]!xyz</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5" i="50" l="1"/>
  <c r="U54" i="41"/>
  <c r="L44" i="62"/>
  <c r="K42" i="62"/>
  <c r="M45" i="62"/>
  <c r="N45" i="62" s="1"/>
  <c r="O45" i="62" s="1"/>
  <c r="P45" i="62" s="1"/>
  <c r="Q45" i="62" s="1"/>
  <c r="Y22" i="41"/>
  <c r="N76" i="62"/>
  <c r="O53" i="62"/>
  <c r="P53" i="62" s="1"/>
  <c r="O50" i="62"/>
  <c r="P42" i="62"/>
  <c r="Q42" i="62" s="1"/>
  <c r="K28" i="62"/>
  <c r="V28" i="41"/>
  <c r="V31" i="41" s="1"/>
  <c r="G23" i="50"/>
  <c r="T57" i="44"/>
  <c r="T48" i="44"/>
  <c r="T56" i="44" s="1"/>
  <c r="T55" i="44"/>
  <c r="T16" i="44"/>
  <c r="T52" i="44" s="1"/>
  <c r="T31" i="44"/>
  <c r="T53" i="44"/>
  <c r="T36" i="44"/>
  <c r="U19" i="41"/>
  <c r="U27" i="41" s="1"/>
  <c r="V17" i="41"/>
  <c r="W17" i="41" s="1"/>
  <c r="M24" i="62"/>
  <c r="N24" i="62"/>
  <c r="J24" i="62"/>
  <c r="AA54" i="41"/>
  <c r="AB54" i="41" s="1"/>
  <c r="AC54" i="41" s="1"/>
  <c r="K92" i="62"/>
  <c r="I44" i="62"/>
  <c r="H44" i="62" s="1"/>
  <c r="P25" i="62"/>
  <c r="P24" i="62" s="1"/>
  <c r="L62" i="62"/>
  <c r="J68" i="62"/>
  <c r="K68" i="62" s="1"/>
  <c r="L68" i="62" s="1"/>
  <c r="N35" i="62"/>
  <c r="U31" i="41"/>
  <c r="J62" i="62"/>
  <c r="V53" i="41"/>
  <c r="X53" i="41" s="1"/>
  <c r="Y53" i="41" s="1"/>
  <c r="Z53" i="41" s="1"/>
  <c r="AA53" i="41" s="1"/>
  <c r="V35" i="41"/>
  <c r="W35" i="41" s="1"/>
  <c r="X35" i="41" s="1"/>
  <c r="Y35" i="41" s="1"/>
  <c r="Z35" i="41" s="1"/>
  <c r="AA35" i="41" s="1"/>
  <c r="AB35" i="41" s="1"/>
  <c r="AC35" i="41" s="1"/>
  <c r="V36" i="41"/>
  <c r="W36" i="41"/>
  <c r="X36" i="41" s="1"/>
  <c r="Y36" i="41" s="1"/>
  <c r="Z36" i="41" s="1"/>
  <c r="AA36" i="41" s="1"/>
  <c r="AB36" i="41" s="1"/>
  <c r="AC36" i="41" s="1"/>
  <c r="V38" i="41"/>
  <c r="Y38" i="41"/>
  <c r="Z38" i="41" s="1"/>
  <c r="AA38" i="41" s="1"/>
  <c r="AB38" i="41" s="1"/>
  <c r="AC38" i="41" s="1"/>
  <c r="Y41" i="41"/>
  <c r="Z41" i="41" s="1"/>
  <c r="AA41" i="41" s="1"/>
  <c r="AB41" i="41" s="1"/>
  <c r="AC41" i="41" s="1"/>
  <c r="W26" i="41"/>
  <c r="S31" i="44"/>
  <c r="S57" i="44"/>
  <c r="S48" i="44"/>
  <c r="S56" i="44" s="1"/>
  <c r="S55" i="44"/>
  <c r="S16" i="44"/>
  <c r="S51" i="44" s="1"/>
  <c r="S52" i="44"/>
  <c r="S36" i="44"/>
  <c r="S49" i="44"/>
  <c r="T22" i="41"/>
  <c r="T19" i="41"/>
  <c r="T29" i="41" s="1"/>
  <c r="N12" i="41"/>
  <c r="S12" i="41"/>
  <c r="S10" i="41"/>
  <c r="S8" i="41"/>
  <c r="R31" i="43"/>
  <c r="S31" i="43" s="1"/>
  <c r="T31" i="43"/>
  <c r="U31" i="43" s="1"/>
  <c r="V31" i="43" s="1"/>
  <c r="W31" i="43" s="1"/>
  <c r="X31" i="43" s="1"/>
  <c r="Y31" i="43" s="1"/>
  <c r="W37" i="41"/>
  <c r="X37" i="41"/>
  <c r="Y37" i="41" s="1"/>
  <c r="Z37" i="41" s="1"/>
  <c r="AA37" i="41" s="1"/>
  <c r="AB37" i="41" s="1"/>
  <c r="AC37" i="41" s="1"/>
  <c r="R48" i="44"/>
  <c r="R55" i="44"/>
  <c r="R16" i="44"/>
  <c r="R31" i="44"/>
  <c r="R23" i="44"/>
  <c r="Q68" i="62"/>
  <c r="F16" i="50"/>
  <c r="G16" i="50" s="1"/>
  <c r="H16" i="50" s="1"/>
  <c r="I16" i="50" s="1"/>
  <c r="J16" i="50" s="1"/>
  <c r="K16" i="50" s="1"/>
  <c r="S19" i="41"/>
  <c r="S54" i="44"/>
  <c r="Q57" i="44"/>
  <c r="Q48" i="44"/>
  <c r="Q56" i="44" s="1"/>
  <c r="Q55" i="44"/>
  <c r="Q16" i="44"/>
  <c r="Q31" i="44"/>
  <c r="Q53" i="44" s="1"/>
  <c r="Q19" i="41"/>
  <c r="Q54" i="44" s="1"/>
  <c r="R40" i="41"/>
  <c r="R28" i="41"/>
  <c r="R26" i="41"/>
  <c r="G13" i="62"/>
  <c r="R17" i="41"/>
  <c r="R18" i="41" s="1"/>
  <c r="R11" i="41"/>
  <c r="R9" i="41"/>
  <c r="R7" i="41"/>
  <c r="K30" i="62"/>
  <c r="L30" i="62" s="1"/>
  <c r="M31" i="62"/>
  <c r="N31" i="62"/>
  <c r="O31" i="62" s="1"/>
  <c r="P31" i="62" s="1"/>
  <c r="Q31" i="62" s="1"/>
  <c r="F70" i="62"/>
  <c r="K70" i="62"/>
  <c r="M38" i="62"/>
  <c r="F37" i="62"/>
  <c r="N38" i="62"/>
  <c r="O38" i="62" s="1"/>
  <c r="P38" i="62" s="1"/>
  <c r="Q38" i="62" s="1"/>
  <c r="W38" i="41"/>
  <c r="V15" i="41"/>
  <c r="U15" i="41"/>
  <c r="T15" i="41"/>
  <c r="S15" i="41"/>
  <c r="W15" i="41"/>
  <c r="M19" i="41"/>
  <c r="M29" i="41" s="1"/>
  <c r="X15" i="41"/>
  <c r="Y15" i="41"/>
  <c r="N19" i="41"/>
  <c r="O19" i="41"/>
  <c r="O27" i="41" s="1"/>
  <c r="P19" i="41"/>
  <c r="P54" i="44" s="1"/>
  <c r="R31" i="41"/>
  <c r="R35" i="41"/>
  <c r="N38" i="41"/>
  <c r="R38" i="41" s="1"/>
  <c r="R37" i="41"/>
  <c r="M30" i="41"/>
  <c r="M31" i="41" s="1"/>
  <c r="R53" i="41"/>
  <c r="C17" i="59"/>
  <c r="F48" i="62"/>
  <c r="P51" i="62"/>
  <c r="P50" i="62" s="1"/>
  <c r="B24" i="62"/>
  <c r="C18" i="62"/>
  <c r="D18" i="62" s="1"/>
  <c r="E18" i="62" s="1"/>
  <c r="B19" i="62"/>
  <c r="B20" i="62" s="1"/>
  <c r="B23" i="62" s="1"/>
  <c r="F64" i="62"/>
  <c r="K64" i="62" s="1"/>
  <c r="C62" i="62"/>
  <c r="D62" i="62" s="1"/>
  <c r="E62" i="62" s="1"/>
  <c r="F62" i="62" s="1"/>
  <c r="G62" i="62" s="1"/>
  <c r="C58" i="62"/>
  <c r="B95" i="62"/>
  <c r="C95" i="62" s="1"/>
  <c r="D95" i="62" s="1"/>
  <c r="E95" i="62" s="1"/>
  <c r="C83" i="62"/>
  <c r="D83" i="62" s="1"/>
  <c r="E83" i="62" s="1"/>
  <c r="F83" i="62" s="1"/>
  <c r="B84" i="62"/>
  <c r="B85" i="62" s="1"/>
  <c r="B87" i="62" s="1"/>
  <c r="B97" i="62" s="1"/>
  <c r="B98" i="62" s="1"/>
  <c r="B30" i="62"/>
  <c r="C30" i="62" s="1"/>
  <c r="D30" i="62" s="1"/>
  <c r="B70" i="62"/>
  <c r="C70" i="62" s="1"/>
  <c r="C68" i="62"/>
  <c r="D68" i="62"/>
  <c r="E68" i="62" s="1"/>
  <c r="F68" i="62" s="1"/>
  <c r="Q31" i="41"/>
  <c r="Q32" i="41" s="1"/>
  <c r="P31" i="41"/>
  <c r="N31" i="41"/>
  <c r="O23" i="41"/>
  <c r="O31" i="41"/>
  <c r="O32" i="41" s="1"/>
  <c r="Q12" i="41"/>
  <c r="Q10" i="41"/>
  <c r="Q8" i="41"/>
  <c r="P59" i="43"/>
  <c r="P52" i="43"/>
  <c r="O29" i="43"/>
  <c r="P29" i="43" s="1"/>
  <c r="O24" i="43"/>
  <c r="P24" i="43"/>
  <c r="P14" i="43"/>
  <c r="P11" i="43"/>
  <c r="Q11" i="43" s="1"/>
  <c r="Q47" i="41" s="1"/>
  <c r="P12" i="41"/>
  <c r="P10" i="41"/>
  <c r="P8" i="41"/>
  <c r="P57" i="44"/>
  <c r="P48" i="44"/>
  <c r="P56" i="44"/>
  <c r="P55" i="44"/>
  <c r="P16" i="44"/>
  <c r="P23" i="44" s="1"/>
  <c r="P31" i="44"/>
  <c r="P36" i="44"/>
  <c r="P49" i="44" s="1"/>
  <c r="A1" i="41"/>
  <c r="H7" i="41"/>
  <c r="H8" i="41" s="1"/>
  <c r="B8" i="41"/>
  <c r="C8" i="41"/>
  <c r="D8" i="41"/>
  <c r="E8" i="41"/>
  <c r="F8" i="41"/>
  <c r="G8" i="41"/>
  <c r="N8" i="41"/>
  <c r="O8" i="41"/>
  <c r="H9" i="41"/>
  <c r="M10" i="41"/>
  <c r="B10" i="41"/>
  <c r="C10" i="41"/>
  <c r="D10" i="41"/>
  <c r="E10" i="41"/>
  <c r="F10" i="41"/>
  <c r="G10" i="41"/>
  <c r="N10" i="41"/>
  <c r="O10" i="41"/>
  <c r="H11" i="41"/>
  <c r="H12" i="41" s="1"/>
  <c r="B12" i="41"/>
  <c r="C12" i="41"/>
  <c r="D12" i="41"/>
  <c r="E12" i="41"/>
  <c r="F12" i="41"/>
  <c r="G12" i="41"/>
  <c r="O12" i="41"/>
  <c r="H15" i="41"/>
  <c r="M16" i="41" s="1"/>
  <c r="H16" i="41"/>
  <c r="N15" i="41"/>
  <c r="O15" i="41"/>
  <c r="P15" i="41"/>
  <c r="Q15" i="41"/>
  <c r="R15" i="41"/>
  <c r="B16" i="41"/>
  <c r="C16" i="41"/>
  <c r="D16" i="41"/>
  <c r="E16" i="41"/>
  <c r="F16" i="41"/>
  <c r="G16" i="41"/>
  <c r="H17" i="41"/>
  <c r="H18" i="41" s="1"/>
  <c r="B18" i="41"/>
  <c r="C18" i="41"/>
  <c r="D18" i="41"/>
  <c r="E18" i="41"/>
  <c r="F18" i="41"/>
  <c r="G18" i="41"/>
  <c r="B19" i="41"/>
  <c r="C19" i="41"/>
  <c r="D19" i="41"/>
  <c r="E19" i="41"/>
  <c r="E27" i="41" s="1"/>
  <c r="F19" i="41"/>
  <c r="F27" i="41" s="1"/>
  <c r="G19" i="41"/>
  <c r="H64" i="41" s="1"/>
  <c r="D29" i="58" s="1"/>
  <c r="I19" i="41"/>
  <c r="I23" i="41"/>
  <c r="I24" i="41" s="1"/>
  <c r="J19" i="41"/>
  <c r="O20" i="41"/>
  <c r="K19" i="41"/>
  <c r="L19" i="41"/>
  <c r="H21" i="41"/>
  <c r="M22" i="41"/>
  <c r="H26" i="41"/>
  <c r="D27" i="41"/>
  <c r="M27" i="41"/>
  <c r="H28" i="41"/>
  <c r="H31" i="41" s="1"/>
  <c r="H30" i="41"/>
  <c r="B31" i="41"/>
  <c r="C31" i="41"/>
  <c r="C32" i="41" s="1"/>
  <c r="D31" i="41"/>
  <c r="D32" i="41"/>
  <c r="E31" i="41"/>
  <c r="F31" i="41"/>
  <c r="F32" i="41" s="1"/>
  <c r="G31" i="41"/>
  <c r="I31" i="41"/>
  <c r="I32" i="41" s="1"/>
  <c r="J31" i="41"/>
  <c r="J32" i="41" s="1"/>
  <c r="K31" i="41"/>
  <c r="L31" i="41"/>
  <c r="G32" i="41"/>
  <c r="H35" i="41"/>
  <c r="H36" i="41"/>
  <c r="N36" i="41"/>
  <c r="H37" i="41"/>
  <c r="H38" i="41"/>
  <c r="O47" i="41"/>
  <c r="H43" i="41"/>
  <c r="H44" i="41"/>
  <c r="B47" i="41"/>
  <c r="C47" i="41"/>
  <c r="D47" i="41"/>
  <c r="E47" i="41"/>
  <c r="F47" i="41"/>
  <c r="G47" i="41"/>
  <c r="I47" i="41"/>
  <c r="R54" i="41"/>
  <c r="R57" i="44" s="1"/>
  <c r="H61" i="41"/>
  <c r="D26" i="58" s="1"/>
  <c r="M62" i="41"/>
  <c r="R62" i="41"/>
  <c r="J11" i="43"/>
  <c r="A1" i="62"/>
  <c r="F22" i="62"/>
  <c r="F28" i="62"/>
  <c r="F35" i="62"/>
  <c r="L65" i="62"/>
  <c r="M65" i="62" s="1"/>
  <c r="N65" i="62" s="1"/>
  <c r="O65" i="62" s="1"/>
  <c r="P65" i="62" s="1"/>
  <c r="Q65" i="62" s="1"/>
  <c r="L71" i="62"/>
  <c r="M71" i="62" s="1"/>
  <c r="N71" i="62"/>
  <c r="O71" i="62" s="1"/>
  <c r="P71" i="62" s="1"/>
  <c r="Q71" i="62" s="1"/>
  <c r="F74" i="62"/>
  <c r="N74" i="62"/>
  <c r="O74" i="62"/>
  <c r="P74" i="62"/>
  <c r="Q74" i="62"/>
  <c r="P77" i="62"/>
  <c r="Q77" i="62" s="1"/>
  <c r="C89" i="62"/>
  <c r="D89" i="62" s="1"/>
  <c r="E89" i="62" s="1"/>
  <c r="B92" i="62"/>
  <c r="C92" i="62"/>
  <c r="D92" i="62"/>
  <c r="F92" i="62"/>
  <c r="L92" i="62"/>
  <c r="M92" i="62"/>
  <c r="N92" i="62"/>
  <c r="P92" i="62"/>
  <c r="Q92" i="62"/>
  <c r="K95" i="62"/>
  <c r="L95" i="62" s="1"/>
  <c r="M95" i="62" s="1"/>
  <c r="L96" i="62"/>
  <c r="M96" i="62" s="1"/>
  <c r="N96" i="62" s="1"/>
  <c r="O96" i="62" s="1"/>
  <c r="P96" i="62" s="1"/>
  <c r="Q96" i="62" s="1"/>
  <c r="Q104" i="62"/>
  <c r="A1" i="44"/>
  <c r="G9" i="44"/>
  <c r="G16" i="44" s="1"/>
  <c r="G10" i="44"/>
  <c r="G57" i="44"/>
  <c r="G11" i="44"/>
  <c r="G12" i="44"/>
  <c r="G13" i="44"/>
  <c r="G14" i="44"/>
  <c r="G55" i="44" s="1"/>
  <c r="G15" i="44"/>
  <c r="B16" i="44"/>
  <c r="B23" i="44" s="1"/>
  <c r="C16" i="44"/>
  <c r="C23" i="44" s="1"/>
  <c r="D16" i="44"/>
  <c r="E16" i="44"/>
  <c r="E23" i="44" s="1"/>
  <c r="F16" i="44"/>
  <c r="F23" i="44" s="1"/>
  <c r="H16" i="44"/>
  <c r="I16" i="44"/>
  <c r="I31" i="44"/>
  <c r="J16" i="44"/>
  <c r="K16" i="44"/>
  <c r="K23" i="44" s="1"/>
  <c r="L16" i="44"/>
  <c r="L23" i="44"/>
  <c r="M16" i="44"/>
  <c r="N16" i="44"/>
  <c r="N23" i="44" s="1"/>
  <c r="O16" i="44"/>
  <c r="O23" i="44" s="1"/>
  <c r="G17" i="44"/>
  <c r="G18" i="44"/>
  <c r="G19" i="44"/>
  <c r="G20" i="44"/>
  <c r="G21" i="44"/>
  <c r="G22" i="44"/>
  <c r="H23" i="44"/>
  <c r="G26" i="44"/>
  <c r="G27" i="44"/>
  <c r="G30" i="44"/>
  <c r="B31" i="44"/>
  <c r="C31" i="44"/>
  <c r="D31" i="44"/>
  <c r="E31" i="44"/>
  <c r="E36" i="44" s="1"/>
  <c r="F31" i="44"/>
  <c r="G32" i="44"/>
  <c r="G33" i="44"/>
  <c r="G35" i="44"/>
  <c r="H31" i="44"/>
  <c r="H36" i="44" s="1"/>
  <c r="H48" i="44"/>
  <c r="H56" i="44" s="1"/>
  <c r="J31" i="44"/>
  <c r="J36" i="44" s="1"/>
  <c r="J48" i="44"/>
  <c r="J56" i="44" s="1"/>
  <c r="K31" i="44"/>
  <c r="L31" i="44"/>
  <c r="M31" i="44"/>
  <c r="N31" i="44"/>
  <c r="N36" i="44" s="1"/>
  <c r="O31" i="44"/>
  <c r="D36" i="44"/>
  <c r="G38" i="44"/>
  <c r="G43" i="44"/>
  <c r="G44" i="44"/>
  <c r="G45" i="44"/>
  <c r="G46" i="44"/>
  <c r="G47" i="44"/>
  <c r="B48" i="44"/>
  <c r="B56" i="44" s="1"/>
  <c r="C48" i="44"/>
  <c r="C36" i="44"/>
  <c r="C49" i="44" s="1"/>
  <c r="D48" i="44"/>
  <c r="E48" i="44"/>
  <c r="E56" i="44" s="1"/>
  <c r="F48" i="44"/>
  <c r="F56" i="44" s="1"/>
  <c r="I48" i="44"/>
  <c r="I56" i="44"/>
  <c r="K48" i="44"/>
  <c r="L48" i="44"/>
  <c r="L56" i="44" s="1"/>
  <c r="M48" i="44"/>
  <c r="N48" i="44"/>
  <c r="N56" i="44" s="1"/>
  <c r="O48" i="44"/>
  <c r="O56" i="44" s="1"/>
  <c r="L52" i="44"/>
  <c r="D54" i="44"/>
  <c r="J54" i="44"/>
  <c r="K54" i="44"/>
  <c r="M54" i="44"/>
  <c r="O54" i="44"/>
  <c r="B55" i="44"/>
  <c r="C55" i="44"/>
  <c r="D55" i="44"/>
  <c r="E55" i="44"/>
  <c r="F55" i="44"/>
  <c r="I55" i="44"/>
  <c r="J55" i="44"/>
  <c r="K55" i="44"/>
  <c r="L55" i="44"/>
  <c r="M55" i="44"/>
  <c r="N55" i="44"/>
  <c r="O55" i="44"/>
  <c r="B57" i="44"/>
  <c r="C57" i="44"/>
  <c r="D57" i="44"/>
  <c r="E57" i="44"/>
  <c r="F57" i="44"/>
  <c r="H57" i="44"/>
  <c r="I57" i="44"/>
  <c r="J57" i="44"/>
  <c r="K57" i="44"/>
  <c r="L57" i="44"/>
  <c r="M57" i="44"/>
  <c r="N57" i="44"/>
  <c r="O57" i="44"/>
  <c r="A1" i="43"/>
  <c r="E9" i="43"/>
  <c r="F9" i="43"/>
  <c r="G9" i="43" s="1"/>
  <c r="E11" i="43"/>
  <c r="F11" i="43" s="1"/>
  <c r="G11" i="43" s="1"/>
  <c r="E12" i="43"/>
  <c r="F12" i="43" s="1"/>
  <c r="G12" i="43" s="1"/>
  <c r="J12" i="43"/>
  <c r="O12" i="43"/>
  <c r="P12" i="43"/>
  <c r="E13" i="43"/>
  <c r="F13" i="43"/>
  <c r="G13" i="43" s="1"/>
  <c r="J13" i="43"/>
  <c r="O13" i="43"/>
  <c r="P13" i="43" s="1"/>
  <c r="E14" i="43"/>
  <c r="F14" i="43" s="1"/>
  <c r="G14" i="43" s="1"/>
  <c r="J14" i="43"/>
  <c r="R14" i="43"/>
  <c r="S14" i="43" s="1"/>
  <c r="T14" i="43"/>
  <c r="U14" i="43" s="1"/>
  <c r="V14" i="43" s="1"/>
  <c r="W14" i="43" s="1"/>
  <c r="X14" i="43" s="1"/>
  <c r="Y14" i="43" s="1"/>
  <c r="Q14" i="43"/>
  <c r="L15" i="43"/>
  <c r="F16" i="43"/>
  <c r="G16" i="43" s="1"/>
  <c r="L16" i="43"/>
  <c r="E17" i="43"/>
  <c r="F17" i="43" s="1"/>
  <c r="G17" i="43" s="1"/>
  <c r="J17" i="43"/>
  <c r="K17" i="43" s="1"/>
  <c r="O17" i="43"/>
  <c r="P17" i="43" s="1"/>
  <c r="E18" i="43"/>
  <c r="F18" i="43" s="1"/>
  <c r="G18" i="43" s="1"/>
  <c r="J18" i="43"/>
  <c r="K18" i="43" s="1"/>
  <c r="L18" i="43" s="1"/>
  <c r="O18" i="43"/>
  <c r="P18" i="43" s="1"/>
  <c r="E19" i="43"/>
  <c r="F19" i="43" s="1"/>
  <c r="G19" i="43" s="1"/>
  <c r="J19" i="43"/>
  <c r="K19" i="43" s="1"/>
  <c r="O19" i="43"/>
  <c r="P19" i="43"/>
  <c r="E20" i="43"/>
  <c r="F20" i="43"/>
  <c r="G20" i="43" s="1"/>
  <c r="J20" i="43"/>
  <c r="K20" i="43"/>
  <c r="O20" i="43"/>
  <c r="P20" i="43"/>
  <c r="E24" i="43"/>
  <c r="F24" i="43"/>
  <c r="G24" i="43" s="1"/>
  <c r="J24" i="43"/>
  <c r="K24" i="43" s="1"/>
  <c r="R24" i="43"/>
  <c r="S24" i="43"/>
  <c r="L25" i="43"/>
  <c r="R25" i="43"/>
  <c r="E26" i="43"/>
  <c r="F26" i="43"/>
  <c r="G26" i="43" s="1"/>
  <c r="J26" i="43"/>
  <c r="O26" i="43"/>
  <c r="P26" i="43" s="1"/>
  <c r="R26" i="43"/>
  <c r="S26" i="43" s="1"/>
  <c r="T26" i="43" s="1"/>
  <c r="U26" i="43" s="1"/>
  <c r="V26" i="43" s="1"/>
  <c r="W26" i="43" s="1"/>
  <c r="X26" i="43" s="1"/>
  <c r="Y26" i="43" s="1"/>
  <c r="E27" i="43"/>
  <c r="F27" i="43" s="1"/>
  <c r="G27" i="43"/>
  <c r="J27" i="43"/>
  <c r="O27" i="43"/>
  <c r="R27" i="43"/>
  <c r="E28" i="43"/>
  <c r="F28" i="43" s="1"/>
  <c r="G28" i="43" s="1"/>
  <c r="J28" i="43"/>
  <c r="K28" i="43"/>
  <c r="L28" i="43" s="1"/>
  <c r="O28" i="43"/>
  <c r="P28" i="43"/>
  <c r="R28" i="43"/>
  <c r="S28" i="43" s="1"/>
  <c r="T28" i="43"/>
  <c r="U28" i="43" s="1"/>
  <c r="V28" i="43"/>
  <c r="W28" i="43" s="1"/>
  <c r="X28" i="43" s="1"/>
  <c r="Y28" i="43" s="1"/>
  <c r="E29" i="43"/>
  <c r="F29" i="43" s="1"/>
  <c r="G29" i="43"/>
  <c r="J29" i="43"/>
  <c r="K29" i="43"/>
  <c r="R29" i="43"/>
  <c r="S29" i="43" s="1"/>
  <c r="T29" i="43"/>
  <c r="U29" i="43" s="1"/>
  <c r="V29" i="43" s="1"/>
  <c r="W29" i="43" s="1"/>
  <c r="X29" i="43" s="1"/>
  <c r="Y29" i="43" s="1"/>
  <c r="E30" i="43"/>
  <c r="F30" i="43"/>
  <c r="G30" i="43" s="1"/>
  <c r="J30" i="43"/>
  <c r="O30" i="43"/>
  <c r="R30" i="43"/>
  <c r="S30" i="43"/>
  <c r="T30" i="43" s="1"/>
  <c r="U30" i="43"/>
  <c r="V30" i="43" s="1"/>
  <c r="W30" i="43" s="1"/>
  <c r="X30" i="43" s="1"/>
  <c r="Y30" i="43" s="1"/>
  <c r="E31" i="43"/>
  <c r="F31" i="43" s="1"/>
  <c r="G31" i="43" s="1"/>
  <c r="J31" i="43"/>
  <c r="O31" i="43"/>
  <c r="P31" i="43" s="1"/>
  <c r="B32" i="43"/>
  <c r="C32" i="43"/>
  <c r="D32" i="43"/>
  <c r="H32" i="43"/>
  <c r="I32" i="43"/>
  <c r="E35" i="43"/>
  <c r="J35" i="43"/>
  <c r="K35" i="43" s="1"/>
  <c r="O35" i="43"/>
  <c r="P35" i="43" s="1"/>
  <c r="R35" i="43"/>
  <c r="E36" i="43"/>
  <c r="F36" i="43"/>
  <c r="G36" i="43" s="1"/>
  <c r="J36" i="43"/>
  <c r="J37" i="43"/>
  <c r="K37" i="43" s="1"/>
  <c r="K36" i="43"/>
  <c r="K42" i="43" s="1"/>
  <c r="O36" i="43"/>
  <c r="P36" i="43" s="1"/>
  <c r="E37" i="43"/>
  <c r="F37" i="43" s="1"/>
  <c r="G37" i="43" s="1"/>
  <c r="O37" i="43"/>
  <c r="P37" i="43"/>
  <c r="P42" i="43" s="1"/>
  <c r="F39" i="43"/>
  <c r="G39" i="43" s="1"/>
  <c r="G40" i="43"/>
  <c r="B42" i="43"/>
  <c r="C42" i="43"/>
  <c r="D42" i="43"/>
  <c r="H42" i="43"/>
  <c r="H58" i="43" s="1"/>
  <c r="I42" i="43"/>
  <c r="M42" i="43"/>
  <c r="N42" i="43"/>
  <c r="G45" i="43"/>
  <c r="L45" i="43"/>
  <c r="G46" i="43"/>
  <c r="G47" i="43"/>
  <c r="G48" i="43"/>
  <c r="G50" i="43"/>
  <c r="K50" i="43"/>
  <c r="L50" i="43" s="1"/>
  <c r="O51" i="43"/>
  <c r="O53" i="43"/>
  <c r="P53" i="43" s="1"/>
  <c r="O54" i="43"/>
  <c r="P54" i="43" s="1"/>
  <c r="E53" i="43"/>
  <c r="F53" i="43" s="1"/>
  <c r="J53" i="43"/>
  <c r="E54" i="43"/>
  <c r="F54" i="43" s="1"/>
  <c r="J54" i="43"/>
  <c r="K54" i="43" s="1"/>
  <c r="B56" i="43"/>
  <c r="C56" i="43"/>
  <c r="D56" i="43"/>
  <c r="H56" i="43"/>
  <c r="I56" i="43"/>
  <c r="M56" i="43"/>
  <c r="N56" i="43"/>
  <c r="Q56" i="43"/>
  <c r="R56" i="43"/>
  <c r="S56" i="43"/>
  <c r="T56" i="43"/>
  <c r="U56" i="43"/>
  <c r="V56" i="43"/>
  <c r="W56" i="43"/>
  <c r="X56" i="43"/>
  <c r="Y56" i="43"/>
  <c r="E57" i="43"/>
  <c r="F57" i="43" s="1"/>
  <c r="G57" i="43" s="1"/>
  <c r="J57" i="43"/>
  <c r="K57" i="43" s="1"/>
  <c r="O57" i="43"/>
  <c r="P57" i="43" s="1"/>
  <c r="R57" i="43"/>
  <c r="S57" i="43" s="1"/>
  <c r="T57" i="43" s="1"/>
  <c r="U57" i="43" s="1"/>
  <c r="V57" i="43" s="1"/>
  <c r="W57" i="43" s="1"/>
  <c r="X57" i="43" s="1"/>
  <c r="Y57" i="43" s="1"/>
  <c r="O58" i="43"/>
  <c r="P58" i="43" s="1"/>
  <c r="P60" i="43" s="1"/>
  <c r="C62" i="43"/>
  <c r="I62" i="43"/>
  <c r="G12" i="59"/>
  <c r="C16" i="59"/>
  <c r="C15" i="59" s="1"/>
  <c r="C14" i="59" s="1"/>
  <c r="C18" i="59"/>
  <c r="C19" i="59"/>
  <c r="C20" i="59" s="1"/>
  <c r="D23" i="59"/>
  <c r="G24" i="59"/>
  <c r="G25" i="59"/>
  <c r="B28" i="59"/>
  <c r="B27" i="59"/>
  <c r="B26" i="59" s="1"/>
  <c r="B30" i="59"/>
  <c r="B31" i="59" s="1"/>
  <c r="B32" i="59" s="1"/>
  <c r="F8" i="58"/>
  <c r="F7" i="58" s="1"/>
  <c r="F9" i="58" s="1"/>
  <c r="F12" i="58"/>
  <c r="F13" i="58"/>
  <c r="C25" i="58"/>
  <c r="D25" i="58"/>
  <c r="D34" i="58" s="1"/>
  <c r="D43" i="58" s="1"/>
  <c r="E25" i="58"/>
  <c r="E34" i="58" s="1"/>
  <c r="E43" i="58" s="1"/>
  <c r="F25" i="58"/>
  <c r="F34" i="58" s="1"/>
  <c r="F43" i="58" s="1"/>
  <c r="E27" i="58"/>
  <c r="F27" i="58"/>
  <c r="C34" i="58"/>
  <c r="C43" i="58"/>
  <c r="L35" i="43"/>
  <c r="H62" i="43"/>
  <c r="F12" i="59"/>
  <c r="H12" i="59"/>
  <c r="H24" i="59" s="1"/>
  <c r="H25" i="59" s="1"/>
  <c r="O42" i="43"/>
  <c r="S25" i="43"/>
  <c r="T25" i="43" s="1"/>
  <c r="U25" i="43" s="1"/>
  <c r="V25" i="43" s="1"/>
  <c r="W25" i="43" s="1"/>
  <c r="O53" i="44"/>
  <c r="M36" i="44"/>
  <c r="K36" i="44"/>
  <c r="K51" i="44"/>
  <c r="K52" i="44"/>
  <c r="K53" i="44"/>
  <c r="I36" i="44"/>
  <c r="I49" i="44" s="1"/>
  <c r="C51" i="44"/>
  <c r="C52" i="44"/>
  <c r="L20" i="43"/>
  <c r="G29" i="41"/>
  <c r="E22" i="41"/>
  <c r="C27" i="41"/>
  <c r="C22" i="41"/>
  <c r="C29" i="41"/>
  <c r="C54" i="44"/>
  <c r="B90" i="62"/>
  <c r="C90" i="62" s="1"/>
  <c r="D90" i="62" s="1"/>
  <c r="E23" i="41"/>
  <c r="E24" i="41" s="1"/>
  <c r="C23" i="41"/>
  <c r="C24" i="41" s="1"/>
  <c r="H47" i="41"/>
  <c r="I20" i="41"/>
  <c r="I27" i="41"/>
  <c r="H10" i="41"/>
  <c r="C33" i="41"/>
  <c r="C34" i="41" s="1"/>
  <c r="B91" i="62"/>
  <c r="B93" i="62" s="1"/>
  <c r="I12" i="59"/>
  <c r="I24" i="59" s="1"/>
  <c r="I25" i="59" s="1"/>
  <c r="F24" i="59"/>
  <c r="F25" i="59"/>
  <c r="E12" i="59"/>
  <c r="D12" i="59"/>
  <c r="D24" i="59" s="1"/>
  <c r="D25" i="59" s="1"/>
  <c r="J12" i="59"/>
  <c r="J24" i="59" s="1"/>
  <c r="J25" i="59" s="1"/>
  <c r="R10" i="41"/>
  <c r="R12" i="41"/>
  <c r="R63" i="41"/>
  <c r="F28" i="58" s="1"/>
  <c r="P32" i="41"/>
  <c r="R8" i="41"/>
  <c r="Q20" i="41"/>
  <c r="R64" i="41"/>
  <c r="F29" i="58"/>
  <c r="S31" i="41"/>
  <c r="S32" i="41"/>
  <c r="F36" i="44"/>
  <c r="F53" i="44"/>
  <c r="F52" i="44"/>
  <c r="F51" i="44"/>
  <c r="F89" i="62"/>
  <c r="K89" i="62" s="1"/>
  <c r="L89" i="62" s="1"/>
  <c r="M89" i="62" s="1"/>
  <c r="N89" i="62" s="1"/>
  <c r="F29" i="41"/>
  <c r="F22" i="41"/>
  <c r="F23" i="41"/>
  <c r="F33" i="41" s="1"/>
  <c r="F54" i="44"/>
  <c r="H63" i="41"/>
  <c r="D28" i="58"/>
  <c r="D56" i="44"/>
  <c r="D49" i="44"/>
  <c r="S27" i="43"/>
  <c r="T27" i="43"/>
  <c r="U27" i="43" s="1"/>
  <c r="V27" i="43" s="1"/>
  <c r="R11" i="43"/>
  <c r="D10" i="50" s="1"/>
  <c r="C39" i="41"/>
  <c r="C45" i="41" s="1"/>
  <c r="P47" i="41"/>
  <c r="E24" i="59"/>
  <c r="E25" i="59"/>
  <c r="C56" i="44"/>
  <c r="K27" i="43"/>
  <c r="L27" i="43" s="1"/>
  <c r="G54" i="43"/>
  <c r="K56" i="44"/>
  <c r="K49" i="44"/>
  <c r="P53" i="44"/>
  <c r="P52" i="44"/>
  <c r="F18" i="62"/>
  <c r="K18" i="62" s="1"/>
  <c r="G18" i="62" s="1"/>
  <c r="H18" i="62" s="1"/>
  <c r="I18" i="62" s="1"/>
  <c r="J18" i="62" s="1"/>
  <c r="I51" i="44"/>
  <c r="I23" i="44"/>
  <c r="F35" i="43"/>
  <c r="E42" i="43"/>
  <c r="K13" i="43"/>
  <c r="L13" i="43" s="1"/>
  <c r="E30" i="62"/>
  <c r="R36" i="44"/>
  <c r="R49" i="44" s="1"/>
  <c r="R52" i="44"/>
  <c r="R51" i="44"/>
  <c r="J52" i="44"/>
  <c r="L20" i="41"/>
  <c r="G48" i="62"/>
  <c r="H48" i="62" s="1"/>
  <c r="S27" i="41"/>
  <c r="S23" i="41"/>
  <c r="S29" i="41"/>
  <c r="S22" i="41"/>
  <c r="C53" i="44"/>
  <c r="L17" i="43"/>
  <c r="J47" i="41"/>
  <c r="K11" i="43"/>
  <c r="E29" i="41"/>
  <c r="H62" i="41"/>
  <c r="D27" i="58" s="1"/>
  <c r="AB53" i="41"/>
  <c r="AC53" i="41" s="1"/>
  <c r="J51" i="44"/>
  <c r="O51" i="44"/>
  <c r="D58" i="62"/>
  <c r="E58" i="62" s="1"/>
  <c r="R56" i="44"/>
  <c r="K20" i="41"/>
  <c r="C84" i="62"/>
  <c r="D84" i="62" s="1"/>
  <c r="E84" i="62" s="1"/>
  <c r="M30" i="62"/>
  <c r="K32" i="41"/>
  <c r="I33" i="41"/>
  <c r="B59" i="62"/>
  <c r="C59" i="62" s="1"/>
  <c r="C60" i="62" s="1"/>
  <c r="C69" i="62" s="1"/>
  <c r="M63" i="41"/>
  <c r="E28" i="58" s="1"/>
  <c r="K23" i="41"/>
  <c r="K24" i="41" s="1"/>
  <c r="O22" i="41"/>
  <c r="P22" i="41"/>
  <c r="Q22" i="41"/>
  <c r="O29" i="41"/>
  <c r="B41" i="62"/>
  <c r="B43" i="62" s="1"/>
  <c r="B46" i="62" s="1"/>
  <c r="B13" i="62" s="1"/>
  <c r="D29" i="41"/>
  <c r="N29" i="41"/>
  <c r="Q29" i="41"/>
  <c r="R19" i="41"/>
  <c r="L64" i="62"/>
  <c r="L70" i="62"/>
  <c r="Q52" i="44"/>
  <c r="Q23" i="44"/>
  <c r="Q51" i="44"/>
  <c r="R53" i="44"/>
  <c r="K83" i="62"/>
  <c r="L83" i="62" s="1"/>
  <c r="R65" i="41"/>
  <c r="F30" i="58" s="1"/>
  <c r="S24" i="41"/>
  <c r="S33" i="41"/>
  <c r="C41" i="41"/>
  <c r="G30" i="62"/>
  <c r="G70" i="62" s="1"/>
  <c r="N30" i="62"/>
  <c r="O30" i="62" s="1"/>
  <c r="P30" i="62" s="1"/>
  <c r="Q30" i="62" s="1"/>
  <c r="F24" i="41"/>
  <c r="G35" i="43"/>
  <c r="I39" i="41"/>
  <c r="C46" i="41"/>
  <c r="L18" i="62"/>
  <c r="M18" i="62" s="1"/>
  <c r="D85" i="62"/>
  <c r="D87" i="62" s="1"/>
  <c r="D97" i="62" s="1"/>
  <c r="D98" i="62" s="1"/>
  <c r="D82" i="62" s="1"/>
  <c r="H70" i="41"/>
  <c r="F39" i="41"/>
  <c r="F45" i="41" s="1"/>
  <c r="F34" i="41"/>
  <c r="F58" i="62"/>
  <c r="K58" i="62" s="1"/>
  <c r="S34" i="41"/>
  <c r="S39" i="41"/>
  <c r="S45" i="41" s="1"/>
  <c r="C63" i="62"/>
  <c r="F41" i="41"/>
  <c r="S41" i="41"/>
  <c r="N18" i="62"/>
  <c r="O18" i="62" s="1"/>
  <c r="P18" i="62" s="1"/>
  <c r="T12" i="41"/>
  <c r="T10" i="41"/>
  <c r="T8" i="41"/>
  <c r="U12" i="41"/>
  <c r="U10" i="41"/>
  <c r="T23" i="41"/>
  <c r="T24" i="41" s="1"/>
  <c r="U8" i="41"/>
  <c r="U20" i="41"/>
  <c r="T31" i="41"/>
  <c r="T32" i="41" s="1"/>
  <c r="U32" i="41"/>
  <c r="B82" i="62"/>
  <c r="E90" i="62"/>
  <c r="N95" i="62"/>
  <c r="O95" i="62" s="1"/>
  <c r="P95" i="62" s="1"/>
  <c r="Q95" i="62" s="1"/>
  <c r="M70" i="62"/>
  <c r="M32" i="41"/>
  <c r="L37" i="43"/>
  <c r="J23" i="41"/>
  <c r="J33" i="41" s="1"/>
  <c r="J22" i="41"/>
  <c r="T20" i="41"/>
  <c r="T54" i="44"/>
  <c r="T27" i="41"/>
  <c r="M68" i="62"/>
  <c r="U23" i="41"/>
  <c r="U33" i="41" s="1"/>
  <c r="Q25" i="62"/>
  <c r="Q24" i="62"/>
  <c r="M62" i="62"/>
  <c r="J44" i="62"/>
  <c r="T23" i="44"/>
  <c r="Q53" i="62"/>
  <c r="U29" i="41"/>
  <c r="U22" i="41"/>
  <c r="O76" i="62"/>
  <c r="P76" i="62" s="1"/>
  <c r="Q76" i="62" s="1"/>
  <c r="Z22" i="41"/>
  <c r="M44" i="62"/>
  <c r="N44" i="62"/>
  <c r="N62" i="62"/>
  <c r="O62" i="62" s="1"/>
  <c r="N68" i="62"/>
  <c r="N70" i="62"/>
  <c r="O70" i="62" s="1"/>
  <c r="X25" i="43"/>
  <c r="Y25" i="43" s="1"/>
  <c r="W27" i="43"/>
  <c r="X27" i="43" s="1"/>
  <c r="Y27" i="43" s="1"/>
  <c r="O44" i="62"/>
  <c r="P44" i="62" s="1"/>
  <c r="O68" i="62"/>
  <c r="P62" i="62"/>
  <c r="V22" i="41" l="1"/>
  <c r="W22" i="41" s="1"/>
  <c r="U34" i="41"/>
  <c r="U39" i="41"/>
  <c r="U45" i="41" s="1"/>
  <c r="U51" i="41" s="1"/>
  <c r="L58" i="62"/>
  <c r="G58" i="62"/>
  <c r="H58" i="62" s="1"/>
  <c r="R23" i="41"/>
  <c r="R54" i="44"/>
  <c r="R32" i="41"/>
  <c r="F56" i="43"/>
  <c r="G53" i="43"/>
  <c r="X17" i="41"/>
  <c r="W18" i="41"/>
  <c r="J24" i="41"/>
  <c r="T33" i="41"/>
  <c r="H84" i="41"/>
  <c r="D46" i="58" s="1"/>
  <c r="D37" i="58"/>
  <c r="D59" i="62"/>
  <c r="B60" i="62"/>
  <c r="S11" i="43"/>
  <c r="R20" i="41"/>
  <c r="C85" i="62"/>
  <c r="C87" i="62" s="1"/>
  <c r="C97" i="62" s="1"/>
  <c r="C98" i="62" s="1"/>
  <c r="C82" i="62" s="1"/>
  <c r="I48" i="62"/>
  <c r="C48" i="41"/>
  <c r="C51" i="41"/>
  <c r="F31" i="58"/>
  <c r="B58" i="43"/>
  <c r="B60" i="43" s="1"/>
  <c r="C59" i="43" s="1"/>
  <c r="K30" i="43"/>
  <c r="L30" i="43" s="1"/>
  <c r="L36" i="44"/>
  <c r="L49" i="44" s="1"/>
  <c r="L51" i="44"/>
  <c r="D51" i="44"/>
  <c r="D23" i="44"/>
  <c r="D53" i="44"/>
  <c r="L22" i="41"/>
  <c r="L54" i="44"/>
  <c r="B23" i="41"/>
  <c r="B24" i="41" s="1"/>
  <c r="B27" i="41"/>
  <c r="B29" i="41"/>
  <c r="B54" i="44"/>
  <c r="N27" i="41"/>
  <c r="N22" i="41"/>
  <c r="R22" i="41" s="1"/>
  <c r="R61" i="41"/>
  <c r="F26" i="58" s="1"/>
  <c r="N54" i="44"/>
  <c r="V54" i="41"/>
  <c r="W54" i="41"/>
  <c r="L23" i="41"/>
  <c r="F11" i="58"/>
  <c r="C91" i="62"/>
  <c r="C93" i="62" s="1"/>
  <c r="D91" i="62"/>
  <c r="D93" i="62" s="1"/>
  <c r="W28" i="41"/>
  <c r="W31" i="41" s="1"/>
  <c r="F42" i="43"/>
  <c r="P23" i="41"/>
  <c r="P27" i="41"/>
  <c r="R27" i="41" s="1"/>
  <c r="B34" i="62"/>
  <c r="B36" i="62" s="1"/>
  <c r="C19" i="62"/>
  <c r="D19" i="62" s="1"/>
  <c r="B22" i="41"/>
  <c r="G68" i="62"/>
  <c r="H68" i="62" s="1"/>
  <c r="E32" i="41"/>
  <c r="B53" i="44"/>
  <c r="S20" i="41"/>
  <c r="G22" i="41"/>
  <c r="G27" i="41"/>
  <c r="P51" i="44"/>
  <c r="E56" i="43"/>
  <c r="N53" i="44"/>
  <c r="E33" i="41"/>
  <c r="G23" i="41"/>
  <c r="C20" i="41"/>
  <c r="D52" i="44"/>
  <c r="C58" i="43"/>
  <c r="C60" i="43" s="1"/>
  <c r="I58" i="43"/>
  <c r="G42" i="43"/>
  <c r="J42" i="43"/>
  <c r="L24" i="43"/>
  <c r="L19" i="43"/>
  <c r="L53" i="44"/>
  <c r="M49" i="44"/>
  <c r="B29" i="62"/>
  <c r="M64" i="41"/>
  <c r="E29" i="58" s="1"/>
  <c r="L32" i="41"/>
  <c r="D22" i="41"/>
  <c r="D23" i="41"/>
  <c r="D33" i="41" s="1"/>
  <c r="M18" i="41"/>
  <c r="K37" i="62"/>
  <c r="L37" i="62" s="1"/>
  <c r="M37" i="62" s="1"/>
  <c r="N37" i="62" s="1"/>
  <c r="O37" i="62" s="1"/>
  <c r="P37" i="62" s="1"/>
  <c r="B37" i="62"/>
  <c r="W53" i="41"/>
  <c r="D11" i="50"/>
  <c r="G31" i="44"/>
  <c r="G36" i="44" s="1"/>
  <c r="J53" i="44"/>
  <c r="G54" i="44"/>
  <c r="B32" i="41"/>
  <c r="N32" i="41"/>
  <c r="B26" i="62"/>
  <c r="T49" i="44"/>
  <c r="J34" i="41"/>
  <c r="M69" i="41"/>
  <c r="J39" i="41"/>
  <c r="U46" i="41"/>
  <c r="J48" i="62"/>
  <c r="Q18" i="62"/>
  <c r="AA22" i="41"/>
  <c r="P70" i="62"/>
  <c r="Q37" i="62"/>
  <c r="Q44" i="62"/>
  <c r="H59" i="43"/>
  <c r="D59" i="43"/>
  <c r="K26" i="43"/>
  <c r="L26" i="43"/>
  <c r="O89" i="62"/>
  <c r="I45" i="41"/>
  <c r="I41" i="41"/>
  <c r="P33" i="41"/>
  <c r="P24" i="41"/>
  <c r="E32" i="43"/>
  <c r="H60" i="43"/>
  <c r="G32" i="43"/>
  <c r="U24" i="41"/>
  <c r="F90" i="62"/>
  <c r="E91" i="62"/>
  <c r="E93" i="62" s="1"/>
  <c r="Q62" i="62"/>
  <c r="G52" i="44"/>
  <c r="G23" i="44"/>
  <c r="G51" i="44"/>
  <c r="G53" i="44"/>
  <c r="S46" i="41"/>
  <c r="S51" i="41"/>
  <c r="Q42" i="43"/>
  <c r="R42" i="43" s="1"/>
  <c r="S42" i="43" s="1"/>
  <c r="T42" i="43" s="1"/>
  <c r="U42" i="43" s="1"/>
  <c r="V42" i="43" s="1"/>
  <c r="W42" i="43" s="1"/>
  <c r="X42" i="43" s="1"/>
  <c r="Y42" i="43" s="1"/>
  <c r="D12" i="50"/>
  <c r="S35" i="43"/>
  <c r="D58" i="43"/>
  <c r="D62" i="43"/>
  <c r="K12" i="43"/>
  <c r="L12" i="43" s="1"/>
  <c r="D70" i="62"/>
  <c r="C72" i="62"/>
  <c r="C75" i="62" s="1"/>
  <c r="C78" i="62" s="1"/>
  <c r="L11" i="43"/>
  <c r="O56" i="43"/>
  <c r="P51" i="43"/>
  <c r="P56" i="43" s="1"/>
  <c r="F84" i="62"/>
  <c r="E85" i="62"/>
  <c r="E87" i="62" s="1"/>
  <c r="E97" i="62" s="1"/>
  <c r="E98" i="62" s="1"/>
  <c r="E82" i="62" s="1"/>
  <c r="M58" i="62"/>
  <c r="M83" i="62"/>
  <c r="H62" i="62"/>
  <c r="F46" i="41"/>
  <c r="F48" i="41"/>
  <c r="F51" i="41"/>
  <c r="H77" i="41" s="1"/>
  <c r="D19" i="58" s="1"/>
  <c r="I34" i="41"/>
  <c r="M68" i="41"/>
  <c r="J56" i="43"/>
  <c r="O36" i="44"/>
  <c r="O49" i="44" s="1"/>
  <c r="O52" i="44"/>
  <c r="K53" i="43"/>
  <c r="K56" i="43" s="1"/>
  <c r="G56" i="43"/>
  <c r="L36" i="43"/>
  <c r="L42" i="43" s="1"/>
  <c r="T24" i="43"/>
  <c r="E11" i="50"/>
  <c r="G48" i="44"/>
  <c r="M64" i="62"/>
  <c r="M23" i="44"/>
  <c r="M52" i="44"/>
  <c r="M53" i="44"/>
  <c r="O24" i="41"/>
  <c r="O33" i="41"/>
  <c r="N49" i="44"/>
  <c r="H49" i="44"/>
  <c r="B52" i="44"/>
  <c r="B51" i="44"/>
  <c r="D24" i="41"/>
  <c r="M8" i="41"/>
  <c r="H53" i="44"/>
  <c r="G74" i="62"/>
  <c r="H74" i="62"/>
  <c r="R36" i="41"/>
  <c r="N47" i="41"/>
  <c r="I22" i="41"/>
  <c r="I54" i="44"/>
  <c r="M61" i="41"/>
  <c r="E26" i="58" s="1"/>
  <c r="I29" i="41"/>
  <c r="H30" i="62"/>
  <c r="C20" i="62"/>
  <c r="F49" i="44"/>
  <c r="E53" i="44"/>
  <c r="L29" i="43"/>
  <c r="K14" i="43"/>
  <c r="K47" i="41" s="1"/>
  <c r="F32" i="43"/>
  <c r="M56" i="44"/>
  <c r="B32" i="62"/>
  <c r="H55" i="44"/>
  <c r="K33" i="41"/>
  <c r="H51" i="44"/>
  <c r="H19" i="41"/>
  <c r="H27" i="41" s="1"/>
  <c r="E52" i="44"/>
  <c r="M51" i="44"/>
  <c r="B62" i="43"/>
  <c r="K31" i="43"/>
  <c r="L31" i="43" s="1"/>
  <c r="N20" i="41"/>
  <c r="M12" i="41"/>
  <c r="H52" i="44"/>
  <c r="B36" i="44"/>
  <c r="B49" i="44" s="1"/>
  <c r="B33" i="41"/>
  <c r="N51" i="44"/>
  <c r="E51" i="44"/>
  <c r="L54" i="43"/>
  <c r="J49" i="44"/>
  <c r="E49" i="44"/>
  <c r="J23" i="44"/>
  <c r="I52" i="44"/>
  <c r="I53" i="44"/>
  <c r="J20" i="41"/>
  <c r="E54" i="44"/>
  <c r="N52" i="44"/>
  <c r="D34" i="41"/>
  <c r="P20" i="41"/>
  <c r="K22" i="41"/>
  <c r="N23" i="41"/>
  <c r="P29" i="41"/>
  <c r="R29" i="41" s="1"/>
  <c r="Q27" i="41"/>
  <c r="S53" i="44"/>
  <c r="B64" i="62"/>
  <c r="C24" i="62"/>
  <c r="S23" i="44"/>
  <c r="T51" i="44"/>
  <c r="Q23" i="41"/>
  <c r="Q51" i="62"/>
  <c r="Q50" i="62" s="1"/>
  <c r="M23" i="41"/>
  <c r="Q36" i="44"/>
  <c r="Q49" i="44" s="1"/>
  <c r="M65" i="41"/>
  <c r="E30" i="58" s="1"/>
  <c r="E31" i="58" s="1"/>
  <c r="H22" i="41" l="1"/>
  <c r="C37" i="62"/>
  <c r="D37" i="62" s="1"/>
  <c r="E37" i="62" s="1"/>
  <c r="G37" i="62" s="1"/>
  <c r="H37" i="62" s="1"/>
  <c r="I37" i="62" s="1"/>
  <c r="J37" i="62" s="1"/>
  <c r="B39" i="62"/>
  <c r="G24" i="41"/>
  <c r="G33" i="41"/>
  <c r="E19" i="62"/>
  <c r="D20" i="62"/>
  <c r="C49" i="41"/>
  <c r="C50" i="41"/>
  <c r="E10" i="50"/>
  <c r="T11" i="43"/>
  <c r="S47" i="41"/>
  <c r="S48" i="41" s="1"/>
  <c r="S49" i="41" s="1"/>
  <c r="E59" i="62"/>
  <c r="D60" i="62"/>
  <c r="Y17" i="41"/>
  <c r="X18" i="41"/>
  <c r="L14" i="43"/>
  <c r="L53" i="43"/>
  <c r="L56" i="43" s="1"/>
  <c r="D60" i="43"/>
  <c r="E59" i="43" s="1"/>
  <c r="H68" i="41"/>
  <c r="D39" i="41"/>
  <c r="E34" i="41"/>
  <c r="E39" i="41"/>
  <c r="H69" i="41"/>
  <c r="L33" i="41"/>
  <c r="L24" i="41"/>
  <c r="B69" i="62"/>
  <c r="B72" i="62" s="1"/>
  <c r="B75" i="62" s="1"/>
  <c r="B78" i="62" s="1"/>
  <c r="B63" i="62"/>
  <c r="T34" i="41"/>
  <c r="T39" i="41"/>
  <c r="R33" i="41"/>
  <c r="R24" i="41"/>
  <c r="M24" i="41"/>
  <c r="M33" i="41"/>
  <c r="K39" i="41"/>
  <c r="M70" i="41"/>
  <c r="K34" i="41"/>
  <c r="S50" i="41"/>
  <c r="M82" i="41"/>
  <c r="E44" i="58" s="1"/>
  <c r="E35" i="58"/>
  <c r="N33" i="41"/>
  <c r="N24" i="41"/>
  <c r="T35" i="43"/>
  <c r="E12" i="50"/>
  <c r="E62" i="43"/>
  <c r="E58" i="43"/>
  <c r="E60" i="43" s="1"/>
  <c r="F59" i="43" s="1"/>
  <c r="P89" i="62"/>
  <c r="N64" i="62"/>
  <c r="G56" i="44"/>
  <c r="G49" i="44"/>
  <c r="I46" i="41"/>
  <c r="I48" i="41"/>
  <c r="I51" i="41"/>
  <c r="M75" i="41" s="1"/>
  <c r="E17" i="58" s="1"/>
  <c r="M59" i="43"/>
  <c r="M60" i="43" s="1"/>
  <c r="I59" i="43"/>
  <c r="I60" i="43" s="1"/>
  <c r="J59" i="43" s="1"/>
  <c r="K84" i="62"/>
  <c r="F85" i="62"/>
  <c r="F87" i="62" s="1"/>
  <c r="F97" i="62" s="1"/>
  <c r="F98" i="62" s="1"/>
  <c r="F82" i="62" s="1"/>
  <c r="B34" i="41"/>
  <c r="B39" i="41"/>
  <c r="J45" i="41"/>
  <c r="J41" i="41"/>
  <c r="Q24" i="41"/>
  <c r="Q33" i="41"/>
  <c r="R39" i="41"/>
  <c r="R41" i="41" s="1"/>
  <c r="R47" i="41"/>
  <c r="N83" i="62"/>
  <c r="I30" i="62"/>
  <c r="H70" i="62"/>
  <c r="F50" i="41"/>
  <c r="F49" i="41"/>
  <c r="N58" i="62"/>
  <c r="E70" i="62"/>
  <c r="P39" i="41"/>
  <c r="P34" i="41"/>
  <c r="Q70" i="62"/>
  <c r="E36" i="58"/>
  <c r="M83" i="41"/>
  <c r="E45" i="58" s="1"/>
  <c r="G62" i="43"/>
  <c r="G58" i="43"/>
  <c r="U24" i="43"/>
  <c r="F11" i="50"/>
  <c r="K90" i="62"/>
  <c r="F91" i="62"/>
  <c r="F93" i="62" s="1"/>
  <c r="I58" i="62"/>
  <c r="L47" i="41"/>
  <c r="M47" i="41" s="1"/>
  <c r="C34" i="62"/>
  <c r="C36" i="62" s="1"/>
  <c r="C39" i="62" s="1"/>
  <c r="C41" i="62"/>
  <c r="C43" i="62" s="1"/>
  <c r="C46" i="62" s="1"/>
  <c r="C29" i="62"/>
  <c r="C32" i="62" s="1"/>
  <c r="C11" i="62" s="1"/>
  <c r="C23" i="62"/>
  <c r="C26" i="62" s="1"/>
  <c r="D24" i="62"/>
  <c r="I74" i="62"/>
  <c r="J74" i="62"/>
  <c r="C64" i="62"/>
  <c r="B66" i="62"/>
  <c r="H20" i="41"/>
  <c r="H32" i="41"/>
  <c r="H65" i="41"/>
  <c r="D30" i="58" s="1"/>
  <c r="D31" i="58" s="1"/>
  <c r="H29" i="41"/>
  <c r="H54" i="44"/>
  <c r="M20" i="41"/>
  <c r="H23" i="41"/>
  <c r="F58" i="43"/>
  <c r="F62" i="43"/>
  <c r="R70" i="41"/>
  <c r="F37" i="58" s="1"/>
  <c r="O39" i="41"/>
  <c r="O34" i="41"/>
  <c r="R69" i="41"/>
  <c r="F36" i="58" s="1"/>
  <c r="AB22" i="41"/>
  <c r="R34" i="41" l="1"/>
  <c r="R72" i="41"/>
  <c r="D9" i="50"/>
  <c r="D13" i="50" s="1"/>
  <c r="D14" i="50" s="1"/>
  <c r="D17" i="50" s="1"/>
  <c r="M71" i="41"/>
  <c r="L39" i="41"/>
  <c r="L34" i="41"/>
  <c r="E41" i="41"/>
  <c r="E45" i="41"/>
  <c r="D41" i="41"/>
  <c r="D45" i="41"/>
  <c r="D63" i="62"/>
  <c r="D69" i="62"/>
  <c r="D72" i="62" s="1"/>
  <c r="D75" i="62" s="1"/>
  <c r="D78" i="62" s="1"/>
  <c r="F19" i="62"/>
  <c r="E20" i="62"/>
  <c r="B11" i="62"/>
  <c r="T45" i="41"/>
  <c r="T41" i="41"/>
  <c r="D36" i="58"/>
  <c r="H83" i="41"/>
  <c r="D45" i="58" s="1"/>
  <c r="D35" i="58"/>
  <c r="H82" i="41"/>
  <c r="D44" i="58" s="1"/>
  <c r="Z17" i="41"/>
  <c r="Y18" i="41"/>
  <c r="F59" i="62"/>
  <c r="E60" i="62"/>
  <c r="U11" i="43"/>
  <c r="F10" i="50"/>
  <c r="T47" i="41"/>
  <c r="D41" i="62"/>
  <c r="D43" i="62" s="1"/>
  <c r="D46" i="62" s="1"/>
  <c r="D13" i="62" s="1"/>
  <c r="D23" i="62"/>
  <c r="D26" i="62" s="1"/>
  <c r="D29" i="62"/>
  <c r="D32" i="62" s="1"/>
  <c r="D11" i="62" s="1"/>
  <c r="D34" i="62"/>
  <c r="D36" i="62" s="1"/>
  <c r="D39" i="62" s="1"/>
  <c r="G34" i="41"/>
  <c r="H71" i="41"/>
  <c r="G39" i="41"/>
  <c r="B12" i="62"/>
  <c r="B49" i="62"/>
  <c r="B52" i="62" s="1"/>
  <c r="Q39" i="41"/>
  <c r="Q34" i="41"/>
  <c r="R71" i="41"/>
  <c r="F38" i="58" s="1"/>
  <c r="J30" i="62"/>
  <c r="I70" i="62"/>
  <c r="C13" i="62"/>
  <c r="J58" i="62"/>
  <c r="M39" i="41"/>
  <c r="M72" i="41"/>
  <c r="M34" i="41"/>
  <c r="E24" i="62"/>
  <c r="Q89" i="62"/>
  <c r="O41" i="41"/>
  <c r="O45" i="41"/>
  <c r="K45" i="41"/>
  <c r="K41" i="41"/>
  <c r="V24" i="43"/>
  <c r="G11" i="50"/>
  <c r="O58" i="62"/>
  <c r="B41" i="41"/>
  <c r="B45" i="41"/>
  <c r="I50" i="41"/>
  <c r="I49" i="41"/>
  <c r="E37" i="58"/>
  <c r="M84" i="41"/>
  <c r="E46" i="58" s="1"/>
  <c r="AC22" i="41"/>
  <c r="C12" i="62"/>
  <c r="C49" i="62"/>
  <c r="C52" i="62" s="1"/>
  <c r="C14" i="62" s="1"/>
  <c r="F60" i="43"/>
  <c r="G59" i="43" s="1"/>
  <c r="G60" i="43" s="1"/>
  <c r="B57" i="62"/>
  <c r="B10" i="62"/>
  <c r="L84" i="62"/>
  <c r="K85" i="62"/>
  <c r="K87" i="62" s="1"/>
  <c r="K97" i="62" s="1"/>
  <c r="K98" i="62" s="1"/>
  <c r="K82" i="62" s="1"/>
  <c r="H24" i="41"/>
  <c r="H33" i="41"/>
  <c r="C66" i="62"/>
  <c r="C57" i="62" s="1"/>
  <c r="D64" i="62"/>
  <c r="L90" i="62"/>
  <c r="K91" i="62"/>
  <c r="K93" i="62" s="1"/>
  <c r="F12" i="50"/>
  <c r="U35" i="43"/>
  <c r="O83" i="62"/>
  <c r="R59" i="43"/>
  <c r="N59" i="43"/>
  <c r="N60" i="43" s="1"/>
  <c r="O59" i="43" s="1"/>
  <c r="O64" i="62"/>
  <c r="P41" i="41"/>
  <c r="P45" i="41"/>
  <c r="J51" i="41"/>
  <c r="M76" i="41" s="1"/>
  <c r="E18" i="58" s="1"/>
  <c r="J48" i="41"/>
  <c r="J9" i="43"/>
  <c r="J32" i="43" s="1"/>
  <c r="J46" i="41"/>
  <c r="N39" i="41"/>
  <c r="N34" i="41"/>
  <c r="R68" i="41"/>
  <c r="F35" i="58" s="1"/>
  <c r="H85" i="41" l="1"/>
  <c r="D47" i="58" s="1"/>
  <c r="D38" i="58"/>
  <c r="D49" i="62"/>
  <c r="D52" i="62" s="1"/>
  <c r="D14" i="62" s="1"/>
  <c r="D12" i="62"/>
  <c r="V11" i="43"/>
  <c r="G10" i="50"/>
  <c r="U47" i="41"/>
  <c r="U48" i="41" s="1"/>
  <c r="G59" i="62"/>
  <c r="K59" i="62"/>
  <c r="F60" i="62"/>
  <c r="AA17" i="41"/>
  <c r="Z18" i="41"/>
  <c r="T46" i="41"/>
  <c r="T51" i="41"/>
  <c r="T48" i="41"/>
  <c r="K19" i="62"/>
  <c r="G19" i="62"/>
  <c r="F20" i="62"/>
  <c r="L41" i="41"/>
  <c r="L45" i="41"/>
  <c r="B14" i="62"/>
  <c r="B17" i="62"/>
  <c r="B9" i="62" s="1"/>
  <c r="G45" i="41"/>
  <c r="G41" i="41"/>
  <c r="E63" i="62"/>
  <c r="E69" i="62"/>
  <c r="E72" i="62" s="1"/>
  <c r="E75" i="62" s="1"/>
  <c r="E78" i="62" s="1"/>
  <c r="U41" i="41"/>
  <c r="V41" i="41" s="1"/>
  <c r="E41" i="62"/>
  <c r="E43" i="62" s="1"/>
  <c r="E46" i="62" s="1"/>
  <c r="E29" i="62"/>
  <c r="E32" i="62" s="1"/>
  <c r="E11" i="62" s="1"/>
  <c r="E23" i="62"/>
  <c r="E34" i="62"/>
  <c r="E36" i="62" s="1"/>
  <c r="E39" i="62" s="1"/>
  <c r="D46" i="41"/>
  <c r="D51" i="41"/>
  <c r="H75" i="41" s="1"/>
  <c r="D17" i="58" s="1"/>
  <c r="D48" i="41"/>
  <c r="E48" i="41"/>
  <c r="E46" i="41"/>
  <c r="E51" i="41"/>
  <c r="H76" i="41" s="1"/>
  <c r="D18" i="58" s="1"/>
  <c r="E38" i="58"/>
  <c r="M85" i="41"/>
  <c r="E47" i="58" s="1"/>
  <c r="F39" i="58"/>
  <c r="F40" i="58" s="1"/>
  <c r="R86" i="41"/>
  <c r="F48" i="58" s="1"/>
  <c r="F49" i="58" s="1"/>
  <c r="Q102" i="62"/>
  <c r="P58" i="62"/>
  <c r="M41" i="41"/>
  <c r="M45" i="41"/>
  <c r="V35" i="43"/>
  <c r="G12" i="50"/>
  <c r="B51" i="41"/>
  <c r="B48" i="41"/>
  <c r="B46" i="41"/>
  <c r="W24" i="43"/>
  <c r="H11" i="50"/>
  <c r="N45" i="41"/>
  <c r="N41" i="41"/>
  <c r="P83" i="62"/>
  <c r="J62" i="43"/>
  <c r="J58" i="43"/>
  <c r="J60" i="43" s="1"/>
  <c r="K59" i="43" s="1"/>
  <c r="P9" i="43"/>
  <c r="P32" i="43" s="1"/>
  <c r="P62" i="43" s="1"/>
  <c r="P48" i="41"/>
  <c r="P46" i="41"/>
  <c r="P51" i="41"/>
  <c r="R77" i="41" s="1"/>
  <c r="F19" i="58" s="1"/>
  <c r="P64" i="62"/>
  <c r="H34" i="41"/>
  <c r="H39" i="41"/>
  <c r="H72" i="41"/>
  <c r="M84" i="62"/>
  <c r="L85" i="62"/>
  <c r="L87" i="62" s="1"/>
  <c r="L97" i="62" s="1"/>
  <c r="L98" i="62" s="1"/>
  <c r="L82" i="62" s="1"/>
  <c r="K9" i="43"/>
  <c r="K32" i="43" s="1"/>
  <c r="K48" i="41"/>
  <c r="K51" i="41"/>
  <c r="M77" i="41" s="1"/>
  <c r="E19" i="58" s="1"/>
  <c r="K46" i="41"/>
  <c r="D17" i="62"/>
  <c r="Q45" i="41"/>
  <c r="Q41" i="41"/>
  <c r="M90" i="62"/>
  <c r="L91" i="62"/>
  <c r="L93" i="62" s="1"/>
  <c r="O51" i="41"/>
  <c r="R76" i="41" s="1"/>
  <c r="F18" i="58" s="1"/>
  <c r="O48" i="41"/>
  <c r="O9" i="43"/>
  <c r="O32" i="43" s="1"/>
  <c r="O62" i="43" s="1"/>
  <c r="O46" i="41"/>
  <c r="G24" i="62"/>
  <c r="E26" i="62"/>
  <c r="C10" i="62"/>
  <c r="J50" i="41"/>
  <c r="J49" i="41"/>
  <c r="D66" i="62"/>
  <c r="D57" i="62" s="1"/>
  <c r="E64" i="62"/>
  <c r="M86" i="41"/>
  <c r="E48" i="58" s="1"/>
  <c r="E49" i="58" s="1"/>
  <c r="E39" i="58"/>
  <c r="E40" i="58" s="1"/>
  <c r="J70" i="62"/>
  <c r="C17" i="62"/>
  <c r="C9" i="62" s="1"/>
  <c r="D49" i="41" l="1"/>
  <c r="D50" i="41"/>
  <c r="E13" i="62"/>
  <c r="F46" i="62"/>
  <c r="F13" i="62" s="1"/>
  <c r="G51" i="41"/>
  <c r="H78" i="41" s="1"/>
  <c r="D20" i="58" s="1"/>
  <c r="G48" i="41"/>
  <c r="G46" i="41"/>
  <c r="H19" i="62"/>
  <c r="G20" i="62"/>
  <c r="T49" i="41"/>
  <c r="T50" i="41"/>
  <c r="AB17" i="41"/>
  <c r="AA18" i="41"/>
  <c r="L59" i="62"/>
  <c r="K60" i="62"/>
  <c r="U49" i="41"/>
  <c r="U50" i="41"/>
  <c r="W11" i="43"/>
  <c r="H10" i="50"/>
  <c r="D9" i="62"/>
  <c r="E49" i="41"/>
  <c r="E50" i="41"/>
  <c r="E49" i="62"/>
  <c r="E52" i="62" s="1"/>
  <c r="E14" i="62" s="1"/>
  <c r="E12" i="62"/>
  <c r="F39" i="62"/>
  <c r="W41" i="41"/>
  <c r="L9" i="43"/>
  <c r="L32" i="43" s="1"/>
  <c r="L46" i="41"/>
  <c r="L51" i="41"/>
  <c r="M78" i="41" s="1"/>
  <c r="E20" i="58" s="1"/>
  <c r="L48" i="41"/>
  <c r="F29" i="62"/>
  <c r="F32" i="62" s="1"/>
  <c r="F34" i="62"/>
  <c r="F36" i="62" s="1"/>
  <c r="F41" i="62"/>
  <c r="F43" i="62" s="1"/>
  <c r="F23" i="62"/>
  <c r="F26" i="62" s="1"/>
  <c r="L19" i="62"/>
  <c r="K20" i="62"/>
  <c r="F69" i="62"/>
  <c r="F72" i="62" s="1"/>
  <c r="F75" i="62" s="1"/>
  <c r="F78" i="62" s="1"/>
  <c r="F63" i="62"/>
  <c r="F66" i="62" s="1"/>
  <c r="H59" i="62"/>
  <c r="G60" i="62"/>
  <c r="M9" i="43"/>
  <c r="M32" i="43" s="1"/>
  <c r="M62" i="43" s="1"/>
  <c r="M51" i="41"/>
  <c r="M79" i="41" s="1"/>
  <c r="E21" i="58" s="1"/>
  <c r="E22" i="58" s="1"/>
  <c r="M46" i="41"/>
  <c r="M48" i="41"/>
  <c r="E17" i="62"/>
  <c r="H45" i="41"/>
  <c r="H41" i="41"/>
  <c r="N90" i="62"/>
  <c r="M91" i="62"/>
  <c r="M93" i="62" s="1"/>
  <c r="D39" i="58"/>
  <c r="D40" i="58" s="1"/>
  <c r="H86" i="41"/>
  <c r="D48" i="58" s="1"/>
  <c r="D49" i="58" s="1"/>
  <c r="X24" i="43"/>
  <c r="I11" i="50"/>
  <c r="H24" i="62"/>
  <c r="Q48" i="41"/>
  <c r="Q9" i="43"/>
  <c r="Q32" i="43" s="1"/>
  <c r="Q46" i="41"/>
  <c r="Q51" i="41"/>
  <c r="R78" i="41" s="1"/>
  <c r="F20" i="58" s="1"/>
  <c r="Q83" i="62"/>
  <c r="B50" i="41"/>
  <c r="B49" i="41"/>
  <c r="Q64" i="62"/>
  <c r="N46" i="41"/>
  <c r="N51" i="41"/>
  <c r="N9" i="43"/>
  <c r="N32" i="43" s="1"/>
  <c r="N62" i="43" s="1"/>
  <c r="R45" i="41"/>
  <c r="N48" i="41"/>
  <c r="O49" i="41"/>
  <c r="O50" i="41"/>
  <c r="K62" i="43"/>
  <c r="K58" i="43"/>
  <c r="K60" i="43" s="1"/>
  <c r="L59" i="43" s="1"/>
  <c r="G64" i="62"/>
  <c r="E66" i="62"/>
  <c r="E57" i="62" s="1"/>
  <c r="N84" i="62"/>
  <c r="M85" i="62"/>
  <c r="M87" i="62" s="1"/>
  <c r="M97" i="62" s="1"/>
  <c r="M98" i="62" s="1"/>
  <c r="M82" i="62" s="1"/>
  <c r="D10" i="62"/>
  <c r="W35" i="43"/>
  <c r="H12" i="50"/>
  <c r="Q58" i="62"/>
  <c r="K49" i="41"/>
  <c r="K50" i="41"/>
  <c r="P49" i="41"/>
  <c r="P50" i="41"/>
  <c r="N114" i="62"/>
  <c r="N126" i="62" s="1"/>
  <c r="O113" i="62"/>
  <c r="O125" i="62" s="1"/>
  <c r="P111" i="62"/>
  <c r="P123" i="62" s="1"/>
  <c r="Q114" i="62"/>
  <c r="Q126" i="62" s="1"/>
  <c r="O112" i="62"/>
  <c r="O124" i="62" s="1"/>
  <c r="N113" i="62"/>
  <c r="N125" i="62" s="1"/>
  <c r="Q111" i="62"/>
  <c r="Q123" i="62" s="1"/>
  <c r="O111" i="62"/>
  <c r="O123" i="62" s="1"/>
  <c r="Q113" i="62"/>
  <c r="Q125" i="62" s="1"/>
  <c r="P112" i="62"/>
  <c r="P124" i="62" s="1"/>
  <c r="N112" i="62"/>
  <c r="N124" i="62" s="1"/>
  <c r="Q112" i="62"/>
  <c r="Q124" i="62" s="1"/>
  <c r="P114" i="62"/>
  <c r="P126" i="62" s="1"/>
  <c r="P113" i="62"/>
  <c r="P125" i="62" s="1"/>
  <c r="O114" i="62"/>
  <c r="O126" i="62" s="1"/>
  <c r="N111" i="62"/>
  <c r="N123" i="62" s="1"/>
  <c r="I59" i="62" l="1"/>
  <c r="H60" i="62"/>
  <c r="M19" i="62"/>
  <c r="L20" i="62"/>
  <c r="F11" i="62"/>
  <c r="L62" i="43"/>
  <c r="L58" i="43"/>
  <c r="L60" i="43" s="1"/>
  <c r="F12" i="62"/>
  <c r="F49" i="62"/>
  <c r="F52" i="62" s="1"/>
  <c r="F14" i="62" s="1"/>
  <c r="K63" i="62"/>
  <c r="K66" i="62" s="1"/>
  <c r="K69" i="62"/>
  <c r="K72" i="62" s="1"/>
  <c r="K75" i="62" s="1"/>
  <c r="K78" i="62" s="1"/>
  <c r="G34" i="62"/>
  <c r="G36" i="62" s="1"/>
  <c r="G39" i="62" s="1"/>
  <c r="G29" i="62"/>
  <c r="G32" i="62" s="1"/>
  <c r="G23" i="62"/>
  <c r="G26" i="62" s="1"/>
  <c r="G41" i="62"/>
  <c r="G69" i="62"/>
  <c r="G72" i="62" s="1"/>
  <c r="G75" i="62" s="1"/>
  <c r="G78" i="62" s="1"/>
  <c r="G63" i="62"/>
  <c r="F57" i="62"/>
  <c r="K41" i="62"/>
  <c r="K43" i="62" s="1"/>
  <c r="K23" i="62"/>
  <c r="K26" i="62" s="1"/>
  <c r="K10" i="62" s="1"/>
  <c r="K29" i="62"/>
  <c r="K32" i="62" s="1"/>
  <c r="K11" i="62" s="1"/>
  <c r="K34" i="62"/>
  <c r="K36" i="62" s="1"/>
  <c r="K39" i="62" s="1"/>
  <c r="F10" i="62"/>
  <c r="F17" i="62"/>
  <c r="F9" i="62" s="1"/>
  <c r="L49" i="41"/>
  <c r="L50" i="41"/>
  <c r="X11" i="43"/>
  <c r="I10" i="50"/>
  <c r="M59" i="62"/>
  <c r="L60" i="62"/>
  <c r="AC17" i="41"/>
  <c r="AC18" i="41" s="1"/>
  <c r="AB18" i="41"/>
  <c r="I19" i="62"/>
  <c r="H20" i="62"/>
  <c r="G49" i="41"/>
  <c r="G50" i="41"/>
  <c r="O84" i="62"/>
  <c r="N85" i="62"/>
  <c r="N87" i="62" s="1"/>
  <c r="N97" i="62" s="1"/>
  <c r="N98" i="62" s="1"/>
  <c r="N82" i="62" s="1"/>
  <c r="H64" i="62"/>
  <c r="G66" i="62"/>
  <c r="G57" i="62" s="1"/>
  <c r="Q103" i="62"/>
  <c r="E10" i="62"/>
  <c r="E9" i="62"/>
  <c r="N49" i="41"/>
  <c r="N50" i="41"/>
  <c r="H48" i="41"/>
  <c r="H51" i="41"/>
  <c r="H79" i="41" s="1"/>
  <c r="D21" i="58" s="1"/>
  <c r="D22" i="58" s="1"/>
  <c r="H46" i="41"/>
  <c r="I12" i="50"/>
  <c r="X35" i="43"/>
  <c r="J11" i="50"/>
  <c r="Y24" i="43"/>
  <c r="K11" i="50" s="1"/>
  <c r="M49" i="41"/>
  <c r="M50" i="41"/>
  <c r="R9" i="43"/>
  <c r="R32" i="43" s="1"/>
  <c r="R46" i="41"/>
  <c r="R48" i="41"/>
  <c r="R75" i="41"/>
  <c r="F17" i="58" s="1"/>
  <c r="R51" i="41"/>
  <c r="R79" i="41" s="1"/>
  <c r="F21" i="58" s="1"/>
  <c r="F22" i="58" s="1"/>
  <c r="Q49" i="41"/>
  <c r="Q50" i="41"/>
  <c r="O90" i="62"/>
  <c r="N91" i="62"/>
  <c r="N93" i="62" s="1"/>
  <c r="G10" i="62" l="1"/>
  <c r="J19" i="62"/>
  <c r="J20" i="62" s="1"/>
  <c r="I20" i="62"/>
  <c r="N59" i="62"/>
  <c r="M60" i="62"/>
  <c r="J10" i="50"/>
  <c r="Y11" i="43"/>
  <c r="K10" i="50" s="1"/>
  <c r="G11" i="62"/>
  <c r="N19" i="62"/>
  <c r="M20" i="62"/>
  <c r="J59" i="62"/>
  <c r="J60" i="62" s="1"/>
  <c r="I60" i="62"/>
  <c r="H34" i="62"/>
  <c r="H36" i="62" s="1"/>
  <c r="H39" i="62" s="1"/>
  <c r="H29" i="62"/>
  <c r="H32" i="62" s="1"/>
  <c r="H23" i="62"/>
  <c r="H26" i="62" s="1"/>
  <c r="H41" i="62"/>
  <c r="H43" i="62" s="1"/>
  <c r="H46" i="62" s="1"/>
  <c r="L69" i="62"/>
  <c r="L72" i="62" s="1"/>
  <c r="L75" i="62" s="1"/>
  <c r="L78" i="62" s="1"/>
  <c r="L63" i="62"/>
  <c r="L66" i="62" s="1"/>
  <c r="L57" i="62" s="1"/>
  <c r="K12" i="62"/>
  <c r="K49" i="62"/>
  <c r="K52" i="62" s="1"/>
  <c r="K14" i="62" s="1"/>
  <c r="G12" i="62"/>
  <c r="G49" i="62"/>
  <c r="G52" i="62" s="1"/>
  <c r="K57" i="62"/>
  <c r="L29" i="62"/>
  <c r="L32" i="62" s="1"/>
  <c r="L11" i="62" s="1"/>
  <c r="X9" i="41" s="1"/>
  <c r="L34" i="62"/>
  <c r="L36" i="62" s="1"/>
  <c r="L39" i="62" s="1"/>
  <c r="L41" i="62"/>
  <c r="L43" i="62" s="1"/>
  <c r="L46" i="62" s="1"/>
  <c r="L13" i="62" s="1"/>
  <c r="X13" i="41" s="1"/>
  <c r="L23" i="62"/>
  <c r="L26" i="62" s="1"/>
  <c r="H69" i="62"/>
  <c r="H72" i="62" s="1"/>
  <c r="H75" i="62" s="1"/>
  <c r="H78" i="62" s="1"/>
  <c r="H63" i="62"/>
  <c r="R49" i="41"/>
  <c r="R50" i="41"/>
  <c r="P90" i="62"/>
  <c r="O91" i="62"/>
  <c r="O93" i="62" s="1"/>
  <c r="R62" i="43"/>
  <c r="R58" i="43"/>
  <c r="R60" i="43" s="1"/>
  <c r="S59" i="43" s="1"/>
  <c r="J12" i="50"/>
  <c r="Y35" i="43"/>
  <c r="K12" i="50" s="1"/>
  <c r="H50" i="41"/>
  <c r="H49" i="41"/>
  <c r="N118" i="62"/>
  <c r="N130" i="62" s="1"/>
  <c r="N115" i="62"/>
  <c r="N127" i="62" s="1"/>
  <c r="P117" i="62"/>
  <c r="P129" i="62" s="1"/>
  <c r="O118" i="62"/>
  <c r="O130" i="62" s="1"/>
  <c r="N117" i="62"/>
  <c r="N129" i="62" s="1"/>
  <c r="O115" i="62"/>
  <c r="O127" i="62" s="1"/>
  <c r="N116" i="62"/>
  <c r="N128" i="62" s="1"/>
  <c r="Q116" i="62"/>
  <c r="Q128" i="62" s="1"/>
  <c r="O116" i="62"/>
  <c r="O128" i="62" s="1"/>
  <c r="O117" i="62"/>
  <c r="O129" i="62" s="1"/>
  <c r="Q115" i="62"/>
  <c r="Q127" i="62" s="1"/>
  <c r="Q117" i="62"/>
  <c r="Q129" i="62" s="1"/>
  <c r="P115" i="62"/>
  <c r="P127" i="62" s="1"/>
  <c r="Q118" i="62"/>
  <c r="Q130" i="62" s="1"/>
  <c r="P116" i="62"/>
  <c r="P128" i="62" s="1"/>
  <c r="P118" i="62"/>
  <c r="P130" i="62" s="1"/>
  <c r="I64" i="62"/>
  <c r="H66" i="62"/>
  <c r="P84" i="62"/>
  <c r="O85" i="62"/>
  <c r="O87" i="62" s="1"/>
  <c r="O97" i="62" s="1"/>
  <c r="O98" i="62" s="1"/>
  <c r="O82" i="62" s="1"/>
  <c r="G14" i="62" l="1"/>
  <c r="G17" i="62"/>
  <c r="G9" i="62" s="1"/>
  <c r="H13" i="62"/>
  <c r="H11" i="62"/>
  <c r="I69" i="62"/>
  <c r="I72" i="62" s="1"/>
  <c r="I75" i="62" s="1"/>
  <c r="I78" i="62" s="1"/>
  <c r="I63" i="62"/>
  <c r="M29" i="62"/>
  <c r="M32" i="62" s="1"/>
  <c r="M34" i="62"/>
  <c r="M36" i="62" s="1"/>
  <c r="M39" i="62" s="1"/>
  <c r="M41" i="62"/>
  <c r="M43" i="62" s="1"/>
  <c r="M46" i="62" s="1"/>
  <c r="M13" i="62" s="1"/>
  <c r="Y13" i="41" s="1"/>
  <c r="Y14" i="41" s="1"/>
  <c r="M23" i="62"/>
  <c r="M26" i="62" s="1"/>
  <c r="O59" i="62"/>
  <c r="N60" i="62"/>
  <c r="J29" i="62"/>
  <c r="J32" i="62" s="1"/>
  <c r="J41" i="62"/>
  <c r="J43" i="62" s="1"/>
  <c r="J46" i="62" s="1"/>
  <c r="J13" i="62" s="1"/>
  <c r="V13" i="41" s="1"/>
  <c r="W13" i="41" s="1"/>
  <c r="X14" i="41" s="1"/>
  <c r="J23" i="62"/>
  <c r="J26" i="62" s="1"/>
  <c r="J34" i="62"/>
  <c r="J36" i="62" s="1"/>
  <c r="J39" i="62" s="1"/>
  <c r="L10" i="62"/>
  <c r="X7" i="41" s="1"/>
  <c r="X19" i="41" s="1"/>
  <c r="L12" i="62"/>
  <c r="X11" i="41" s="1"/>
  <c r="L49" i="62"/>
  <c r="L52" i="62" s="1"/>
  <c r="H12" i="62"/>
  <c r="H49" i="62"/>
  <c r="H52" i="62" s="1"/>
  <c r="J69" i="62"/>
  <c r="J72" i="62" s="1"/>
  <c r="J75" i="62" s="1"/>
  <c r="J78" i="62" s="1"/>
  <c r="J63" i="62"/>
  <c r="N20" i="62"/>
  <c r="O19" i="62"/>
  <c r="M63" i="62"/>
  <c r="M66" i="62" s="1"/>
  <c r="M69" i="62"/>
  <c r="M72" i="62" s="1"/>
  <c r="M75" i="62" s="1"/>
  <c r="M78" i="62" s="1"/>
  <c r="I23" i="62"/>
  <c r="I26" i="62" s="1"/>
  <c r="I29" i="62"/>
  <c r="I32" i="62" s="1"/>
  <c r="I11" i="62" s="1"/>
  <c r="I34" i="62"/>
  <c r="I36" i="62" s="1"/>
  <c r="I39" i="62" s="1"/>
  <c r="I41" i="62"/>
  <c r="I43" i="62" s="1"/>
  <c r="I46" i="62" s="1"/>
  <c r="I13" i="62" s="1"/>
  <c r="H57" i="62"/>
  <c r="H10" i="62"/>
  <c r="I66" i="62"/>
  <c r="J64" i="62"/>
  <c r="J66" i="62" s="1"/>
  <c r="Q90" i="62"/>
  <c r="Q91" i="62" s="1"/>
  <c r="Q93" i="62" s="1"/>
  <c r="P91" i="62"/>
  <c r="P93" i="62" s="1"/>
  <c r="D10" i="63"/>
  <c r="X28" i="41"/>
  <c r="X21" i="41"/>
  <c r="X23" i="41" s="1"/>
  <c r="X26" i="41"/>
  <c r="Q84" i="62"/>
  <c r="Q85" i="62" s="1"/>
  <c r="Q87" i="62" s="1"/>
  <c r="Q97" i="62" s="1"/>
  <c r="Q98" i="62" s="1"/>
  <c r="Q82" i="62" s="1"/>
  <c r="P85" i="62"/>
  <c r="P87" i="62" s="1"/>
  <c r="P97" i="62" s="1"/>
  <c r="P98" i="62" s="1"/>
  <c r="P82" i="62" s="1"/>
  <c r="O20" i="62" l="1"/>
  <c r="P19" i="62"/>
  <c r="H14" i="62"/>
  <c r="H17" i="62"/>
  <c r="H9" i="62" s="1"/>
  <c r="L14" i="62"/>
  <c r="L17" i="62"/>
  <c r="L9" i="62" s="1"/>
  <c r="J49" i="62"/>
  <c r="J52" i="62" s="1"/>
  <c r="J12" i="62"/>
  <c r="V11" i="41" s="1"/>
  <c r="N63" i="62"/>
  <c r="N66" i="62" s="1"/>
  <c r="N75" i="62"/>
  <c r="N78" i="62" s="1"/>
  <c r="N69" i="62"/>
  <c r="N72" i="62" s="1"/>
  <c r="M10" i="62"/>
  <c r="Y7" i="41" s="1"/>
  <c r="M49" i="62"/>
  <c r="M52" i="62" s="1"/>
  <c r="M12" i="62"/>
  <c r="Y11" i="41" s="1"/>
  <c r="Y12" i="41" s="1"/>
  <c r="I49" i="62"/>
  <c r="I52" i="62" s="1"/>
  <c r="I12" i="62"/>
  <c r="M57" i="62"/>
  <c r="N34" i="62"/>
  <c r="N36" i="62" s="1"/>
  <c r="N39" i="62" s="1"/>
  <c r="N12" i="62" s="1"/>
  <c r="Z11" i="41" s="1"/>
  <c r="Z12" i="41" s="1"/>
  <c r="N49" i="62"/>
  <c r="N52" i="62" s="1"/>
  <c r="N23" i="62"/>
  <c r="N26" i="62" s="1"/>
  <c r="N41" i="62"/>
  <c r="N43" i="62" s="1"/>
  <c r="N46" i="62" s="1"/>
  <c r="N13" i="62" s="1"/>
  <c r="Z13" i="41" s="1"/>
  <c r="Z14" i="41" s="1"/>
  <c r="N29" i="62"/>
  <c r="N32" i="62" s="1"/>
  <c r="N11" i="62" s="1"/>
  <c r="Z9" i="41" s="1"/>
  <c r="J11" i="62"/>
  <c r="V9" i="41" s="1"/>
  <c r="P59" i="62"/>
  <c r="O60" i="62"/>
  <c r="M11" i="62"/>
  <c r="Y9" i="41" s="1"/>
  <c r="Y10" i="41" s="1"/>
  <c r="K46" i="62"/>
  <c r="I57" i="62"/>
  <c r="I10" i="62"/>
  <c r="X24" i="41"/>
  <c r="J57" i="62"/>
  <c r="J10" i="62"/>
  <c r="V7" i="41" s="1"/>
  <c r="X31" i="41"/>
  <c r="X32" i="41" s="1"/>
  <c r="Q59" i="62" l="1"/>
  <c r="Q60" i="62" s="1"/>
  <c r="P60" i="62"/>
  <c r="Z10" i="41"/>
  <c r="N10" i="62"/>
  <c r="Z7" i="41" s="1"/>
  <c r="N17" i="62"/>
  <c r="Y19" i="41"/>
  <c r="Y8" i="41"/>
  <c r="W11" i="41"/>
  <c r="V12" i="41"/>
  <c r="P20" i="62"/>
  <c r="Q19" i="62"/>
  <c r="Q20" i="62" s="1"/>
  <c r="K13" i="62"/>
  <c r="K17" i="62"/>
  <c r="K9" i="62" s="1"/>
  <c r="O69" i="62"/>
  <c r="O72" i="62" s="1"/>
  <c r="O75" i="62"/>
  <c r="O78" i="62" s="1"/>
  <c r="O63" i="62"/>
  <c r="O66" i="62" s="1"/>
  <c r="O57" i="62" s="1"/>
  <c r="V10" i="41"/>
  <c r="W9" i="41"/>
  <c r="N14" i="62"/>
  <c r="Z15" i="41" s="1"/>
  <c r="I14" i="62"/>
  <c r="I17" i="62"/>
  <c r="I9" i="62" s="1"/>
  <c r="M14" i="62"/>
  <c r="M17" i="62"/>
  <c r="M9" i="62" s="1"/>
  <c r="N57" i="62"/>
  <c r="J14" i="62"/>
  <c r="J17" i="62"/>
  <c r="J9" i="62" s="1"/>
  <c r="O34" i="62"/>
  <c r="O36" i="62" s="1"/>
  <c r="O39" i="62" s="1"/>
  <c r="O12" i="62" s="1"/>
  <c r="AA11" i="41" s="1"/>
  <c r="AA12" i="41" s="1"/>
  <c r="O49" i="62"/>
  <c r="O52" i="62" s="1"/>
  <c r="O14" i="62" s="1"/>
  <c r="AA15" i="41" s="1"/>
  <c r="AA16" i="41" s="1"/>
  <c r="O41" i="62"/>
  <c r="O43" i="62" s="1"/>
  <c r="O46" i="62" s="1"/>
  <c r="O13" i="62" s="1"/>
  <c r="AA13" i="41" s="1"/>
  <c r="AA14" i="41" s="1"/>
  <c r="O29" i="62"/>
  <c r="O32" i="62" s="1"/>
  <c r="O11" i="62" s="1"/>
  <c r="AA9" i="41" s="1"/>
  <c r="AA10" i="41" s="1"/>
  <c r="O23" i="62"/>
  <c r="O26" i="62" s="1"/>
  <c r="V19" i="41"/>
  <c r="W7" i="41"/>
  <c r="V8" i="41"/>
  <c r="X33" i="41"/>
  <c r="W10" i="41" l="1"/>
  <c r="X10" i="41"/>
  <c r="Q29" i="62"/>
  <c r="Q32" i="62" s="1"/>
  <c r="Q49" i="62"/>
  <c r="Q52" i="62" s="1"/>
  <c r="Q23" i="62"/>
  <c r="Q26" i="62" s="1"/>
  <c r="Q41" i="62"/>
  <c r="Q43" i="62" s="1"/>
  <c r="Q46" i="62" s="1"/>
  <c r="Q13" i="62" s="1"/>
  <c r="AC13" i="41" s="1"/>
  <c r="Q34" i="62"/>
  <c r="Q36" i="62" s="1"/>
  <c r="Q39" i="62" s="1"/>
  <c r="Q12" i="62" s="1"/>
  <c r="AC11" i="41" s="1"/>
  <c r="N9" i="62"/>
  <c r="Q75" i="62"/>
  <c r="Q78" i="62" s="1"/>
  <c r="Q69" i="62"/>
  <c r="Q72" i="62" s="1"/>
  <c r="Q63" i="62"/>
  <c r="Q66" i="62" s="1"/>
  <c r="O10" i="62"/>
  <c r="AA7" i="41" s="1"/>
  <c r="O17" i="62"/>
  <c r="O9" i="62" s="1"/>
  <c r="P29" i="62"/>
  <c r="P32" i="62" s="1"/>
  <c r="P34" i="62"/>
  <c r="P36" i="62" s="1"/>
  <c r="P39" i="62" s="1"/>
  <c r="P12" i="62" s="1"/>
  <c r="AB11" i="41" s="1"/>
  <c r="AB12" i="41" s="1"/>
  <c r="P49" i="62"/>
  <c r="P52" i="62" s="1"/>
  <c r="P23" i="62"/>
  <c r="P26" i="62" s="1"/>
  <c r="P41" i="62"/>
  <c r="P43" i="62" s="1"/>
  <c r="P46" i="62" s="1"/>
  <c r="P13" i="62" s="1"/>
  <c r="AB13" i="41" s="1"/>
  <c r="AB14" i="41" s="1"/>
  <c r="W12" i="41"/>
  <c r="X12" i="41"/>
  <c r="Y20" i="41"/>
  <c r="Y26" i="41"/>
  <c r="Y31" i="41" s="1"/>
  <c r="Y32" i="41" s="1"/>
  <c r="E10" i="63"/>
  <c r="Y21" i="41"/>
  <c r="Y23" i="41" s="1"/>
  <c r="Y24" i="41" s="1"/>
  <c r="Y28" i="41"/>
  <c r="Z19" i="41"/>
  <c r="Z8" i="41"/>
  <c r="P69" i="62"/>
  <c r="P72" i="62" s="1"/>
  <c r="P63" i="62"/>
  <c r="P66" i="62" s="1"/>
  <c r="P75" i="62"/>
  <c r="P78" i="62" s="1"/>
  <c r="X34" i="41"/>
  <c r="F9" i="50"/>
  <c r="X39" i="41"/>
  <c r="W19" i="41"/>
  <c r="W8" i="41"/>
  <c r="X8" i="41"/>
  <c r="V32" i="41"/>
  <c r="B10" i="63"/>
  <c r="V27" i="41"/>
  <c r="V21" i="41"/>
  <c r="W21" i="41" s="1"/>
  <c r="V29" i="41"/>
  <c r="V20" i="41"/>
  <c r="Y33" i="41"/>
  <c r="Z26" i="41" l="1"/>
  <c r="Z20" i="41"/>
  <c r="Z21" i="41"/>
  <c r="Z23" i="41" s="1"/>
  <c r="Z24" i="41" s="1"/>
  <c r="Z28" i="41"/>
  <c r="F10" i="63"/>
  <c r="P14" i="62"/>
  <c r="AB15" i="41" s="1"/>
  <c r="AB16" i="41" s="1"/>
  <c r="P11" i="62"/>
  <c r="AB9" i="41" s="1"/>
  <c r="AB10" i="41" s="1"/>
  <c r="AA19" i="41"/>
  <c r="AA8" i="41"/>
  <c r="AC14" i="41"/>
  <c r="Q14" i="62"/>
  <c r="AC15" i="41" s="1"/>
  <c r="P57" i="62"/>
  <c r="P10" i="62"/>
  <c r="AB7" i="41" s="1"/>
  <c r="P17" i="62"/>
  <c r="P9" i="62" s="1"/>
  <c r="Q57" i="62"/>
  <c r="AC12" i="41"/>
  <c r="Q10" i="62"/>
  <c r="AC7" i="41" s="1"/>
  <c r="Q17" i="62"/>
  <c r="Q9" i="62" s="1"/>
  <c r="Q11" i="62"/>
  <c r="AC9" i="41" s="1"/>
  <c r="AC10" i="41" s="1"/>
  <c r="X40" i="41"/>
  <c r="X47" i="41" s="1"/>
  <c r="F13" i="50"/>
  <c r="F14" i="50" s="1"/>
  <c r="F17" i="50" s="1"/>
  <c r="V23" i="41"/>
  <c r="Y34" i="41"/>
  <c r="G9" i="50"/>
  <c r="Y39" i="41"/>
  <c r="C10" i="63"/>
  <c r="W20" i="41"/>
  <c r="W23" i="41"/>
  <c r="W24" i="41" s="1"/>
  <c r="W32" i="41"/>
  <c r="X20" i="41"/>
  <c r="AA26" i="41" l="1"/>
  <c r="AA28" i="41"/>
  <c r="AA21" i="41"/>
  <c r="AA23" i="41" s="1"/>
  <c r="AA24" i="41" s="1"/>
  <c r="G10" i="63"/>
  <c r="AA20" i="41"/>
  <c r="AC8" i="41"/>
  <c r="AC19" i="41"/>
  <c r="AB8" i="41"/>
  <c r="AB19" i="41"/>
  <c r="AC16" i="41"/>
  <c r="Z31" i="41"/>
  <c r="V33" i="41"/>
  <c r="V24" i="41"/>
  <c r="Y40" i="41"/>
  <c r="Y47" i="41" s="1"/>
  <c r="X45" i="41"/>
  <c r="G13" i="50"/>
  <c r="G14" i="50"/>
  <c r="G17" i="50" s="1"/>
  <c r="Z32" i="41" l="1"/>
  <c r="Z33" i="41"/>
  <c r="AB28" i="41"/>
  <c r="AB21" i="41"/>
  <c r="AB23" i="41" s="1"/>
  <c r="AB24" i="41" s="1"/>
  <c r="AB26" i="41"/>
  <c r="AB31" i="41" s="1"/>
  <c r="AB32" i="41" s="1"/>
  <c r="AB20" i="41"/>
  <c r="AC26" i="41"/>
  <c r="AC20" i="41"/>
  <c r="AC21" i="41"/>
  <c r="AC23" i="41" s="1"/>
  <c r="AC24" i="41" s="1"/>
  <c r="AC28" i="41"/>
  <c r="AA31" i="41"/>
  <c r="V39" i="41"/>
  <c r="V34" i="41"/>
  <c r="W33" i="41"/>
  <c r="X51" i="41"/>
  <c r="D17" i="63" s="1"/>
  <c r="X46" i="41"/>
  <c r="X48" i="41"/>
  <c r="T9" i="43"/>
  <c r="T32" i="43" s="1"/>
  <c r="Y45" i="41"/>
  <c r="AB33" i="41"/>
  <c r="H9" i="50" l="1"/>
  <c r="H13" i="50" s="1"/>
  <c r="H14" i="50" s="1"/>
  <c r="H17" i="50" s="1"/>
  <c r="Z34" i="41"/>
  <c r="Z39" i="41"/>
  <c r="Z40" i="41" s="1"/>
  <c r="Z47" i="41" s="1"/>
  <c r="AA32" i="41"/>
  <c r="AA33" i="41"/>
  <c r="AC31" i="41"/>
  <c r="Z45" i="41"/>
  <c r="V40" i="41"/>
  <c r="W39" i="41"/>
  <c r="E9" i="50"/>
  <c r="W34" i="41"/>
  <c r="Y48" i="41"/>
  <c r="Y46" i="41"/>
  <c r="Y51" i="41"/>
  <c r="E17" i="63" s="1"/>
  <c r="U9" i="43"/>
  <c r="U32" i="43" s="1"/>
  <c r="T58" i="43"/>
  <c r="T62" i="43"/>
  <c r="X49" i="41"/>
  <c r="X50" i="41"/>
  <c r="J9" i="50"/>
  <c r="AB39" i="41"/>
  <c r="AB34" i="41"/>
  <c r="I9" i="50" l="1"/>
  <c r="AA34" i="41"/>
  <c r="AA39" i="41"/>
  <c r="AA40" i="41" s="1"/>
  <c r="AA47" i="41" s="1"/>
  <c r="AC32" i="41"/>
  <c r="AC33" i="41"/>
  <c r="AA45" i="41"/>
  <c r="AA46" i="41" s="1"/>
  <c r="AA51" i="41"/>
  <c r="G17" i="63" s="1"/>
  <c r="AA48" i="41"/>
  <c r="AB40" i="41"/>
  <c r="AB47" i="41" s="1"/>
  <c r="Y50" i="41"/>
  <c r="Y49" i="41"/>
  <c r="J13" i="50"/>
  <c r="J14" i="50" s="1"/>
  <c r="J17" i="50" s="1"/>
  <c r="E13" i="50"/>
  <c r="E14" i="50" s="1"/>
  <c r="E17" i="50" s="1"/>
  <c r="V47" i="41"/>
  <c r="W40" i="41"/>
  <c r="W47" i="41" s="1"/>
  <c r="U58" i="43"/>
  <c r="U62" i="43"/>
  <c r="V45" i="41"/>
  <c r="V9" i="43"/>
  <c r="V32" i="43" s="1"/>
  <c r="Z48" i="41"/>
  <c r="Z51" i="41"/>
  <c r="F17" i="63" s="1"/>
  <c r="Z46" i="41"/>
  <c r="W9" i="43" l="1"/>
  <c r="W32" i="43" s="1"/>
  <c r="AC34" i="41"/>
  <c r="K9" i="50"/>
  <c r="K13" i="50" s="1"/>
  <c r="K14" i="50" s="1"/>
  <c r="AC39" i="41"/>
  <c r="AC40" i="41" s="1"/>
  <c r="AC47" i="41" s="1"/>
  <c r="I13" i="50"/>
  <c r="I14" i="50"/>
  <c r="I17" i="50" s="1"/>
  <c r="K17" i="50"/>
  <c r="C22" i="50"/>
  <c r="C25" i="50" s="1"/>
  <c r="C26" i="50" s="1"/>
  <c r="V58" i="43"/>
  <c r="V62" i="43"/>
  <c r="V51" i="41"/>
  <c r="V48" i="41"/>
  <c r="V46" i="41"/>
  <c r="AB45" i="41"/>
  <c r="AA50" i="41"/>
  <c r="AA49" i="41"/>
  <c r="W58" i="43"/>
  <c r="W62" i="43"/>
  <c r="W45" i="41"/>
  <c r="Z49" i="41"/>
  <c r="Z50" i="41"/>
  <c r="AC45" i="41"/>
  <c r="D18" i="50" l="1"/>
  <c r="S9" i="43"/>
  <c r="S32" i="43" s="1"/>
  <c r="W48" i="41"/>
  <c r="W46" i="41"/>
  <c r="V50" i="41"/>
  <c r="V49" i="41"/>
  <c r="B17" i="63"/>
  <c r="W51" i="41"/>
  <c r="C17" i="63" s="1"/>
  <c r="G22" i="50"/>
  <c r="G24" i="50" s="1"/>
  <c r="G26" i="50" s="1"/>
  <c r="K23" i="50" s="1"/>
  <c r="Y9" i="43"/>
  <c r="Y32" i="43" s="1"/>
  <c r="AC48" i="41"/>
  <c r="AC51" i="41"/>
  <c r="C8" i="59" s="1"/>
  <c r="AC46" i="41"/>
  <c r="X9" i="43"/>
  <c r="X32" i="43" s="1"/>
  <c r="AB51" i="41"/>
  <c r="AB48" i="41"/>
  <c r="AB46" i="41"/>
  <c r="X58" i="43" l="1"/>
  <c r="X62" i="43"/>
  <c r="H18" i="59"/>
  <c r="C27" i="59"/>
  <c r="J16" i="59"/>
  <c r="G17" i="59"/>
  <c r="K24" i="50" s="1"/>
  <c r="H20" i="59"/>
  <c r="C26" i="59"/>
  <c r="E15" i="59"/>
  <c r="F16" i="59"/>
  <c r="F19" i="59"/>
  <c r="C28" i="59"/>
  <c r="J19" i="59"/>
  <c r="I14" i="59"/>
  <c r="I19" i="59"/>
  <c r="H17" i="59"/>
  <c r="F20" i="59"/>
  <c r="D19" i="59"/>
  <c r="H19" i="59"/>
  <c r="G18" i="59"/>
  <c r="E14" i="59"/>
  <c r="J20" i="59"/>
  <c r="G19" i="59"/>
  <c r="D15" i="59"/>
  <c r="C30" i="59"/>
  <c r="F18" i="59"/>
  <c r="G15" i="59"/>
  <c r="D17" i="59"/>
  <c r="F15" i="59"/>
  <c r="D14" i="59"/>
  <c r="J15" i="59"/>
  <c r="F14" i="59"/>
  <c r="F17" i="59"/>
  <c r="H15" i="59"/>
  <c r="I17" i="59"/>
  <c r="G16" i="59"/>
  <c r="H14" i="59"/>
  <c r="E17" i="59"/>
  <c r="E16" i="59"/>
  <c r="C32" i="59"/>
  <c r="E19" i="59"/>
  <c r="D20" i="59"/>
  <c r="E20" i="59"/>
  <c r="I18" i="59"/>
  <c r="I15" i="59"/>
  <c r="F8" i="59"/>
  <c r="E18" i="59"/>
  <c r="H16" i="59"/>
  <c r="J17" i="59"/>
  <c r="D18" i="59"/>
  <c r="G20" i="59"/>
  <c r="J18" i="59"/>
  <c r="C31" i="59"/>
  <c r="D16" i="59"/>
  <c r="C29" i="59"/>
  <c r="G14" i="59"/>
  <c r="I16" i="59"/>
  <c r="I20" i="59"/>
  <c r="J14" i="59"/>
  <c r="AC50" i="41"/>
  <c r="AC49" i="41"/>
  <c r="Y62" i="43"/>
  <c r="Y58" i="43"/>
  <c r="K26" i="50"/>
  <c r="W49" i="41"/>
  <c r="W50" i="41"/>
  <c r="AB49" i="41"/>
  <c r="AB50" i="41"/>
  <c r="S62" i="43"/>
  <c r="S58" i="43"/>
  <c r="S60" i="43" s="1"/>
  <c r="T59" i="43" s="1"/>
  <c r="T60" i="43" s="1"/>
  <c r="U59" i="43" s="1"/>
  <c r="U60" i="43" s="1"/>
  <c r="V59" i="43" s="1"/>
  <c r="V60" i="43" s="1"/>
  <c r="W59" i="43" s="1"/>
  <c r="W60" i="43" s="1"/>
  <c r="X59" i="43" s="1"/>
  <c r="K28" i="50" l="1"/>
  <c r="K29" i="50" s="1"/>
  <c r="F6" i="58"/>
  <c r="E32" i="59"/>
  <c r="F32" i="59"/>
  <c r="I32" i="59"/>
  <c r="H32" i="59"/>
  <c r="G32" i="59"/>
  <c r="D32" i="59"/>
  <c r="J32" i="59"/>
  <c r="J26" i="59"/>
  <c r="D26" i="59"/>
  <c r="H26" i="59"/>
  <c r="E26" i="59"/>
  <c r="F26" i="59"/>
  <c r="G26" i="59"/>
  <c r="I26" i="59"/>
  <c r="E29" i="59"/>
  <c r="J29" i="59"/>
  <c r="I29" i="59"/>
  <c r="G29" i="59"/>
  <c r="F29" i="59"/>
  <c r="D29" i="59"/>
  <c r="H29" i="59"/>
  <c r="E31" i="59"/>
  <c r="D31" i="59"/>
  <c r="F31" i="59"/>
  <c r="I31" i="59"/>
  <c r="G31" i="59"/>
  <c r="H31" i="59"/>
  <c r="J31" i="59"/>
  <c r="G28" i="59"/>
  <c r="I28" i="59"/>
  <c r="F28" i="59"/>
  <c r="H28" i="59"/>
  <c r="E28" i="59"/>
  <c r="D28" i="59"/>
  <c r="J28" i="59"/>
  <c r="I27" i="59"/>
  <c r="H27" i="59"/>
  <c r="D27" i="59"/>
  <c r="G27" i="59"/>
  <c r="J27" i="59"/>
  <c r="E27" i="59"/>
  <c r="F27" i="59"/>
  <c r="I30" i="59"/>
  <c r="H30" i="59"/>
  <c r="E30" i="59"/>
  <c r="D30" i="59"/>
  <c r="J30" i="59"/>
  <c r="F30" i="59"/>
  <c r="G30" i="59"/>
  <c r="X60" i="43"/>
  <c r="Y59" i="43" s="1"/>
  <c r="Y60" i="4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 Marango</author>
    <author>JM</author>
  </authors>
  <commentList>
    <comment ref="R19" authorId="0" shapeId="0" xr:uid="{00000000-0006-0000-0000-000001000000}">
      <text>
        <r>
          <rPr>
            <sz val="9"/>
            <color indexed="81"/>
            <rFont val="Helv"/>
          </rPr>
          <t xml:space="preserve">UTHR 4Q12: "We reaffirm our 2013 full-year revenue guidance, as we continue to expect revenues to fall within a range of 5% above or
below $1 billion for 2013."
</t>
        </r>
      </text>
    </comment>
    <comment ref="M54" authorId="0" shapeId="0" xr:uid="{00000000-0006-0000-0000-000002000000}">
      <text>
        <r>
          <rPr>
            <sz val="9"/>
            <color indexed="81"/>
            <rFont val="Helv"/>
          </rPr>
          <t xml:space="preserve">
In October 2011, our Board of Directors approved a share repurchase program authorizing up to $300.0 million in aggregate repurchases of
our common stock at our discretion, over the two-year period ending in October 2013 (Repurchase Program). In connection with the Repurchase
Program, we paid $212.0 million for an accelerated share repurchase agreement (ASR) entered into with Deutsche Bank AB London Branch in
October 2011, pursuant to which we repurchased approximately 4.7 million shares of our common stock. </t>
        </r>
        <r>
          <rPr>
            <b/>
            <sz val="9"/>
            <color indexed="81"/>
            <rFont val="Helv"/>
          </rPr>
          <t>In May 2012, we completed the
Repurchase Program by acquiring approximately 2.0 million shares of our common stock at an aggregate cost of $88.0 million.</t>
        </r>
        <r>
          <rPr>
            <sz val="9"/>
            <color indexed="81"/>
            <rFont val="Helv"/>
          </rPr>
          <t xml:space="preserve">
In June 2012, our Board of Directors authorized the repurchase of up to an additional $100.0 million of aggregate repurchases of our
common stock (2012 Repurchase Program). The 2012 Repurchase Program became effective for a one-year period beginning July 31, 2012. </t>
        </r>
        <r>
          <rPr>
            <b/>
            <sz val="9"/>
            <color indexed="81"/>
            <rFont val="Helv"/>
          </rPr>
          <t>In
November 2012, we completed the 2012 Repurchase Program by acquiring approximately 2.0 million shares of our common stock at an
aggregate cost of $100.0 million.</t>
        </r>
      </text>
    </comment>
    <comment ref="R54" authorId="0" shapeId="0" xr:uid="{00000000-0006-0000-0000-000003000000}">
      <text>
        <r>
          <rPr>
            <sz val="9"/>
            <color indexed="81"/>
            <rFont val="Helv"/>
          </rPr>
          <t xml:space="preserve">
</t>
        </r>
        <r>
          <rPr>
            <b/>
            <sz val="9"/>
            <color indexed="81"/>
            <rFont val="Helv"/>
          </rPr>
          <t xml:space="preserve">On February 4, 2013, we announced that our Board of Directors authorized a new share repurchase program for up to $420.0 million in
aggregate repurchases of our common stock from time to time at our discretion (2013 Repurchase Program). </t>
        </r>
        <r>
          <rPr>
            <sz val="9"/>
            <color indexed="81"/>
            <rFont val="Helv"/>
          </rPr>
          <t xml:space="preserve">Repurchases under the 2013
Repurchase Program may be made in the open market or in privately negotiated transactions. The 2013 Repurchase Program will become
effective over a one-year period beginning on March 4, 2013 and will be funded by cash generated from operations and existing cash and short
term marketable investments.
1Q13 Call: "Our buyback program started in earnest in March. For the quarter, we've only bought back about 99,000 shares. But as of Monday, we've bought
back 700,000 shares and we've spent about 10% of the program thus far."
</t>
        </r>
      </text>
    </comment>
    <comment ref="T54" authorId="1" shapeId="0" xr:uid="{00000000-0006-0000-0000-000004000000}">
      <text>
        <r>
          <rPr>
            <sz val="9"/>
            <color indexed="81"/>
            <rFont val="Helv"/>
          </rPr>
          <t xml:space="preserve">1Q14 Q: At the beginning of 2014, we had </t>
        </r>
        <r>
          <rPr>
            <b/>
            <sz val="9"/>
            <color indexed="81"/>
            <rFont val="Helv"/>
          </rPr>
          <t xml:space="preserve">$377.6 million </t>
        </r>
        <r>
          <rPr>
            <sz val="9"/>
            <color indexed="81"/>
            <rFont val="Helv"/>
          </rPr>
          <t xml:space="preserve">remaining in the 2013 Repurchase Program. During the </t>
        </r>
        <r>
          <rPr>
            <b/>
            <sz val="9"/>
            <color indexed="81"/>
            <rFont val="Helv"/>
          </rPr>
          <t>three-month period ending March 31, 2014, we acquired approximately 1.0 million shares of our common stock at an aggregate cost of $97.6 million</t>
        </r>
        <r>
          <rPr>
            <sz val="9"/>
            <color indexed="81"/>
            <rFont val="Helv"/>
          </rPr>
          <t xml:space="preserve"> under the 2013 Repurchase Program. At our current rate of share repurchases, we expect to </t>
        </r>
        <r>
          <rPr>
            <b/>
            <sz val="9"/>
            <color indexed="81"/>
            <rFont val="Helv"/>
          </rPr>
          <t>complete the 2013 Repurchase Program during the second quarter of 201</t>
        </r>
        <r>
          <rPr>
            <sz val="9"/>
            <color indexed="81"/>
            <rFont val="Helv"/>
          </rPr>
          <t xml:space="preserve">4.
</t>
        </r>
      </text>
    </comment>
    <comment ref="U54" authorId="1" shapeId="0" xr:uid="{00000000-0006-0000-0000-000005000000}">
      <text>
        <r>
          <rPr>
            <sz val="9"/>
            <color indexed="81"/>
            <rFont val="Helv"/>
          </rPr>
          <t xml:space="preserve">The Board of Directors authorized the repurchase of up to an additional $500 million of the company's common stock.  This program will become effective on August 1, 2014, and will remain open for up to one year. 
</t>
        </r>
      </text>
    </comment>
    <comment ref="Y54" authorId="0" shapeId="0" xr:uid="{00000000-0006-0000-0000-000006000000}">
      <text>
        <r>
          <rPr>
            <b/>
            <sz val="9"/>
            <color indexed="81"/>
            <rFont val="Helv"/>
          </rPr>
          <t xml:space="preserve">In October 2011, we issued $250.0 million in aggregate principal value of our 2016 Convertible Notes. </t>
        </r>
        <r>
          <rPr>
            <sz val="9"/>
            <color indexed="81"/>
            <rFont val="Helv"/>
          </rPr>
          <t xml:space="preserve">The 2016 Convertible Notes are
unsecured, unsubordinated debt obligations that rank equally with all of our other unsecured and unsubordinated indebtedness. We pay interest
semi-annually on March 15th and September 15th of each year. </t>
        </r>
        <r>
          <rPr>
            <b/>
            <sz val="9"/>
            <color indexed="81"/>
            <rFont val="Helv"/>
          </rPr>
          <t>The initial conversion price is $47.69 per share and the number of underlying
shares used to determine the aggregate consideration upon conversion is approximately 5.2 million shares.</t>
        </r>
        <r>
          <rPr>
            <sz val="9"/>
            <color indexed="81"/>
            <rFont val="Helv"/>
          </rPr>
          <t xml:space="preserve">
</t>
        </r>
        <r>
          <rPr>
            <b/>
            <sz val="9"/>
            <color indexed="81"/>
            <rFont val="Helv"/>
          </rPr>
          <t xml:space="preserve">Conversion can occur: (1) any time after June 15, 2016; </t>
        </r>
        <r>
          <rPr>
            <sz val="9"/>
            <color indexed="81"/>
            <rFont val="Helv"/>
          </rPr>
          <t xml:space="preserve">(2) during any calendar quarter that follows a calendar quarter in which the price of
our common stock exceeds 130 percent of the conversion price for at least 20 days during the 30 consecutive trading-day period ending on the
last trading day of the quarter; (3) during the ten consecutive trading-day period following any five consecutive trading-day period in which the
trading price of the 2016 Convertible Notes is less than 95 percent of the closing price of our common stock multiplied by the then current
number of shares underlying the 2016 Convertible Notes; (4) upon specified distributions to our shareholders; (5) in connection with certain
corporate transactions; or (6) in the event that our common stock ceases to be listed on the NASDAQ Global Select Market, the NASDAQ
Global Market, or the New York Stock Exchange, or any of their respective successors.
Upon conversion, holders of our 2016 Convertible Notes are entitled to receive: (1) cash equal to the lesser of the principal amount of the
notes or the conversion value (the number of shares underlying the 2016 Convertible Notes multiplied by the then-current conversion price per
share); and (2) to the extent the conversion value exceeds the principal amount of the notes, shares of our common stock. In the event of a
change in control, as defined in the indenture under which the 2016 Convertible Notes have been issued, holders can require us to purchase all or
a portion of their 2016 Convertible Notes for 100 percent of the principal amount plus any accrued and unpaid interest.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JM</author>
    <author>J Marango</author>
  </authors>
  <commentList>
    <comment ref="N22" authorId="0" shapeId="0" xr:uid="{00000000-0006-0000-0100-000001000000}">
      <text>
        <r>
          <rPr>
            <sz val="9"/>
            <color indexed="81"/>
            <rFont val="Helv"/>
          </rPr>
          <t xml:space="preserve">Assume generic entry in late 2017.
</t>
        </r>
      </text>
    </comment>
    <comment ref="K24" authorId="0" shapeId="0" xr:uid="{00000000-0006-0000-0100-000002000000}">
      <text>
        <r>
          <rPr>
            <sz val="9"/>
            <color indexed="81"/>
            <rFont val="Helv"/>
          </rPr>
          <t xml:space="preserve">Rising average dose of IV Remodulin per patient
</t>
        </r>
      </text>
    </comment>
    <comment ref="O28" authorId="1" shapeId="0" xr:uid="{00000000-0006-0000-0100-000003000000}">
      <text>
        <r>
          <rPr>
            <sz val="9"/>
            <color indexed="81"/>
            <rFont val="Helv"/>
          </rPr>
          <t xml:space="preserve">Tyvaso patents expiration in 2018.
</t>
        </r>
      </text>
    </comment>
    <comment ref="F29" authorId="1" shapeId="0" xr:uid="{00000000-0006-0000-0100-000004000000}">
      <text>
        <r>
          <rPr>
            <sz val="9"/>
            <color rgb="FF000000"/>
            <rFont val="Helv"/>
          </rPr>
          <t xml:space="preserve">UTHR 4Q12 call: "As of right now we have something like 3,000 patients on Tyvaso."
</t>
        </r>
      </text>
    </comment>
    <comment ref="A34" authorId="1" shapeId="0" xr:uid="{00000000-0006-0000-0100-000005000000}">
      <text>
        <r>
          <rPr>
            <sz val="9"/>
            <color rgb="FF000000"/>
            <rFont val="Helv"/>
          </rPr>
          <t xml:space="preserve">Assume Class III and IV represent 75% of diagnosed PAH population.
</t>
        </r>
      </text>
    </comment>
    <comment ref="F35" authorId="1" shapeId="0" xr:uid="{00000000-0006-0000-0100-000006000000}">
      <text>
        <r>
          <rPr>
            <sz val="9"/>
            <color indexed="81"/>
            <rFont val="Helv"/>
          </rPr>
          <t xml:space="preserve">UTHR 4Q12 call: "In January, we crested 12,000 prescriptions written for Adcirca in January which is the highest ever."
UTHR 2012 10K: "In the fourth quarter of 2012, several companies launched generic formulations of sildenafil citrate."
</t>
        </r>
      </text>
    </comment>
    <comment ref="N35" authorId="1" shapeId="0" xr:uid="{00000000-0006-0000-0100-000007000000}">
      <text>
        <r>
          <rPr>
            <sz val="9"/>
            <color indexed="81"/>
            <rFont val="Helv"/>
          </rPr>
          <t xml:space="preserve">First Adcirca patent expires in Nov 2017. 
</t>
        </r>
      </text>
    </comment>
    <comment ref="F37" authorId="1" shapeId="0" xr:uid="{00000000-0006-0000-0100-000008000000}">
      <text>
        <r>
          <rPr>
            <sz val="9"/>
            <color indexed="81"/>
            <rFont val="Helv"/>
          </rPr>
          <t xml:space="preserve">WAC (20mg x 60; 1/1/13) = $1,591.20;
NB: 9.5% proce increase on July 2nd 2013
</t>
        </r>
      </text>
    </comment>
    <comment ref="N48" authorId="1" shapeId="0" xr:uid="{00000000-0006-0000-0100-000009000000}">
      <text>
        <r>
          <rPr>
            <sz val="9"/>
            <color indexed="81"/>
            <rFont val="Helv"/>
          </rPr>
          <t xml:space="preserve">Assume success of FREEDOM-EV in mid-2016, and commercial launch in 2H17.
</t>
        </r>
      </text>
    </comment>
    <comment ref="B62" authorId="1" shapeId="0" xr:uid="{00000000-0006-0000-0100-00000A000000}">
      <text>
        <r>
          <rPr>
            <sz val="9"/>
            <color rgb="FF000000"/>
            <rFont val="Helv"/>
          </rPr>
          <t xml:space="preserve">WW/EU sales have typically been 10-15% of US sales. 
</t>
        </r>
      </text>
    </comment>
    <comment ref="A68" authorId="1" shapeId="0" xr:uid="{00000000-0006-0000-0100-00000B000000}">
      <text>
        <r>
          <rPr>
            <sz val="9"/>
            <color rgb="FF000000"/>
            <rFont val="Helv"/>
          </rPr>
          <t xml:space="preserve">UTHR 2012 10K: "We are not seeking European Medicines Agency (EMA) approval of Tyvaso for the treatment of PAH. We expect to make Tyvaso
</t>
        </r>
        <r>
          <rPr>
            <sz val="9"/>
            <color rgb="FF000000"/>
            <rFont val="Helv"/>
          </rPr>
          <t xml:space="preserve">available in certain European and Latin American countries in 2013 on an unmarketed, named-patient basis through country-specific
</t>
        </r>
        <r>
          <rPr>
            <sz val="9"/>
            <color rgb="FF000000"/>
            <rFont val="Helv"/>
          </rPr>
          <t xml:space="preserve">arrangements with our distributors, to the extent physicians prescribe Tyvaso in those countries."
</t>
        </r>
      </text>
    </comment>
    <comment ref="N74" authorId="1" shapeId="0" xr:uid="{00000000-0006-0000-0100-00000C000000}">
      <text>
        <r>
          <rPr>
            <sz val="9"/>
            <color indexed="81"/>
            <rFont val="Helv"/>
          </rPr>
          <t xml:space="preserve">Assume success of FREEDOM-EV in mid-2016, and commercial launch in 2H17.
</t>
        </r>
      </text>
    </comment>
    <comment ref="A84" authorId="1" shapeId="0" xr:uid="{00000000-0006-0000-0100-00000D000000}">
      <text>
        <r>
          <rPr>
            <sz val="9"/>
            <color rgb="FF000000"/>
            <rFont val="Helv"/>
          </rPr>
          <t xml:space="preserve">Assume that China prevalence rate is steadily 75% of US prevalence rate.
</t>
        </r>
        <r>
          <rPr>
            <sz val="9"/>
            <color rgb="FF000000"/>
            <rFont val="Helv"/>
          </rPr>
          <t xml:space="preserve">
</t>
        </r>
        <r>
          <rPr>
            <sz val="9"/>
            <color rgb="FF000000"/>
            <rFont val="Helv"/>
          </rPr>
          <t xml:space="preserve">Alternatively, could assume that China prevalence rate starts low (eg. 25% of US rate) and then rises to approximate US/global rate as national PAH market is developed (increase in diagnosis, standard of care, etc). </t>
        </r>
      </text>
    </comment>
    <comment ref="F95" authorId="1" shapeId="0" xr:uid="{00000000-0006-0000-0100-00000E000000}">
      <text>
        <r>
          <rPr>
            <sz val="9"/>
            <color rgb="FF000000"/>
            <rFont val="Helv"/>
          </rPr>
          <t xml:space="preserve">Assume Remodulin pricing in China at $1.6K/month.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 Marango</author>
  </authors>
  <commentList>
    <comment ref="G23" authorId="0" shapeId="0" xr:uid="{00000000-0006-0000-0600-000001000000}">
      <text>
        <r>
          <rPr>
            <sz val="9"/>
            <color rgb="FF000000"/>
            <rFont val="Helv"/>
          </rPr>
          <t xml:space="preserve">UTHR 2012 10K: 
</t>
        </r>
        <r>
          <rPr>
            <sz val="9"/>
            <color rgb="FF000000"/>
            <rFont val="Helv"/>
          </rPr>
          <t xml:space="preserve">
</t>
        </r>
        <r>
          <rPr>
            <sz val="9"/>
            <color rgb="FF000000"/>
            <rFont val="Helv"/>
          </rPr>
          <t xml:space="preserve">"In October 2011, we issued </t>
        </r>
        <r>
          <rPr>
            <b/>
            <sz val="9"/>
            <color rgb="FF000000"/>
            <rFont val="Helv"/>
          </rPr>
          <t>$250.0M</t>
        </r>
        <r>
          <rPr>
            <sz val="9"/>
            <color rgb="FF000000"/>
            <rFont val="Helv"/>
          </rPr>
          <t xml:space="preserve"> in aggregate principal value of our 2016 Convertible Notes." 
</t>
        </r>
        <r>
          <rPr>
            <sz val="9"/>
            <color rgb="FF000000"/>
            <rFont val="Helv"/>
          </rPr>
          <t xml:space="preserve">
</t>
        </r>
        <r>
          <rPr>
            <sz val="9"/>
            <color rgb="FF000000"/>
            <rFont val="Helv"/>
          </rPr>
          <t xml:space="preserve">"In December 2010, we entered into a Credit Agreement with Wells Fargo Bank, National Association (Wells Fargo) and Bank of America,
</t>
        </r>
        <r>
          <rPr>
            <sz val="9"/>
            <color rgb="FF000000"/>
            <rFont val="Helv"/>
          </rPr>
          <t xml:space="preserve">N.A., pursuant to which we obtained </t>
        </r>
        <r>
          <rPr>
            <b/>
            <sz val="9"/>
            <color rgb="FF000000"/>
            <rFont val="Helv"/>
          </rPr>
          <t>$70.0M</t>
        </r>
        <r>
          <rPr>
            <sz val="9"/>
            <color rgb="FF000000"/>
            <rFont val="Helv"/>
          </rPr>
          <t xml:space="preserve"> in debt financing."</t>
        </r>
      </text>
    </comment>
  </commentList>
</comments>
</file>

<file path=xl/sharedStrings.xml><?xml version="1.0" encoding="utf-8"?>
<sst xmlns="http://schemas.openxmlformats.org/spreadsheetml/2006/main" count="649" uniqueCount="399">
  <si>
    <t>Non cash interest exp</t>
  </si>
  <si>
    <t>Discount</t>
  </si>
  <si>
    <t>Rate</t>
  </si>
  <si>
    <t>Primary endpoint</t>
  </si>
  <si>
    <t xml:space="preserve">228 pts: 23m (p=0.013) </t>
  </si>
  <si>
    <t>Equity Value Per Share</t>
  </si>
  <si>
    <t xml:space="preserve">DCF Total Valuation </t>
  </si>
  <si>
    <t>Preferred stock</t>
  </si>
  <si>
    <t>Series A Junior Participating Preferred stock</t>
  </si>
  <si>
    <t>Common stock</t>
  </si>
  <si>
    <t>Treasury stock at cost,</t>
  </si>
  <si>
    <t>Retained earnings</t>
  </si>
  <si>
    <t>Common stock subject to repurchase</t>
  </si>
  <si>
    <t>Revenue Model</t>
  </si>
  <si>
    <t>Q1:13E</t>
  </si>
  <si>
    <t>Q2:13E</t>
  </si>
  <si>
    <t>Q3:13E</t>
  </si>
  <si>
    <t>Q4:13E</t>
  </si>
  <si>
    <t>2017E</t>
  </si>
  <si>
    <t>2018E</t>
  </si>
  <si>
    <t>2019E</t>
  </si>
  <si>
    <t>2020E</t>
  </si>
  <si>
    <t>Payment for convertible note hedge and warrants, net</t>
  </si>
  <si>
    <t>Tyvaso penetration (PAH Class III-IV)</t>
  </si>
  <si>
    <t>Approved (US)</t>
  </si>
  <si>
    <t>First Tyvaso patent expiration</t>
  </si>
  <si>
    <t>First Adcirca patent expiration</t>
  </si>
  <si>
    <t xml:space="preserve">Remodulin pump launch </t>
  </si>
  <si>
    <t>UTHR EPS</t>
  </si>
  <si>
    <t>Weight</t>
  </si>
  <si>
    <t>PT</t>
  </si>
  <si>
    <t>DCF</t>
  </si>
  <si>
    <t>PE Multiple</t>
  </si>
  <si>
    <t xml:space="preserve">Weighted Price Target </t>
  </si>
  <si>
    <t>UTHR Pipeline</t>
  </si>
  <si>
    <t>Book Value per Share (Dil)</t>
  </si>
  <si>
    <t>Cash per Share (Dil)</t>
  </si>
  <si>
    <t>Income (loss) from discontinued ops</t>
  </si>
  <si>
    <t>Adj Net Income (Non-GAAP)</t>
  </si>
  <si>
    <t>Rating</t>
  </si>
  <si>
    <t>Price</t>
  </si>
  <si>
    <t>2014E</t>
  </si>
  <si>
    <t>2015E</t>
  </si>
  <si>
    <t>2016E</t>
  </si>
  <si>
    <t>Mar</t>
  </si>
  <si>
    <t>Jun</t>
  </si>
  <si>
    <t>Sep</t>
  </si>
  <si>
    <t>Dec</t>
  </si>
  <si>
    <t>Q1:11</t>
  </si>
  <si>
    <t>Q2:11</t>
  </si>
  <si>
    <t>Q3:11</t>
  </si>
  <si>
    <t>Q4:11</t>
  </si>
  <si>
    <t>Q1:12</t>
  </si>
  <si>
    <t>Remodulin</t>
  </si>
  <si>
    <t>Tyvaso</t>
  </si>
  <si>
    <t>Adcirca</t>
  </si>
  <si>
    <t>Adcirca target PAH population (Class I-IV)</t>
  </si>
  <si>
    <t>Complicated</t>
  </si>
  <si>
    <t>Q1:13</t>
  </si>
  <si>
    <t>Payments to repurchase common stock</t>
  </si>
  <si>
    <t>Issuance of stock under employee stock purchase plan</t>
  </si>
  <si>
    <t>Lee's Pharma "Home Field" Population (MMs)</t>
  </si>
  <si>
    <t>Equity loss in affiliate and other</t>
  </si>
  <si>
    <t>Source: H.C. Wainwright &amp; Co.</t>
  </si>
  <si>
    <t>Q2:13</t>
  </si>
  <si>
    <t>Enrollment</t>
  </si>
  <si>
    <t>6MWD @ week 12</t>
  </si>
  <si>
    <t>12 weeks</t>
  </si>
  <si>
    <t>Tx Duration</t>
  </si>
  <si>
    <t>Tx Background</t>
  </si>
  <si>
    <t>-</t>
  </si>
  <si>
    <t>16 weeks</t>
  </si>
  <si>
    <t>6MWD @ week 16</t>
  </si>
  <si>
    <t>Discontinuation (tx/pbo)</t>
  </si>
  <si>
    <t>11%/3%</t>
  </si>
  <si>
    <t>333m</t>
  </si>
  <si>
    <t>330m</t>
  </si>
  <si>
    <t>Free Cash Flow (CFO- CapEx)</t>
  </si>
  <si>
    <t>Current Ratio</t>
  </si>
  <si>
    <t>Quick Ratio</t>
  </si>
  <si>
    <t>Working Capital</t>
  </si>
  <si>
    <t>DSO</t>
  </si>
  <si>
    <t>Inventory Days</t>
  </si>
  <si>
    <t>Total Liabilities</t>
  </si>
  <si>
    <t>Additional paid-in capital</t>
  </si>
  <si>
    <t>Accumulated other comprehensive income</t>
  </si>
  <si>
    <t>Period Ending</t>
  </si>
  <si>
    <t>Excess tax benefits from share-based compensation</t>
  </si>
  <si>
    <t>Amortization of discount or premium on invts</t>
  </si>
  <si>
    <t>Excess tax benefits from share-based comp</t>
  </si>
  <si>
    <t>Inventories</t>
  </si>
  <si>
    <t>Accounts payable</t>
  </si>
  <si>
    <t>Remodulin price  (% of US price)</t>
  </si>
  <si>
    <t>Mainland Population (MMs)</t>
  </si>
  <si>
    <t>Goodwill and other intangibles, net</t>
  </si>
  <si>
    <t>Property, plant and equipment, net</t>
  </si>
  <si>
    <t>Deferred tax assets, net</t>
  </si>
  <si>
    <t>Oral treprostinil penetration (PAH Class III-IV)</t>
  </si>
  <si>
    <t>Oral treprostinil probability of success</t>
  </si>
  <si>
    <t>US Oral treprostinil revenue (probability weighted)</t>
  </si>
  <si>
    <t>Avg Annual Cost of oral treprostinil (1000'$)</t>
  </si>
  <si>
    <t>Number of patients receiving oral treprostinil</t>
  </si>
  <si>
    <t>China PAH Revenue</t>
  </si>
  <si>
    <t>EU Oral treprostinil revenue (probability weighted)</t>
  </si>
  <si>
    <t>EU Tyvaso revenue</t>
  </si>
  <si>
    <t>EU Remodulin revenue</t>
  </si>
  <si>
    <t xml:space="preserve">Remodulin </t>
  </si>
  <si>
    <t>Purchases of property, plant and equipment</t>
  </si>
  <si>
    <t>Purchases of held-to-maturity investments</t>
  </si>
  <si>
    <t>Maturities of held-to-maturity investments</t>
  </si>
  <si>
    <t>Proceeds from the exercise of stock options</t>
  </si>
  <si>
    <t>Development stage</t>
  </si>
  <si>
    <t>UTHR: Oral Treprostinil Phase III Studies</t>
  </si>
  <si>
    <t>14%/5%</t>
  </si>
  <si>
    <t>Avg Annual Cost of Adcirca (1000'$)</t>
  </si>
  <si>
    <t>WW PAH Revenue</t>
  </si>
  <si>
    <t>US Tyvaso revenue</t>
  </si>
  <si>
    <t>US Adcirca revenue</t>
  </si>
  <si>
    <t>EU Population (MMs)</t>
  </si>
  <si>
    <t>WW Remodulin Revenue</t>
  </si>
  <si>
    <t>WW Tyvaso Revenue</t>
  </si>
  <si>
    <t>WW Adcirca Revenue</t>
  </si>
  <si>
    <t>Present Value (PV) Calculation:</t>
  </si>
  <si>
    <t>Period (Year)</t>
  </si>
  <si>
    <t>Discounted Cash Flow</t>
  </si>
  <si>
    <t>Total Present Value</t>
  </si>
  <si>
    <t>Remodulin penetration (PAH Class III-IV)</t>
  </si>
  <si>
    <t>Oral treprostinil</t>
  </si>
  <si>
    <t>FREEDOM-EV study results</t>
  </si>
  <si>
    <t>Terminal Value</t>
  </si>
  <si>
    <t>Present Value</t>
  </si>
  <si>
    <t>Perpetuity Method:</t>
  </si>
  <si>
    <t>Growth Rate</t>
  </si>
  <si>
    <t>Discontinued operations:</t>
  </si>
  <si>
    <t>Gain (Loss) on disposal of discontinued ops</t>
  </si>
  <si>
    <t>Amortization of debt discount and debt issue costs</t>
  </si>
  <si>
    <t>Revenue ($ millions)</t>
  </si>
  <si>
    <t>EBIT ($ millions)</t>
  </si>
  <si>
    <t>EV/EBITDA</t>
  </si>
  <si>
    <t>EBITDA ($ millions)</t>
  </si>
  <si>
    <t>Revenues</t>
  </si>
  <si>
    <t>Q1</t>
  </si>
  <si>
    <t>Q2</t>
  </si>
  <si>
    <t>Q3</t>
  </si>
  <si>
    <t>Q4</t>
  </si>
  <si>
    <t>FY</t>
  </si>
  <si>
    <t>EBIT</t>
  </si>
  <si>
    <t>EBITDA</t>
  </si>
  <si>
    <t>EPS (GAAP)</t>
  </si>
  <si>
    <t>GAAP EPS (dil) ($)</t>
  </si>
  <si>
    <t>Payment of lease obligation</t>
  </si>
  <si>
    <t xml:space="preserve">Payment for an accelerated share repurchase transaction </t>
  </si>
  <si>
    <t xml:space="preserve">Stock Data </t>
  </si>
  <si>
    <t>Pre-tax Income</t>
  </si>
  <si>
    <t>Net Income</t>
  </si>
  <si>
    <t>Basic Shares</t>
  </si>
  <si>
    <t>Diluted Shares</t>
  </si>
  <si>
    <t>Restructuring Costs/ Other</t>
  </si>
  <si>
    <t>Cash Flow From Operations</t>
  </si>
  <si>
    <t>Change operating assets and liabilities</t>
  </si>
  <si>
    <t>Cash flow from investing activities</t>
  </si>
  <si>
    <t>Net cash provided by investing</t>
  </si>
  <si>
    <t>Cash flow from financing activities</t>
  </si>
  <si>
    <t>Net cash provided by financing activities</t>
  </si>
  <si>
    <t>Net Fx effects</t>
  </si>
  <si>
    <t>Cash at beginning of period</t>
  </si>
  <si>
    <t>Cash at end of period</t>
  </si>
  <si>
    <t>Current Assets</t>
  </si>
  <si>
    <t>Cash and cash equivalent</t>
  </si>
  <si>
    <t>Accounts receivable net of doubtful accounts</t>
  </si>
  <si>
    <t>Other current assets</t>
  </si>
  <si>
    <t>Total current assets</t>
  </si>
  <si>
    <t>Other assets</t>
  </si>
  <si>
    <t>Total Assets</t>
  </si>
  <si>
    <t>Current liabilities</t>
  </si>
  <si>
    <t>Other current liabilities</t>
  </si>
  <si>
    <t>COGS</t>
  </si>
  <si>
    <t>Gross Profit</t>
  </si>
  <si>
    <t>FREEDOM-C2</t>
  </si>
  <si>
    <t>FREEDOM-M</t>
  </si>
  <si>
    <t>FREEDOM-EV</t>
  </si>
  <si>
    <t>FREEDOM-C</t>
  </si>
  <si>
    <t>Completion</t>
  </si>
  <si>
    <t>Metastatic brain cancer</t>
  </si>
  <si>
    <t>IV + pump</t>
  </si>
  <si>
    <t>Remodulin (IV, SQ)</t>
  </si>
  <si>
    <t>Total Product Revenue</t>
  </si>
  <si>
    <t>yoy price increase</t>
  </si>
  <si>
    <t>GAAP EPS- diluted</t>
  </si>
  <si>
    <t>% change y-o-y</t>
  </si>
  <si>
    <t>% of revenue</t>
  </si>
  <si>
    <t>Tax rate (%)</t>
  </si>
  <si>
    <t>Net Income (GAAP)</t>
  </si>
  <si>
    <t>Gross margin</t>
  </si>
  <si>
    <t>Operating margin</t>
  </si>
  <si>
    <t>Adj Net Margin</t>
  </si>
  <si>
    <t>Adj EPS- diluted</t>
  </si>
  <si>
    <t>Net Margin</t>
  </si>
  <si>
    <t>Marketable investments</t>
  </si>
  <si>
    <t>Deferred tax assets</t>
  </si>
  <si>
    <t>Provisions for bad debt &amp; inventory obsolescence</t>
  </si>
  <si>
    <t>Changes in Working Capital</t>
  </si>
  <si>
    <t>Capital Expenditures</t>
  </si>
  <si>
    <t>Taxes</t>
  </si>
  <si>
    <t>Insurance proceeds receivable</t>
  </si>
  <si>
    <t>US PAH Revenue</t>
  </si>
  <si>
    <t>Ch14.18 MAB</t>
  </si>
  <si>
    <t>IV</t>
  </si>
  <si>
    <t>Neuroblastoma</t>
  </si>
  <si>
    <t>Beraprost</t>
  </si>
  <si>
    <t>8H9 MAB</t>
  </si>
  <si>
    <t>345m</t>
  </si>
  <si>
    <t>ERA and/or PDE5-I</t>
  </si>
  <si>
    <t>Baseline mean 6MWD</t>
  </si>
  <si>
    <t>Baseline familial PAH</t>
  </si>
  <si>
    <t>Baseline WHO Class III</t>
  </si>
  <si>
    <t>6MWD change @ study end (pbo-corrected)</t>
  </si>
  <si>
    <t>ITT: 11m (p=0.072)</t>
  </si>
  <si>
    <t>ITT: 10m (p=0.089)</t>
  </si>
  <si>
    <t>354 pts</t>
  </si>
  <si>
    <t>310 pts</t>
  </si>
  <si>
    <t>349 pts</t>
  </si>
  <si>
    <t>858 pts</t>
  </si>
  <si>
    <t>Remodulin penetration</t>
  </si>
  <si>
    <t>Number of patients receiving Remodulin</t>
  </si>
  <si>
    <t>US Remodulin revenue</t>
  </si>
  <si>
    <t>Tyvaso penetration</t>
  </si>
  <si>
    <t>Number of patients receiving Tyvaso</t>
  </si>
  <si>
    <t>Avg Annual Cost of Tyvaso (1000'$)</t>
  </si>
  <si>
    <t>Adcirca penetration</t>
  </si>
  <si>
    <t>Number of patients receiving Adcirca</t>
  </si>
  <si>
    <t>Lee's population (MM, FY2020)</t>
  </si>
  <si>
    <t>US PAH Prevalence Rate</t>
  </si>
  <si>
    <t xml:space="preserve">Number of patients receiving Remodulin </t>
  </si>
  <si>
    <t>Phase I</t>
  </si>
  <si>
    <t>Pre-clinical</t>
  </si>
  <si>
    <t>PLX cells</t>
  </si>
  <si>
    <t>Glycobiology Antivirals</t>
  </si>
  <si>
    <t>Broad spectrum  viral infections</t>
  </si>
  <si>
    <t>End-stage lung disease</t>
  </si>
  <si>
    <t>Discount Rate</t>
  </si>
  <si>
    <t>Discount to</t>
  </si>
  <si>
    <t>Discounted EPS</t>
  </si>
  <si>
    <t>PE Multiple Step</t>
  </si>
  <si>
    <t>Sensitivity to EPS Estimate</t>
  </si>
  <si>
    <t>PE Multiple Valuation</t>
  </si>
  <si>
    <t>Chinese patients on Remodulin</t>
  </si>
  <si>
    <t>Peak China revenue to UTHR ($MM)</t>
  </si>
  <si>
    <t>PAH Prevalence Rate in China</t>
  </si>
  <si>
    <t>Unlevered FCF</t>
  </si>
  <si>
    <t xml:space="preserve">Terminal Value </t>
  </si>
  <si>
    <t>Total Enterprise Value</t>
  </si>
  <si>
    <t>Total Equity Value</t>
  </si>
  <si>
    <t xml:space="preserve">Accounts payable </t>
  </si>
  <si>
    <t>Convertible notes</t>
  </si>
  <si>
    <t>Stockholders' equity:</t>
  </si>
  <si>
    <t xml:space="preserve">UTHR Diluted Share Count </t>
  </si>
  <si>
    <t>Depreciation &amp; Amortization</t>
  </si>
  <si>
    <t>Non-cash charges</t>
  </si>
  <si>
    <t>Impairments</t>
  </si>
  <si>
    <t>Expense associated with outstanding license fees</t>
  </si>
  <si>
    <t>Sales of trading investments</t>
  </si>
  <si>
    <t>Acquisitions</t>
  </si>
  <si>
    <t>Restrictions on cash</t>
  </si>
  <si>
    <t>Principal payments of debt</t>
  </si>
  <si>
    <t>Proceeds received from issuance of debt</t>
  </si>
  <si>
    <t>Payments of transaction costs related to issuance of debt</t>
  </si>
  <si>
    <t>Total Unlevered Free Cash Flow</t>
  </si>
  <si>
    <t>Revenue ($MM)</t>
  </si>
  <si>
    <t>EPS ($)</t>
  </si>
  <si>
    <t>Q2:12</t>
  </si>
  <si>
    <t xml:space="preserve">Approved (US, EU, +) </t>
  </si>
  <si>
    <t>IV, SQ</t>
  </si>
  <si>
    <t xml:space="preserve">Prevalence of Class III &amp; IV PAH </t>
  </si>
  <si>
    <t>China population (MM, FY2020)</t>
  </si>
  <si>
    <t>EU PAH Revenue</t>
  </si>
  <si>
    <t>Avg Annual Cost of Remodulin (1000'$)</t>
  </si>
  <si>
    <t>US Population (MMs)</t>
  </si>
  <si>
    <t>Number of Class III &amp; IV PAH patients</t>
  </si>
  <si>
    <t>Marketable investments and cash - restricted</t>
  </si>
  <si>
    <t>Accrued expenses</t>
  </si>
  <si>
    <t>Discount Step</t>
  </si>
  <si>
    <t>Variance Step</t>
  </si>
  <si>
    <t>Implied Share Price</t>
  </si>
  <si>
    <t>P/E Multiples</t>
  </si>
  <si>
    <t>Implied</t>
  </si>
  <si>
    <t>Sensitivity</t>
  </si>
  <si>
    <t>Product</t>
  </si>
  <si>
    <t xml:space="preserve">Indication </t>
  </si>
  <si>
    <t>Phase III</t>
  </si>
  <si>
    <t>Phase II</t>
  </si>
  <si>
    <t xml:space="preserve">Timing </t>
  </si>
  <si>
    <t>Event</t>
  </si>
  <si>
    <t>Others</t>
  </si>
  <si>
    <t>Growth YoY</t>
  </si>
  <si>
    <t>Interest income</t>
  </si>
  <si>
    <t>Equity loss in affiliate</t>
  </si>
  <si>
    <t>Other, net</t>
  </si>
  <si>
    <t>Operating Income</t>
  </si>
  <si>
    <t>Net increase (decrease) in cash and equivalents</t>
  </si>
  <si>
    <t>Total stockholders' equity (deficit)</t>
  </si>
  <si>
    <t>Net cash used in operations</t>
  </si>
  <si>
    <t>EPS</t>
  </si>
  <si>
    <t>Consensus</t>
  </si>
  <si>
    <t>Estimates vs. Consensus</t>
  </si>
  <si>
    <t>DCF Analysis</t>
  </si>
  <si>
    <t xml:space="preserve">Total liabilites and stockholders' equity </t>
  </si>
  <si>
    <t>Other liabilities</t>
  </si>
  <si>
    <t>Mortgages payable - noncurrent</t>
  </si>
  <si>
    <t>Prepaid expenses</t>
  </si>
  <si>
    <t>Lease obligation</t>
  </si>
  <si>
    <t>Adjustments</t>
  </si>
  <si>
    <t>Depreciation and amortization</t>
  </si>
  <si>
    <t>Current and deferred income tax expense</t>
  </si>
  <si>
    <t>Share-based compensation (benefit) expense</t>
  </si>
  <si>
    <t>Q3:12</t>
  </si>
  <si>
    <t>Q4:12</t>
  </si>
  <si>
    <t>United Therapeutics Corporation</t>
  </si>
  <si>
    <t>China Remodulin revenue (To Lee's Pharma)</t>
  </si>
  <si>
    <t>China Remodulin revenue (To UTHR)</t>
  </si>
  <si>
    <t>25% of US</t>
  </si>
  <si>
    <t>50% of US</t>
  </si>
  <si>
    <t>75% of US</t>
  </si>
  <si>
    <t>100% of US</t>
  </si>
  <si>
    <t>China</t>
  </si>
  <si>
    <t>Penetration</t>
  </si>
  <si>
    <t xml:space="preserve">Lee's Home Field </t>
  </si>
  <si>
    <t xml:space="preserve">Distributor discount </t>
  </si>
  <si>
    <t>Operating Expenses</t>
  </si>
  <si>
    <t>R&amp;D</t>
  </si>
  <si>
    <t>SG&amp;A</t>
  </si>
  <si>
    <t>Total Operating Expenses</t>
  </si>
  <si>
    <t>2012E</t>
  </si>
  <si>
    <t>2013E</t>
  </si>
  <si>
    <t>Interest expense</t>
  </si>
  <si>
    <t>Total current liabilities</t>
  </si>
  <si>
    <t xml:space="preserve">Engineered lungs for transplant </t>
  </si>
  <si>
    <t>Accounts receivable</t>
  </si>
  <si>
    <t>Inventory</t>
  </si>
  <si>
    <t>52 Week Range</t>
  </si>
  <si>
    <t>P/E</t>
  </si>
  <si>
    <t>EV/Sales</t>
  </si>
  <si>
    <t>Price Target</t>
  </si>
  <si>
    <t>Market Cap (mil)</t>
  </si>
  <si>
    <t>Shares out (mil)</t>
  </si>
  <si>
    <t>Enterprise Value (mil)</t>
  </si>
  <si>
    <t>Upside/Downside</t>
  </si>
  <si>
    <t>3-Mo Avg Vol (mil)</t>
  </si>
  <si>
    <t>Cash per share</t>
  </si>
  <si>
    <t>Total Debt (mil)</t>
  </si>
  <si>
    <t>Debt/Equity</t>
  </si>
  <si>
    <t>Yr Dec</t>
  </si>
  <si>
    <t>YEAR</t>
  </si>
  <si>
    <t>UTHR Upcoming Catalysts</t>
  </si>
  <si>
    <t>(in $MM,  except patient numbers)</t>
  </si>
  <si>
    <t xml:space="preserve">Income Statement </t>
  </si>
  <si>
    <t>(in $MM except per share values)</t>
  </si>
  <si>
    <t xml:space="preserve">Balance Sheet </t>
  </si>
  <si>
    <t xml:space="preserve">Cash Flow Statement </t>
  </si>
  <si>
    <t>Net Cash</t>
  </si>
  <si>
    <t>UTHR Price Target</t>
  </si>
  <si>
    <t>Delivery</t>
  </si>
  <si>
    <t>PAH</t>
  </si>
  <si>
    <t>Inhaled</t>
  </si>
  <si>
    <t>Oral</t>
  </si>
  <si>
    <t xml:space="preserve">Oral </t>
  </si>
  <si>
    <t>Q3:13</t>
  </si>
  <si>
    <t>Orenitram penetration</t>
  </si>
  <si>
    <t>Number of patients receiving Orenitram</t>
  </si>
  <si>
    <t>Avg Annual Cost of Orenitram (1000'$)</t>
  </si>
  <si>
    <t>US Orenitram revenue</t>
  </si>
  <si>
    <t>WW Orenitram Revenue (FREEDOM-M)</t>
  </si>
  <si>
    <t xml:space="preserve">Number of patients receiving oral treprostinil </t>
  </si>
  <si>
    <t>Stock Price</t>
  </si>
  <si>
    <t>Orenitram (FREEDOM-M)</t>
  </si>
  <si>
    <t>Oral Treprostinil (FREEDOM-C)</t>
  </si>
  <si>
    <t>Orenitram (FREEEDOM-M) target PAH population (Class II-III)</t>
  </si>
  <si>
    <t xml:space="preserve"> Orenitram (FREEDOM-M)</t>
  </si>
  <si>
    <t>Q4:13</t>
  </si>
  <si>
    <t>Q1:14E</t>
  </si>
  <si>
    <t>Q2:14E</t>
  </si>
  <si>
    <t>Q3:14E</t>
  </si>
  <si>
    <t>Q4:14E</t>
  </si>
  <si>
    <t>Share tracking award plans</t>
  </si>
  <si>
    <t>Mortgages payable</t>
  </si>
  <si>
    <t>Q1:14</t>
  </si>
  <si>
    <t>Q2:14</t>
  </si>
  <si>
    <t>Q3:14</t>
  </si>
  <si>
    <t>Q4:14</t>
  </si>
  <si>
    <t>WW Oral treprostinil Revenue (FREEDOM-EV)</t>
  </si>
  <si>
    <t>Oral treprostinil (FREEDOM-EV) penetration (PAH Class III-IV)</t>
  </si>
  <si>
    <t>Growth QoQ</t>
  </si>
  <si>
    <t>Source: Company Reports</t>
  </si>
  <si>
    <t>Source: Company</t>
  </si>
  <si>
    <t>Source: Company Reports, Bloomberg</t>
  </si>
  <si>
    <t>Model</t>
  </si>
  <si>
    <r>
      <t xml:space="preserve">ERA </t>
    </r>
    <r>
      <rPr>
        <b/>
        <i/>
        <sz val="10"/>
        <color indexed="8"/>
        <rFont val="Calibri"/>
        <family val="2"/>
      </rPr>
      <t>or</t>
    </r>
    <r>
      <rPr>
        <sz val="10"/>
        <color indexed="8"/>
        <rFont val="Calibri"/>
        <family val="2"/>
      </rPr>
      <t xml:space="preserve"> PDE5-I </t>
    </r>
  </si>
  <si>
    <r>
      <t xml:space="preserve">time to first clinical worsening event </t>
    </r>
    <r>
      <rPr>
        <b/>
        <i/>
        <sz val="10"/>
        <color indexed="8"/>
        <rFont val="Calibri"/>
        <family val="2"/>
      </rPr>
      <t>and</t>
    </r>
    <r>
      <rPr>
        <sz val="10"/>
        <color indexed="8"/>
        <rFont val="Calibri"/>
        <family val="2"/>
      </rPr>
      <t xml:space="preserve"> 6MWD @ week 24</t>
    </r>
  </si>
  <si>
    <t>24 weeks (and event-driven)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</si>
</sst>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1">
    <numFmt numFmtId="6" formatCode="&quot;$&quot;#,##0_);[Red]\(&quot;$&quot;#,##0\)"/>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_)"/>
    <numFmt numFmtId="165" formatCode="0.0%"/>
    <numFmt numFmtId="166" formatCode="_(* #,##0_);_(* \(#,##0\);_(* &quot;-&quot;??_);_(@_)"/>
    <numFmt numFmtId="167" formatCode="#,##0.0"/>
    <numFmt numFmtId="168" formatCode="_(&quot;$&quot;* #,##0_);_(&quot;$&quot;* \(#,##0\);_(&quot;$&quot;* &quot;-&quot;??_);_(@_)"/>
    <numFmt numFmtId="169" formatCode="_(* #,##0.0_);_(* \(#,##0.0\);_(* &quot;-&quot;??_);_(@_)"/>
    <numFmt numFmtId="170" formatCode="&quot;Yes&quot;;&quot;Yes&quot;;&quot;No&quot;"/>
    <numFmt numFmtId="171" formatCode="_(* #,##0.0_);_(* \(#,##0.0\);_(* &quot;-&quot;?_);_(@_)"/>
    <numFmt numFmtId="172" formatCode="0.0"/>
    <numFmt numFmtId="173" formatCode="_(* #,##0.000_);_(* \(#,##0.000\);_(* &quot;-&quot;??_);_(@_)"/>
    <numFmt numFmtId="174" formatCode="#,##0.0_);\(#,##0.0\)"/>
    <numFmt numFmtId="175" formatCode="0.000000000000000%"/>
    <numFmt numFmtId="176" formatCode="0.0000"/>
    <numFmt numFmtId="177" formatCode="_([$€]* #,##0.00_);_([$€]* \(#,##0.00\);_([$€]* &quot;-&quot;??_);_(@_)"/>
    <numFmt numFmtId="178" formatCode="&quot;$&quot;_(#,##0.00_);&quot;$&quot;\(#,##0.00\)"/>
    <numFmt numFmtId="179" formatCode="#,##0.0_)\x;\(#,##0.0\)\x"/>
    <numFmt numFmtId="180" formatCode="#,##0.0_)_x;\(#,##0.0\)_x"/>
    <numFmt numFmtId="181" formatCode="0.0_)\%;\(0.0\)\%"/>
    <numFmt numFmtId="182" formatCode="#,##0.0_)_%;\(#,##0.0\)_%"/>
    <numFmt numFmtId="183" formatCode="_-* #,##0\ _D_M_-;\-* #,##0\ _D_M_-;_-* &quot;-&quot;\ _D_M_-;_-@_-"/>
    <numFmt numFmtId="184" formatCode="_-* #,##0.00\ _D_M_-;\-* #,##0.00\ _D_M_-;_-* &quot;-&quot;??\ _D_M_-;_-@_-"/>
    <numFmt numFmtId="185" formatCode="#,##0.0_);\(#,##0.0\);0_._0_)"/>
    <numFmt numFmtId="186" formatCode="#,##0_)\x;\(#,##0\)\x"/>
    <numFmt numFmtId="187" formatCode="0.00_)\%;\(0.00\)\%"/>
    <numFmt numFmtId="188" formatCode="#,##0.00_)_x_x;\(#,##0.00\)_x_x"/>
    <numFmt numFmtId="189" formatCode="_(* #,##0.0000000_);_(* \(#,##0.0000000\);_(* &quot;-&quot;??_);_(@_)"/>
    <numFmt numFmtId="190" formatCode="_(&quot;$&quot;* #,##0.00000_);_(&quot;$&quot;* \(#,##0.00000\);_(&quot;$&quot;* &quot;-&quot;??_);_(@_)"/>
    <numFmt numFmtId="191" formatCode="_(&quot;$&quot;* #,##0.000000_);_(&quot;$&quot;* \(#,##0.000000\);_(&quot;$&quot;* &quot;-&quot;??_);_(@_)"/>
    <numFmt numFmtId="192" formatCode="0.0_)"/>
    <numFmt numFmtId="193" formatCode="#,##0.0_);[Red]\(#,##0.0\)"/>
    <numFmt numFmtId="194" formatCode="[$-409]mmm\-yy;@"/>
    <numFmt numFmtId="195" formatCode="0.0\x"/>
    <numFmt numFmtId="196" formatCode="#,##0.0;\(#,##0.0\)"/>
    <numFmt numFmtId="197" formatCode="#,##0.0;\-#,##0.0"/>
    <numFmt numFmtId="198" formatCode="#,##0.00;\(#,##0.00\)"/>
    <numFmt numFmtId="199" formatCode="#,##0.0%_);\(#,##0.0%\)"/>
    <numFmt numFmtId="200" formatCode="mm/yy"/>
    <numFmt numFmtId="201" formatCode="m/yy"/>
    <numFmt numFmtId="202" formatCode="yy/m"/>
    <numFmt numFmtId="203" formatCode="0.0%;[Red]\(0.0%\)"/>
    <numFmt numFmtId="204" formatCode="0.0%;\(0.0%\)"/>
    <numFmt numFmtId="205" formatCode="_(&quot;$&quot;* #,##0.0_);_(&quot;$&quot;* \(#,##0.0\);_(&quot;$&quot;* &quot;-&quot;_);_(@_)"/>
    <numFmt numFmtId="206" formatCode="_(&quot;$&quot;* #,##0.00_);_(&quot;$&quot;* \(#,##0.00\);_(&quot;$&quot;* &quot;-&quot;_);_(@_)"/>
    <numFmt numFmtId="207" formatCode="&quot;$&quot;0.00"/>
    <numFmt numFmtId="208" formatCode="&quot;$&quot;#,##0.00"/>
    <numFmt numFmtId="209" formatCode="0\x"/>
    <numFmt numFmtId="210" formatCode=";;;"/>
    <numFmt numFmtId="211" formatCode="_(* #,##0.00_);_(* \(#,##0.00\);_(* &quot;-&quot;_);_(@_)"/>
    <numFmt numFmtId="212" formatCode="_(&quot;$&quot;* #,##0.0_);_(&quot;$&quot;* \(#,##0.0\);_(&quot;$&quot;* &quot;-&quot;??_);_(@_)"/>
    <numFmt numFmtId="213" formatCode="0.000%"/>
    <numFmt numFmtId="214" formatCode="0.0000%"/>
    <numFmt numFmtId="215" formatCode="#,##0.0000_);[Red]\(#,##0.0000\)"/>
    <numFmt numFmtId="216" formatCode="#,##0.000_);[Red]\(#,##0.000\)"/>
    <numFmt numFmtId="217" formatCode="&quot;$&quot;#,##0"/>
  </numFmts>
  <fonts count="153">
    <font>
      <sz val="12"/>
      <color indexed="8"/>
      <name val="Helv"/>
    </font>
    <font>
      <sz val="11"/>
      <color indexed="8"/>
      <name val="Calibri"/>
      <family val="2"/>
    </font>
    <font>
      <sz val="11"/>
      <color indexed="8"/>
      <name val="Calibri"/>
      <family val="2"/>
    </font>
    <font>
      <sz val="11"/>
      <color indexed="8"/>
      <name val="Calibri"/>
      <family val="2"/>
    </font>
    <font>
      <sz val="12"/>
      <color indexed="8"/>
      <name val="Helv"/>
    </font>
    <font>
      <sz val="10"/>
      <name val="Arial"/>
      <family val="2"/>
    </font>
    <font>
      <sz val="11"/>
      <name val="Arial"/>
      <family val="2"/>
    </font>
    <font>
      <b/>
      <sz val="11"/>
      <name val="Arial"/>
      <family val="2"/>
    </font>
    <font>
      <b/>
      <sz val="10"/>
      <name val="Arial"/>
      <family val="2"/>
    </font>
    <font>
      <sz val="10"/>
      <name val="Arial"/>
      <family val="2"/>
    </font>
    <font>
      <sz val="10"/>
      <color indexed="12"/>
      <name val="Arial"/>
      <family val="2"/>
    </font>
    <font>
      <sz val="10"/>
      <color indexed="8"/>
      <name val="Arial"/>
      <family val="2"/>
    </font>
    <font>
      <sz val="8"/>
      <name val="Arial"/>
      <family val="2"/>
    </font>
    <font>
      <sz val="10"/>
      <name val="Book Antiqua"/>
      <family val="1"/>
    </font>
    <font>
      <sz val="9"/>
      <name val="Arial"/>
      <family val="2"/>
    </font>
    <font>
      <sz val="10"/>
      <name val="Courier New"/>
      <family val="3"/>
    </font>
    <font>
      <sz val="9"/>
      <name val="Times New Roman"/>
      <family val="1"/>
    </font>
    <font>
      <b/>
      <i/>
      <strike/>
      <sz val="12"/>
      <color indexed="48"/>
      <name val="Arial"/>
      <family val="2"/>
    </font>
    <font>
      <sz val="8"/>
      <color indexed="9"/>
      <name val="Arial"/>
      <family val="2"/>
    </font>
    <font>
      <i/>
      <strike/>
      <sz val="12"/>
      <color indexed="40"/>
      <name val="Arial"/>
      <family val="2"/>
    </font>
    <font>
      <sz val="7"/>
      <name val="Palatino"/>
      <family val="1"/>
    </font>
    <font>
      <sz val="6"/>
      <color indexed="16"/>
      <name val="Palatino"/>
      <family val="1"/>
    </font>
    <font>
      <sz val="18"/>
      <name val="Helvetica-Black"/>
    </font>
    <font>
      <i/>
      <sz val="14"/>
      <name val="Palatino"/>
      <family val="1"/>
    </font>
    <font>
      <sz val="10"/>
      <color indexed="12"/>
      <name val="CG Times (WN)"/>
    </font>
    <font>
      <sz val="12"/>
      <name val="Arial MT"/>
    </font>
    <font>
      <sz val="10"/>
      <name val="Palatino"/>
      <family val="1"/>
    </font>
    <font>
      <i/>
      <strike/>
      <sz val="12"/>
      <color indexed="10"/>
      <name val="Arial"/>
      <family val="2"/>
    </font>
    <font>
      <sz val="10"/>
      <color indexed="16"/>
      <name val="Helvetica-Black"/>
    </font>
    <font>
      <sz val="10"/>
      <name val="Times"/>
    </font>
    <font>
      <strike/>
      <sz val="12"/>
      <color indexed="46"/>
      <name val="Arial"/>
      <family val="2"/>
    </font>
    <font>
      <sz val="10"/>
      <name val="MS Sans Serif"/>
      <family val="2"/>
    </font>
    <font>
      <sz val="12"/>
      <color indexed="17"/>
      <name val="Arial"/>
      <family val="2"/>
    </font>
    <font>
      <i/>
      <sz val="8"/>
      <color indexed="14"/>
      <name val="Arial"/>
      <family val="2"/>
    </font>
    <font>
      <sz val="9.5"/>
      <color indexed="23"/>
      <name val="Helvetica-Black"/>
    </font>
    <font>
      <b/>
      <sz val="9"/>
      <name val="Palatino"/>
      <family val="1"/>
    </font>
    <font>
      <sz val="9"/>
      <color indexed="21"/>
      <name val="Helvetica-Black"/>
    </font>
    <font>
      <b/>
      <sz val="10"/>
      <name val="Palatino"/>
      <family val="1"/>
    </font>
    <font>
      <sz val="9"/>
      <name val="Helvetica-Black"/>
    </font>
    <font>
      <b/>
      <sz val="10"/>
      <name val="Times New Roman"/>
      <family val="1"/>
    </font>
    <font>
      <sz val="12"/>
      <color indexed="8"/>
      <name val="Palatino"/>
      <family val="1"/>
    </font>
    <font>
      <sz val="11"/>
      <color indexed="8"/>
      <name val="Helvetica-Black"/>
    </font>
    <font>
      <b/>
      <sz val="10"/>
      <name val="Times New Roman"/>
      <family val="1"/>
    </font>
    <font>
      <sz val="10"/>
      <color indexed="8"/>
      <name val="Arial"/>
      <family val="2"/>
    </font>
    <font>
      <sz val="10"/>
      <color indexed="38"/>
      <name val="Arial"/>
      <family val="2"/>
    </font>
    <font>
      <u/>
      <sz val="8"/>
      <color indexed="8"/>
      <name val="Arial"/>
      <family val="2"/>
    </font>
    <font>
      <i/>
      <strike/>
      <sz val="12"/>
      <color indexed="48"/>
      <name val="Arial"/>
      <family val="2"/>
    </font>
    <font>
      <b/>
      <sz val="10"/>
      <color indexed="8"/>
      <name val="Arial"/>
      <family val="2"/>
    </font>
    <font>
      <b/>
      <sz val="9"/>
      <name val="Arial"/>
      <family val="2"/>
    </font>
    <font>
      <sz val="10"/>
      <name val="Courier"/>
      <family val="3"/>
    </font>
    <font>
      <sz val="8"/>
      <color indexed="12"/>
      <name val="Arial"/>
      <family val="2"/>
    </font>
    <font>
      <i/>
      <sz val="8"/>
      <color indexed="16"/>
      <name val="Arial"/>
      <family val="2"/>
    </font>
    <font>
      <i/>
      <sz val="8"/>
      <color indexed="54"/>
      <name val="Arial"/>
      <family val="2"/>
    </font>
    <font>
      <i/>
      <sz val="9"/>
      <color indexed="16"/>
      <name val="Arial"/>
      <family val="2"/>
    </font>
    <font>
      <b/>
      <u val="singleAccounting"/>
      <sz val="8"/>
      <color indexed="8"/>
      <name val="Arial"/>
      <family val="2"/>
    </font>
    <font>
      <sz val="1"/>
      <color indexed="9"/>
      <name val="Symbol"/>
      <family val="1"/>
    </font>
    <font>
      <b/>
      <u val="singleAccounting"/>
      <sz val="8"/>
      <color indexed="8"/>
      <name val="Verdana"/>
      <family val="2"/>
    </font>
    <font>
      <b/>
      <sz val="10"/>
      <color indexed="9"/>
      <name val="Arial"/>
      <family val="2"/>
    </font>
    <font>
      <b/>
      <sz val="12"/>
      <color indexed="8"/>
      <name val="Verdana"/>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sz val="8"/>
      <color indexed="8"/>
      <name val="Arial"/>
      <family val="2"/>
    </font>
    <font>
      <b/>
      <sz val="13"/>
      <color indexed="8"/>
      <name val="Verdana"/>
      <family val="2"/>
    </font>
    <font>
      <sz val="11"/>
      <color indexed="8"/>
      <name val="Calibri"/>
      <family val="2"/>
    </font>
    <font>
      <b/>
      <sz val="8"/>
      <name val="Arial"/>
      <family val="2"/>
    </font>
    <font>
      <sz val="9"/>
      <name val="SimHei"/>
      <family val="3"/>
    </font>
    <font>
      <sz val="8"/>
      <name val="Univers LT Std 55"/>
      <family val="2"/>
    </font>
    <font>
      <sz val="9"/>
      <name val="MS Mincho"/>
      <family val="3"/>
    </font>
    <font>
      <sz val="10"/>
      <name val="SimHei"/>
      <family val="3"/>
    </font>
    <font>
      <sz val="10"/>
      <name val="Univers LT Std 55"/>
      <family val="2"/>
    </font>
    <font>
      <sz val="11"/>
      <name val="MS Mincho"/>
      <family val="3"/>
    </font>
    <font>
      <b/>
      <sz val="9"/>
      <name val="SimHei"/>
      <family val="3"/>
    </font>
    <font>
      <sz val="8"/>
      <name val="Univers LT Std 65 Bold"/>
      <family val="2"/>
    </font>
    <font>
      <sz val="9"/>
      <name val="MS Gothic"/>
      <family val="3"/>
    </font>
    <font>
      <b/>
      <sz val="10"/>
      <name val="SimHei"/>
      <family val="3"/>
    </font>
    <font>
      <sz val="10"/>
      <name val="UNIVERS LT STD 65 BOLD"/>
      <family val="2"/>
    </font>
    <font>
      <sz val="11"/>
      <name val="MS Gothic"/>
      <family val="3"/>
    </font>
    <font>
      <sz val="7"/>
      <name val="SimHei"/>
      <family val="3"/>
    </font>
    <font>
      <i/>
      <sz val="6"/>
      <name val="Univers LT Std 55"/>
      <family val="2"/>
    </font>
    <font>
      <sz val="7"/>
      <name val="MS Mincho"/>
      <family val="3"/>
    </font>
    <font>
      <sz val="8"/>
      <name val="SimHei"/>
      <family val="3"/>
    </font>
    <font>
      <i/>
      <sz val="8"/>
      <name val="Univers LT Std 55"/>
      <family val="2"/>
    </font>
    <font>
      <b/>
      <sz val="8"/>
      <name val="Univers LT Std 65 Bold"/>
      <family val="2"/>
    </font>
    <font>
      <b/>
      <sz val="8"/>
      <name val="Univers LT Std 55"/>
      <family val="2"/>
    </font>
    <font>
      <sz val="9"/>
      <name val="Univers LT Std 55"/>
      <family val="2"/>
    </font>
    <font>
      <sz val="9"/>
      <name val="UNIVERS LT STD 65 BOLD"/>
    </font>
    <font>
      <sz val="10"/>
      <name val="UNIVERS LT STD 65 BOLD"/>
      <family val="2"/>
    </font>
    <font>
      <sz val="8"/>
      <name val="Times New Roman"/>
      <family val="1"/>
    </font>
    <font>
      <sz val="10"/>
      <name val="Helv"/>
    </font>
    <font>
      <b/>
      <sz val="10"/>
      <color indexed="16"/>
      <name val="Arial"/>
      <family val="2"/>
    </font>
    <font>
      <sz val="10"/>
      <color indexed="8"/>
      <name val="Calibri"/>
      <family val="2"/>
    </font>
    <font>
      <b/>
      <sz val="10"/>
      <color indexed="8"/>
      <name val="Calibri"/>
      <family val="2"/>
    </font>
    <font>
      <sz val="10"/>
      <color indexed="8"/>
      <name val="Calibri"/>
      <family val="2"/>
    </font>
    <font>
      <b/>
      <sz val="10"/>
      <color indexed="8"/>
      <name val="Calibri"/>
      <family val="2"/>
    </font>
    <font>
      <sz val="8"/>
      <name val="Verdana"/>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8"/>
      <name val="Helv"/>
    </font>
    <font>
      <b/>
      <sz val="11"/>
      <color indexed="63"/>
      <name val="Calibri"/>
      <family val="2"/>
    </font>
    <font>
      <b/>
      <sz val="18"/>
      <color indexed="56"/>
      <name val="Cambria"/>
      <family val="2"/>
    </font>
    <font>
      <b/>
      <sz val="11"/>
      <color indexed="8"/>
      <name val="Calibri"/>
      <family val="2"/>
    </font>
    <font>
      <sz val="11"/>
      <color indexed="10"/>
      <name val="Calibri"/>
      <family val="2"/>
    </font>
    <font>
      <i/>
      <sz val="10"/>
      <name val="Calibri"/>
      <family val="2"/>
    </font>
    <font>
      <b/>
      <sz val="10"/>
      <name val="Calibri"/>
      <family val="2"/>
    </font>
    <font>
      <sz val="10"/>
      <name val="Calibri"/>
      <family val="2"/>
    </font>
    <font>
      <i/>
      <sz val="10"/>
      <color indexed="8"/>
      <name val="Calibri"/>
      <family val="2"/>
    </font>
    <font>
      <sz val="10"/>
      <color indexed="12"/>
      <name val="Calibri"/>
      <family val="2"/>
    </font>
    <font>
      <b/>
      <sz val="11"/>
      <name val="Calibri"/>
      <family val="2"/>
    </font>
    <font>
      <b/>
      <sz val="10"/>
      <color indexed="12"/>
      <name val="Calibri"/>
      <family val="2"/>
    </font>
    <font>
      <i/>
      <sz val="10"/>
      <color indexed="12"/>
      <name val="Calibri"/>
      <family val="2"/>
    </font>
    <font>
      <sz val="10"/>
      <color indexed="22"/>
      <name val="Calibri"/>
      <family val="2"/>
    </font>
    <font>
      <sz val="9"/>
      <color indexed="81"/>
      <name val="Helv"/>
    </font>
    <font>
      <b/>
      <sz val="9"/>
      <color indexed="81"/>
      <name val="Helv"/>
    </font>
    <font>
      <b/>
      <sz val="10"/>
      <color indexed="10"/>
      <name val="Calibri"/>
      <family val="2"/>
    </font>
    <font>
      <b/>
      <sz val="9"/>
      <color indexed="8"/>
      <name val="Arial"/>
      <family val="2"/>
    </font>
    <font>
      <i/>
      <sz val="9"/>
      <name val="Arial"/>
      <family val="2"/>
    </font>
    <font>
      <i/>
      <sz val="10"/>
      <color theme="0" tint="-0.34998626667073579"/>
      <name val="Calibri"/>
      <family val="2"/>
    </font>
    <font>
      <sz val="10"/>
      <color theme="0" tint="-0.34998626667073579"/>
      <name val="Calibri"/>
      <family val="2"/>
    </font>
    <font>
      <b/>
      <sz val="10"/>
      <color theme="0" tint="-0.34998626667073579"/>
      <name val="Calibri"/>
      <family val="2"/>
    </font>
    <font>
      <b/>
      <sz val="10"/>
      <color theme="0" tint="-0.249977111117893"/>
      <name val="Calibri"/>
      <family val="2"/>
    </font>
    <font>
      <sz val="10"/>
      <color theme="0" tint="-0.249977111117893"/>
      <name val="Calibri"/>
      <family val="2"/>
    </font>
    <font>
      <b/>
      <sz val="11"/>
      <color theme="0" tint="-0.249977111117893"/>
      <name val="Calibri"/>
      <family val="2"/>
    </font>
    <font>
      <i/>
      <sz val="10"/>
      <color theme="0" tint="-0.249977111117893"/>
      <name val="Calibri"/>
      <family val="2"/>
    </font>
    <font>
      <b/>
      <sz val="10"/>
      <color rgb="FF0000FF"/>
      <name val="Calibri"/>
      <family val="2"/>
    </font>
    <font>
      <sz val="10"/>
      <color rgb="FF0000FF"/>
      <name val="Calibri"/>
      <family val="2"/>
    </font>
    <font>
      <i/>
      <sz val="10"/>
      <color rgb="FF0000FF"/>
      <name val="Calibri"/>
      <family val="2"/>
    </font>
    <font>
      <sz val="10"/>
      <color indexed="8"/>
      <name val="Calibri"/>
      <family val="2"/>
      <scheme val="minor"/>
    </font>
    <font>
      <b/>
      <sz val="10"/>
      <color indexed="8"/>
      <name val="Calibri"/>
      <family val="2"/>
      <scheme val="minor"/>
    </font>
    <font>
      <i/>
      <sz val="10"/>
      <name val="Calibri"/>
      <family val="2"/>
      <scheme val="minor"/>
    </font>
    <font>
      <b/>
      <sz val="10"/>
      <name val="Calibri"/>
      <family val="2"/>
      <scheme val="minor"/>
    </font>
    <font>
      <b/>
      <sz val="10"/>
      <color theme="0"/>
      <name val="Calibri"/>
      <family val="2"/>
      <scheme val="minor"/>
    </font>
    <font>
      <sz val="10"/>
      <name val="Calibri"/>
      <family val="2"/>
      <scheme val="minor"/>
    </font>
    <font>
      <sz val="10"/>
      <color theme="0"/>
      <name val="Calibri"/>
      <family val="2"/>
      <scheme val="minor"/>
    </font>
    <font>
      <sz val="10"/>
      <color indexed="10"/>
      <name val="Calibri"/>
      <family val="2"/>
      <scheme val="minor"/>
    </font>
    <font>
      <i/>
      <sz val="10"/>
      <color indexed="8"/>
      <name val="Calibri"/>
      <family val="2"/>
      <scheme val="minor"/>
    </font>
    <font>
      <sz val="10"/>
      <color indexed="9"/>
      <name val="Calibri"/>
      <family val="2"/>
      <scheme val="minor"/>
    </font>
    <font>
      <sz val="9"/>
      <color rgb="FF000000"/>
      <name val="Helv"/>
    </font>
    <font>
      <b/>
      <sz val="9"/>
      <color rgb="FF000000"/>
      <name val="Helv"/>
    </font>
    <font>
      <i/>
      <sz val="10"/>
      <name val="Arial"/>
      <family val="2"/>
    </font>
    <font>
      <b/>
      <i/>
      <sz val="10"/>
      <color indexed="8"/>
      <name val="Calibri"/>
      <family val="2"/>
    </font>
    <font>
      <b/>
      <sz val="10"/>
      <color indexed="17"/>
      <name val="Calibri"/>
      <family val="2"/>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18"/>
        <bgColor indexed="64"/>
      </patternFill>
    </fill>
    <fill>
      <patternFill patternType="solid">
        <fgColor indexed="29"/>
        <bgColor indexed="64"/>
      </patternFill>
    </fill>
    <fill>
      <patternFill patternType="solid">
        <fgColor indexed="42"/>
        <bgColor indexed="64"/>
      </patternFill>
    </fill>
    <fill>
      <patternFill patternType="solid">
        <fgColor indexed="31"/>
        <bgColor indexed="64"/>
      </patternFill>
    </fill>
    <fill>
      <patternFill patternType="solid">
        <fgColor indexed="43"/>
        <bgColor indexed="64"/>
      </patternFill>
    </fill>
    <fill>
      <patternFill patternType="solid">
        <fgColor indexed="51"/>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60"/>
        <bgColor indexed="64"/>
      </patternFill>
    </fill>
    <fill>
      <patternFill patternType="solid">
        <fgColor indexed="9"/>
        <bgColor indexed="64"/>
      </patternFill>
    </fill>
    <fill>
      <patternFill patternType="solid">
        <fgColor indexed="43"/>
      </patternFill>
    </fill>
    <fill>
      <patternFill patternType="solid">
        <fgColor indexed="62"/>
        <bgColor indexed="64"/>
      </patternFill>
    </fill>
    <fill>
      <patternFill patternType="solid">
        <fgColor indexed="63"/>
        <bgColor indexed="64"/>
      </patternFill>
    </fill>
    <fill>
      <patternFill patternType="solid">
        <fgColor indexed="26"/>
      </patternFill>
    </fill>
    <fill>
      <patternFill patternType="solid">
        <fgColor indexed="9"/>
        <bgColor indexed="9"/>
      </patternFill>
    </fill>
    <fill>
      <patternFill patternType="solid">
        <fgColor indexed="56"/>
        <bgColor indexed="64"/>
      </patternFill>
    </fill>
    <fill>
      <patternFill patternType="solid">
        <fgColor indexed="22"/>
        <bgColor indexed="14"/>
      </patternFill>
    </fill>
    <fill>
      <patternFill patternType="solid">
        <fgColor indexed="16"/>
        <bgColor indexed="64"/>
      </patternFill>
    </fill>
    <fill>
      <patternFill patternType="solid">
        <fgColor indexed="8"/>
        <bgColor indexed="64"/>
      </patternFill>
    </fill>
    <fill>
      <patternFill patternType="solid">
        <fgColor indexed="38"/>
        <bgColor indexed="17"/>
      </patternFill>
    </fill>
    <fill>
      <patternFill patternType="solid">
        <fgColor indexed="65"/>
        <bgColor indexed="64"/>
      </patternFill>
    </fill>
    <fill>
      <patternFill patternType="solid">
        <fgColor indexed="65"/>
        <bgColor indexed="8"/>
      </patternFill>
    </fill>
    <fill>
      <patternFill patternType="solid">
        <fgColor indexed="9"/>
        <bgColor indexed="8"/>
      </patternFill>
    </fill>
    <fill>
      <patternFill patternType="solid">
        <fgColor indexed="22"/>
        <bgColor indexed="8"/>
      </patternFill>
    </fill>
    <fill>
      <patternFill patternType="solid">
        <fgColor indexed="47"/>
        <bgColor indexed="64"/>
      </patternFill>
    </fill>
    <fill>
      <patternFill patternType="solid">
        <fgColor indexed="44"/>
        <bgColor indexed="8"/>
      </patternFill>
    </fill>
    <fill>
      <patternFill patternType="solid">
        <fgColor indexed="44"/>
        <bgColor indexed="64"/>
      </patternFill>
    </fill>
    <fill>
      <patternFill patternType="solid">
        <fgColor theme="0"/>
        <bgColor indexed="64"/>
      </patternFill>
    </fill>
    <fill>
      <patternFill patternType="solid">
        <fgColor theme="0" tint="-0.249977111117893"/>
        <bgColor indexed="64"/>
      </patternFill>
    </fill>
  </fills>
  <borders count="98">
    <border>
      <left/>
      <right/>
      <top/>
      <bottom/>
      <diagonal/>
    </border>
    <border>
      <left style="medium">
        <color indexed="64"/>
      </left>
      <right style="medium">
        <color indexed="64"/>
      </right>
      <top/>
      <bottom/>
      <diagonal/>
    </border>
    <border>
      <left/>
      <right/>
      <top style="thin">
        <color indexed="64"/>
      </top>
      <bottom/>
      <diagonal/>
    </border>
    <border>
      <left style="medium">
        <color indexed="64"/>
      </left>
      <right style="medium">
        <color indexed="64"/>
      </right>
      <top/>
      <bottom style="thick">
        <color indexed="3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tted">
        <color indexed="64"/>
      </bottom>
      <diagonal/>
    </border>
    <border>
      <left/>
      <right/>
      <top/>
      <bottom style="thick">
        <color indexed="62"/>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style="thin">
        <color indexed="64"/>
      </bottom>
      <diagonal/>
    </border>
    <border>
      <left/>
      <right/>
      <top style="medium">
        <color indexed="23"/>
      </top>
      <bottom style="medium">
        <color indexed="23"/>
      </bottom>
      <diagonal/>
    </border>
    <border>
      <left style="medium">
        <color indexed="14"/>
      </left>
      <right style="medium">
        <color indexed="14"/>
      </right>
      <top style="medium">
        <color indexed="14"/>
      </top>
      <bottom style="medium">
        <color indexed="14"/>
      </bottom>
      <diagonal/>
    </border>
    <border>
      <left style="thin">
        <color indexed="64"/>
      </left>
      <right style="thin">
        <color indexed="64"/>
      </right>
      <top style="thin">
        <color indexed="64"/>
      </top>
      <bottom style="thick">
        <color indexed="64"/>
      </bottom>
      <diagonal/>
    </border>
    <border>
      <left style="thin">
        <color indexed="64"/>
      </left>
      <right/>
      <top/>
      <bottom/>
      <diagonal/>
    </border>
    <border>
      <left/>
      <right/>
      <top style="thin">
        <color indexed="62"/>
      </top>
      <bottom style="double">
        <color indexed="62"/>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double">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right/>
      <top style="hair">
        <color indexed="10"/>
      </top>
      <bottom/>
      <diagonal/>
    </border>
    <border>
      <left/>
      <right/>
      <top/>
      <bottom style="hair">
        <color indexed="10"/>
      </bottom>
      <diagonal/>
    </border>
    <border>
      <left/>
      <right/>
      <top style="hair">
        <color indexed="10"/>
      </top>
      <bottom style="hair">
        <color indexed="10"/>
      </bottom>
      <diagonal/>
    </border>
    <border>
      <left/>
      <right style="thin">
        <color indexed="10"/>
      </right>
      <top style="hair">
        <color indexed="10"/>
      </top>
      <bottom/>
      <diagonal/>
    </border>
    <border>
      <left/>
      <right style="thin">
        <color indexed="10"/>
      </right>
      <top style="hair">
        <color indexed="10"/>
      </top>
      <bottom style="hair">
        <color indexed="10"/>
      </bottom>
      <diagonal/>
    </border>
    <border>
      <left/>
      <right style="thin">
        <color indexed="10"/>
      </right>
      <top/>
      <bottom style="hair">
        <color indexed="10"/>
      </bottom>
      <diagonal/>
    </border>
    <border>
      <left style="thin">
        <color indexed="10"/>
      </left>
      <right/>
      <top style="hair">
        <color indexed="10"/>
      </top>
      <bottom/>
      <diagonal/>
    </border>
    <border>
      <left style="thin">
        <color indexed="10"/>
      </left>
      <right/>
      <top style="hair">
        <color indexed="10"/>
      </top>
      <bottom style="hair">
        <color indexed="10"/>
      </bottom>
      <diagonal/>
    </border>
    <border>
      <left style="thin">
        <color indexed="10"/>
      </left>
      <right/>
      <top/>
      <bottom style="hair">
        <color indexed="10"/>
      </bottom>
      <diagonal/>
    </border>
    <border>
      <left style="thin">
        <color indexed="10"/>
      </left>
      <right/>
      <top style="hair">
        <color indexed="10"/>
      </top>
      <bottom style="thin">
        <color indexed="10"/>
      </bottom>
      <diagonal/>
    </border>
    <border>
      <left/>
      <right/>
      <top style="hair">
        <color indexed="10"/>
      </top>
      <bottom style="thin">
        <color indexed="10"/>
      </bottom>
      <diagonal/>
    </border>
    <border>
      <left/>
      <right style="thin">
        <color indexed="10"/>
      </right>
      <top style="hair">
        <color indexed="10"/>
      </top>
      <bottom style="thin">
        <color indexed="10"/>
      </bottom>
      <diagonal/>
    </border>
    <border>
      <left style="thin">
        <color indexed="10"/>
      </left>
      <right/>
      <top style="thin">
        <color indexed="10"/>
      </top>
      <bottom style="hair">
        <color indexed="10"/>
      </bottom>
      <diagonal/>
    </border>
    <border>
      <left/>
      <right/>
      <top style="thin">
        <color indexed="10"/>
      </top>
      <bottom style="hair">
        <color indexed="10"/>
      </bottom>
      <diagonal/>
    </border>
    <border>
      <left/>
      <right style="thin">
        <color indexed="10"/>
      </right>
      <top style="thin">
        <color indexed="10"/>
      </top>
      <bottom style="hair">
        <color indexed="10"/>
      </bottom>
      <diagonal/>
    </border>
    <border>
      <left style="thin">
        <color indexed="10"/>
      </left>
      <right/>
      <top/>
      <bottom/>
      <diagonal/>
    </border>
    <border>
      <left/>
      <right style="thin">
        <color indexed="10"/>
      </right>
      <top/>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dotted">
        <color indexed="10"/>
      </left>
      <right/>
      <top style="dotted">
        <color indexed="10"/>
      </top>
      <bottom/>
      <diagonal/>
    </border>
    <border>
      <left/>
      <right/>
      <top style="dotted">
        <color indexed="10"/>
      </top>
      <bottom/>
      <diagonal/>
    </border>
    <border>
      <left/>
      <right style="dotted">
        <color indexed="10"/>
      </right>
      <top style="dotted">
        <color indexed="10"/>
      </top>
      <bottom/>
      <diagonal/>
    </border>
    <border>
      <left style="dotted">
        <color indexed="10"/>
      </left>
      <right/>
      <top/>
      <bottom/>
      <diagonal/>
    </border>
    <border>
      <left/>
      <right style="dotted">
        <color indexed="10"/>
      </right>
      <top/>
      <bottom/>
      <diagonal/>
    </border>
    <border>
      <left style="dotted">
        <color indexed="10"/>
      </left>
      <right/>
      <top/>
      <bottom style="dotted">
        <color indexed="10"/>
      </bottom>
      <diagonal/>
    </border>
    <border>
      <left/>
      <right/>
      <top/>
      <bottom style="dotted">
        <color indexed="10"/>
      </bottom>
      <diagonal/>
    </border>
    <border>
      <left/>
      <right style="dotted">
        <color indexed="10"/>
      </right>
      <top/>
      <bottom style="dotted">
        <color indexed="10"/>
      </bottom>
      <diagonal/>
    </border>
    <border>
      <left style="hair">
        <color indexed="10"/>
      </left>
      <right/>
      <top style="hair">
        <color indexed="10"/>
      </top>
      <bottom/>
      <diagonal/>
    </border>
    <border>
      <left/>
      <right style="hair">
        <color indexed="10"/>
      </right>
      <top style="hair">
        <color indexed="10"/>
      </top>
      <bottom/>
      <diagonal/>
    </border>
    <border>
      <left style="hair">
        <color indexed="10"/>
      </left>
      <right/>
      <top/>
      <bottom/>
      <diagonal/>
    </border>
    <border>
      <left/>
      <right style="hair">
        <color indexed="10"/>
      </right>
      <top/>
      <bottom/>
      <diagonal/>
    </border>
    <border>
      <left style="hair">
        <color indexed="10"/>
      </left>
      <right/>
      <top/>
      <bottom style="hair">
        <color indexed="10"/>
      </bottom>
      <diagonal/>
    </border>
    <border>
      <left/>
      <right style="hair">
        <color indexed="10"/>
      </right>
      <top/>
      <bottom style="hair">
        <color indexed="10"/>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10"/>
      </top>
      <bottom style="medium">
        <color indexed="10"/>
      </bottom>
      <diagonal/>
    </border>
    <border>
      <left style="medium">
        <color indexed="64"/>
      </left>
      <right/>
      <top style="medium">
        <color indexed="10"/>
      </top>
      <bottom style="medium">
        <color indexed="10"/>
      </bottom>
      <diagonal/>
    </border>
    <border>
      <left/>
      <right style="medium">
        <color indexed="64"/>
      </right>
      <top style="medium">
        <color indexed="10"/>
      </top>
      <bottom style="medium">
        <color indexed="10"/>
      </bottom>
      <diagonal/>
    </border>
    <border>
      <left style="medium">
        <color indexed="64"/>
      </left>
      <right style="medium">
        <color indexed="10"/>
      </right>
      <top style="medium">
        <color indexed="10"/>
      </top>
      <bottom style="medium">
        <color indexed="10"/>
      </bottom>
      <diagonal/>
    </border>
    <border>
      <left style="thin">
        <color indexed="10"/>
      </left>
      <right style="thin">
        <color indexed="10"/>
      </right>
      <top style="thin">
        <color indexed="10"/>
      </top>
      <bottom style="thin">
        <color indexed="10"/>
      </bottom>
      <diagonal/>
    </border>
    <border>
      <left/>
      <right style="thin">
        <color rgb="FFFF0000"/>
      </right>
      <top/>
      <bottom/>
      <diagonal/>
    </border>
  </borders>
  <cellStyleXfs count="258">
    <xf numFmtId="164" fontId="0" fillId="0" borderId="0"/>
    <xf numFmtId="43" fontId="13" fillId="0" borderId="0" applyFont="0" applyFill="0" applyBorder="0" applyAlignment="0" applyProtection="0"/>
    <xf numFmtId="174" fontId="5" fillId="0" borderId="0" applyFont="0" applyFill="0" applyBorder="0" applyAlignment="0" applyProtection="0"/>
    <xf numFmtId="178" fontId="5" fillId="0" borderId="0" applyFont="0" applyFill="0" applyBorder="0" applyAlignment="0" applyProtection="0"/>
    <xf numFmtId="169" fontId="5" fillId="0" borderId="0" applyFont="0" applyFill="0" applyBorder="0" applyAlignment="0" applyProtection="0"/>
    <xf numFmtId="191" fontId="5" fillId="0" borderId="0" applyFont="0" applyFill="0" applyBorder="0" applyAlignment="0" applyProtection="0"/>
    <xf numFmtId="190" fontId="5" fillId="0" borderId="0" applyFont="0" applyFill="0" applyBorder="0" applyAlignment="0" applyProtection="0"/>
    <xf numFmtId="39" fontId="5" fillId="0" borderId="0" applyFont="0" applyFill="0" applyBorder="0" applyAlignment="0" applyProtection="0"/>
    <xf numFmtId="179" fontId="5" fillId="0" borderId="0" applyFont="0" applyFill="0" applyBorder="0" applyAlignment="0" applyProtection="0"/>
    <xf numFmtId="170" fontId="5" fillId="0" borderId="0" applyFont="0" applyFill="0" applyBorder="0" applyAlignment="0" applyProtection="0"/>
    <xf numFmtId="186" fontId="5" fillId="0" borderId="0" applyFont="0" applyFill="0" applyBorder="0" applyAlignment="0" applyProtection="0"/>
    <xf numFmtId="175" fontId="5" fillId="0" borderId="0" applyFont="0" applyFill="0" applyBorder="0" applyAlignment="0" applyProtection="0"/>
    <xf numFmtId="180" fontId="5" fillId="0" borderId="0" applyFont="0" applyFill="0" applyBorder="0" applyAlignment="0" applyProtection="0"/>
    <xf numFmtId="171" fontId="5" fillId="0" borderId="0" applyFont="0" applyFill="0" applyBorder="0" applyAlignment="0" applyProtection="0"/>
    <xf numFmtId="188" fontId="5" fillId="0" borderId="0" applyFont="0" applyFill="0" applyBorder="0" applyAlignment="0" applyProtection="0"/>
    <xf numFmtId="187" fontId="5" fillId="0" borderId="0" applyFont="0" applyFill="0" applyBorder="0" applyAlignment="0" applyProtection="0"/>
    <xf numFmtId="181" fontId="5" fillId="0" borderId="0" applyFont="0" applyFill="0" applyBorder="0" applyAlignment="0" applyProtection="0"/>
    <xf numFmtId="176" fontId="5" fillId="0" borderId="0" applyFont="0" applyFill="0" applyBorder="0" applyAlignment="0" applyProtection="0"/>
    <xf numFmtId="189" fontId="5" fillId="0" borderId="0" applyFont="0" applyFill="0" applyBorder="0" applyAlignment="0" applyProtection="0"/>
    <xf numFmtId="188" fontId="5" fillId="0" borderId="0" applyFont="0" applyFill="0" applyBorder="0" applyAlignment="0" applyProtection="0"/>
    <xf numFmtId="182" fontId="5" fillId="0" borderId="0" applyFont="0" applyFill="0" applyBorder="0" applyAlignment="0" applyProtection="0"/>
    <xf numFmtId="173" fontId="5" fillId="0" borderId="0" applyFont="0" applyFill="0" applyBorder="0" applyAlignment="0" applyProtection="0"/>
    <xf numFmtId="185" fontId="5" fillId="0" borderId="0" applyFont="0" applyFill="0" applyBorder="0" applyAlignment="0" applyProtection="0"/>
    <xf numFmtId="0" fontId="14" fillId="0" borderId="0">
      <alignment vertical="top"/>
    </xf>
    <xf numFmtId="0" fontId="5" fillId="0" borderId="0">
      <alignment vertical="top"/>
    </xf>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98" fillId="12" borderId="0" applyNumberFormat="0" applyBorder="0" applyAlignment="0" applyProtection="0"/>
    <xf numFmtId="0" fontId="98" fillId="9" borderId="0" applyNumberFormat="0" applyBorder="0" applyAlignment="0" applyProtection="0"/>
    <xf numFmtId="0" fontId="98" fillId="10" borderId="0" applyNumberFormat="0" applyBorder="0" applyAlignment="0" applyProtection="0"/>
    <xf numFmtId="0" fontId="98" fillId="13" borderId="0" applyNumberFormat="0" applyBorder="0" applyAlignment="0" applyProtection="0"/>
    <xf numFmtId="0" fontId="98" fillId="14" borderId="0" applyNumberFormat="0" applyBorder="0" applyAlignment="0" applyProtection="0"/>
    <xf numFmtId="0" fontId="98" fillId="15" borderId="0" applyNumberFormat="0" applyBorder="0" applyAlignment="0" applyProtection="0"/>
    <xf numFmtId="174" fontId="6" fillId="16" borderId="0" applyFont="0" applyBorder="0"/>
    <xf numFmtId="0" fontId="16" fillId="17" borderId="0"/>
    <xf numFmtId="174" fontId="6" fillId="18" borderId="0" applyNumberFormat="0" applyFont="0" applyBorder="0" applyAlignment="0" applyProtection="0"/>
    <xf numFmtId="174" fontId="49" fillId="19" borderId="0" applyNumberFormat="0" applyFont="0" applyBorder="0" applyAlignment="0" applyProtection="0"/>
    <xf numFmtId="174" fontId="12" fillId="20" borderId="0" applyBorder="0"/>
    <xf numFmtId="174" fontId="5" fillId="0" borderId="1" applyNumberFormat="0" applyBorder="0" applyAlignment="0" applyProtection="0"/>
    <xf numFmtId="167" fontId="50" fillId="0" borderId="0" applyBorder="0">
      <alignment horizontal="right"/>
    </xf>
    <xf numFmtId="167" fontId="12" fillId="0" borderId="1" applyBorder="0">
      <alignment horizontal="right"/>
    </xf>
    <xf numFmtId="165" fontId="51" fillId="0" borderId="0" applyBorder="0">
      <alignment horizontal="right"/>
    </xf>
    <xf numFmtId="165" fontId="52" fillId="0" borderId="1" applyBorder="0">
      <alignment horizontal="right"/>
    </xf>
    <xf numFmtId="174" fontId="53" fillId="0" borderId="0">
      <alignment horizontal="left" indent="1"/>
    </xf>
    <xf numFmtId="174" fontId="7" fillId="0" borderId="2" applyBorder="0"/>
    <xf numFmtId="174" fontId="6" fillId="21" borderId="1" applyNumberFormat="0" applyFont="0" applyBorder="0" applyAlignment="0" applyProtection="0"/>
    <xf numFmtId="167" fontId="48" fillId="22" borderId="2" applyBorder="0">
      <alignment horizontal="right"/>
    </xf>
    <xf numFmtId="167" fontId="48" fillId="0" borderId="2" applyBorder="0">
      <alignment horizontal="right"/>
    </xf>
    <xf numFmtId="174" fontId="14" fillId="0" borderId="1" applyNumberFormat="0" applyBorder="0" applyAlignment="0" applyProtection="0"/>
    <xf numFmtId="0" fontId="48" fillId="16" borderId="3" applyBorder="0">
      <alignment horizontal="center"/>
    </xf>
    <xf numFmtId="0" fontId="98" fillId="23" borderId="0" applyNumberFormat="0" applyBorder="0" applyAlignment="0" applyProtection="0"/>
    <xf numFmtId="0" fontId="98" fillId="24" borderId="0" applyNumberFormat="0" applyBorder="0" applyAlignment="0" applyProtection="0"/>
    <xf numFmtId="0" fontId="98" fillId="25" borderId="0" applyNumberFormat="0" applyBorder="0" applyAlignment="0" applyProtection="0"/>
    <xf numFmtId="0" fontId="98" fillId="13" borderId="0" applyNumberFormat="0" applyBorder="0" applyAlignment="0" applyProtection="0"/>
    <xf numFmtId="0" fontId="98" fillId="14" borderId="0" applyNumberFormat="0" applyBorder="0" applyAlignment="0" applyProtection="0"/>
    <xf numFmtId="0" fontId="98" fillId="26" borderId="0" applyNumberFormat="0" applyBorder="0" applyAlignment="0" applyProtection="0"/>
    <xf numFmtId="0" fontId="99" fillId="3" borderId="0" applyNumberFormat="0" applyBorder="0" applyAlignment="0" applyProtection="0"/>
    <xf numFmtId="0" fontId="10" fillId="0" borderId="0" applyAlignment="0"/>
    <xf numFmtId="0" fontId="100" fillId="27" borderId="4" applyNumberFormat="0" applyAlignment="0" applyProtection="0"/>
    <xf numFmtId="0" fontId="11" fillId="0" borderId="0"/>
    <xf numFmtId="0" fontId="101" fillId="28" borderId="5" applyNumberFormat="0" applyAlignment="0" applyProtection="0"/>
    <xf numFmtId="0" fontId="15" fillId="0" borderId="0" applyNumberFormat="0" applyFill="0" applyBorder="0" applyAlignment="0" applyProtection="0"/>
    <xf numFmtId="0" fontId="54" fillId="29" borderId="0"/>
    <xf numFmtId="43" fontId="4" fillId="0" borderId="0" applyFont="0" applyFill="0" applyBorder="0" applyAlignment="0" applyProtection="0"/>
    <xf numFmtId="40" fontId="16" fillId="0" borderId="0" applyFont="0" applyFill="0" applyBorder="0" applyAlignment="0" applyProtection="0"/>
    <xf numFmtId="176" fontId="5" fillId="0" borderId="0" applyFont="0" applyFill="0" applyBorder="0" applyAlignment="0" applyProtection="0">
      <alignment horizontal="right"/>
    </xf>
    <xf numFmtId="184" fontId="5" fillId="0" borderId="0" applyFont="0" applyFill="0" applyBorder="0" applyAlignment="0" applyProtection="0"/>
    <xf numFmtId="166" fontId="5" fillId="0" borderId="0" applyFont="0" applyFill="0" applyBorder="0" applyAlignment="0" applyProtection="0">
      <alignment horizontal="right"/>
    </xf>
    <xf numFmtId="43" fontId="12" fillId="0" borderId="0" applyFont="0" applyFill="0" applyBorder="0" applyAlignment="0" applyProtection="0"/>
    <xf numFmtId="43" fontId="66" fillId="0" borderId="0" applyFont="0" applyFill="0" applyBorder="0" applyAlignment="0" applyProtection="0"/>
    <xf numFmtId="43" fontId="1" fillId="0" borderId="0" applyFont="0" applyFill="0" applyBorder="0" applyAlignment="0" applyProtection="0"/>
    <xf numFmtId="44" fontId="4" fillId="0" borderId="0" applyFont="0" applyFill="0" applyBorder="0" applyAlignment="0" applyProtection="0"/>
    <xf numFmtId="8" fontId="16" fillId="0" borderId="0" applyFont="0" applyFill="0" applyBorder="0" applyAlignment="0" applyProtection="0"/>
    <xf numFmtId="180" fontId="5" fillId="0" borderId="0" applyFont="0" applyFill="0" applyBorder="0" applyAlignment="0" applyProtection="0">
      <alignment horizontal="right"/>
    </xf>
    <xf numFmtId="168" fontId="5" fillId="0" borderId="0" applyFont="0" applyFill="0" applyBorder="0" applyAlignment="0" applyProtection="0">
      <alignment horizontal="right"/>
    </xf>
    <xf numFmtId="0" fontId="17" fillId="0" borderId="0"/>
    <xf numFmtId="0" fontId="18" fillId="0" borderId="0" applyNumberFormat="0" applyAlignment="0"/>
    <xf numFmtId="14" fontId="16" fillId="0" borderId="0" applyFont="0" applyFill="0" applyBorder="0" applyAlignment="0" applyProtection="0"/>
    <xf numFmtId="17" fontId="67" fillId="0" borderId="0" applyFill="0" applyBorder="0">
      <alignment horizontal="right"/>
    </xf>
    <xf numFmtId="178" fontId="5" fillId="0" borderId="0" applyFont="0" applyFill="0" applyBorder="0" applyAlignment="0" applyProtection="0"/>
    <xf numFmtId="172" fontId="5" fillId="0" borderId="6" applyNumberFormat="0" applyFont="0" applyFill="0" applyAlignment="0" applyProtection="0"/>
    <xf numFmtId="0" fontId="19" fillId="0" borderId="0"/>
    <xf numFmtId="177" fontId="5" fillId="0" borderId="0" applyFont="0" applyFill="0" applyBorder="0" applyAlignment="0" applyProtection="0"/>
    <xf numFmtId="0" fontId="102" fillId="0" borderId="0" applyNumberFormat="0" applyFill="0" applyBorder="0" applyAlignment="0" applyProtection="0"/>
    <xf numFmtId="40" fontId="9" fillId="0" borderId="0" applyNumberFormat="0">
      <alignment horizontal="right"/>
    </xf>
    <xf numFmtId="0" fontId="20" fillId="0" borderId="0" applyFill="0" applyBorder="0" applyProtection="0">
      <alignment horizontal="left"/>
    </xf>
    <xf numFmtId="0" fontId="103" fillId="4" borderId="0" applyNumberFormat="0" applyBorder="0" applyAlignment="0" applyProtection="0"/>
    <xf numFmtId="167" fontId="68" fillId="0" borderId="0" applyNumberFormat="0" applyFill="0" applyBorder="0" applyProtection="0"/>
    <xf numFmtId="196" fontId="69" fillId="0" borderId="0" applyNumberFormat="0" applyFill="0" applyBorder="0" applyProtection="0"/>
    <xf numFmtId="167" fontId="70" fillId="30" borderId="0" applyNumberFormat="0" applyFill="0" applyBorder="0" applyProtection="0">
      <alignment vertical="center"/>
    </xf>
    <xf numFmtId="196" fontId="71" fillId="0" borderId="0" applyNumberFormat="0" applyFill="0" applyBorder="0" applyProtection="0">
      <alignment horizontal="left"/>
    </xf>
    <xf numFmtId="196" fontId="72" fillId="0" borderId="0" applyNumberFormat="0" applyFill="0" applyBorder="0" applyProtection="0">
      <alignment horizontal="left"/>
    </xf>
    <xf numFmtId="197" fontId="73" fillId="0" borderId="0" applyNumberFormat="0" applyFill="0" applyBorder="0" applyProtection="0">
      <alignment horizontal="left"/>
    </xf>
    <xf numFmtId="196" fontId="68" fillId="0" borderId="0" applyNumberFormat="0" applyFill="0" applyBorder="0" applyProtection="0"/>
    <xf numFmtId="196" fontId="69" fillId="0" borderId="0" applyNumberFormat="0" applyFill="0" applyBorder="0" applyProtection="0"/>
    <xf numFmtId="197" fontId="70" fillId="0" borderId="0" applyNumberFormat="0" applyFill="0" applyBorder="0" applyProtection="0"/>
    <xf numFmtId="198" fontId="74" fillId="0" borderId="0" applyNumberFormat="0" applyFill="0" applyBorder="0" applyProtection="0"/>
    <xf numFmtId="198" fontId="75" fillId="0" borderId="0" applyNumberFormat="0" applyFill="0" applyBorder="0" applyProtection="0"/>
    <xf numFmtId="197" fontId="76" fillId="0" borderId="0" applyNumberFormat="0" applyFill="0" applyBorder="0" applyProtection="0">
      <alignment vertical="center"/>
    </xf>
    <xf numFmtId="196" fontId="77" fillId="0" borderId="0" applyNumberFormat="0" applyFill="0" applyBorder="0" applyProtection="0">
      <alignment horizontal="left"/>
    </xf>
    <xf numFmtId="196" fontId="78" fillId="0" borderId="0" applyNumberFormat="0" applyFill="0" applyBorder="0" applyProtection="0">
      <alignment horizontal="left"/>
    </xf>
    <xf numFmtId="197" fontId="79" fillId="0" borderId="0" applyNumberFormat="0" applyFill="0" applyBorder="0" applyProtection="0">
      <alignment horizontal="left"/>
    </xf>
    <xf numFmtId="199" fontId="80" fillId="0" borderId="0" applyNumberFormat="0" applyFill="0" applyBorder="0" applyProtection="0"/>
    <xf numFmtId="199" fontId="81" fillId="0" borderId="0" applyNumberFormat="0" applyFill="0" applyBorder="0" applyProtection="0"/>
    <xf numFmtId="199" fontId="82" fillId="0" borderId="0" applyNumberFormat="0" applyFill="0" applyBorder="0" applyProtection="0"/>
    <xf numFmtId="49" fontId="83" fillId="0" borderId="0" applyNumberFormat="0" applyFill="0" applyBorder="0" applyProtection="0"/>
    <xf numFmtId="49" fontId="84" fillId="0" borderId="0" applyNumberFormat="0" applyFill="0" applyBorder="0" applyProtection="0"/>
    <xf numFmtId="49" fontId="70" fillId="0" borderId="0" applyNumberFormat="0" applyFill="0" applyBorder="0" applyProtection="0"/>
    <xf numFmtId="49" fontId="83" fillId="0" borderId="0" applyNumberFormat="0" applyFill="0" applyBorder="0" applyProtection="0"/>
    <xf numFmtId="49" fontId="69" fillId="0" borderId="0" applyNumberFormat="0" applyFill="0" applyBorder="0" applyProtection="0"/>
    <xf numFmtId="49" fontId="70" fillId="0" borderId="0" applyNumberFormat="0" applyFill="0" applyBorder="0" applyProtection="0"/>
    <xf numFmtId="167" fontId="74" fillId="0" borderId="0" applyNumberFormat="0" applyFill="0" applyBorder="0" applyProtection="0"/>
    <xf numFmtId="0" fontId="85" fillId="0" borderId="0" applyNumberFormat="0" applyFill="0" applyBorder="0" applyProtection="0"/>
    <xf numFmtId="0" fontId="76" fillId="0" borderId="0" applyNumberFormat="0" applyFill="0" applyBorder="0" applyProtection="0">
      <alignment vertical="center"/>
    </xf>
    <xf numFmtId="0" fontId="77" fillId="0" borderId="0" applyNumberFormat="0" applyFill="0" applyBorder="0" applyProtection="0">
      <alignment horizontal="left"/>
    </xf>
    <xf numFmtId="0" fontId="78" fillId="0" borderId="0" applyNumberFormat="0" applyFill="0" applyBorder="0" applyProtection="0">
      <alignment horizontal="left"/>
    </xf>
    <xf numFmtId="0" fontId="79" fillId="0" borderId="0" applyNumberFormat="0" applyFill="0" applyBorder="0" applyProtection="0">
      <alignment horizontal="left"/>
    </xf>
    <xf numFmtId="167" fontId="74" fillId="0" borderId="0" applyNumberFormat="0" applyFill="0" applyBorder="0" applyProtection="0"/>
    <xf numFmtId="167" fontId="86" fillId="0" borderId="0" applyNumberFormat="0" applyFill="0" applyBorder="0" applyProtection="0"/>
    <xf numFmtId="167" fontId="76" fillId="0" borderId="0" applyNumberFormat="0" applyFill="0" applyBorder="0" applyProtection="0"/>
    <xf numFmtId="0" fontId="12" fillId="0" borderId="0" applyFont="0" applyFill="0" applyBorder="0" applyAlignment="0" applyProtection="0"/>
    <xf numFmtId="196" fontId="87" fillId="0" borderId="0" applyFill="0" applyBorder="0" applyProtection="0">
      <alignment horizontal="right"/>
    </xf>
    <xf numFmtId="196" fontId="69" fillId="0" borderId="0" applyFill="0" applyBorder="0" applyProtection="0">
      <alignment horizontal="right"/>
    </xf>
    <xf numFmtId="197" fontId="70" fillId="30" borderId="0" applyFill="0" applyBorder="0" applyProtection="0">
      <alignment horizontal="right" vertical="center"/>
    </xf>
    <xf numFmtId="196" fontId="72" fillId="0" borderId="0" applyFill="0" applyBorder="0" applyProtection="0">
      <alignment horizontal="right"/>
    </xf>
    <xf numFmtId="196" fontId="72" fillId="0" borderId="0" applyFill="0" applyBorder="0" applyProtection="0">
      <alignment horizontal="right"/>
    </xf>
    <xf numFmtId="197" fontId="73" fillId="0" borderId="0" applyFill="0" applyBorder="0" applyProtection="0">
      <alignment horizontal="right"/>
    </xf>
    <xf numFmtId="196" fontId="87" fillId="0" borderId="0" applyFill="0" applyBorder="0" applyProtection="0">
      <alignment horizontal="right"/>
    </xf>
    <xf numFmtId="196" fontId="69" fillId="0" borderId="0" applyFill="0" applyBorder="0" applyProtection="0">
      <alignment horizontal="right"/>
    </xf>
    <xf numFmtId="197" fontId="70" fillId="0" borderId="0" applyFill="0" applyBorder="0" applyProtection="0">
      <alignment horizontal="right"/>
    </xf>
    <xf numFmtId="196" fontId="88" fillId="0" borderId="0" applyFill="0" applyBorder="0" applyProtection="0">
      <alignment horizontal="right"/>
    </xf>
    <xf numFmtId="196" fontId="75" fillId="0" borderId="0" applyFill="0" applyBorder="0" applyProtection="0">
      <alignment horizontal="right"/>
    </xf>
    <xf numFmtId="197" fontId="76" fillId="0" borderId="0" applyFill="0" applyBorder="0" applyProtection="0">
      <alignment horizontal="right" vertical="center"/>
    </xf>
    <xf numFmtId="196" fontId="89" fillId="0" borderId="0" applyFill="0" applyBorder="0" applyProtection="0">
      <alignment horizontal="right"/>
    </xf>
    <xf numFmtId="196" fontId="78" fillId="0" borderId="0" applyFill="0" applyBorder="0" applyProtection="0">
      <alignment horizontal="right"/>
    </xf>
    <xf numFmtId="197" fontId="79" fillId="0" borderId="0" applyFill="0" applyBorder="0" applyProtection="0">
      <alignment horizontal="right"/>
    </xf>
    <xf numFmtId="200" fontId="74" fillId="0" borderId="0" applyFill="0" applyBorder="0" applyProtection="0">
      <alignment horizontal="right"/>
    </xf>
    <xf numFmtId="201" fontId="75" fillId="0" borderId="0" applyFill="0" applyBorder="0" applyProtection="0">
      <alignment horizontal="right"/>
    </xf>
    <xf numFmtId="202" fontId="76" fillId="0" borderId="0" applyFill="0" applyBorder="0" applyProtection="0">
      <alignment horizontal="right" vertical="center"/>
    </xf>
    <xf numFmtId="200" fontId="89" fillId="0" borderId="0" applyFill="0" applyBorder="0" applyProtection="0">
      <alignment horizontal="right"/>
    </xf>
    <xf numFmtId="201" fontId="78" fillId="0" borderId="0" applyFill="0" applyBorder="0" applyProtection="0">
      <alignment horizontal="right"/>
    </xf>
    <xf numFmtId="202" fontId="79" fillId="0" borderId="0" applyFill="0" applyBorder="0" applyProtection="0">
      <alignment horizontal="right"/>
    </xf>
    <xf numFmtId="167" fontId="74" fillId="0" borderId="0" applyNumberFormat="0" applyFill="0" applyBorder="0" applyProtection="0">
      <alignment horizontal="right"/>
    </xf>
    <xf numFmtId="167" fontId="86" fillId="0" borderId="0" applyNumberFormat="0" applyFill="0" applyBorder="0" applyProtection="0">
      <alignment horizontal="right"/>
    </xf>
    <xf numFmtId="167" fontId="76" fillId="0" borderId="0" applyNumberFormat="0" applyFill="0" applyBorder="0" applyProtection="0">
      <alignment horizontal="right"/>
    </xf>
    <xf numFmtId="200" fontId="74" fillId="0" borderId="0" applyFill="0" applyBorder="0" applyProtection="0">
      <alignment horizontal="right"/>
    </xf>
    <xf numFmtId="201" fontId="75" fillId="0" borderId="0" applyFill="0" applyBorder="0" applyProtection="0">
      <alignment horizontal="right"/>
    </xf>
    <xf numFmtId="202" fontId="76" fillId="0" borderId="0" applyFill="0" applyBorder="0" applyProtection="0">
      <alignment horizontal="right" vertical="center"/>
    </xf>
    <xf numFmtId="49" fontId="74" fillId="0" borderId="0" applyNumberFormat="0" applyFill="0" applyBorder="0" applyProtection="0">
      <alignment horizontal="left"/>
    </xf>
    <xf numFmtId="49" fontId="75" fillId="0" borderId="0" applyNumberFormat="0" applyFill="0" applyBorder="0" applyProtection="0">
      <alignment horizontal="left"/>
    </xf>
    <xf numFmtId="167" fontId="76" fillId="0" borderId="0" applyNumberFormat="0" applyFill="0" applyBorder="0" applyProtection="0">
      <alignment vertical="center"/>
    </xf>
    <xf numFmtId="179" fontId="5" fillId="0" borderId="0" applyFont="0" applyFill="0" applyBorder="0" applyAlignment="0" applyProtection="0">
      <alignment horizontal="right"/>
    </xf>
    <xf numFmtId="0" fontId="21" fillId="0" borderId="0" applyProtection="0">
      <alignment horizontal="right"/>
    </xf>
    <xf numFmtId="0" fontId="104" fillId="0" borderId="7" applyNumberFormat="0" applyFill="0" applyAlignment="0" applyProtection="0"/>
    <xf numFmtId="0" fontId="22" fillId="0" borderId="0" applyProtection="0">
      <alignment horizontal="left"/>
    </xf>
    <xf numFmtId="0" fontId="23" fillId="0" borderId="0" applyProtection="0">
      <alignment horizontal="left"/>
    </xf>
    <xf numFmtId="0" fontId="105" fillId="0" borderId="0" applyNumberFormat="0" applyFill="0" applyBorder="0" applyAlignment="0" applyProtection="0"/>
    <xf numFmtId="0" fontId="106" fillId="7" borderId="4" applyNumberFormat="0" applyAlignment="0" applyProtection="0"/>
    <xf numFmtId="0" fontId="55" fillId="0" borderId="0"/>
    <xf numFmtId="2" fontId="24" fillId="0" borderId="8"/>
    <xf numFmtId="0" fontId="107" fillId="0" borderId="9" applyNumberFormat="0" applyFill="0" applyAlignment="0" applyProtection="0"/>
    <xf numFmtId="0" fontId="5" fillId="16" borderId="0"/>
    <xf numFmtId="174" fontId="5" fillId="0" borderId="0" applyFont="0" applyFill="0" applyBorder="0" applyAlignment="0" applyProtection="0">
      <alignment horizontal="right"/>
    </xf>
    <xf numFmtId="0" fontId="108" fillId="31" borderId="0" applyNumberFormat="0" applyBorder="0" applyAlignment="0" applyProtection="0"/>
    <xf numFmtId="0" fontId="10" fillId="0" borderId="0"/>
    <xf numFmtId="0" fontId="56" fillId="32" borderId="0"/>
    <xf numFmtId="0" fontId="57" fillId="33" borderId="0"/>
    <xf numFmtId="0" fontId="58" fillId="0" borderId="0"/>
    <xf numFmtId="0" fontId="25" fillId="0" borderId="0"/>
    <xf numFmtId="0" fontId="1" fillId="0" borderId="0"/>
    <xf numFmtId="0" fontId="1" fillId="0" borderId="0"/>
    <xf numFmtId="0" fontId="5" fillId="0" borderId="0"/>
    <xf numFmtId="167" fontId="5" fillId="0" borderId="0" applyFont="0" applyFill="0" applyBorder="0" applyAlignment="0" applyProtection="0"/>
    <xf numFmtId="0" fontId="90" fillId="0" borderId="0"/>
    <xf numFmtId="0" fontId="5" fillId="0" borderId="0"/>
    <xf numFmtId="0" fontId="5" fillId="0" borderId="0"/>
    <xf numFmtId="0" fontId="3" fillId="0" borderId="0"/>
    <xf numFmtId="0" fontId="1" fillId="0" borderId="0"/>
    <xf numFmtId="0" fontId="5" fillId="0" borderId="0"/>
    <xf numFmtId="0" fontId="5" fillId="0" borderId="0"/>
    <xf numFmtId="0" fontId="5" fillId="0" borderId="0"/>
    <xf numFmtId="0" fontId="2" fillId="0" borderId="0"/>
    <xf numFmtId="193" fontId="67" fillId="0" borderId="0" applyNumberFormat="0" applyFill="0" applyBorder="0" applyAlignment="0" applyProtection="0"/>
    <xf numFmtId="0" fontId="109" fillId="0" borderId="0"/>
    <xf numFmtId="0" fontId="26" fillId="0" borderId="0"/>
    <xf numFmtId="0" fontId="4" fillId="34" borderId="10" applyNumberFormat="0" applyFont="0" applyAlignment="0" applyProtection="0"/>
    <xf numFmtId="0" fontId="27" fillId="0" borderId="0"/>
    <xf numFmtId="0" fontId="110" fillId="27" borderId="11" applyNumberFormat="0" applyAlignment="0" applyProtection="0"/>
    <xf numFmtId="1" fontId="28" fillId="0" borderId="0" applyProtection="0">
      <alignment horizontal="right" vertical="center"/>
    </xf>
    <xf numFmtId="9" fontId="4" fillId="0" borderId="0" applyFont="0" applyFill="0" applyBorder="0" applyAlignment="0" applyProtection="0"/>
    <xf numFmtId="165" fontId="29" fillId="0" borderId="0" applyFill="0" applyBorder="0" applyAlignment="0" applyProtection="0"/>
    <xf numFmtId="203" fontId="12" fillId="0" borderId="0" applyFont="0" applyFill="0" applyBorder="0" applyAlignment="0"/>
    <xf numFmtId="9" fontId="66" fillId="0" borderId="0" applyFont="0" applyFill="0" applyBorder="0" applyAlignment="0" applyProtection="0"/>
    <xf numFmtId="204" fontId="91" fillId="0" borderId="0" applyFont="0" applyFill="0" applyBorder="0" applyAlignment="0" applyProtection="0"/>
    <xf numFmtId="9" fontId="5" fillId="0" borderId="0" applyFont="0" applyFill="0" applyBorder="0" applyAlignment="0" applyProtection="0"/>
    <xf numFmtId="9" fontId="66" fillId="0" borderId="0" applyFont="0" applyFill="0" applyBorder="0" applyAlignment="0" applyProtection="0"/>
    <xf numFmtId="9" fontId="66" fillId="0" borderId="0" applyFont="0" applyFill="0" applyBorder="0" applyAlignment="0" applyProtection="0"/>
    <xf numFmtId="9" fontId="1" fillId="0" borderId="0" applyFont="0" applyFill="0" applyBorder="0" applyAlignment="0" applyProtection="0"/>
    <xf numFmtId="0" fontId="30" fillId="0" borderId="0"/>
    <xf numFmtId="0" fontId="31" fillId="0" borderId="0" applyNumberFormat="0" applyFont="0" applyFill="0" applyBorder="0" applyAlignment="0" applyProtection="0">
      <alignment horizontal="left"/>
    </xf>
    <xf numFmtId="4" fontId="31" fillId="0" borderId="0" applyFont="0" applyFill="0" applyBorder="0" applyAlignment="0" applyProtection="0"/>
    <xf numFmtId="39" fontId="32" fillId="0" borderId="0" applyNumberFormat="0">
      <alignment horizontal="right"/>
    </xf>
    <xf numFmtId="0" fontId="33" fillId="35" borderId="0"/>
    <xf numFmtId="0" fontId="5" fillId="0" borderId="12" applyBorder="0">
      <alignment horizontal="right"/>
    </xf>
    <xf numFmtId="0" fontId="34" fillId="0" borderId="13">
      <alignment vertical="center"/>
    </xf>
    <xf numFmtId="0" fontId="59" fillId="36" borderId="0"/>
    <xf numFmtId="0" fontId="31" fillId="37" borderId="14"/>
    <xf numFmtId="0" fontId="5" fillId="0" borderId="0" applyFont="0" applyFill="0" applyBorder="0" applyAlignment="0" applyProtection="0"/>
    <xf numFmtId="0" fontId="60" fillId="0" borderId="0"/>
    <xf numFmtId="0" fontId="61" fillId="0" borderId="0"/>
    <xf numFmtId="9" fontId="5" fillId="0" borderId="0"/>
    <xf numFmtId="0" fontId="5" fillId="0" borderId="15" applyAlignment="0"/>
    <xf numFmtId="0" fontId="35" fillId="0" borderId="0" applyBorder="0" applyProtection="0">
      <alignment vertical="center"/>
    </xf>
    <xf numFmtId="172" fontId="5" fillId="0" borderId="8" applyBorder="0" applyProtection="0">
      <alignment horizontal="right" vertical="center"/>
    </xf>
    <xf numFmtId="0" fontId="36" fillId="38" borderId="0" applyBorder="0" applyProtection="0">
      <alignment horizontal="centerContinuous" vertical="center"/>
    </xf>
    <xf numFmtId="0" fontId="36" fillId="39" borderId="8" applyBorder="0" applyProtection="0">
      <alignment horizontal="centerContinuous" vertical="center"/>
    </xf>
    <xf numFmtId="0" fontId="37" fillId="0" borderId="0"/>
    <xf numFmtId="0" fontId="92" fillId="0" borderId="0" applyNumberFormat="0">
      <alignment horizontal="left"/>
    </xf>
    <xf numFmtId="0" fontId="26" fillId="0" borderId="0"/>
    <xf numFmtId="0" fontId="38" fillId="0" borderId="0" applyFill="0" applyBorder="0" applyProtection="0">
      <alignment horizontal="left"/>
    </xf>
    <xf numFmtId="0" fontId="20" fillId="0" borderId="16" applyFill="0" applyBorder="0" applyProtection="0">
      <alignment horizontal="left" vertical="top"/>
    </xf>
    <xf numFmtId="0" fontId="39" fillId="0" borderId="0">
      <alignment horizontal="centerContinuous"/>
    </xf>
    <xf numFmtId="0" fontId="40" fillId="0" borderId="0"/>
    <xf numFmtId="0" fontId="41" fillId="0" borderId="0"/>
    <xf numFmtId="0" fontId="62" fillId="0" borderId="0"/>
    <xf numFmtId="0" fontId="63" fillId="0" borderId="0"/>
    <xf numFmtId="0" fontId="64" fillId="0" borderId="0"/>
    <xf numFmtId="0" fontId="111" fillId="0" borderId="0" applyNumberFormat="0" applyFill="0" applyBorder="0" applyAlignment="0" applyProtection="0"/>
    <xf numFmtId="0" fontId="65" fillId="0" borderId="0"/>
    <xf numFmtId="0" fontId="112" fillId="0" borderId="17" applyNumberFormat="0" applyFill="0" applyAlignment="0" applyProtection="0"/>
    <xf numFmtId="0" fontId="62"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0" fontId="62" fillId="0" borderId="0">
      <alignment wrapText="1"/>
    </xf>
    <xf numFmtId="6" fontId="42" fillId="0" borderId="18" applyFill="0" applyAlignment="0" applyProtection="0"/>
    <xf numFmtId="41" fontId="43" fillId="0" borderId="0" applyFont="0" applyFill="0" applyBorder="0" applyAlignment="0" applyProtection="0"/>
    <xf numFmtId="43" fontId="43" fillId="0" borderId="0" applyFont="0" applyFill="0" applyBorder="0" applyAlignment="0" applyProtection="0"/>
    <xf numFmtId="0" fontId="5" fillId="40" borderId="0"/>
    <xf numFmtId="0" fontId="44" fillId="40" borderId="0" applyFill="0"/>
    <xf numFmtId="0" fontId="45" fillId="0" borderId="0">
      <alignment horizontal="fill"/>
    </xf>
    <xf numFmtId="42" fontId="43" fillId="0" borderId="0" applyFont="0" applyFill="0" applyBorder="0" applyAlignment="0" applyProtection="0"/>
    <xf numFmtId="44" fontId="43" fillId="0" borderId="0" applyFont="0" applyFill="0" applyBorder="0" applyAlignment="0" applyProtection="0"/>
    <xf numFmtId="0" fontId="46" fillId="0" borderId="0"/>
    <xf numFmtId="0" fontId="113" fillId="0" borderId="0" applyNumberFormat="0" applyFill="0" applyBorder="0" applyAlignment="0" applyProtection="0"/>
    <xf numFmtId="183" fontId="5" fillId="0" borderId="8" applyBorder="0" applyProtection="0">
      <alignment horizontal="right"/>
    </xf>
  </cellStyleXfs>
  <cellXfs count="1067">
    <xf numFmtId="164" fontId="0" fillId="0" borderId="0" xfId="0"/>
    <xf numFmtId="0" fontId="93" fillId="30" borderId="0" xfId="179" applyFont="1" applyFill="1"/>
    <xf numFmtId="43" fontId="93" fillId="30" borderId="0" xfId="79" applyFont="1" applyFill="1" applyAlignment="1">
      <alignment horizontal="right"/>
    </xf>
    <xf numFmtId="0" fontId="94" fillId="30" borderId="19" xfId="179" applyFont="1" applyFill="1" applyBorder="1"/>
    <xf numFmtId="43" fontId="94" fillId="30" borderId="20" xfId="79" applyFont="1" applyFill="1" applyBorder="1" applyAlignment="1">
      <alignment horizontal="right"/>
    </xf>
    <xf numFmtId="0" fontId="94" fillId="30" borderId="12" xfId="179" applyFont="1" applyFill="1" applyBorder="1"/>
    <xf numFmtId="0" fontId="94" fillId="30" borderId="0" xfId="179" applyFont="1" applyFill="1" applyBorder="1"/>
    <xf numFmtId="0" fontId="94" fillId="30" borderId="0" xfId="179" applyFont="1" applyFill="1"/>
    <xf numFmtId="0" fontId="93" fillId="30" borderId="0" xfId="179" applyFont="1" applyFill="1" applyBorder="1"/>
    <xf numFmtId="0" fontId="94" fillId="30" borderId="20" xfId="179" applyFont="1" applyFill="1" applyBorder="1"/>
    <xf numFmtId="0" fontId="95" fillId="30" borderId="16" xfId="179" applyFont="1" applyFill="1" applyBorder="1"/>
    <xf numFmtId="0" fontId="93" fillId="30" borderId="21" xfId="179" applyFont="1" applyFill="1" applyBorder="1"/>
    <xf numFmtId="164" fontId="11" fillId="41" borderId="0" xfId="0" applyFont="1" applyFill="1"/>
    <xf numFmtId="0" fontId="10" fillId="41" borderId="0" xfId="0" applyNumberFormat="1" applyFont="1" applyFill="1"/>
    <xf numFmtId="164" fontId="117" fillId="42" borderId="0" xfId="0" applyFont="1" applyFill="1"/>
    <xf numFmtId="38" fontId="115" fillId="0" borderId="0" xfId="187" applyNumberFormat="1" applyFont="1" applyBorder="1"/>
    <xf numFmtId="38" fontId="116" fillId="0" borderId="0" xfId="187" applyNumberFormat="1" applyFont="1" applyBorder="1"/>
    <xf numFmtId="38" fontId="118" fillId="0" borderId="0" xfId="187" applyNumberFormat="1" applyFont="1" applyBorder="1"/>
    <xf numFmtId="192" fontId="117" fillId="0" borderId="0" xfId="0" applyNumberFormat="1" applyFont="1" applyBorder="1"/>
    <xf numFmtId="0" fontId="115" fillId="42" borderId="0" xfId="180" applyFont="1" applyFill="1" applyBorder="1" applyAlignment="1">
      <alignment horizontal="center"/>
    </xf>
    <xf numFmtId="0" fontId="93" fillId="42" borderId="0" xfId="180" applyFont="1" applyFill="1" applyBorder="1"/>
    <xf numFmtId="0" fontId="117" fillId="42" borderId="0" xfId="180" applyFont="1" applyFill="1" applyBorder="1"/>
    <xf numFmtId="9" fontId="117" fillId="42" borderId="0" xfId="207" applyFont="1" applyFill="1" applyBorder="1" applyAlignment="1"/>
    <xf numFmtId="0" fontId="114" fillId="0" borderId="0" xfId="0" applyNumberFormat="1" applyFont="1" applyBorder="1" applyAlignment="1">
      <alignment horizontal="right"/>
    </xf>
    <xf numFmtId="192" fontId="93" fillId="0" borderId="0" xfId="0" applyNumberFormat="1" applyFont="1" applyBorder="1"/>
    <xf numFmtId="192" fontId="116" fillId="0" borderId="0" xfId="0" applyNumberFormat="1" applyFont="1" applyBorder="1"/>
    <xf numFmtId="192" fontId="118" fillId="0" borderId="0" xfId="0" applyNumberFormat="1" applyFont="1" applyBorder="1"/>
    <xf numFmtId="192" fontId="93" fillId="0" borderId="0" xfId="0" applyNumberFormat="1" applyFont="1"/>
    <xf numFmtId="192" fontId="118" fillId="0" borderId="0" xfId="0" applyNumberFormat="1" applyFont="1"/>
    <xf numFmtId="164" fontId="94" fillId="0" borderId="16" xfId="0" applyFont="1" applyBorder="1"/>
    <xf numFmtId="164" fontId="95" fillId="0" borderId="0" xfId="0" applyFont="1" applyBorder="1" applyAlignment="1">
      <alignment horizontal="center"/>
    </xf>
    <xf numFmtId="192" fontId="95" fillId="0" borderId="0" xfId="0" applyNumberFormat="1" applyFont="1" applyBorder="1"/>
    <xf numFmtId="164" fontId="95" fillId="0" borderId="0" xfId="0" applyFont="1" applyBorder="1"/>
    <xf numFmtId="164" fontId="96" fillId="0" borderId="16" xfId="0" applyFont="1" applyBorder="1"/>
    <xf numFmtId="164" fontId="93" fillId="0" borderId="0" xfId="0" applyFont="1" applyBorder="1" applyAlignment="1">
      <alignment horizontal="center"/>
    </xf>
    <xf numFmtId="164" fontId="95" fillId="0" borderId="0" xfId="0" applyFont="1"/>
    <xf numFmtId="164" fontId="93" fillId="0" borderId="0" xfId="0" applyFont="1"/>
    <xf numFmtId="0" fontId="94" fillId="0" borderId="22" xfId="0" applyNumberFormat="1" applyFont="1" applyFill="1" applyBorder="1" applyAlignment="1">
      <alignment horizontal="right"/>
    </xf>
    <xf numFmtId="0" fontId="94" fillId="0" borderId="0" xfId="0" applyNumberFormat="1" applyFont="1"/>
    <xf numFmtId="0" fontId="94" fillId="0" borderId="23" xfId="0" applyNumberFormat="1" applyFont="1" applyFill="1" applyBorder="1" applyAlignment="1">
      <alignment horizontal="right"/>
    </xf>
    <xf numFmtId="0" fontId="94" fillId="0" borderId="24" xfId="0" applyNumberFormat="1" applyFont="1" applyFill="1" applyBorder="1" applyAlignment="1">
      <alignment horizontal="center"/>
    </xf>
    <xf numFmtId="164" fontId="94" fillId="0" borderId="25" xfId="0" applyFont="1" applyFill="1" applyBorder="1"/>
    <xf numFmtId="192" fontId="94" fillId="0" borderId="1" xfId="0" applyNumberFormat="1" applyFont="1" applyFill="1" applyBorder="1" applyAlignment="1">
      <alignment horizontal="center"/>
    </xf>
    <xf numFmtId="192" fontId="94" fillId="0" borderId="0" xfId="0" applyNumberFormat="1" applyFont="1" applyFill="1" applyBorder="1" applyAlignment="1">
      <alignment horizontal="center"/>
    </xf>
    <xf numFmtId="192" fontId="120" fillId="0" borderId="0" xfId="0" applyNumberFormat="1" applyFont="1" applyFill="1" applyBorder="1" applyAlignment="1">
      <alignment horizontal="center"/>
    </xf>
    <xf numFmtId="192" fontId="120" fillId="0" borderId="1" xfId="0" applyNumberFormat="1" applyFont="1" applyFill="1" applyBorder="1" applyAlignment="1">
      <alignment horizontal="center"/>
    </xf>
    <xf numFmtId="164" fontId="94" fillId="0" borderId="0" xfId="0" applyFont="1" applyFill="1"/>
    <xf numFmtId="37" fontId="95" fillId="0" borderId="25" xfId="0" applyNumberFormat="1" applyFont="1" applyBorder="1"/>
    <xf numFmtId="37" fontId="95" fillId="0" borderId="1" xfId="0" applyNumberFormat="1" applyFont="1" applyBorder="1" applyAlignment="1">
      <alignment horizontal="center"/>
    </xf>
    <xf numFmtId="37" fontId="95" fillId="0" borderId="0" xfId="0" applyNumberFormat="1" applyFont="1" applyBorder="1" applyAlignment="1">
      <alignment horizontal="center"/>
    </xf>
    <xf numFmtId="37" fontId="118" fillId="0" borderId="0" xfId="0" applyNumberFormat="1" applyFont="1" applyBorder="1" applyAlignment="1">
      <alignment horizontal="center"/>
    </xf>
    <xf numFmtId="37" fontId="93" fillId="0" borderId="0" xfId="0" applyNumberFormat="1" applyFont="1"/>
    <xf numFmtId="39" fontId="93" fillId="0" borderId="25" xfId="0" applyNumberFormat="1" applyFont="1" applyBorder="1" applyAlignment="1">
      <alignment horizontal="left" indent="1"/>
    </xf>
    <xf numFmtId="39" fontId="93" fillId="0" borderId="1" xfId="73" applyNumberFormat="1" applyFont="1" applyBorder="1" applyAlignment="1">
      <alignment horizontal="center"/>
    </xf>
    <xf numFmtId="39" fontId="93" fillId="0" borderId="0" xfId="0" applyNumberFormat="1" applyFont="1" applyBorder="1" applyAlignment="1">
      <alignment horizontal="center"/>
    </xf>
    <xf numFmtId="39" fontId="93" fillId="0" borderId="0" xfId="73" applyNumberFormat="1" applyFont="1" applyBorder="1" applyAlignment="1">
      <alignment horizontal="center"/>
    </xf>
    <xf numFmtId="39" fontId="118" fillId="0" borderId="0" xfId="73" applyNumberFormat="1" applyFont="1" applyBorder="1" applyAlignment="1">
      <alignment horizontal="center"/>
    </xf>
    <xf numFmtId="39" fontId="118" fillId="0" borderId="1" xfId="73" applyNumberFormat="1" applyFont="1" applyBorder="1" applyAlignment="1">
      <alignment horizontal="center"/>
    </xf>
    <xf numFmtId="39" fontId="93" fillId="0" borderId="0" xfId="0" applyNumberFormat="1" applyFont="1"/>
    <xf numFmtId="39" fontId="93" fillId="0" borderId="26" xfId="0" applyNumberFormat="1" applyFont="1" applyBorder="1" applyAlignment="1">
      <alignment horizontal="left" indent="1"/>
    </xf>
    <xf numFmtId="39" fontId="93" fillId="0" borderId="27" xfId="73" applyNumberFormat="1" applyFont="1" applyBorder="1" applyAlignment="1">
      <alignment horizontal="center"/>
    </xf>
    <xf numFmtId="39" fontId="93" fillId="0" borderId="8" xfId="0" applyNumberFormat="1" applyFont="1" applyBorder="1" applyAlignment="1">
      <alignment horizontal="center"/>
    </xf>
    <xf numFmtId="39" fontId="94" fillId="0" borderId="25" xfId="0" applyNumberFormat="1" applyFont="1" applyBorder="1"/>
    <xf numFmtId="39" fontId="94" fillId="0" borderId="1" xfId="73" applyNumberFormat="1" applyFont="1" applyBorder="1" applyAlignment="1">
      <alignment horizontal="center"/>
    </xf>
    <xf numFmtId="39" fontId="94" fillId="0" borderId="0" xfId="0" applyNumberFormat="1" applyFont="1" applyBorder="1" applyAlignment="1">
      <alignment horizontal="center"/>
    </xf>
    <xf numFmtId="39" fontId="120" fillId="0" borderId="0" xfId="73" applyNumberFormat="1" applyFont="1" applyBorder="1" applyAlignment="1">
      <alignment horizontal="center"/>
    </xf>
    <xf numFmtId="39" fontId="94" fillId="0" borderId="0" xfId="0" applyNumberFormat="1" applyFont="1"/>
    <xf numFmtId="39" fontId="95" fillId="0" borderId="25" xfId="0" applyNumberFormat="1" applyFont="1" applyBorder="1"/>
    <xf numFmtId="39" fontId="95" fillId="0" borderId="1" xfId="73" applyNumberFormat="1" applyFont="1" applyBorder="1" applyAlignment="1">
      <alignment horizontal="center"/>
    </xf>
    <xf numFmtId="39" fontId="95" fillId="0" borderId="0" xfId="0" applyNumberFormat="1" applyFont="1" applyBorder="1" applyAlignment="1">
      <alignment horizontal="center"/>
    </xf>
    <xf numFmtId="39" fontId="95" fillId="0" borderId="0" xfId="73" applyNumberFormat="1" applyFont="1" applyBorder="1" applyAlignment="1">
      <alignment horizontal="center"/>
    </xf>
    <xf numFmtId="39" fontId="93" fillId="0" borderId="25" xfId="0" applyNumberFormat="1" applyFont="1" applyBorder="1"/>
    <xf numFmtId="39" fontId="94" fillId="0" borderId="28" xfId="0" applyNumberFormat="1" applyFont="1" applyBorder="1"/>
    <xf numFmtId="39" fontId="94" fillId="0" borderId="29" xfId="73" applyNumberFormat="1" applyFont="1" applyBorder="1" applyAlignment="1">
      <alignment horizontal="center"/>
    </xf>
    <xf numFmtId="39" fontId="94" fillId="0" borderId="18" xfId="0" applyNumberFormat="1" applyFont="1" applyBorder="1" applyAlignment="1">
      <alignment horizontal="center"/>
    </xf>
    <xf numFmtId="39" fontId="94" fillId="0" borderId="30" xfId="0" applyNumberFormat="1" applyFont="1" applyBorder="1"/>
    <xf numFmtId="39" fontId="94" fillId="0" borderId="31" xfId="73" applyNumberFormat="1" applyFont="1" applyBorder="1" applyAlignment="1">
      <alignment horizontal="center"/>
    </xf>
    <xf numFmtId="39" fontId="94" fillId="0" borderId="2" xfId="0" applyNumberFormat="1" applyFont="1" applyBorder="1" applyAlignment="1">
      <alignment horizontal="center"/>
    </xf>
    <xf numFmtId="39" fontId="94" fillId="0" borderId="0" xfId="73" applyNumberFormat="1" applyFont="1" applyBorder="1"/>
    <xf numFmtId="39" fontId="94" fillId="0" borderId="0" xfId="0" applyNumberFormat="1" applyFont="1" applyBorder="1"/>
    <xf numFmtId="37" fontId="94" fillId="0" borderId="25" xfId="0" applyNumberFormat="1" applyFont="1" applyBorder="1"/>
    <xf numFmtId="37" fontId="94" fillId="0" borderId="1" xfId="73" applyNumberFormat="1" applyFont="1" applyBorder="1" applyAlignment="1">
      <alignment horizontal="center"/>
    </xf>
    <xf numFmtId="37" fontId="94" fillId="0" borderId="0" xfId="0" applyNumberFormat="1" applyFont="1" applyBorder="1" applyAlignment="1">
      <alignment horizontal="center"/>
    </xf>
    <xf numFmtId="37" fontId="120" fillId="0" borderId="0" xfId="73" applyNumberFormat="1" applyFont="1" applyBorder="1" applyAlignment="1">
      <alignment horizontal="center"/>
    </xf>
    <xf numFmtId="37" fontId="94" fillId="0" borderId="0" xfId="0" applyNumberFormat="1" applyFont="1"/>
    <xf numFmtId="195" fontId="95" fillId="0" borderId="25" xfId="0" applyNumberFormat="1" applyFont="1" applyBorder="1"/>
    <xf numFmtId="195" fontId="95" fillId="0" borderId="1" xfId="73" applyNumberFormat="1" applyFont="1" applyBorder="1" applyAlignment="1">
      <alignment horizontal="center"/>
    </xf>
    <xf numFmtId="195" fontId="95" fillId="0" borderId="0" xfId="0" applyNumberFormat="1" applyFont="1" applyBorder="1" applyAlignment="1">
      <alignment horizontal="center"/>
    </xf>
    <xf numFmtId="195" fontId="118" fillId="0" borderId="0" xfId="73" applyNumberFormat="1" applyFont="1" applyBorder="1" applyAlignment="1">
      <alignment horizontal="center"/>
    </xf>
    <xf numFmtId="195" fontId="93" fillId="0" borderId="0" xfId="0" applyNumberFormat="1" applyFont="1"/>
    <xf numFmtId="195" fontId="93" fillId="0" borderId="25" xfId="0" applyNumberFormat="1" applyFont="1" applyBorder="1"/>
    <xf numFmtId="195" fontId="93" fillId="0" borderId="1" xfId="73" applyNumberFormat="1" applyFont="1" applyBorder="1" applyAlignment="1">
      <alignment horizontal="center"/>
    </xf>
    <xf numFmtId="195" fontId="93" fillId="0" borderId="0" xfId="0" applyNumberFormat="1" applyFont="1" applyBorder="1" applyAlignment="1">
      <alignment horizontal="center"/>
    </xf>
    <xf numFmtId="7" fontId="93" fillId="0" borderId="25" xfId="0" applyNumberFormat="1" applyFont="1" applyBorder="1"/>
    <xf numFmtId="7" fontId="93" fillId="0" borderId="1" xfId="73" applyNumberFormat="1" applyFont="1" applyBorder="1" applyAlignment="1">
      <alignment horizontal="center"/>
    </xf>
    <xf numFmtId="7" fontId="93" fillId="0" borderId="0" xfId="0" applyNumberFormat="1" applyFont="1" applyBorder="1" applyAlignment="1">
      <alignment horizontal="center"/>
    </xf>
    <xf numFmtId="7" fontId="118" fillId="0" borderId="0" xfId="73" applyNumberFormat="1" applyFont="1" applyBorder="1" applyAlignment="1">
      <alignment horizontal="center"/>
    </xf>
    <xf numFmtId="7" fontId="93" fillId="0" borderId="0" xfId="0" applyNumberFormat="1" applyFont="1"/>
    <xf numFmtId="174" fontId="93" fillId="0" borderId="25" xfId="0" applyNumberFormat="1" applyFont="1" applyBorder="1"/>
    <xf numFmtId="174" fontId="93" fillId="0" borderId="1" xfId="73" applyNumberFormat="1" applyFont="1" applyBorder="1" applyAlignment="1">
      <alignment horizontal="center"/>
    </xf>
    <xf numFmtId="174" fontId="118" fillId="0" borderId="0" xfId="73" applyNumberFormat="1" applyFont="1" applyBorder="1" applyAlignment="1">
      <alignment horizontal="center"/>
    </xf>
    <xf numFmtId="174" fontId="93" fillId="0" borderId="0" xfId="0" applyNumberFormat="1" applyFont="1"/>
    <xf numFmtId="164" fontId="93" fillId="0" borderId="23" xfId="0" applyFont="1" applyBorder="1"/>
    <xf numFmtId="166" fontId="93" fillId="0" borderId="24" xfId="73" applyNumberFormat="1" applyFont="1" applyBorder="1" applyAlignment="1">
      <alignment horizontal="center"/>
    </xf>
    <xf numFmtId="164" fontId="93" fillId="0" borderId="32" xfId="0" applyFont="1" applyBorder="1" applyAlignment="1">
      <alignment horizontal="center"/>
    </xf>
    <xf numFmtId="166" fontId="93" fillId="0" borderId="0" xfId="73" applyNumberFormat="1" applyFont="1"/>
    <xf numFmtId="0" fontId="116" fillId="0" borderId="0" xfId="0" applyNumberFormat="1" applyFont="1" applyFill="1" applyBorder="1"/>
    <xf numFmtId="164" fontId="93" fillId="0" borderId="0" xfId="0" applyFont="1" applyAlignment="1">
      <alignment horizontal="center"/>
    </xf>
    <xf numFmtId="164" fontId="118" fillId="0" borderId="0" xfId="0" applyFont="1" applyAlignment="1">
      <alignment horizontal="center"/>
    </xf>
    <xf numFmtId="39" fontId="93" fillId="0" borderId="23" xfId="0" applyNumberFormat="1" applyFont="1" applyBorder="1"/>
    <xf numFmtId="192" fontId="116" fillId="0" borderId="0" xfId="0" applyNumberFormat="1" applyFont="1"/>
    <xf numFmtId="192" fontId="118" fillId="0" borderId="32" xfId="0" applyNumberFormat="1" applyFont="1" applyBorder="1"/>
    <xf numFmtId="192" fontId="94" fillId="0" borderId="16" xfId="0" applyNumberFormat="1" applyFont="1" applyBorder="1"/>
    <xf numFmtId="192" fontId="95" fillId="0" borderId="0" xfId="0" applyNumberFormat="1" applyFont="1"/>
    <xf numFmtId="192" fontId="96" fillId="0" borderId="16" xfId="0" applyNumberFormat="1" applyFont="1" applyBorder="1"/>
    <xf numFmtId="192" fontId="93" fillId="0" borderId="16" xfId="0" applyNumberFormat="1" applyFont="1" applyBorder="1"/>
    <xf numFmtId="192" fontId="93" fillId="0" borderId="22" xfId="0" applyNumberFormat="1" applyFont="1" applyFill="1" applyBorder="1" applyAlignment="1">
      <alignment horizontal="right"/>
    </xf>
    <xf numFmtId="192" fontId="93" fillId="0" borderId="23" xfId="0" applyNumberFormat="1" applyFont="1" applyFill="1" applyBorder="1" applyAlignment="1">
      <alignment horizontal="right"/>
    </xf>
    <xf numFmtId="166" fontId="93" fillId="0" borderId="0" xfId="73" applyNumberFormat="1" applyFont="1" applyBorder="1"/>
    <xf numFmtId="166" fontId="118" fillId="0" borderId="0" xfId="73" applyNumberFormat="1" applyFont="1"/>
    <xf numFmtId="192" fontId="93" fillId="0" borderId="33" xfId="0" applyNumberFormat="1" applyFont="1" applyBorder="1"/>
    <xf numFmtId="192" fontId="93" fillId="0" borderId="2" xfId="0" applyNumberFormat="1" applyFont="1" applyBorder="1"/>
    <xf numFmtId="205" fontId="93" fillId="0" borderId="34" xfId="0" applyNumberFormat="1" applyFont="1" applyBorder="1"/>
    <xf numFmtId="192" fontId="118" fillId="0" borderId="2" xfId="0" applyNumberFormat="1" applyFont="1" applyBorder="1"/>
    <xf numFmtId="192" fontId="118" fillId="0" borderId="35" xfId="0" applyNumberFormat="1" applyFont="1" applyBorder="1"/>
    <xf numFmtId="205" fontId="93" fillId="0" borderId="36" xfId="0" applyNumberFormat="1" applyFont="1" applyBorder="1"/>
    <xf numFmtId="192" fontId="118" fillId="0" borderId="37" xfId="0" applyNumberFormat="1" applyFont="1" applyBorder="1"/>
    <xf numFmtId="192" fontId="93" fillId="0" borderId="21" xfId="0" applyNumberFormat="1" applyFont="1" applyBorder="1"/>
    <xf numFmtId="192" fontId="93" fillId="0" borderId="8" xfId="0" applyNumberFormat="1" applyFont="1" applyBorder="1"/>
    <xf numFmtId="205" fontId="93" fillId="0" borderId="38" xfId="0" applyNumberFormat="1" applyFont="1" applyBorder="1"/>
    <xf numFmtId="192" fontId="118" fillId="0" borderId="8" xfId="0" applyNumberFormat="1" applyFont="1" applyBorder="1"/>
    <xf numFmtId="192" fontId="118" fillId="0" borderId="39" xfId="0" applyNumberFormat="1" applyFont="1" applyBorder="1"/>
    <xf numFmtId="206" fontId="93" fillId="0" borderId="34" xfId="0" applyNumberFormat="1" applyFont="1" applyBorder="1"/>
    <xf numFmtId="206" fontId="93" fillId="0" borderId="36" xfId="0" applyNumberFormat="1" applyFont="1" applyBorder="1"/>
    <xf numFmtId="206" fontId="93" fillId="0" borderId="38" xfId="0" applyNumberFormat="1" applyFont="1" applyBorder="1"/>
    <xf numFmtId="164" fontId="93" fillId="0" borderId="0" xfId="0" applyFont="1" applyBorder="1"/>
    <xf numFmtId="164" fontId="93" fillId="0" borderId="22" xfId="0" applyFont="1" applyFill="1" applyBorder="1" applyAlignment="1">
      <alignment horizontal="right"/>
    </xf>
    <xf numFmtId="192" fontId="94" fillId="0" borderId="40" xfId="0" applyNumberFormat="1" applyFont="1" applyFill="1" applyBorder="1" applyAlignment="1">
      <alignment horizontal="center"/>
    </xf>
    <xf numFmtId="0" fontId="93" fillId="0" borderId="23" xfId="0" applyNumberFormat="1" applyFont="1" applyFill="1" applyBorder="1" applyAlignment="1">
      <alignment horizontal="right"/>
    </xf>
    <xf numFmtId="0" fontId="93" fillId="0" borderId="0" xfId="0" applyNumberFormat="1" applyFont="1" applyAlignment="1">
      <alignment horizontal="right"/>
    </xf>
    <xf numFmtId="164" fontId="93" fillId="0" borderId="25" xfId="0" applyFont="1" applyFill="1" applyBorder="1"/>
    <xf numFmtId="39" fontId="95" fillId="0" borderId="1" xfId="0" applyNumberFormat="1" applyFont="1" applyBorder="1" applyAlignment="1">
      <alignment horizontal="center"/>
    </xf>
    <xf numFmtId="39" fontId="118" fillId="0" borderId="1" xfId="0" applyNumberFormat="1" applyFont="1" applyBorder="1" applyAlignment="1">
      <alignment horizontal="center"/>
    </xf>
    <xf numFmtId="39" fontId="94" fillId="0" borderId="41" xfId="0" applyNumberFormat="1" applyFont="1" applyBorder="1"/>
    <xf numFmtId="39" fontId="94" fillId="0" borderId="42" xfId="73" applyNumberFormat="1" applyFont="1" applyBorder="1" applyAlignment="1">
      <alignment horizontal="center"/>
    </xf>
    <xf numFmtId="39" fontId="94" fillId="0" borderId="20" xfId="73" applyNumberFormat="1" applyFont="1" applyBorder="1" applyAlignment="1">
      <alignment horizontal="center"/>
    </xf>
    <xf numFmtId="39" fontId="120" fillId="0" borderId="42" xfId="73" applyNumberFormat="1" applyFont="1" applyBorder="1" applyAlignment="1">
      <alignment horizontal="center"/>
    </xf>
    <xf numFmtId="39" fontId="95" fillId="0" borderId="42" xfId="73" applyNumberFormat="1" applyFont="1" applyBorder="1" applyAlignment="1">
      <alignment horizontal="center"/>
    </xf>
    <xf numFmtId="39" fontId="95" fillId="0" borderId="20" xfId="73" applyNumberFormat="1" applyFont="1" applyBorder="1" applyAlignment="1">
      <alignment horizontal="center"/>
    </xf>
    <xf numFmtId="39" fontId="118" fillId="0" borderId="42" xfId="73" applyNumberFormat="1" applyFont="1" applyBorder="1" applyAlignment="1">
      <alignment horizontal="center"/>
    </xf>
    <xf numFmtId="39" fontId="93" fillId="0" borderId="24" xfId="73" applyNumberFormat="1" applyFont="1" applyBorder="1" applyAlignment="1">
      <alignment horizontal="center"/>
    </xf>
    <xf numFmtId="39" fontId="93" fillId="0" borderId="32" xfId="73" applyNumberFormat="1" applyFont="1" applyBorder="1" applyAlignment="1">
      <alignment horizontal="center"/>
    </xf>
    <xf numFmtId="39" fontId="118" fillId="0" borderId="24" xfId="73" applyNumberFormat="1" applyFont="1" applyBorder="1" applyAlignment="1">
      <alignment horizontal="center"/>
    </xf>
    <xf numFmtId="0" fontId="95" fillId="30" borderId="0" xfId="179" applyFont="1" applyFill="1"/>
    <xf numFmtId="0" fontId="96" fillId="30" borderId="0" xfId="179" applyFont="1" applyFill="1"/>
    <xf numFmtId="0" fontId="95" fillId="30" borderId="20" xfId="179" applyFont="1" applyFill="1" applyBorder="1"/>
    <xf numFmtId="166" fontId="122" fillId="30" borderId="0" xfId="79" applyNumberFormat="1" applyFont="1" applyFill="1"/>
    <xf numFmtId="0" fontId="95" fillId="30" borderId="0" xfId="179" applyFont="1" applyFill="1" applyBorder="1"/>
    <xf numFmtId="0" fontId="93" fillId="30" borderId="16" xfId="179" applyFont="1" applyFill="1" applyBorder="1"/>
    <xf numFmtId="0" fontId="94" fillId="30" borderId="0" xfId="179" applyFont="1" applyFill="1" applyBorder="1" applyAlignment="1">
      <alignment horizontal="left"/>
    </xf>
    <xf numFmtId="0" fontId="94" fillId="30" borderId="19" xfId="179" applyNumberFormat="1" applyFont="1" applyFill="1" applyBorder="1"/>
    <xf numFmtId="0" fontId="94" fillId="30" borderId="43" xfId="79" applyNumberFormat="1" applyFont="1" applyFill="1" applyBorder="1" applyAlignment="1">
      <alignment horizontal="right"/>
    </xf>
    <xf numFmtId="0" fontId="94" fillId="30" borderId="0" xfId="179" applyNumberFormat="1" applyFont="1" applyFill="1"/>
    <xf numFmtId="0" fontId="94" fillId="30" borderId="0" xfId="179" applyNumberFormat="1" applyFont="1" applyFill="1" applyBorder="1" applyAlignment="1">
      <alignment horizontal="left"/>
    </xf>
    <xf numFmtId="43" fontId="95" fillId="30" borderId="36" xfId="79" applyFont="1" applyFill="1" applyBorder="1" applyAlignment="1">
      <alignment horizontal="right"/>
    </xf>
    <xf numFmtId="43" fontId="95" fillId="30" borderId="36" xfId="79" applyNumberFormat="1" applyFont="1" applyFill="1" applyBorder="1" applyAlignment="1">
      <alignment horizontal="right"/>
    </xf>
    <xf numFmtId="0" fontId="118" fillId="30" borderId="0" xfId="179" applyFont="1" applyFill="1"/>
    <xf numFmtId="0" fontId="95" fillId="30" borderId="33" xfId="179" applyFont="1" applyFill="1" applyBorder="1"/>
    <xf numFmtId="43" fontId="95" fillId="30" borderId="34" xfId="79" applyFont="1" applyFill="1" applyBorder="1" applyAlignment="1">
      <alignment horizontal="right"/>
    </xf>
    <xf numFmtId="9" fontId="95" fillId="30" borderId="0" xfId="179" applyNumberFormat="1" applyFont="1" applyFill="1"/>
    <xf numFmtId="0" fontId="95" fillId="30" borderId="21" xfId="179" applyFont="1" applyFill="1" applyBorder="1"/>
    <xf numFmtId="195" fontId="95" fillId="30" borderId="38" xfId="79" applyNumberFormat="1" applyFont="1" applyFill="1" applyBorder="1" applyAlignment="1">
      <alignment horizontal="right"/>
    </xf>
    <xf numFmtId="0" fontId="96" fillId="30" borderId="0" xfId="179" applyFont="1" applyFill="1" applyBorder="1"/>
    <xf numFmtId="43" fontId="94" fillId="30" borderId="12" xfId="79" applyFont="1" applyFill="1" applyBorder="1" applyAlignment="1">
      <alignment horizontal="right"/>
    </xf>
    <xf numFmtId="0" fontId="96" fillId="30" borderId="19" xfId="179" applyNumberFormat="1" applyFont="1" applyFill="1" applyBorder="1"/>
    <xf numFmtId="0" fontId="96" fillId="30" borderId="43" xfId="79" applyNumberFormat="1" applyFont="1" applyFill="1" applyBorder="1" applyAlignment="1">
      <alignment horizontal="right"/>
    </xf>
    <xf numFmtId="0" fontId="93" fillId="30" borderId="0" xfId="179" applyNumberFormat="1" applyFont="1" applyFill="1"/>
    <xf numFmtId="0" fontId="93" fillId="30" borderId="0" xfId="179" applyNumberFormat="1" applyFont="1" applyFill="1" applyBorder="1"/>
    <xf numFmtId="169" fontId="93" fillId="30" borderId="36" xfId="79" applyNumberFormat="1" applyFont="1" applyFill="1" applyBorder="1" applyAlignment="1">
      <alignment horizontal="right"/>
    </xf>
    <xf numFmtId="169" fontId="95" fillId="30" borderId="36" xfId="79" applyNumberFormat="1" applyFont="1" applyFill="1" applyBorder="1" applyAlignment="1">
      <alignment horizontal="right"/>
    </xf>
    <xf numFmtId="0" fontId="96" fillId="30" borderId="0" xfId="179" applyFont="1" applyFill="1" applyBorder="1" applyAlignment="1">
      <alignment horizontal="left"/>
    </xf>
    <xf numFmtId="0" fontId="93" fillId="30" borderId="33" xfId="179" applyFont="1" applyFill="1" applyBorder="1"/>
    <xf numFmtId="169" fontId="93" fillId="30" borderId="34" xfId="79" applyNumberFormat="1" applyFont="1" applyFill="1" applyBorder="1" applyAlignment="1">
      <alignment horizontal="right"/>
    </xf>
    <xf numFmtId="43" fontId="95" fillId="30" borderId="0" xfId="79" applyFont="1" applyFill="1" applyAlignment="1">
      <alignment horizontal="right"/>
    </xf>
    <xf numFmtId="0" fontId="96" fillId="30" borderId="19" xfId="179" applyFont="1" applyFill="1" applyBorder="1"/>
    <xf numFmtId="43" fontId="96" fillId="30" borderId="20" xfId="79" applyFont="1" applyFill="1" applyBorder="1" applyAlignment="1">
      <alignment horizontal="right"/>
    </xf>
    <xf numFmtId="43" fontId="96" fillId="30" borderId="12" xfId="79" applyFont="1" applyFill="1" applyBorder="1" applyAlignment="1">
      <alignment horizontal="right"/>
    </xf>
    <xf numFmtId="0" fontId="95" fillId="30" borderId="0" xfId="179" applyNumberFormat="1" applyFont="1" applyFill="1"/>
    <xf numFmtId="0" fontId="96" fillId="30" borderId="0" xfId="179" applyNumberFormat="1" applyFont="1" applyFill="1"/>
    <xf numFmtId="195" fontId="93" fillId="30" borderId="38" xfId="79" applyNumberFormat="1" applyFont="1" applyFill="1" applyBorder="1" applyAlignment="1">
      <alignment horizontal="right"/>
    </xf>
    <xf numFmtId="169" fontId="116" fillId="0" borderId="1" xfId="73" applyNumberFormat="1" applyFont="1" applyFill="1" applyBorder="1" applyAlignment="1">
      <alignment horizontal="right"/>
    </xf>
    <xf numFmtId="169" fontId="116" fillId="0" borderId="0" xfId="73" applyNumberFormat="1" applyFont="1" applyFill="1" applyBorder="1" applyAlignment="1">
      <alignment horizontal="right"/>
    </xf>
    <xf numFmtId="169" fontId="93" fillId="0" borderId="25" xfId="73" applyNumberFormat="1" applyFont="1" applyFill="1" applyBorder="1" applyAlignment="1">
      <alignment horizontal="right"/>
    </xf>
    <xf numFmtId="165" fontId="114" fillId="0" borderId="0" xfId="186" applyNumberFormat="1" applyFont="1" applyFill="1" applyBorder="1" applyAlignment="1"/>
    <xf numFmtId="165" fontId="114" fillId="0" borderId="1" xfId="186" applyNumberFormat="1" applyFont="1" applyFill="1" applyBorder="1" applyAlignment="1"/>
    <xf numFmtId="165" fontId="117" fillId="0" borderId="0" xfId="186" applyNumberFormat="1" applyFont="1" applyFill="1" applyBorder="1" applyAlignment="1"/>
    <xf numFmtId="169" fontId="116" fillId="0" borderId="0" xfId="73" applyNumberFormat="1" applyFont="1" applyFill="1" applyBorder="1" applyAlignment="1"/>
    <xf numFmtId="169" fontId="116" fillId="0" borderId="1" xfId="73" applyNumberFormat="1" applyFont="1" applyFill="1" applyBorder="1" applyAlignment="1"/>
    <xf numFmtId="169" fontId="93" fillId="0" borderId="0" xfId="73" applyNumberFormat="1" applyFont="1" applyFill="1" applyBorder="1" applyAlignment="1"/>
    <xf numFmtId="165" fontId="114" fillId="0" borderId="1" xfId="186" applyNumberFormat="1" applyFont="1" applyFill="1" applyBorder="1"/>
    <xf numFmtId="0" fontId="114" fillId="0" borderId="0" xfId="0" applyNumberFormat="1" applyFont="1" applyFill="1" applyBorder="1"/>
    <xf numFmtId="0" fontId="94" fillId="0" borderId="0" xfId="0" applyNumberFormat="1" applyFont="1" applyBorder="1" applyAlignment="1">
      <alignment horizontal="center"/>
    </xf>
    <xf numFmtId="0" fontId="94" fillId="0" borderId="0" xfId="0" applyNumberFormat="1" applyFont="1" applyBorder="1"/>
    <xf numFmtId="164" fontId="94" fillId="0" borderId="0" xfId="0" applyFont="1" applyFill="1" applyBorder="1"/>
    <xf numFmtId="37" fontId="93" fillId="0" borderId="0" xfId="0" applyNumberFormat="1" applyFont="1" applyBorder="1"/>
    <xf numFmtId="39" fontId="93" fillId="0" borderId="0" xfId="0" applyNumberFormat="1" applyFont="1" applyBorder="1"/>
    <xf numFmtId="39" fontId="93" fillId="0" borderId="0" xfId="73" applyNumberFormat="1" applyFont="1" applyBorder="1"/>
    <xf numFmtId="39" fontId="118" fillId="0" borderId="0" xfId="73" applyNumberFormat="1" applyFont="1" applyFill="1" applyBorder="1" applyAlignment="1">
      <alignment horizontal="center"/>
    </xf>
    <xf numFmtId="39" fontId="120" fillId="0" borderId="0" xfId="73" applyNumberFormat="1" applyFont="1" applyFill="1" applyBorder="1" applyAlignment="1">
      <alignment horizontal="center"/>
    </xf>
    <xf numFmtId="37" fontId="94" fillId="0" borderId="0" xfId="0" applyNumberFormat="1" applyFont="1" applyBorder="1"/>
    <xf numFmtId="37" fontId="94" fillId="0" borderId="0" xfId="73" applyNumberFormat="1" applyFont="1" applyBorder="1"/>
    <xf numFmtId="195" fontId="93" fillId="0" borderId="0" xfId="0" applyNumberFormat="1" applyFont="1" applyBorder="1"/>
    <xf numFmtId="195" fontId="93" fillId="0" borderId="0" xfId="73" applyNumberFormat="1" applyFont="1" applyBorder="1"/>
    <xf numFmtId="7" fontId="93" fillId="0" borderId="0" xfId="0" applyNumberFormat="1" applyFont="1" applyBorder="1"/>
    <xf numFmtId="7" fontId="93" fillId="0" borderId="0" xfId="73" applyNumberFormat="1" applyFont="1" applyBorder="1"/>
    <xf numFmtId="174" fontId="93" fillId="0" borderId="0" xfId="0" applyNumberFormat="1" applyFont="1" applyBorder="1"/>
    <xf numFmtId="174" fontId="93" fillId="0" borderId="0" xfId="73" applyNumberFormat="1" applyFont="1" applyBorder="1"/>
    <xf numFmtId="166" fontId="118" fillId="0" borderId="0" xfId="73" applyNumberFormat="1" applyFont="1" applyBorder="1" applyAlignment="1">
      <alignment horizontal="center"/>
    </xf>
    <xf numFmtId="164" fontId="118" fillId="0" borderId="0" xfId="0" applyFont="1" applyBorder="1" applyAlignment="1">
      <alignment horizontal="center"/>
    </xf>
    <xf numFmtId="192" fontId="117" fillId="0" borderId="16" xfId="0" applyNumberFormat="1" applyFont="1" applyBorder="1"/>
    <xf numFmtId="192" fontId="115" fillId="0" borderId="1" xfId="0" applyNumberFormat="1" applyFont="1" applyFill="1" applyBorder="1" applyAlignment="1">
      <alignment horizontal="center"/>
    </xf>
    <xf numFmtId="192" fontId="115" fillId="0" borderId="0" xfId="0" applyNumberFormat="1" applyFont="1" applyFill="1" applyBorder="1" applyAlignment="1">
      <alignment horizontal="center"/>
    </xf>
    <xf numFmtId="165" fontId="116" fillId="0" borderId="0" xfId="73" applyNumberFormat="1" applyFont="1" applyFill="1" applyBorder="1"/>
    <xf numFmtId="165" fontId="116" fillId="0" borderId="1" xfId="73" applyNumberFormat="1" applyFont="1" applyFill="1" applyBorder="1"/>
    <xf numFmtId="205" fontId="116" fillId="0" borderId="1" xfId="73" applyNumberFormat="1" applyFont="1" applyFill="1" applyBorder="1"/>
    <xf numFmtId="205" fontId="115" fillId="0" borderId="31" xfId="73" applyNumberFormat="1" applyFont="1" applyFill="1" applyBorder="1"/>
    <xf numFmtId="192" fontId="93" fillId="0" borderId="0" xfId="0" applyNumberFormat="1" applyFont="1" applyFill="1" applyAlignment="1">
      <alignment horizontal="right"/>
    </xf>
    <xf numFmtId="192" fontId="94" fillId="0" borderId="25" xfId="0" applyNumberFormat="1" applyFont="1" applyFill="1" applyBorder="1"/>
    <xf numFmtId="192" fontId="93" fillId="0" borderId="0" xfId="0" applyNumberFormat="1" applyFont="1" applyFill="1"/>
    <xf numFmtId="205" fontId="93" fillId="0" borderId="25" xfId="0" applyNumberFormat="1" applyFont="1" applyFill="1" applyBorder="1"/>
    <xf numFmtId="205" fontId="93" fillId="0" borderId="1" xfId="73" applyNumberFormat="1" applyFont="1" applyFill="1" applyBorder="1"/>
    <xf numFmtId="205" fontId="93" fillId="0" borderId="0" xfId="73" applyNumberFormat="1" applyFont="1" applyFill="1" applyBorder="1"/>
    <xf numFmtId="205" fontId="93" fillId="0" borderId="0" xfId="0" applyNumberFormat="1" applyFont="1" applyFill="1"/>
    <xf numFmtId="205" fontId="94" fillId="0" borderId="30" xfId="0" applyNumberFormat="1" applyFont="1" applyFill="1" applyBorder="1"/>
    <xf numFmtId="205" fontId="94" fillId="0" borderId="31" xfId="73" applyNumberFormat="1" applyFont="1" applyFill="1" applyBorder="1"/>
    <xf numFmtId="205" fontId="94" fillId="0" borderId="2" xfId="73" applyNumberFormat="1" applyFont="1" applyFill="1" applyBorder="1"/>
    <xf numFmtId="205" fontId="93" fillId="0" borderId="0" xfId="0" applyNumberFormat="1" applyFont="1" applyFill="1" applyBorder="1"/>
    <xf numFmtId="205" fontId="94" fillId="0" borderId="25" xfId="0" applyNumberFormat="1" applyFont="1" applyFill="1" applyBorder="1"/>
    <xf numFmtId="205" fontId="94" fillId="0" borderId="1" xfId="73" applyNumberFormat="1" applyFont="1" applyFill="1" applyBorder="1"/>
    <xf numFmtId="205" fontId="94" fillId="0" borderId="0" xfId="73" applyNumberFormat="1" applyFont="1" applyFill="1" applyBorder="1"/>
    <xf numFmtId="165" fontId="93" fillId="0" borderId="25" xfId="0" applyNumberFormat="1" applyFont="1" applyFill="1" applyBorder="1" applyAlignment="1">
      <alignment horizontal="left" indent="1"/>
    </xf>
    <xf numFmtId="165" fontId="93" fillId="0" borderId="1" xfId="73" applyNumberFormat="1" applyFont="1" applyFill="1" applyBorder="1"/>
    <xf numFmtId="165" fontId="93" fillId="0" borderId="0" xfId="73" applyNumberFormat="1" applyFont="1" applyFill="1" applyBorder="1"/>
    <xf numFmtId="165" fontId="93" fillId="0" borderId="0" xfId="0" applyNumberFormat="1" applyFont="1" applyFill="1"/>
    <xf numFmtId="166" fontId="95" fillId="0" borderId="1" xfId="73" applyNumberFormat="1" applyFont="1" applyFill="1" applyBorder="1"/>
    <xf numFmtId="166" fontId="95" fillId="0" borderId="0" xfId="73" applyNumberFormat="1" applyFont="1" applyFill="1" applyBorder="1"/>
    <xf numFmtId="192" fontId="93" fillId="0" borderId="25" xfId="0" applyNumberFormat="1" applyFont="1" applyFill="1" applyBorder="1"/>
    <xf numFmtId="166" fontId="93" fillId="0" borderId="1" xfId="73" applyNumberFormat="1" applyFont="1" applyFill="1" applyBorder="1"/>
    <xf numFmtId="166" fontId="93" fillId="0" borderId="0" xfId="73" applyNumberFormat="1" applyFont="1" applyFill="1" applyBorder="1"/>
    <xf numFmtId="205" fontId="94" fillId="0" borderId="0" xfId="0" applyNumberFormat="1" applyFont="1" applyFill="1"/>
    <xf numFmtId="206" fontId="93" fillId="0" borderId="0" xfId="0" applyNumberFormat="1" applyFont="1" applyFill="1" applyBorder="1"/>
    <xf numFmtId="166" fontId="94" fillId="0" borderId="1" xfId="73" applyNumberFormat="1" applyFont="1" applyFill="1" applyBorder="1"/>
    <xf numFmtId="166" fontId="94" fillId="0" borderId="0" xfId="73" applyNumberFormat="1" applyFont="1" applyFill="1" applyBorder="1"/>
    <xf numFmtId="192" fontId="94" fillId="0" borderId="0" xfId="0" applyNumberFormat="1" applyFont="1" applyFill="1"/>
    <xf numFmtId="192" fontId="95" fillId="0" borderId="25" xfId="0" applyNumberFormat="1" applyFont="1" applyFill="1" applyBorder="1"/>
    <xf numFmtId="192" fontId="95" fillId="0" borderId="1" xfId="73" applyNumberFormat="1" applyFont="1" applyFill="1" applyBorder="1"/>
    <xf numFmtId="192" fontId="95" fillId="0" borderId="0" xfId="73" applyNumberFormat="1" applyFont="1" applyFill="1" applyBorder="1"/>
    <xf numFmtId="192" fontId="93" fillId="0" borderId="23" xfId="0" applyNumberFormat="1" applyFont="1" applyFill="1" applyBorder="1"/>
    <xf numFmtId="192" fontId="93" fillId="0" borderId="24" xfId="73" applyNumberFormat="1" applyFont="1" applyFill="1" applyBorder="1"/>
    <xf numFmtId="192" fontId="93" fillId="0" borderId="32" xfId="73" applyNumberFormat="1" applyFont="1" applyFill="1" applyBorder="1"/>
    <xf numFmtId="166" fontId="117" fillId="0" borderId="0" xfId="73" applyNumberFormat="1" applyFont="1" applyFill="1"/>
    <xf numFmtId="43" fontId="117" fillId="0" borderId="0" xfId="73" applyNumberFormat="1" applyFont="1" applyFill="1"/>
    <xf numFmtId="192" fontId="117" fillId="0" borderId="0" xfId="0" applyNumberFormat="1" applyFont="1" applyFill="1"/>
    <xf numFmtId="205" fontId="116" fillId="0" borderId="0" xfId="73" applyNumberFormat="1" applyFont="1" applyFill="1" applyBorder="1"/>
    <xf numFmtId="205" fontId="115" fillId="0" borderId="2" xfId="73" applyNumberFormat="1" applyFont="1" applyFill="1" applyBorder="1"/>
    <xf numFmtId="205" fontId="115" fillId="0" borderId="0" xfId="73" applyNumberFormat="1" applyFont="1" applyFill="1" applyBorder="1"/>
    <xf numFmtId="205" fontId="115" fillId="0" borderId="1" xfId="73" applyNumberFormat="1" applyFont="1" applyFill="1" applyBorder="1"/>
    <xf numFmtId="166" fontId="116" fillId="0" borderId="0" xfId="73" applyNumberFormat="1" applyFont="1" applyFill="1" applyBorder="1"/>
    <xf numFmtId="166" fontId="116" fillId="0" borderId="1" xfId="73" applyNumberFormat="1" applyFont="1" applyFill="1" applyBorder="1"/>
    <xf numFmtId="166" fontId="115" fillId="0" borderId="0" xfId="73" applyNumberFormat="1" applyFont="1" applyFill="1" applyBorder="1"/>
    <xf numFmtId="166" fontId="115" fillId="0" borderId="1" xfId="73" applyNumberFormat="1" applyFont="1" applyFill="1" applyBorder="1"/>
    <xf numFmtId="192" fontId="116" fillId="0" borderId="0" xfId="73" applyNumberFormat="1" applyFont="1" applyFill="1" applyBorder="1"/>
    <xf numFmtId="192" fontId="116" fillId="0" borderId="1" xfId="73" applyNumberFormat="1" applyFont="1" applyFill="1" applyBorder="1"/>
    <xf numFmtId="192" fontId="116" fillId="0" borderId="32" xfId="73" applyNumberFormat="1" applyFont="1" applyFill="1" applyBorder="1"/>
    <xf numFmtId="192" fontId="116" fillId="0" borderId="24" xfId="73" applyNumberFormat="1" applyFont="1" applyFill="1" applyBorder="1"/>
    <xf numFmtId="166" fontId="114" fillId="0" borderId="0" xfId="73" applyNumberFormat="1" applyFont="1" applyFill="1"/>
    <xf numFmtId="166" fontId="116" fillId="0" borderId="0" xfId="73" applyNumberFormat="1" applyFont="1"/>
    <xf numFmtId="192" fontId="116" fillId="0" borderId="2" xfId="0" applyNumberFormat="1" applyFont="1" applyBorder="1"/>
    <xf numFmtId="205" fontId="116" fillId="0" borderId="34" xfId="0" applyNumberFormat="1" applyFont="1" applyBorder="1"/>
    <xf numFmtId="205" fontId="116" fillId="0" borderId="36" xfId="0" applyNumberFormat="1" applyFont="1" applyBorder="1"/>
    <xf numFmtId="192" fontId="116" fillId="0" borderId="8" xfId="0" applyNumberFormat="1" applyFont="1" applyBorder="1"/>
    <xf numFmtId="205" fontId="116" fillId="0" borderId="38" xfId="0" applyNumberFormat="1" applyFont="1" applyBorder="1"/>
    <xf numFmtId="206" fontId="116" fillId="0" borderId="34" xfId="0" applyNumberFormat="1" applyFont="1" applyBorder="1"/>
    <xf numFmtId="206" fontId="116" fillId="0" borderId="36" xfId="0" applyNumberFormat="1" applyFont="1" applyBorder="1"/>
    <xf numFmtId="206" fontId="116" fillId="0" borderId="38" xfId="0" applyNumberFormat="1" applyFont="1" applyBorder="1"/>
    <xf numFmtId="37" fontId="116" fillId="0" borderId="0" xfId="0" applyNumberFormat="1" applyFont="1" applyBorder="1" applyAlignment="1">
      <alignment horizontal="center"/>
    </xf>
    <xf numFmtId="37" fontId="116" fillId="0" borderId="1" xfId="0" applyNumberFormat="1" applyFont="1" applyBorder="1" applyAlignment="1">
      <alignment horizontal="center"/>
    </xf>
    <xf numFmtId="39" fontId="116" fillId="0" borderId="0" xfId="73" applyNumberFormat="1" applyFont="1" applyBorder="1" applyAlignment="1">
      <alignment horizontal="center"/>
    </xf>
    <xf numFmtId="39" fontId="116" fillId="0" borderId="1" xfId="73" applyNumberFormat="1" applyFont="1" applyBorder="1" applyAlignment="1">
      <alignment horizontal="center"/>
    </xf>
    <xf numFmtId="39" fontId="116" fillId="0" borderId="8" xfId="73" applyNumberFormat="1" applyFont="1" applyBorder="1" applyAlignment="1">
      <alignment horizontal="center"/>
    </xf>
    <xf numFmtId="39" fontId="116" fillId="0" borderId="27" xfId="73" applyNumberFormat="1" applyFont="1" applyBorder="1" applyAlignment="1">
      <alignment horizontal="center"/>
    </xf>
    <xf numFmtId="39" fontId="115" fillId="0" borderId="0" xfId="73" applyNumberFormat="1" applyFont="1" applyBorder="1" applyAlignment="1">
      <alignment horizontal="center"/>
    </xf>
    <xf numFmtId="39" fontId="115" fillId="0" borderId="1" xfId="73" applyNumberFormat="1" applyFont="1" applyBorder="1" applyAlignment="1">
      <alignment horizontal="center"/>
    </xf>
    <xf numFmtId="39" fontId="115" fillId="0" borderId="18" xfId="73" applyNumberFormat="1" applyFont="1" applyBorder="1" applyAlignment="1">
      <alignment horizontal="center"/>
    </xf>
    <xf numFmtId="39" fontId="115" fillId="0" borderId="29" xfId="73" applyNumberFormat="1" applyFont="1" applyBorder="1" applyAlignment="1">
      <alignment horizontal="center"/>
    </xf>
    <xf numFmtId="39" fontId="115" fillId="0" borderId="2" xfId="73" applyNumberFormat="1" applyFont="1" applyBorder="1" applyAlignment="1">
      <alignment horizontal="center"/>
    </xf>
    <xf numFmtId="39" fontId="115" fillId="0" borderId="31" xfId="73" applyNumberFormat="1" applyFont="1" applyBorder="1" applyAlignment="1">
      <alignment horizontal="center"/>
    </xf>
    <xf numFmtId="37" fontId="115" fillId="0" borderId="0" xfId="73" applyNumberFormat="1" applyFont="1" applyBorder="1" applyAlignment="1">
      <alignment horizontal="center"/>
    </xf>
    <xf numFmtId="37" fontId="115" fillId="0" borderId="1" xfId="73" applyNumberFormat="1" applyFont="1" applyBorder="1" applyAlignment="1">
      <alignment horizontal="center"/>
    </xf>
    <xf numFmtId="195" fontId="116" fillId="0" borderId="0" xfId="73" applyNumberFormat="1" applyFont="1" applyBorder="1" applyAlignment="1">
      <alignment horizontal="center"/>
    </xf>
    <xf numFmtId="195" fontId="116" fillId="0" borderId="1" xfId="73" applyNumberFormat="1" applyFont="1" applyBorder="1" applyAlignment="1">
      <alignment horizontal="center"/>
    </xf>
    <xf numFmtId="7" fontId="116" fillId="0" borderId="0" xfId="73" applyNumberFormat="1" applyFont="1" applyBorder="1" applyAlignment="1">
      <alignment horizontal="center"/>
    </xf>
    <xf numFmtId="7" fontId="116" fillId="0" borderId="1" xfId="73" applyNumberFormat="1" applyFont="1" applyBorder="1" applyAlignment="1">
      <alignment horizontal="center"/>
    </xf>
    <xf numFmtId="166" fontId="116" fillId="0" borderId="32" xfId="73" applyNumberFormat="1" applyFont="1" applyBorder="1" applyAlignment="1">
      <alignment horizontal="center"/>
    </xf>
    <xf numFmtId="166" fontId="116" fillId="0" borderId="24" xfId="73" applyNumberFormat="1" applyFont="1" applyBorder="1" applyAlignment="1">
      <alignment horizontal="center"/>
    </xf>
    <xf numFmtId="164" fontId="116" fillId="0" borderId="0" xfId="0" applyFont="1" applyAlignment="1">
      <alignment horizontal="center"/>
    </xf>
    <xf numFmtId="39" fontId="116" fillId="0" borderId="0" xfId="0" applyNumberFormat="1" applyFont="1" applyBorder="1" applyAlignment="1">
      <alignment horizontal="center"/>
    </xf>
    <xf numFmtId="39" fontId="116" fillId="0" borderId="1" xfId="0" applyNumberFormat="1" applyFont="1" applyBorder="1" applyAlignment="1">
      <alignment horizontal="center"/>
    </xf>
    <xf numFmtId="39" fontId="115" fillId="0" borderId="20" xfId="73" applyNumberFormat="1" applyFont="1" applyBorder="1" applyAlignment="1">
      <alignment horizontal="center"/>
    </xf>
    <xf numFmtId="39" fontId="115" fillId="0" borderId="42" xfId="73" applyNumberFormat="1" applyFont="1" applyBorder="1" applyAlignment="1">
      <alignment horizontal="center"/>
    </xf>
    <xf numFmtId="39" fontId="116" fillId="0" borderId="20" xfId="73" applyNumberFormat="1" applyFont="1" applyBorder="1" applyAlignment="1">
      <alignment horizontal="center"/>
    </xf>
    <xf numFmtId="39" fontId="116" fillId="0" borderId="42" xfId="73" applyNumberFormat="1" applyFont="1" applyBorder="1" applyAlignment="1">
      <alignment horizontal="center"/>
    </xf>
    <xf numFmtId="39" fontId="116" fillId="0" borderId="32" xfId="73" applyNumberFormat="1" applyFont="1" applyBorder="1" applyAlignment="1">
      <alignment horizontal="center"/>
    </xf>
    <xf numFmtId="39" fontId="116" fillId="0" borderId="24" xfId="73" applyNumberFormat="1" applyFont="1" applyBorder="1" applyAlignment="1">
      <alignment horizontal="center"/>
    </xf>
    <xf numFmtId="164" fontId="117" fillId="0" borderId="0" xfId="0" applyFont="1"/>
    <xf numFmtId="169" fontId="116" fillId="0" borderId="1" xfId="73" applyNumberFormat="1" applyFont="1" applyFill="1" applyBorder="1" applyAlignment="1">
      <alignment horizontal="left"/>
    </xf>
    <xf numFmtId="169" fontId="116" fillId="0" borderId="0" xfId="73" applyNumberFormat="1" applyFont="1" applyFill="1" applyAlignment="1">
      <alignment horizontal="right"/>
    </xf>
    <xf numFmtId="165" fontId="114" fillId="0" borderId="1" xfId="186" applyNumberFormat="1" applyFont="1" applyFill="1" applyBorder="1" applyAlignment="1">
      <alignment horizontal="left" indent="1"/>
    </xf>
    <xf numFmtId="165" fontId="114" fillId="0" borderId="0" xfId="186" applyNumberFormat="1" applyFont="1" applyFill="1" applyAlignment="1"/>
    <xf numFmtId="169" fontId="116" fillId="0" borderId="0" xfId="73" applyNumberFormat="1" applyFont="1" applyFill="1" applyAlignment="1"/>
    <xf numFmtId="165" fontId="114" fillId="0" borderId="0" xfId="186" applyNumberFormat="1" applyFont="1" applyFill="1"/>
    <xf numFmtId="169" fontId="116" fillId="0" borderId="25" xfId="73" applyNumberFormat="1" applyFont="1" applyFill="1" applyBorder="1" applyAlignment="1">
      <alignment horizontal="right"/>
    </xf>
    <xf numFmtId="165" fontId="114" fillId="0" borderId="0" xfId="186" applyNumberFormat="1" applyFont="1" applyFill="1" applyBorder="1"/>
    <xf numFmtId="165" fontId="117" fillId="0" borderId="25" xfId="199" applyNumberFormat="1" applyFont="1" applyFill="1" applyBorder="1" applyAlignment="1">
      <alignment horizontal="left" indent="1"/>
    </xf>
    <xf numFmtId="165" fontId="117" fillId="0" borderId="1" xfId="199" applyNumberFormat="1" applyFont="1" applyFill="1" applyBorder="1"/>
    <xf numFmtId="165" fontId="117" fillId="0" borderId="0" xfId="199" applyNumberFormat="1" applyFont="1" applyFill="1" applyBorder="1"/>
    <xf numFmtId="165" fontId="114" fillId="0" borderId="0" xfId="199" applyNumberFormat="1" applyFont="1" applyFill="1" applyBorder="1"/>
    <xf numFmtId="165" fontId="114" fillId="0" borderId="1" xfId="199" applyNumberFormat="1" applyFont="1" applyFill="1" applyBorder="1"/>
    <xf numFmtId="165" fontId="117" fillId="0" borderId="0" xfId="199" applyNumberFormat="1" applyFont="1" applyFill="1"/>
    <xf numFmtId="205" fontId="94" fillId="0" borderId="0" xfId="0" applyNumberFormat="1" applyFont="1" applyFill="1" applyBorder="1"/>
    <xf numFmtId="165" fontId="117" fillId="0" borderId="25" xfId="0" applyNumberFormat="1" applyFont="1" applyFill="1" applyBorder="1" applyAlignment="1">
      <alignment horizontal="left" indent="1"/>
    </xf>
    <xf numFmtId="165" fontId="117" fillId="0" borderId="1" xfId="73" applyNumberFormat="1" applyFont="1" applyFill="1" applyBorder="1"/>
    <xf numFmtId="165" fontId="117" fillId="0" borderId="0" xfId="73" applyNumberFormat="1" applyFont="1" applyFill="1" applyBorder="1"/>
    <xf numFmtId="165" fontId="114" fillId="0" borderId="0" xfId="73" applyNumberFormat="1" applyFont="1" applyFill="1" applyBorder="1"/>
    <xf numFmtId="165" fontId="114" fillId="0" borderId="1" xfId="73" applyNumberFormat="1" applyFont="1" applyFill="1" applyBorder="1"/>
    <xf numFmtId="165" fontId="117" fillId="0" borderId="0" xfId="0" applyNumberFormat="1" applyFont="1" applyFill="1"/>
    <xf numFmtId="212" fontId="118" fillId="0" borderId="0" xfId="0" applyNumberFormat="1" applyFont="1"/>
    <xf numFmtId="212" fontId="118" fillId="0" borderId="8" xfId="0" applyNumberFormat="1" applyFont="1" applyBorder="1"/>
    <xf numFmtId="39" fontId="116" fillId="0" borderId="44" xfId="73" applyNumberFormat="1" applyFont="1" applyBorder="1" applyAlignment="1">
      <alignment horizontal="center"/>
    </xf>
    <xf numFmtId="39" fontId="116" fillId="0" borderId="45" xfId="73" applyNumberFormat="1" applyFont="1" applyBorder="1" applyAlignment="1">
      <alignment horizontal="center"/>
    </xf>
    <xf numFmtId="39" fontId="115" fillId="0" borderId="44" xfId="73" applyNumberFormat="1" applyFont="1" applyBorder="1" applyAlignment="1">
      <alignment horizontal="center"/>
    </xf>
    <xf numFmtId="39" fontId="115" fillId="0" borderId="46" xfId="73" applyNumberFormat="1" applyFont="1" applyBorder="1" applyAlignment="1">
      <alignment horizontal="center"/>
    </xf>
    <xf numFmtId="39" fontId="115" fillId="0" borderId="47" xfId="73" applyNumberFormat="1" applyFont="1" applyBorder="1" applyAlignment="1">
      <alignment horizontal="center"/>
    </xf>
    <xf numFmtId="174" fontId="93" fillId="0" borderId="44" xfId="73" applyNumberFormat="1" applyFont="1" applyBorder="1" applyAlignment="1">
      <alignment horizontal="center"/>
    </xf>
    <xf numFmtId="174" fontId="93" fillId="0" borderId="25" xfId="73" applyNumberFormat="1" applyFont="1" applyBorder="1" applyAlignment="1">
      <alignment horizontal="center"/>
    </xf>
    <xf numFmtId="7" fontId="116" fillId="0" borderId="25" xfId="73" applyNumberFormat="1" applyFont="1" applyBorder="1" applyAlignment="1">
      <alignment horizontal="center"/>
    </xf>
    <xf numFmtId="174" fontId="93" fillId="0" borderId="0" xfId="73" applyNumberFormat="1" applyFont="1" applyBorder="1" applyAlignment="1">
      <alignment horizontal="center"/>
    </xf>
    <xf numFmtId="39" fontId="118" fillId="0" borderId="44" xfId="73" applyNumberFormat="1" applyFont="1" applyBorder="1" applyAlignment="1">
      <alignment horizontal="center"/>
    </xf>
    <xf numFmtId="39" fontId="118" fillId="0" borderId="25" xfId="73" applyNumberFormat="1" applyFont="1" applyBorder="1" applyAlignment="1">
      <alignment horizontal="center"/>
    </xf>
    <xf numFmtId="164" fontId="93" fillId="0" borderId="1" xfId="0" applyFont="1" applyBorder="1"/>
    <xf numFmtId="39" fontId="93" fillId="0" borderId="1" xfId="0" applyNumberFormat="1" applyFont="1" applyBorder="1"/>
    <xf numFmtId="39" fontId="120" fillId="0" borderId="41" xfId="73" applyNumberFormat="1" applyFont="1" applyBorder="1" applyAlignment="1">
      <alignment horizontal="center"/>
    </xf>
    <xf numFmtId="39" fontId="118" fillId="0" borderId="41" xfId="73" applyNumberFormat="1" applyFont="1" applyBorder="1" applyAlignment="1">
      <alignment horizontal="center"/>
    </xf>
    <xf numFmtId="39" fontId="120" fillId="0" borderId="48" xfId="73" applyNumberFormat="1" applyFont="1" applyBorder="1" applyAlignment="1">
      <alignment horizontal="center"/>
    </xf>
    <xf numFmtId="39" fontId="93" fillId="0" borderId="24" xfId="0" applyNumberFormat="1" applyFont="1" applyBorder="1"/>
    <xf numFmtId="39" fontId="120" fillId="0" borderId="20" xfId="73" applyNumberFormat="1" applyFont="1" applyBorder="1" applyAlignment="1">
      <alignment horizontal="center"/>
    </xf>
    <xf numFmtId="39" fontId="120" fillId="0" borderId="27" xfId="73" applyNumberFormat="1" applyFont="1" applyBorder="1" applyAlignment="1">
      <alignment horizontal="center"/>
    </xf>
    <xf numFmtId="39" fontId="115" fillId="0" borderId="48" xfId="73" applyNumberFormat="1" applyFont="1" applyBorder="1" applyAlignment="1">
      <alignment horizontal="center"/>
    </xf>
    <xf numFmtId="39" fontId="115" fillId="0" borderId="41" xfId="73" applyNumberFormat="1" applyFont="1" applyBorder="1" applyAlignment="1">
      <alignment horizontal="center"/>
    </xf>
    <xf numFmtId="164" fontId="117" fillId="0" borderId="0" xfId="0" applyFont="1" applyAlignment="1">
      <alignment horizontal="center"/>
    </xf>
    <xf numFmtId="164" fontId="114" fillId="0" borderId="0" xfId="0" applyFont="1" applyAlignment="1">
      <alignment horizontal="center"/>
    </xf>
    <xf numFmtId="164" fontId="121" fillId="0" borderId="0" xfId="0" applyFont="1" applyAlignment="1">
      <alignment horizontal="center"/>
    </xf>
    <xf numFmtId="168" fontId="94" fillId="42" borderId="0" xfId="180" applyNumberFormat="1" applyFont="1" applyFill="1" applyBorder="1"/>
    <xf numFmtId="168" fontId="116" fillId="0" borderId="0" xfId="180" applyNumberFormat="1" applyFont="1" applyFill="1" applyBorder="1" applyAlignment="1">
      <alignment horizontal="center"/>
    </xf>
    <xf numFmtId="1" fontId="93" fillId="42" borderId="0" xfId="180" applyNumberFormat="1" applyFont="1" applyFill="1" applyBorder="1"/>
    <xf numFmtId="215" fontId="116" fillId="0" borderId="0" xfId="187" applyNumberFormat="1" applyFont="1" applyBorder="1"/>
    <xf numFmtId="39" fontId="118" fillId="0" borderId="0" xfId="0" applyNumberFormat="1" applyFont="1" applyBorder="1" applyAlignment="1">
      <alignment horizontal="center"/>
    </xf>
    <xf numFmtId="39" fontId="118" fillId="0" borderId="45" xfId="0" applyNumberFormat="1" applyFont="1" applyBorder="1" applyAlignment="1">
      <alignment horizontal="center"/>
    </xf>
    <xf numFmtId="39" fontId="118" fillId="0" borderId="48" xfId="0" applyNumberFormat="1" applyFont="1" applyBorder="1" applyAlignment="1">
      <alignment horizontal="center"/>
    </xf>
    <xf numFmtId="39" fontId="118" fillId="0" borderId="49" xfId="0" applyNumberFormat="1" applyFont="1" applyBorder="1" applyAlignment="1">
      <alignment horizontal="center"/>
    </xf>
    <xf numFmtId="2" fontId="11" fillId="41" borderId="0" xfId="0" applyNumberFormat="1" applyFont="1" applyFill="1"/>
    <xf numFmtId="2" fontId="10" fillId="41" borderId="0" xfId="0" applyNumberFormat="1" applyFont="1" applyFill="1"/>
    <xf numFmtId="2" fontId="117" fillId="42" borderId="0" xfId="0" applyNumberFormat="1" applyFont="1" applyFill="1"/>
    <xf numFmtId="9" fontId="125" fillId="42" borderId="0" xfId="180" applyNumberFormat="1" applyFont="1" applyFill="1" applyBorder="1"/>
    <xf numFmtId="0" fontId="93" fillId="0" borderId="0" xfId="180" applyFont="1" applyFill="1" applyBorder="1"/>
    <xf numFmtId="165" fontId="117" fillId="0" borderId="26" xfId="199" applyNumberFormat="1" applyFont="1" applyFill="1" applyBorder="1" applyAlignment="1">
      <alignment horizontal="left" indent="1"/>
    </xf>
    <xf numFmtId="165" fontId="117" fillId="0" borderId="27" xfId="199" applyNumberFormat="1" applyFont="1" applyFill="1" applyBorder="1"/>
    <xf numFmtId="165" fontId="117" fillId="0" borderId="8" xfId="199" applyNumberFormat="1" applyFont="1" applyFill="1" applyBorder="1"/>
    <xf numFmtId="165" fontId="114" fillId="0" borderId="8" xfId="199" applyNumberFormat="1" applyFont="1" applyFill="1" applyBorder="1"/>
    <xf numFmtId="165" fontId="114" fillId="0" borderId="27" xfId="199" applyNumberFormat="1" applyFont="1" applyFill="1" applyBorder="1"/>
    <xf numFmtId="165" fontId="93" fillId="0" borderId="25" xfId="199" applyNumberFormat="1" applyFont="1" applyFill="1" applyBorder="1" applyAlignment="1">
      <alignment horizontal="left" indent="1"/>
    </xf>
    <xf numFmtId="165" fontId="93" fillId="0" borderId="1" xfId="199" applyNumberFormat="1" applyFont="1" applyFill="1" applyBorder="1"/>
    <xf numFmtId="165" fontId="93" fillId="0" borderId="0" xfId="199" applyNumberFormat="1" applyFont="1" applyFill="1" applyBorder="1"/>
    <xf numFmtId="165" fontId="116" fillId="0" borderId="0" xfId="199" applyNumberFormat="1" applyFont="1" applyFill="1" applyBorder="1"/>
    <xf numFmtId="165" fontId="116" fillId="0" borderId="1" xfId="199" applyNumberFormat="1" applyFont="1" applyFill="1" applyBorder="1"/>
    <xf numFmtId="165" fontId="93" fillId="0" borderId="0" xfId="199" applyNumberFormat="1" applyFont="1" applyFill="1"/>
    <xf numFmtId="39" fontId="93" fillId="0" borderId="25" xfId="0" applyNumberFormat="1" applyFont="1" applyFill="1" applyBorder="1" applyAlignment="1">
      <alignment horizontal="left" indent="1"/>
    </xf>
    <xf numFmtId="39" fontId="93" fillId="0" borderId="1" xfId="73" applyNumberFormat="1" applyFont="1" applyFill="1" applyBorder="1" applyAlignment="1">
      <alignment horizontal="center"/>
    </xf>
    <xf numFmtId="39" fontId="93" fillId="0" borderId="0" xfId="73" applyNumberFormat="1" applyFont="1" applyFill="1" applyBorder="1" applyAlignment="1">
      <alignment horizontal="center"/>
    </xf>
    <xf numFmtId="39" fontId="116" fillId="0" borderId="0" xfId="73" applyNumberFormat="1" applyFont="1" applyFill="1" applyBorder="1" applyAlignment="1">
      <alignment horizontal="center"/>
    </xf>
    <xf numFmtId="39" fontId="116" fillId="0" borderId="1" xfId="73" applyNumberFormat="1" applyFont="1" applyFill="1" applyBorder="1" applyAlignment="1">
      <alignment horizontal="center"/>
    </xf>
    <xf numFmtId="39" fontId="118" fillId="0" borderId="1" xfId="73" applyNumberFormat="1" applyFont="1" applyFill="1" applyBorder="1" applyAlignment="1">
      <alignment horizontal="center"/>
    </xf>
    <xf numFmtId="39" fontId="93" fillId="0" borderId="0" xfId="0" applyNumberFormat="1" applyFont="1" applyFill="1"/>
    <xf numFmtId="0" fontId="117" fillId="0" borderId="0" xfId="180" applyFont="1" applyFill="1" applyBorder="1"/>
    <xf numFmtId="169" fontId="116" fillId="0" borderId="22" xfId="73" applyNumberFormat="1" applyFont="1" applyFill="1" applyBorder="1" applyAlignment="1">
      <alignment horizontal="right"/>
    </xf>
    <xf numFmtId="165" fontId="114" fillId="0" borderId="25" xfId="186" applyNumberFormat="1" applyFont="1" applyFill="1" applyBorder="1"/>
    <xf numFmtId="165" fontId="114" fillId="0" borderId="25" xfId="186" applyNumberFormat="1" applyFont="1" applyFill="1" applyBorder="1" applyAlignment="1"/>
    <xf numFmtId="192" fontId="114" fillId="0" borderId="0" xfId="0" applyNumberFormat="1" applyFont="1" applyFill="1"/>
    <xf numFmtId="192" fontId="116" fillId="0" borderId="33" xfId="0" applyNumberFormat="1" applyFont="1" applyBorder="1"/>
    <xf numFmtId="192" fontId="116" fillId="0" borderId="16" xfId="0" applyNumberFormat="1" applyFont="1" applyBorder="1"/>
    <xf numFmtId="192" fontId="116" fillId="0" borderId="21" xfId="0" applyNumberFormat="1" applyFont="1" applyBorder="1"/>
    <xf numFmtId="164" fontId="121" fillId="0" borderId="0" xfId="0" applyFont="1" applyBorder="1" applyAlignment="1">
      <alignment horizontal="center"/>
    </xf>
    <xf numFmtId="164" fontId="117" fillId="0" borderId="0" xfId="0" applyFont="1" applyBorder="1"/>
    <xf numFmtId="39" fontId="116" fillId="0" borderId="25" xfId="73" applyNumberFormat="1" applyFont="1" applyBorder="1" applyAlignment="1">
      <alignment horizontal="center"/>
    </xf>
    <xf numFmtId="39" fontId="116" fillId="0" borderId="25" xfId="0" applyNumberFormat="1" applyFont="1" applyBorder="1" applyAlignment="1">
      <alignment horizontal="center"/>
    </xf>
    <xf numFmtId="39" fontId="116" fillId="0" borderId="26" xfId="0" applyNumberFormat="1" applyFont="1" applyBorder="1" applyAlignment="1">
      <alignment horizontal="center"/>
    </xf>
    <xf numFmtId="39" fontId="116" fillId="0" borderId="41" xfId="0" applyNumberFormat="1" applyFont="1" applyBorder="1" applyAlignment="1">
      <alignment horizontal="center"/>
    </xf>
    <xf numFmtId="39" fontId="116" fillId="0" borderId="23" xfId="0" applyNumberFormat="1" applyFont="1" applyBorder="1" applyAlignment="1">
      <alignment horizontal="center"/>
    </xf>
    <xf numFmtId="192" fontId="126" fillId="30" borderId="0" xfId="0" applyNumberFormat="1" applyFont="1" applyFill="1" applyAlignment="1">
      <alignment horizontal="right"/>
    </xf>
    <xf numFmtId="0" fontId="127" fillId="30" borderId="16" xfId="0" applyNumberFormat="1" applyFont="1" applyFill="1" applyBorder="1" applyAlignment="1">
      <alignment horizontal="right"/>
    </xf>
    <xf numFmtId="0" fontId="127" fillId="0" borderId="0" xfId="0" applyNumberFormat="1" applyFont="1"/>
    <xf numFmtId="0" fontId="127" fillId="30" borderId="0" xfId="0" applyNumberFormat="1" applyFont="1" applyFill="1" applyBorder="1" applyAlignment="1">
      <alignment horizontal="right"/>
    </xf>
    <xf numFmtId="0" fontId="10" fillId="42" borderId="0" xfId="0" applyNumberFormat="1" applyFont="1" applyFill="1" applyBorder="1"/>
    <xf numFmtId="164" fontId="11" fillId="42" borderId="0" xfId="0" applyFont="1" applyFill="1" applyBorder="1"/>
    <xf numFmtId="0" fontId="114" fillId="42" borderId="0" xfId="0" applyNumberFormat="1" applyFont="1" applyFill="1" applyBorder="1"/>
    <xf numFmtId="164" fontId="117" fillId="42" borderId="0" xfId="0" applyFont="1" applyFill="1" applyBorder="1"/>
    <xf numFmtId="192" fontId="47" fillId="0" borderId="0" xfId="0" applyNumberFormat="1" applyFont="1" applyBorder="1"/>
    <xf numFmtId="38" fontId="93" fillId="0" borderId="0" xfId="187" applyNumberFormat="1" applyFont="1" applyBorder="1"/>
    <xf numFmtId="192" fontId="126" fillId="30" borderId="0" xfId="0" applyNumberFormat="1" applyFont="1" applyFill="1" applyBorder="1" applyAlignment="1">
      <alignment horizontal="right"/>
    </xf>
    <xf numFmtId="164" fontId="0" fillId="0" borderId="0" xfId="0" applyBorder="1"/>
    <xf numFmtId="0" fontId="93" fillId="42" borderId="0" xfId="180" applyFont="1" applyFill="1" applyBorder="1" applyAlignment="1">
      <alignment horizontal="center"/>
    </xf>
    <xf numFmtId="168" fontId="112" fillId="0" borderId="0" xfId="180" applyNumberFormat="1" applyFont="1" applyFill="1" applyBorder="1"/>
    <xf numFmtId="168" fontId="93" fillId="0" borderId="0" xfId="180" applyNumberFormat="1" applyFont="1" applyFill="1" applyBorder="1"/>
    <xf numFmtId="169" fontId="93" fillId="42" borderId="0" xfId="80" applyNumberFormat="1" applyFont="1" applyFill="1" applyBorder="1"/>
    <xf numFmtId="213" fontId="117" fillId="42" borderId="0" xfId="80" applyNumberFormat="1" applyFont="1" applyFill="1" applyBorder="1"/>
    <xf numFmtId="166" fontId="93" fillId="42" borderId="0" xfId="80" applyNumberFormat="1" applyFont="1" applyFill="1" applyBorder="1"/>
    <xf numFmtId="9" fontId="93" fillId="0" borderId="0" xfId="180" applyNumberFormat="1" applyFont="1" applyFill="1" applyBorder="1"/>
    <xf numFmtId="166" fontId="93" fillId="42" borderId="0" xfId="180" applyNumberFormat="1" applyFont="1" applyFill="1" applyBorder="1"/>
    <xf numFmtId="1" fontId="93" fillId="43" borderId="0" xfId="180" applyNumberFormat="1" applyFont="1" applyFill="1" applyBorder="1"/>
    <xf numFmtId="9" fontId="117" fillId="42" borderId="0" xfId="180" applyNumberFormat="1" applyFont="1" applyFill="1" applyBorder="1"/>
    <xf numFmtId="165" fontId="117" fillId="42" borderId="0" xfId="180" applyNumberFormat="1" applyFont="1" applyFill="1" applyBorder="1"/>
    <xf numFmtId="166" fontId="93" fillId="0" borderId="0" xfId="180" applyNumberFormat="1" applyFont="1" applyFill="1" applyBorder="1"/>
    <xf numFmtId="1" fontId="93" fillId="0" borderId="0" xfId="180" applyNumberFormat="1" applyFont="1" applyFill="1" applyBorder="1"/>
    <xf numFmtId="9" fontId="117" fillId="0" borderId="0" xfId="180" applyNumberFormat="1" applyFont="1" applyFill="1" applyBorder="1"/>
    <xf numFmtId="165" fontId="117" fillId="0" borderId="0" xfId="180" applyNumberFormat="1" applyFont="1" applyFill="1" applyBorder="1"/>
    <xf numFmtId="168" fontId="94" fillId="0" borderId="0" xfId="180" applyNumberFormat="1" applyFont="1" applyFill="1" applyBorder="1"/>
    <xf numFmtId="9" fontId="94" fillId="0" borderId="0" xfId="180" applyNumberFormat="1" applyFont="1" applyFill="1" applyBorder="1"/>
    <xf numFmtId="9" fontId="94" fillId="42" borderId="0" xfId="180" applyNumberFormat="1" applyFont="1" applyFill="1" applyBorder="1"/>
    <xf numFmtId="9" fontId="116" fillId="0" borderId="0" xfId="187" applyNumberFormat="1" applyFont="1" applyBorder="1"/>
    <xf numFmtId="169" fontId="93" fillId="0" borderId="0" xfId="80" applyNumberFormat="1" applyFont="1" applyFill="1" applyBorder="1"/>
    <xf numFmtId="213" fontId="117" fillId="0" borderId="0" xfId="80" applyNumberFormat="1" applyFont="1" applyFill="1" applyBorder="1"/>
    <xf numFmtId="166" fontId="93" fillId="0" borderId="0" xfId="80" applyNumberFormat="1" applyFont="1" applyFill="1" applyBorder="1"/>
    <xf numFmtId="165" fontId="93" fillId="0" borderId="0" xfId="180" applyNumberFormat="1" applyFont="1" applyFill="1" applyBorder="1"/>
    <xf numFmtId="44" fontId="94" fillId="42" borderId="0" xfId="180" applyNumberFormat="1" applyFont="1" applyFill="1" applyBorder="1"/>
    <xf numFmtId="38" fontId="115" fillId="16" borderId="0" xfId="187" applyNumberFormat="1" applyFont="1" applyFill="1" applyBorder="1" applyAlignment="1">
      <alignment horizontal="center"/>
    </xf>
    <xf numFmtId="168" fontId="93" fillId="0" borderId="68" xfId="180" applyNumberFormat="1" applyFont="1" applyFill="1" applyBorder="1"/>
    <xf numFmtId="168" fontId="116" fillId="0" borderId="69" xfId="180" applyNumberFormat="1" applyFont="1" applyFill="1" applyBorder="1" applyAlignment="1">
      <alignment horizontal="center"/>
    </xf>
    <xf numFmtId="168" fontId="93" fillId="0" borderId="50" xfId="180" applyNumberFormat="1" applyFont="1" applyFill="1" applyBorder="1"/>
    <xf numFmtId="168" fontId="116" fillId="0" borderId="51" xfId="180" applyNumberFormat="1" applyFont="1" applyFill="1" applyBorder="1" applyAlignment="1">
      <alignment horizontal="center"/>
    </xf>
    <xf numFmtId="168" fontId="116" fillId="0" borderId="52" xfId="180" applyNumberFormat="1" applyFont="1" applyFill="1" applyBorder="1" applyAlignment="1">
      <alignment horizontal="center"/>
    </xf>
    <xf numFmtId="0" fontId="93" fillId="42" borderId="68" xfId="180" applyFont="1" applyFill="1" applyBorder="1"/>
    <xf numFmtId="169" fontId="93" fillId="42" borderId="69" xfId="80" applyNumberFormat="1" applyFont="1" applyFill="1" applyBorder="1"/>
    <xf numFmtId="0" fontId="117" fillId="42" borderId="68" xfId="180" applyFont="1" applyFill="1" applyBorder="1"/>
    <xf numFmtId="213" fontId="117" fillId="42" borderId="69" xfId="80" applyNumberFormat="1" applyFont="1" applyFill="1" applyBorder="1"/>
    <xf numFmtId="166" fontId="93" fillId="42" borderId="69" xfId="80" applyNumberFormat="1" applyFont="1" applyFill="1" applyBorder="1"/>
    <xf numFmtId="0" fontId="93" fillId="42" borderId="69" xfId="180" applyFont="1" applyFill="1" applyBorder="1"/>
    <xf numFmtId="0" fontId="93" fillId="0" borderId="68" xfId="180" applyFont="1" applyFill="1" applyBorder="1"/>
    <xf numFmtId="9" fontId="93" fillId="0" borderId="69" xfId="180" applyNumberFormat="1" applyFont="1" applyFill="1" applyBorder="1"/>
    <xf numFmtId="166" fontId="93" fillId="42" borderId="69" xfId="180" applyNumberFormat="1" applyFont="1" applyFill="1" applyBorder="1"/>
    <xf numFmtId="1" fontId="93" fillId="42" borderId="69" xfId="180" applyNumberFormat="1" applyFont="1" applyFill="1" applyBorder="1"/>
    <xf numFmtId="0" fontId="117" fillId="42" borderId="68" xfId="180" applyFont="1" applyFill="1" applyBorder="1" applyAlignment="1">
      <alignment horizontal="left" indent="2"/>
    </xf>
    <xf numFmtId="165" fontId="117" fillId="42" borderId="69" xfId="180" applyNumberFormat="1" applyFont="1" applyFill="1" applyBorder="1"/>
    <xf numFmtId="168" fontId="94" fillId="42" borderId="68" xfId="180" applyNumberFormat="1" applyFont="1" applyFill="1" applyBorder="1"/>
    <xf numFmtId="168" fontId="94" fillId="42" borderId="69" xfId="180" applyNumberFormat="1" applyFont="1" applyFill="1" applyBorder="1"/>
    <xf numFmtId="0" fontId="117" fillId="42" borderId="68" xfId="180" applyFont="1" applyFill="1" applyBorder="1" applyAlignment="1">
      <alignment horizontal="left" indent="1"/>
    </xf>
    <xf numFmtId="1" fontId="93" fillId="42" borderId="68" xfId="180" applyNumberFormat="1" applyFont="1" applyFill="1" applyBorder="1"/>
    <xf numFmtId="168" fontId="112" fillId="0" borderId="70" xfId="180" applyNumberFormat="1" applyFont="1" applyFill="1" applyBorder="1"/>
    <xf numFmtId="168" fontId="112" fillId="0" borderId="71" xfId="180" applyNumberFormat="1" applyFont="1" applyFill="1" applyBorder="1"/>
    <xf numFmtId="168" fontId="112" fillId="0" borderId="72" xfId="180" applyNumberFormat="1" applyFont="1" applyFill="1" applyBorder="1"/>
    <xf numFmtId="168" fontId="119" fillId="0" borderId="71" xfId="180" applyNumberFormat="1" applyFont="1" applyFill="1" applyBorder="1" applyAlignment="1">
      <alignment horizontal="center"/>
    </xf>
    <xf numFmtId="168" fontId="119" fillId="0" borderId="72" xfId="180" applyNumberFormat="1" applyFont="1" applyFill="1" applyBorder="1" applyAlignment="1">
      <alignment horizontal="center"/>
    </xf>
    <xf numFmtId="168" fontId="94" fillId="44" borderId="68" xfId="180" applyNumberFormat="1" applyFont="1" applyFill="1" applyBorder="1"/>
    <xf numFmtId="168" fontId="94" fillId="44" borderId="0" xfId="180" applyNumberFormat="1" applyFont="1" applyFill="1" applyBorder="1"/>
    <xf numFmtId="168" fontId="94" fillId="44" borderId="69" xfId="180" applyNumberFormat="1" applyFont="1" applyFill="1" applyBorder="1"/>
    <xf numFmtId="168" fontId="94" fillId="44" borderId="50" xfId="180" applyNumberFormat="1" applyFont="1" applyFill="1" applyBorder="1"/>
    <xf numFmtId="168" fontId="94" fillId="44" borderId="51" xfId="180" applyNumberFormat="1" applyFont="1" applyFill="1" applyBorder="1"/>
    <xf numFmtId="168" fontId="94" fillId="44" borderId="52" xfId="180" applyNumberFormat="1" applyFont="1" applyFill="1" applyBorder="1"/>
    <xf numFmtId="166" fontId="93" fillId="0" borderId="69" xfId="180" applyNumberFormat="1" applyFont="1" applyFill="1" applyBorder="1"/>
    <xf numFmtId="0" fontId="117" fillId="0" borderId="68" xfId="180" applyFont="1" applyFill="1" applyBorder="1" applyAlignment="1">
      <alignment horizontal="left" indent="2"/>
    </xf>
    <xf numFmtId="0" fontId="93" fillId="0" borderId="73" xfId="180" applyFont="1" applyFill="1" applyBorder="1"/>
    <xf numFmtId="9" fontId="93" fillId="0" borderId="74" xfId="180" applyNumberFormat="1" applyFont="1" applyFill="1" applyBorder="1"/>
    <xf numFmtId="9" fontId="93" fillId="0" borderId="75" xfId="180" applyNumberFormat="1" applyFont="1" applyFill="1" applyBorder="1"/>
    <xf numFmtId="0" fontId="93" fillId="0" borderId="76" xfId="180" applyFont="1" applyFill="1" applyBorder="1"/>
    <xf numFmtId="166" fontId="93" fillId="0" borderId="77" xfId="180" applyNumberFormat="1" applyFont="1" applyFill="1" applyBorder="1"/>
    <xf numFmtId="1" fontId="93" fillId="0" borderId="77" xfId="180" applyNumberFormat="1" applyFont="1" applyFill="1" applyBorder="1"/>
    <xf numFmtId="0" fontId="117" fillId="0" borderId="76" xfId="180" applyFont="1" applyFill="1" applyBorder="1" applyAlignment="1">
      <alignment horizontal="left" indent="2"/>
    </xf>
    <xf numFmtId="165" fontId="117" fillId="0" borderId="77" xfId="180" applyNumberFormat="1" applyFont="1" applyFill="1" applyBorder="1"/>
    <xf numFmtId="9" fontId="115" fillId="45" borderId="78" xfId="180" applyNumberFormat="1" applyFont="1" applyFill="1" applyBorder="1"/>
    <xf numFmtId="9" fontId="115" fillId="45" borderId="79" xfId="180" applyNumberFormat="1" applyFont="1" applyFill="1" applyBorder="1"/>
    <xf numFmtId="9" fontId="115" fillId="45" borderId="80" xfId="180" applyNumberFormat="1" applyFont="1" applyFill="1" applyBorder="1"/>
    <xf numFmtId="0" fontId="93" fillId="0" borderId="81" xfId="180" applyFont="1" applyFill="1" applyBorder="1"/>
    <xf numFmtId="9" fontId="93" fillId="0" borderId="53" xfId="180" applyNumberFormat="1" applyFont="1" applyFill="1" applyBorder="1"/>
    <xf numFmtId="9" fontId="93" fillId="0" borderId="82" xfId="180" applyNumberFormat="1" applyFont="1" applyFill="1" applyBorder="1"/>
    <xf numFmtId="0" fontId="93" fillId="0" borderId="83" xfId="180" applyFont="1" applyFill="1" applyBorder="1"/>
    <xf numFmtId="166" fontId="93" fillId="0" borderId="84" xfId="180" applyNumberFormat="1" applyFont="1" applyFill="1" applyBorder="1"/>
    <xf numFmtId="1" fontId="93" fillId="0" borderId="84" xfId="180" applyNumberFormat="1" applyFont="1" applyFill="1" applyBorder="1"/>
    <xf numFmtId="0" fontId="117" fillId="0" borderId="83" xfId="180" applyFont="1" applyFill="1" applyBorder="1" applyAlignment="1">
      <alignment horizontal="left" indent="2"/>
    </xf>
    <xf numFmtId="165" fontId="117" fillId="0" borderId="84" xfId="180" applyNumberFormat="1" applyFont="1" applyFill="1" applyBorder="1"/>
    <xf numFmtId="168" fontId="94" fillId="16" borderId="85" xfId="180" applyNumberFormat="1" applyFont="1" applyFill="1" applyBorder="1"/>
    <xf numFmtId="168" fontId="94" fillId="16" borderId="54" xfId="180" applyNumberFormat="1" applyFont="1" applyFill="1" applyBorder="1"/>
    <xf numFmtId="168" fontId="94" fillId="16" borderId="86" xfId="180" applyNumberFormat="1" applyFont="1" applyFill="1" applyBorder="1"/>
    <xf numFmtId="168" fontId="94" fillId="16" borderId="76" xfId="180" applyNumberFormat="1" applyFont="1" applyFill="1" applyBorder="1"/>
    <xf numFmtId="168" fontId="94" fillId="16" borderId="0" xfId="180" applyNumberFormat="1" applyFont="1" applyFill="1" applyBorder="1"/>
    <xf numFmtId="168" fontId="94" fillId="16" borderId="77" xfId="180" applyNumberFormat="1" applyFont="1" applyFill="1" applyBorder="1"/>
    <xf numFmtId="38" fontId="118" fillId="0" borderId="66" xfId="187" applyNumberFormat="1" applyFont="1" applyBorder="1"/>
    <xf numFmtId="169" fontId="93" fillId="0" borderId="69" xfId="80" applyNumberFormat="1" applyFont="1" applyFill="1" applyBorder="1"/>
    <xf numFmtId="0" fontId="117" fillId="0" borderId="68" xfId="180" applyFont="1" applyFill="1" applyBorder="1"/>
    <xf numFmtId="213" fontId="117" fillId="0" borderId="69" xfId="80" applyNumberFormat="1" applyFont="1" applyFill="1" applyBorder="1"/>
    <xf numFmtId="166" fontId="93" fillId="0" borderId="69" xfId="80" applyNumberFormat="1" applyFont="1" applyFill="1" applyBorder="1"/>
    <xf numFmtId="0" fontId="93" fillId="0" borderId="68" xfId="180" applyFont="1" applyFill="1" applyBorder="1" applyAlignment="1">
      <alignment horizontal="right"/>
    </xf>
    <xf numFmtId="165" fontId="93" fillId="0" borderId="69" xfId="180" applyNumberFormat="1" applyFont="1" applyFill="1" applyBorder="1"/>
    <xf numFmtId="38" fontId="116" fillId="0" borderId="0" xfId="187" applyNumberFormat="1" applyFont="1" applyFill="1" applyBorder="1"/>
    <xf numFmtId="38" fontId="93" fillId="0" borderId="0" xfId="187" applyNumberFormat="1" applyFont="1" applyFill="1" applyBorder="1"/>
    <xf numFmtId="38" fontId="118" fillId="0" borderId="0" xfId="187" applyNumberFormat="1" applyFont="1" applyFill="1" applyBorder="1"/>
    <xf numFmtId="38" fontId="115" fillId="0" borderId="0" xfId="187" applyNumberFormat="1" applyFont="1" applyFill="1" applyBorder="1"/>
    <xf numFmtId="38" fontId="116" fillId="0" borderId="0" xfId="187" applyNumberFormat="1" applyFont="1" applyFill="1" applyBorder="1" applyAlignment="1">
      <alignment horizontal="center"/>
    </xf>
    <xf numFmtId="38" fontId="115" fillId="0" borderId="0" xfId="187" applyNumberFormat="1" applyFont="1" applyFill="1" applyBorder="1" applyAlignment="1">
      <alignment horizontal="right"/>
    </xf>
    <xf numFmtId="9" fontId="115" fillId="0" borderId="0" xfId="187" applyNumberFormat="1" applyFont="1" applyFill="1" applyBorder="1" applyAlignment="1">
      <alignment horizontal="center"/>
    </xf>
    <xf numFmtId="168" fontId="116" fillId="0" borderId="0" xfId="187" applyNumberFormat="1" applyFont="1" applyFill="1" applyBorder="1" applyAlignment="1">
      <alignment horizontal="center"/>
    </xf>
    <xf numFmtId="38" fontId="116" fillId="0" borderId="87" xfId="187" applyNumberFormat="1" applyFont="1" applyBorder="1"/>
    <xf numFmtId="38" fontId="116" fillId="0" borderId="88" xfId="187" applyNumberFormat="1" applyFont="1" applyFill="1" applyBorder="1"/>
    <xf numFmtId="38" fontId="116" fillId="0" borderId="68" xfId="187" applyNumberFormat="1" applyFont="1" applyFill="1" applyBorder="1"/>
    <xf numFmtId="168" fontId="116" fillId="0" borderId="69" xfId="187" applyNumberFormat="1" applyFont="1" applyFill="1" applyBorder="1" applyAlignment="1">
      <alignment horizontal="center"/>
    </xf>
    <xf numFmtId="38" fontId="115" fillId="0" borderId="68" xfId="187" applyNumberFormat="1" applyFont="1" applyFill="1" applyBorder="1"/>
    <xf numFmtId="38" fontId="116" fillId="0" borderId="50" xfId="187" applyNumberFormat="1" applyFont="1" applyFill="1" applyBorder="1"/>
    <xf numFmtId="38" fontId="116" fillId="0" borderId="51" xfId="187" applyNumberFormat="1" applyFont="1" applyFill="1" applyBorder="1"/>
    <xf numFmtId="9" fontId="115" fillId="0" borderId="51" xfId="187" applyNumberFormat="1" applyFont="1" applyFill="1" applyBorder="1" applyAlignment="1">
      <alignment horizontal="center"/>
    </xf>
    <xf numFmtId="168" fontId="116" fillId="0" borderId="51" xfId="187" applyNumberFormat="1" applyFont="1" applyFill="1" applyBorder="1" applyAlignment="1">
      <alignment horizontal="center"/>
    </xf>
    <xf numFmtId="168" fontId="116" fillId="0" borderId="52" xfId="187" applyNumberFormat="1" applyFont="1" applyFill="1" applyBorder="1" applyAlignment="1">
      <alignment horizontal="center"/>
    </xf>
    <xf numFmtId="38" fontId="116" fillId="0" borderId="69" xfId="187" applyNumberFormat="1" applyFont="1" applyFill="1" applyBorder="1" applyAlignment="1">
      <alignment horizontal="center"/>
    </xf>
    <xf numFmtId="38" fontId="116" fillId="0" borderId="51" xfId="187" applyNumberFormat="1" applyFont="1" applyFill="1" applyBorder="1" applyAlignment="1">
      <alignment horizontal="center"/>
    </xf>
    <xf numFmtId="38" fontId="116" fillId="0" borderId="52" xfId="187" applyNumberFormat="1" applyFont="1" applyFill="1" applyBorder="1" applyAlignment="1">
      <alignment horizontal="center"/>
    </xf>
    <xf numFmtId="38" fontId="116" fillId="0" borderId="87" xfId="187" applyNumberFormat="1" applyFont="1" applyFill="1" applyBorder="1" applyAlignment="1">
      <alignment horizontal="center"/>
    </xf>
    <xf numFmtId="38" fontId="116" fillId="0" borderId="88" xfId="187" applyNumberFormat="1" applyFont="1" applyFill="1" applyBorder="1" applyAlignment="1">
      <alignment horizontal="center"/>
    </xf>
    <xf numFmtId="38" fontId="116" fillId="0" borderId="89" xfId="187" applyNumberFormat="1" applyFont="1" applyFill="1" applyBorder="1" applyAlignment="1">
      <alignment horizontal="center"/>
    </xf>
    <xf numFmtId="38" fontId="116" fillId="0" borderId="68" xfId="187" applyNumberFormat="1" applyFont="1" applyFill="1" applyBorder="1" applyAlignment="1">
      <alignment horizontal="center"/>
    </xf>
    <xf numFmtId="38" fontId="116" fillId="0" borderId="50" xfId="187" applyNumberFormat="1" applyFont="1" applyFill="1" applyBorder="1" applyAlignment="1">
      <alignment horizontal="center"/>
    </xf>
    <xf numFmtId="168" fontId="116" fillId="0" borderId="87" xfId="187" applyNumberFormat="1" applyFont="1" applyFill="1" applyBorder="1" applyAlignment="1">
      <alignment horizontal="center"/>
    </xf>
    <xf numFmtId="168" fontId="116" fillId="0" borderId="88" xfId="187" applyNumberFormat="1" applyFont="1" applyFill="1" applyBorder="1" applyAlignment="1">
      <alignment horizontal="center"/>
    </xf>
    <xf numFmtId="168" fontId="116" fillId="0" borderId="89" xfId="187" applyNumberFormat="1" applyFont="1" applyFill="1" applyBorder="1" applyAlignment="1">
      <alignment horizontal="center"/>
    </xf>
    <xf numFmtId="168" fontId="116" fillId="0" borderId="68" xfId="187" applyNumberFormat="1" applyFont="1" applyFill="1" applyBorder="1" applyAlignment="1">
      <alignment horizontal="center"/>
    </xf>
    <xf numFmtId="168" fontId="116" fillId="0" borderId="50" xfId="187" applyNumberFormat="1" applyFont="1" applyFill="1" applyBorder="1" applyAlignment="1">
      <alignment horizontal="center"/>
    </xf>
    <xf numFmtId="38" fontId="116" fillId="0" borderId="87" xfId="187" applyNumberFormat="1" applyFont="1" applyFill="1" applyBorder="1"/>
    <xf numFmtId="9" fontId="115" fillId="0" borderId="89" xfId="187" applyNumberFormat="1" applyFont="1" applyFill="1" applyBorder="1" applyAlignment="1">
      <alignment horizontal="center"/>
    </xf>
    <xf numFmtId="9" fontId="115" fillId="0" borderId="69" xfId="187" applyNumberFormat="1" applyFont="1" applyFill="1" applyBorder="1" applyAlignment="1">
      <alignment horizontal="center"/>
    </xf>
    <xf numFmtId="38" fontId="115" fillId="0" borderId="50" xfId="187" applyNumberFormat="1" applyFont="1" applyFill="1" applyBorder="1"/>
    <xf numFmtId="38" fontId="115" fillId="0" borderId="51" xfId="187" applyNumberFormat="1" applyFont="1" applyFill="1" applyBorder="1" applyAlignment="1">
      <alignment horizontal="right"/>
    </xf>
    <xf numFmtId="9" fontId="115" fillId="0" borderId="52" xfId="187" applyNumberFormat="1" applyFont="1" applyFill="1" applyBorder="1" applyAlignment="1">
      <alignment horizontal="center"/>
    </xf>
    <xf numFmtId="38" fontId="116" fillId="0" borderId="89" xfId="187" applyNumberFormat="1" applyFont="1" applyFill="1" applyBorder="1"/>
    <xf numFmtId="38" fontId="115" fillId="0" borderId="52" xfId="187" applyNumberFormat="1" applyFont="1" applyFill="1" applyBorder="1" applyAlignment="1">
      <alignment horizontal="center"/>
    </xf>
    <xf numFmtId="38" fontId="115" fillId="0" borderId="52" xfId="187" applyNumberFormat="1" applyFont="1" applyFill="1" applyBorder="1"/>
    <xf numFmtId="38" fontId="115" fillId="16" borderId="88" xfId="187" applyNumberFormat="1" applyFont="1" applyFill="1" applyBorder="1"/>
    <xf numFmtId="38" fontId="94" fillId="16" borderId="88" xfId="187" applyNumberFormat="1" applyFont="1" applyFill="1" applyBorder="1"/>
    <xf numFmtId="38" fontId="120" fillId="16" borderId="89" xfId="187" applyNumberFormat="1" applyFont="1" applyFill="1" applyBorder="1"/>
    <xf numFmtId="38" fontId="94" fillId="16" borderId="0" xfId="187" applyNumberFormat="1" applyFont="1" applyFill="1" applyBorder="1" applyAlignment="1">
      <alignment horizontal="center"/>
    </xf>
    <xf numFmtId="38" fontId="115" fillId="16" borderId="69" xfId="187" applyNumberFormat="1" applyFont="1" applyFill="1" applyBorder="1" applyAlignment="1">
      <alignment horizontal="center"/>
    </xf>
    <xf numFmtId="38" fontId="118" fillId="16" borderId="87" xfId="187" applyNumberFormat="1" applyFont="1" applyFill="1" applyBorder="1"/>
    <xf numFmtId="38" fontId="116" fillId="16" borderId="88" xfId="187" applyNumberFormat="1" applyFont="1" applyFill="1" applyBorder="1" applyAlignment="1">
      <alignment horizontal="right"/>
    </xf>
    <xf numFmtId="38" fontId="115" fillId="16" borderId="89" xfId="187" applyNumberFormat="1" applyFont="1" applyFill="1" applyBorder="1" applyAlignment="1">
      <alignment horizontal="right"/>
    </xf>
    <xf numFmtId="38" fontId="118" fillId="16" borderId="68" xfId="187" applyNumberFormat="1" applyFont="1" applyFill="1" applyBorder="1"/>
    <xf numFmtId="38" fontId="116" fillId="16" borderId="0" xfId="187" applyNumberFormat="1" applyFont="1" applyFill="1" applyBorder="1" applyAlignment="1">
      <alignment horizontal="right"/>
    </xf>
    <xf numFmtId="38" fontId="115" fillId="16" borderId="69" xfId="187" applyNumberFormat="1" applyFont="1" applyFill="1" applyBorder="1" applyAlignment="1">
      <alignment horizontal="right"/>
    </xf>
    <xf numFmtId="214" fontId="115" fillId="16" borderId="69" xfId="187" applyNumberFormat="1" applyFont="1" applyFill="1" applyBorder="1" applyAlignment="1">
      <alignment horizontal="right"/>
    </xf>
    <xf numFmtId="9" fontId="115" fillId="16" borderId="69" xfId="187" applyNumberFormat="1" applyFont="1" applyFill="1" applyBorder="1" applyAlignment="1">
      <alignment horizontal="right"/>
    </xf>
    <xf numFmtId="38" fontId="118" fillId="16" borderId="50" xfId="187" applyNumberFormat="1" applyFont="1" applyFill="1" applyBorder="1"/>
    <xf numFmtId="38" fontId="116" fillId="16" borderId="51" xfId="187" applyNumberFormat="1" applyFont="1" applyFill="1" applyBorder="1" applyAlignment="1">
      <alignment horizontal="right"/>
    </xf>
    <xf numFmtId="9" fontId="115" fillId="16" borderId="52" xfId="187" applyNumberFormat="1" applyFont="1" applyFill="1" applyBorder="1" applyAlignment="1">
      <alignment horizontal="right"/>
    </xf>
    <xf numFmtId="0" fontId="94" fillId="47" borderId="40" xfId="0" applyNumberFormat="1" applyFont="1" applyFill="1" applyBorder="1" applyAlignment="1">
      <alignment horizontal="center"/>
    </xf>
    <xf numFmtId="0" fontId="94" fillId="47" borderId="90" xfId="0" applyNumberFormat="1" applyFont="1" applyFill="1" applyBorder="1" applyAlignment="1">
      <alignment horizontal="center"/>
    </xf>
    <xf numFmtId="192" fontId="115" fillId="47" borderId="90" xfId="0" applyNumberFormat="1" applyFont="1" applyFill="1" applyBorder="1" applyAlignment="1">
      <alignment horizontal="center"/>
    </xf>
    <xf numFmtId="192" fontId="115" fillId="47" borderId="40" xfId="0" applyNumberFormat="1" applyFont="1" applyFill="1" applyBorder="1" applyAlignment="1">
      <alignment horizontal="center"/>
    </xf>
    <xf numFmtId="0" fontId="94" fillId="47" borderId="24" xfId="0" applyNumberFormat="1" applyFont="1" applyFill="1" applyBorder="1" applyAlignment="1">
      <alignment horizontal="center"/>
    </xf>
    <xf numFmtId="0" fontId="94" fillId="47" borderId="32" xfId="0" applyNumberFormat="1" applyFont="1" applyFill="1" applyBorder="1" applyAlignment="1">
      <alignment horizontal="center"/>
    </xf>
    <xf numFmtId="192" fontId="115" fillId="47" borderId="23" xfId="0" applyNumberFormat="1" applyFont="1" applyFill="1" applyBorder="1" applyAlignment="1">
      <alignment horizontal="center"/>
    </xf>
    <xf numFmtId="192" fontId="115" fillId="47" borderId="32" xfId="0" applyNumberFormat="1" applyFont="1" applyFill="1" applyBorder="1" applyAlignment="1">
      <alignment horizontal="center"/>
    </xf>
    <xf numFmtId="192" fontId="115" fillId="47" borderId="49" xfId="0" applyNumberFormat="1" applyFont="1" applyFill="1" applyBorder="1" applyAlignment="1">
      <alignment horizontal="center"/>
    </xf>
    <xf numFmtId="0" fontId="115" fillId="47" borderId="24" xfId="0" applyNumberFormat="1" applyFont="1" applyFill="1" applyBorder="1" applyAlignment="1">
      <alignment horizontal="center"/>
    </xf>
    <xf numFmtId="192" fontId="94" fillId="47" borderId="40" xfId="0" applyNumberFormat="1" applyFont="1" applyFill="1" applyBorder="1" applyAlignment="1">
      <alignment horizontal="center"/>
    </xf>
    <xf numFmtId="192" fontId="94" fillId="47" borderId="90" xfId="0" applyNumberFormat="1" applyFont="1" applyFill="1" applyBorder="1" applyAlignment="1">
      <alignment horizontal="center"/>
    </xf>
    <xf numFmtId="192" fontId="120" fillId="47" borderId="90" xfId="0" applyNumberFormat="1" applyFont="1" applyFill="1" applyBorder="1" applyAlignment="1">
      <alignment horizontal="center"/>
    </xf>
    <xf numFmtId="192" fontId="120" fillId="47" borderId="40" xfId="0" applyNumberFormat="1" applyFont="1" applyFill="1" applyBorder="1" applyAlignment="1">
      <alignment horizontal="center"/>
    </xf>
    <xf numFmtId="192" fontId="120" fillId="47" borderId="91" xfId="0" applyNumberFormat="1" applyFont="1" applyFill="1" applyBorder="1" applyAlignment="1">
      <alignment horizontal="center"/>
    </xf>
    <xf numFmtId="192" fontId="120" fillId="47" borderId="32" xfId="0" applyNumberFormat="1" applyFont="1" applyFill="1" applyBorder="1" applyAlignment="1">
      <alignment horizontal="center"/>
    </xf>
    <xf numFmtId="0" fontId="120" fillId="47" borderId="24" xfId="0" applyNumberFormat="1" applyFont="1" applyFill="1" applyBorder="1" applyAlignment="1">
      <alignment horizontal="center"/>
    </xf>
    <xf numFmtId="192" fontId="120" fillId="47" borderId="24" xfId="0" applyNumberFormat="1" applyFont="1" applyFill="1" applyBorder="1" applyAlignment="1">
      <alignment horizontal="center"/>
    </xf>
    <xf numFmtId="192" fontId="120" fillId="47" borderId="49" xfId="0" applyNumberFormat="1" applyFont="1" applyFill="1" applyBorder="1" applyAlignment="1">
      <alignment horizontal="center"/>
    </xf>
    <xf numFmtId="192" fontId="94" fillId="47" borderId="40" xfId="0" applyNumberFormat="1" applyFont="1" applyFill="1" applyBorder="1" applyAlignment="1">
      <alignment horizontal="right"/>
    </xf>
    <xf numFmtId="192" fontId="94" fillId="47" borderId="90" xfId="0" applyNumberFormat="1" applyFont="1" applyFill="1" applyBorder="1" applyAlignment="1">
      <alignment horizontal="right"/>
    </xf>
    <xf numFmtId="0" fontId="94" fillId="47" borderId="24" xfId="0" applyNumberFormat="1" applyFont="1" applyFill="1" applyBorder="1" applyAlignment="1">
      <alignment horizontal="right"/>
    </xf>
    <xf numFmtId="192" fontId="94" fillId="47" borderId="32" xfId="0" applyNumberFormat="1" applyFont="1" applyFill="1" applyBorder="1" applyAlignment="1">
      <alignment horizontal="right"/>
    </xf>
    <xf numFmtId="205" fontId="94" fillId="30" borderId="70" xfId="0" applyNumberFormat="1" applyFont="1" applyFill="1" applyBorder="1"/>
    <xf numFmtId="205" fontId="94" fillId="30" borderId="92" xfId="73" applyNumberFormat="1" applyFont="1" applyFill="1" applyBorder="1"/>
    <xf numFmtId="205" fontId="94" fillId="30" borderId="93" xfId="73" applyNumberFormat="1" applyFont="1" applyFill="1" applyBorder="1"/>
    <xf numFmtId="205" fontId="94" fillId="30" borderId="71" xfId="73" applyNumberFormat="1" applyFont="1" applyFill="1" applyBorder="1"/>
    <xf numFmtId="205" fontId="94" fillId="30" borderId="94" xfId="73" applyNumberFormat="1" applyFont="1" applyFill="1" applyBorder="1"/>
    <xf numFmtId="205" fontId="115" fillId="30" borderId="71" xfId="73" applyNumberFormat="1" applyFont="1" applyFill="1" applyBorder="1"/>
    <xf numFmtId="205" fontId="115" fillId="30" borderId="94" xfId="73" applyNumberFormat="1" applyFont="1" applyFill="1" applyBorder="1"/>
    <xf numFmtId="205" fontId="115" fillId="30" borderId="92" xfId="73" applyNumberFormat="1" applyFont="1" applyFill="1" applyBorder="1"/>
    <xf numFmtId="205" fontId="115" fillId="30" borderId="93" xfId="73" applyNumberFormat="1" applyFont="1" applyFill="1" applyBorder="1"/>
    <xf numFmtId="206" fontId="94" fillId="0" borderId="70" xfId="0" applyNumberFormat="1" applyFont="1" applyFill="1" applyBorder="1"/>
    <xf numFmtId="206" fontId="94" fillId="0" borderId="92" xfId="73" applyNumberFormat="1" applyFont="1" applyFill="1" applyBorder="1"/>
    <xf numFmtId="206" fontId="94" fillId="0" borderId="71" xfId="73" applyNumberFormat="1" applyFont="1" applyFill="1" applyBorder="1"/>
    <xf numFmtId="206" fontId="115" fillId="0" borderId="71" xfId="73" applyNumberFormat="1" applyFont="1" applyFill="1" applyBorder="1"/>
    <xf numFmtId="206" fontId="115" fillId="0" borderId="92" xfId="73" applyNumberFormat="1" applyFont="1" applyFill="1" applyBorder="1"/>
    <xf numFmtId="216" fontId="93" fillId="0" borderId="0" xfId="187" applyNumberFormat="1" applyFont="1" applyBorder="1"/>
    <xf numFmtId="164" fontId="94" fillId="0" borderId="33" xfId="0" applyFont="1" applyBorder="1"/>
    <xf numFmtId="164" fontId="95" fillId="0" borderId="2" xfId="0" applyFont="1" applyBorder="1" applyAlignment="1">
      <alignment horizontal="center"/>
    </xf>
    <xf numFmtId="192" fontId="95" fillId="0" borderId="2" xfId="0" applyNumberFormat="1" applyFont="1" applyBorder="1"/>
    <xf numFmtId="192" fontId="116" fillId="0" borderId="2" xfId="0" applyNumberFormat="1" applyFont="1" applyBorder="1" applyAlignment="1">
      <alignment horizontal="center"/>
    </xf>
    <xf numFmtId="192" fontId="118" fillId="0" borderId="2" xfId="0" applyNumberFormat="1" applyFont="1" applyBorder="1" applyAlignment="1">
      <alignment horizontal="center"/>
    </xf>
    <xf numFmtId="192" fontId="126" fillId="30" borderId="2" xfId="0" applyNumberFormat="1" applyFont="1" applyFill="1" applyBorder="1" applyAlignment="1">
      <alignment horizontal="right"/>
    </xf>
    <xf numFmtId="192" fontId="116" fillId="0" borderId="0" xfId="0" applyNumberFormat="1" applyFont="1" applyBorder="1" applyAlignment="1">
      <alignment horizontal="center"/>
    </xf>
    <xf numFmtId="192" fontId="118" fillId="0" borderId="0" xfId="0" applyNumberFormat="1" applyFont="1" applyBorder="1" applyAlignment="1">
      <alignment horizontal="center"/>
    </xf>
    <xf numFmtId="164" fontId="116" fillId="0" borderId="0" xfId="0" applyFont="1" applyBorder="1" applyAlignment="1">
      <alignment horizontal="center"/>
    </xf>
    <xf numFmtId="39" fontId="116" fillId="0" borderId="0" xfId="0" applyNumberFormat="1" applyFont="1" applyFill="1" applyBorder="1" applyAlignment="1">
      <alignment horizontal="center"/>
    </xf>
    <xf numFmtId="39" fontId="118" fillId="0" borderId="0" xfId="0" applyNumberFormat="1" applyFont="1" applyFill="1" applyBorder="1" applyAlignment="1">
      <alignment horizontal="center"/>
    </xf>
    <xf numFmtId="164" fontId="117" fillId="0" borderId="0" xfId="0" applyFont="1" applyBorder="1" applyAlignment="1">
      <alignment horizontal="center"/>
    </xf>
    <xf numFmtId="164" fontId="114" fillId="0" borderId="0" xfId="0" applyFont="1" applyBorder="1" applyAlignment="1">
      <alignment horizontal="center"/>
    </xf>
    <xf numFmtId="169" fontId="116" fillId="0" borderId="90" xfId="73" applyNumberFormat="1" applyFont="1" applyFill="1" applyBorder="1" applyAlignment="1">
      <alignment horizontal="right"/>
    </xf>
    <xf numFmtId="39" fontId="116" fillId="0" borderId="8" xfId="0" applyNumberFormat="1" applyFont="1" applyBorder="1" applyAlignment="1">
      <alignment horizontal="center"/>
    </xf>
    <xf numFmtId="39" fontId="116" fillId="0" borderId="20" xfId="0" applyNumberFormat="1" applyFont="1" applyBorder="1" applyAlignment="1">
      <alignment horizontal="center"/>
    </xf>
    <xf numFmtId="39" fontId="116" fillId="0" borderId="32" xfId="0" applyNumberFormat="1" applyFont="1" applyBorder="1" applyAlignment="1">
      <alignment horizontal="center"/>
    </xf>
    <xf numFmtId="43" fontId="118" fillId="0" borderId="0" xfId="73" applyNumberFormat="1" applyFont="1"/>
    <xf numFmtId="165" fontId="128" fillId="0" borderId="25" xfId="0" applyNumberFormat="1" applyFont="1" applyFill="1" applyBorder="1" applyAlignment="1">
      <alignment horizontal="left" indent="1"/>
    </xf>
    <xf numFmtId="165" fontId="128" fillId="0" borderId="1" xfId="73" applyNumberFormat="1" applyFont="1" applyFill="1" applyBorder="1"/>
    <xf numFmtId="165" fontId="128" fillId="0" borderId="0" xfId="73" applyNumberFormat="1" applyFont="1" applyFill="1" applyBorder="1"/>
    <xf numFmtId="165" fontId="128" fillId="0" borderId="0" xfId="0" applyNumberFormat="1" applyFont="1" applyFill="1" applyBorder="1"/>
    <xf numFmtId="205" fontId="129" fillId="0" borderId="25" xfId="0" applyNumberFormat="1" applyFont="1" applyFill="1" applyBorder="1"/>
    <xf numFmtId="205" fontId="129" fillId="0" borderId="1" xfId="73" applyNumberFormat="1" applyFont="1" applyFill="1" applyBorder="1"/>
    <xf numFmtId="205" fontId="129" fillId="0" borderId="0" xfId="73" applyNumberFormat="1" applyFont="1" applyFill="1" applyBorder="1"/>
    <xf numFmtId="205" fontId="129" fillId="0" borderId="0" xfId="0" applyNumberFormat="1" applyFont="1" applyFill="1" applyBorder="1"/>
    <xf numFmtId="205" fontId="130" fillId="0" borderId="25" xfId="0" applyNumberFormat="1" applyFont="1" applyFill="1" applyBorder="1"/>
    <xf numFmtId="205" fontId="130" fillId="0" borderId="1" xfId="73" applyNumberFormat="1" applyFont="1" applyFill="1" applyBorder="1"/>
    <xf numFmtId="205" fontId="130" fillId="0" borderId="0" xfId="73" applyNumberFormat="1" applyFont="1" applyFill="1" applyBorder="1"/>
    <xf numFmtId="205" fontId="130" fillId="0" borderId="0" xfId="0" applyNumberFormat="1" applyFont="1" applyFill="1"/>
    <xf numFmtId="165" fontId="128" fillId="0" borderId="0" xfId="0" applyNumberFormat="1" applyFont="1" applyFill="1"/>
    <xf numFmtId="206" fontId="130" fillId="0" borderId="30" xfId="0" applyNumberFormat="1" applyFont="1" applyFill="1" applyBorder="1"/>
    <xf numFmtId="206" fontId="130" fillId="0" borderId="31" xfId="73" applyNumberFormat="1" applyFont="1" applyFill="1" applyBorder="1"/>
    <xf numFmtId="206" fontId="130" fillId="0" borderId="2" xfId="73" applyNumberFormat="1" applyFont="1" applyFill="1" applyBorder="1"/>
    <xf numFmtId="206" fontId="129" fillId="0" borderId="0" xfId="0" applyNumberFormat="1" applyFont="1" applyFill="1" applyBorder="1"/>
    <xf numFmtId="168" fontId="116" fillId="0" borderId="68" xfId="180" applyNumberFormat="1" applyFont="1" applyFill="1" applyBorder="1"/>
    <xf numFmtId="168" fontId="116" fillId="0" borderId="0" xfId="180" applyNumberFormat="1" applyFont="1" applyFill="1" applyBorder="1"/>
    <xf numFmtId="168" fontId="119" fillId="0" borderId="70" xfId="180" applyNumberFormat="1" applyFont="1" applyFill="1" applyBorder="1"/>
    <xf numFmtId="168" fontId="119" fillId="0" borderId="71" xfId="180" applyNumberFormat="1" applyFont="1" applyFill="1" applyBorder="1"/>
    <xf numFmtId="168" fontId="119" fillId="0" borderId="72" xfId="180" applyNumberFormat="1" applyFont="1" applyFill="1" applyBorder="1"/>
    <xf numFmtId="168" fontId="119" fillId="0" borderId="0" xfId="180" applyNumberFormat="1" applyFont="1" applyFill="1" applyBorder="1"/>
    <xf numFmtId="165" fontId="116" fillId="0" borderId="1" xfId="186" applyNumberFormat="1" applyFont="1" applyFill="1" applyBorder="1" applyAlignment="1">
      <alignment horizontal="left"/>
    </xf>
    <xf numFmtId="1" fontId="116" fillId="42" borderId="68" xfId="180" applyNumberFormat="1" applyFont="1" applyFill="1" applyBorder="1"/>
    <xf numFmtId="1" fontId="116" fillId="42" borderId="0" xfId="180" applyNumberFormat="1" applyFont="1" applyFill="1" applyBorder="1"/>
    <xf numFmtId="212" fontId="118" fillId="0" borderId="2" xfId="0" applyNumberFormat="1" applyFont="1" applyBorder="1"/>
    <xf numFmtId="212" fontId="118" fillId="0" borderId="0" xfId="0" applyNumberFormat="1" applyFont="1" applyBorder="1"/>
    <xf numFmtId="44" fontId="118" fillId="0" borderId="2" xfId="0" applyNumberFormat="1" applyFont="1" applyBorder="1"/>
    <xf numFmtId="44" fontId="118" fillId="0" borderId="0" xfId="0" applyNumberFormat="1" applyFont="1" applyBorder="1"/>
    <xf numFmtId="44" fontId="118" fillId="0" borderId="8" xfId="0" applyNumberFormat="1" applyFont="1" applyBorder="1"/>
    <xf numFmtId="169" fontId="116" fillId="0" borderId="25" xfId="73" applyNumberFormat="1" applyFont="1" applyFill="1" applyBorder="1"/>
    <xf numFmtId="43" fontId="116" fillId="0" borderId="0" xfId="73" applyNumberFormat="1" applyFont="1"/>
    <xf numFmtId="192" fontId="116" fillId="0" borderId="35" xfId="0" applyNumberFormat="1" applyFont="1" applyBorder="1"/>
    <xf numFmtId="212" fontId="116" fillId="0" borderId="34" xfId="0" applyNumberFormat="1" applyFont="1" applyBorder="1"/>
    <xf numFmtId="192" fontId="116" fillId="0" borderId="37" xfId="0" applyNumberFormat="1" applyFont="1" applyBorder="1"/>
    <xf numFmtId="212" fontId="116" fillId="0" borderId="36" xfId="0" applyNumberFormat="1" applyFont="1" applyBorder="1"/>
    <xf numFmtId="192" fontId="116" fillId="0" borderId="39" xfId="0" applyNumberFormat="1" applyFont="1" applyBorder="1"/>
    <xf numFmtId="212" fontId="116" fillId="0" borderId="38" xfId="0" applyNumberFormat="1" applyFont="1" applyBorder="1"/>
    <xf numFmtId="212" fontId="116" fillId="0" borderId="0" xfId="0" applyNumberFormat="1" applyFont="1"/>
    <xf numFmtId="212" fontId="116" fillId="0" borderId="8" xfId="0" applyNumberFormat="1" applyFont="1" applyBorder="1"/>
    <xf numFmtId="44" fontId="116" fillId="0" borderId="34" xfId="0" applyNumberFormat="1" applyFont="1" applyBorder="1"/>
    <xf numFmtId="44" fontId="116" fillId="0" borderId="36" xfId="0" applyNumberFormat="1" applyFont="1" applyBorder="1"/>
    <xf numFmtId="44" fontId="116" fillId="0" borderId="38" xfId="0" applyNumberFormat="1" applyFont="1" applyBorder="1"/>
    <xf numFmtId="213" fontId="114" fillId="42" borderId="0" xfId="80" applyNumberFormat="1" applyFont="1" applyFill="1" applyBorder="1"/>
    <xf numFmtId="166" fontId="116" fillId="42" borderId="0" xfId="80" applyNumberFormat="1" applyFont="1" applyFill="1" applyBorder="1"/>
    <xf numFmtId="166" fontId="116" fillId="42" borderId="0" xfId="180" applyNumberFormat="1" applyFont="1" applyFill="1" applyBorder="1"/>
    <xf numFmtId="1" fontId="116" fillId="43" borderId="0" xfId="180" applyNumberFormat="1" applyFont="1" applyFill="1" applyBorder="1"/>
    <xf numFmtId="168" fontId="115" fillId="44" borderId="0" xfId="180" applyNumberFormat="1" applyFont="1" applyFill="1" applyBorder="1"/>
    <xf numFmtId="168" fontId="115" fillId="44" borderId="51" xfId="180" applyNumberFormat="1" applyFont="1" applyFill="1" applyBorder="1"/>
    <xf numFmtId="168" fontId="112" fillId="48" borderId="71" xfId="180" applyNumberFormat="1" applyFont="1" applyFill="1" applyBorder="1"/>
    <xf numFmtId="169" fontId="93" fillId="48" borderId="0" xfId="80" applyNumberFormat="1" applyFont="1" applyFill="1" applyBorder="1"/>
    <xf numFmtId="213" fontId="117" fillId="48" borderId="0" xfId="80" applyNumberFormat="1" applyFont="1" applyFill="1" applyBorder="1"/>
    <xf numFmtId="166" fontId="93" fillId="48" borderId="0" xfId="80" applyNumberFormat="1" applyFont="1" applyFill="1" applyBorder="1"/>
    <xf numFmtId="165" fontId="93" fillId="48" borderId="0" xfId="180" applyNumberFormat="1" applyFont="1" applyFill="1" applyBorder="1"/>
    <xf numFmtId="166" fontId="93" fillId="48" borderId="0" xfId="180" applyNumberFormat="1" applyFont="1" applyFill="1" applyBorder="1"/>
    <xf numFmtId="1" fontId="93" fillId="48" borderId="0" xfId="180" applyNumberFormat="1" applyFont="1" applyFill="1" applyBorder="1"/>
    <xf numFmtId="9" fontId="117" fillId="48" borderId="0" xfId="180" applyNumberFormat="1" applyFont="1" applyFill="1" applyBorder="1"/>
    <xf numFmtId="44" fontId="94" fillId="49" borderId="68" xfId="180" applyNumberFormat="1" applyFont="1" applyFill="1" applyBorder="1"/>
    <xf numFmtId="168" fontId="94" fillId="49" borderId="0" xfId="180" applyNumberFormat="1" applyFont="1" applyFill="1" applyBorder="1"/>
    <xf numFmtId="168" fontId="94" fillId="49" borderId="69" xfId="180" applyNumberFormat="1" applyFont="1" applyFill="1" applyBorder="1"/>
    <xf numFmtId="168" fontId="94" fillId="49" borderId="50" xfId="180" applyNumberFormat="1" applyFont="1" applyFill="1" applyBorder="1"/>
    <xf numFmtId="168" fontId="94" fillId="49" borderId="51" xfId="180" applyNumberFormat="1" applyFont="1" applyFill="1" applyBorder="1"/>
    <xf numFmtId="168" fontId="94" fillId="49" borderId="52" xfId="180" applyNumberFormat="1" applyFont="1" applyFill="1" applyBorder="1"/>
    <xf numFmtId="166" fontId="93" fillId="0" borderId="97" xfId="180" applyNumberFormat="1" applyFont="1" applyFill="1" applyBorder="1"/>
    <xf numFmtId="1" fontId="93" fillId="0" borderId="97" xfId="180" applyNumberFormat="1" applyFont="1" applyFill="1" applyBorder="1"/>
    <xf numFmtId="165" fontId="117" fillId="0" borderId="97" xfId="180" applyNumberFormat="1" applyFont="1" applyFill="1" applyBorder="1"/>
    <xf numFmtId="205" fontId="116" fillId="0" borderId="25" xfId="73" applyNumberFormat="1" applyFont="1" applyFill="1" applyBorder="1"/>
    <xf numFmtId="165" fontId="116" fillId="0" borderId="25" xfId="199" applyNumberFormat="1" applyFont="1" applyFill="1" applyBorder="1"/>
    <xf numFmtId="212" fontId="116" fillId="0" borderId="2" xfId="0" applyNumberFormat="1" applyFont="1" applyBorder="1"/>
    <xf numFmtId="212" fontId="116" fillId="0" borderId="0" xfId="0" applyNumberFormat="1" applyFont="1" applyBorder="1"/>
    <xf numFmtId="44" fontId="116" fillId="0" borderId="2" xfId="0" applyNumberFormat="1" applyFont="1" applyBorder="1"/>
    <xf numFmtId="44" fontId="116" fillId="0" borderId="0" xfId="0" applyNumberFormat="1" applyFont="1" applyBorder="1"/>
    <xf numFmtId="44" fontId="116" fillId="0" borderId="8" xfId="0" applyNumberFormat="1" applyFont="1" applyBorder="1"/>
    <xf numFmtId="38" fontId="131" fillId="0" borderId="0" xfId="187" applyNumberFormat="1" applyFont="1" applyBorder="1"/>
    <xf numFmtId="38" fontId="132" fillId="0" borderId="0" xfId="187" applyNumberFormat="1" applyFont="1" applyBorder="1"/>
    <xf numFmtId="215" fontId="132" fillId="0" borderId="0" xfId="187" applyNumberFormat="1" applyFont="1" applyBorder="1"/>
    <xf numFmtId="0" fontId="131" fillId="42" borderId="0" xfId="180" applyFont="1" applyFill="1" applyBorder="1" applyAlignment="1">
      <alignment horizontal="center"/>
    </xf>
    <xf numFmtId="168" fontId="133" fillId="0" borderId="71" xfId="180" applyNumberFormat="1" applyFont="1" applyFill="1" applyBorder="1" applyAlignment="1">
      <alignment horizontal="center"/>
    </xf>
    <xf numFmtId="168" fontId="132" fillId="0" borderId="0" xfId="180" applyNumberFormat="1" applyFont="1" applyFill="1" applyBorder="1" applyAlignment="1">
      <alignment horizontal="center"/>
    </xf>
    <xf numFmtId="168" fontId="132" fillId="0" borderId="51" xfId="180" applyNumberFormat="1" applyFont="1" applyFill="1" applyBorder="1" applyAlignment="1">
      <alignment horizontal="center"/>
    </xf>
    <xf numFmtId="168" fontId="133" fillId="0" borderId="71" xfId="180" applyNumberFormat="1" applyFont="1" applyFill="1" applyBorder="1"/>
    <xf numFmtId="169" fontId="132" fillId="42" borderId="0" xfId="80" applyNumberFormat="1" applyFont="1" applyFill="1" applyBorder="1"/>
    <xf numFmtId="213" fontId="134" fillId="42" borderId="0" xfId="80" applyNumberFormat="1" applyFont="1" applyFill="1" applyBorder="1"/>
    <xf numFmtId="166" fontId="132" fillId="42" borderId="0" xfId="80" applyNumberFormat="1" applyFont="1" applyFill="1" applyBorder="1"/>
    <xf numFmtId="0" fontId="134" fillId="42" borderId="0" xfId="180" applyFont="1" applyFill="1" applyBorder="1"/>
    <xf numFmtId="0" fontId="132" fillId="42" borderId="0" xfId="180" applyFont="1" applyFill="1" applyBorder="1"/>
    <xf numFmtId="9" fontId="132" fillId="0" borderId="0" xfId="180" applyNumberFormat="1" applyFont="1" applyFill="1" applyBorder="1"/>
    <xf numFmtId="166" fontId="132" fillId="42" borderId="0" xfId="180" applyNumberFormat="1" applyFont="1" applyFill="1" applyBorder="1"/>
    <xf numFmtId="1" fontId="132" fillId="42" borderId="0" xfId="180" applyNumberFormat="1" applyFont="1" applyFill="1" applyBorder="1"/>
    <xf numFmtId="1" fontId="132" fillId="43" borderId="0" xfId="180" applyNumberFormat="1" applyFont="1" applyFill="1" applyBorder="1"/>
    <xf numFmtId="9" fontId="134" fillId="42" borderId="0" xfId="180" applyNumberFormat="1" applyFont="1" applyFill="1" applyBorder="1"/>
    <xf numFmtId="168" fontId="131" fillId="44" borderId="0" xfId="180" applyNumberFormat="1" applyFont="1" applyFill="1" applyBorder="1"/>
    <xf numFmtId="0" fontId="134" fillId="42" borderId="0" xfId="180" applyFont="1" applyFill="1" applyBorder="1" applyAlignment="1">
      <alignment horizontal="left" indent="1"/>
    </xf>
    <xf numFmtId="168" fontId="131" fillId="42" borderId="0" xfId="180" applyNumberFormat="1" applyFont="1" applyFill="1" applyBorder="1"/>
    <xf numFmtId="168" fontId="131" fillId="44" borderId="51" xfId="180" applyNumberFormat="1" applyFont="1" applyFill="1" applyBorder="1"/>
    <xf numFmtId="9" fontId="132" fillId="0" borderId="74" xfId="180" applyNumberFormat="1" applyFont="1" applyFill="1" applyBorder="1"/>
    <xf numFmtId="166" fontId="132" fillId="0" borderId="0" xfId="180" applyNumberFormat="1" applyFont="1" applyFill="1" applyBorder="1"/>
    <xf numFmtId="1" fontId="132" fillId="0" borderId="0" xfId="180" applyNumberFormat="1" applyFont="1" applyFill="1" applyBorder="1"/>
    <xf numFmtId="9" fontId="134" fillId="0" borderId="0" xfId="180" applyNumberFormat="1" applyFont="1" applyFill="1" applyBorder="1"/>
    <xf numFmtId="168" fontId="131" fillId="16" borderId="0" xfId="180" applyNumberFormat="1" applyFont="1" applyFill="1" applyBorder="1"/>
    <xf numFmtId="9" fontId="131" fillId="45" borderId="79" xfId="180" applyNumberFormat="1" applyFont="1" applyFill="1" applyBorder="1"/>
    <xf numFmtId="9" fontId="131" fillId="42" borderId="0" xfId="180" applyNumberFormat="1" applyFont="1" applyFill="1" applyBorder="1"/>
    <xf numFmtId="9" fontId="134" fillId="43" borderId="0" xfId="207" applyFont="1" applyFill="1" applyBorder="1"/>
    <xf numFmtId="9" fontId="132" fillId="0" borderId="0" xfId="187" applyNumberFormat="1" applyFont="1" applyBorder="1"/>
    <xf numFmtId="9" fontId="132" fillId="0" borderId="53" xfId="180" applyNumberFormat="1" applyFont="1" applyFill="1" applyBorder="1"/>
    <xf numFmtId="168" fontId="131" fillId="16" borderId="54" xfId="180" applyNumberFormat="1" applyFont="1" applyFill="1" applyBorder="1"/>
    <xf numFmtId="168" fontId="133" fillId="48" borderId="71" xfId="180" applyNumberFormat="1" applyFont="1" applyFill="1" applyBorder="1"/>
    <xf numFmtId="169" fontId="132" fillId="0" borderId="0" xfId="80" applyNumberFormat="1" applyFont="1" applyFill="1" applyBorder="1"/>
    <xf numFmtId="169" fontId="132" fillId="48" borderId="0" xfId="80" applyNumberFormat="1" applyFont="1" applyFill="1" applyBorder="1"/>
    <xf numFmtId="213" fontId="134" fillId="0" borderId="0" xfId="80" applyNumberFormat="1" applyFont="1" applyFill="1" applyBorder="1"/>
    <xf numFmtId="213" fontId="134" fillId="48" borderId="0" xfId="80" applyNumberFormat="1" applyFont="1" applyFill="1" applyBorder="1"/>
    <xf numFmtId="166" fontId="132" fillId="0" borderId="0" xfId="80" applyNumberFormat="1" applyFont="1" applyFill="1" applyBorder="1"/>
    <xf numFmtId="166" fontId="132" fillId="48" borderId="0" xfId="80" applyNumberFormat="1" applyFont="1" applyFill="1" applyBorder="1"/>
    <xf numFmtId="165" fontId="132" fillId="0" borderId="0" xfId="180" applyNumberFormat="1" applyFont="1" applyFill="1" applyBorder="1"/>
    <xf numFmtId="165" fontId="132" fillId="48" borderId="0" xfId="180" applyNumberFormat="1" applyFont="1" applyFill="1" applyBorder="1"/>
    <xf numFmtId="166" fontId="132" fillId="48" borderId="0" xfId="180" applyNumberFormat="1" applyFont="1" applyFill="1" applyBorder="1"/>
    <xf numFmtId="1" fontId="132" fillId="48" borderId="0" xfId="180" applyNumberFormat="1" applyFont="1" applyFill="1" applyBorder="1"/>
    <xf numFmtId="9" fontId="134" fillId="48" borderId="0" xfId="180" applyNumberFormat="1" applyFont="1" applyFill="1" applyBorder="1"/>
    <xf numFmtId="168" fontId="131" fillId="49" borderId="0" xfId="180" applyNumberFormat="1" applyFont="1" applyFill="1" applyBorder="1"/>
    <xf numFmtId="168" fontId="131" fillId="49" borderId="51" xfId="180" applyNumberFormat="1" applyFont="1" applyFill="1" applyBorder="1"/>
    <xf numFmtId="40" fontId="132" fillId="0" borderId="0" xfId="187" applyNumberFormat="1" applyFont="1" applyBorder="1"/>
    <xf numFmtId="192" fontId="135" fillId="47" borderId="90" xfId="0" applyNumberFormat="1" applyFont="1" applyFill="1" applyBorder="1" applyAlignment="1">
      <alignment horizontal="center"/>
    </xf>
    <xf numFmtId="192" fontId="135" fillId="47" borderId="40" xfId="0" applyNumberFormat="1" applyFont="1" applyFill="1" applyBorder="1" applyAlignment="1">
      <alignment horizontal="center"/>
    </xf>
    <xf numFmtId="192" fontId="135" fillId="47" borderId="32" xfId="0" applyNumberFormat="1" applyFont="1" applyFill="1" applyBorder="1" applyAlignment="1">
      <alignment horizontal="center"/>
    </xf>
    <xf numFmtId="192" fontId="135" fillId="47" borderId="24" xfId="0" applyNumberFormat="1" applyFont="1" applyFill="1" applyBorder="1" applyAlignment="1">
      <alignment horizontal="center"/>
    </xf>
    <xf numFmtId="169" fontId="136" fillId="0" borderId="0" xfId="73" applyNumberFormat="1" applyFont="1" applyFill="1" applyBorder="1" applyAlignment="1">
      <alignment horizontal="right"/>
    </xf>
    <xf numFmtId="169" fontId="136" fillId="0" borderId="25" xfId="73" applyNumberFormat="1" applyFont="1" applyFill="1" applyBorder="1" applyAlignment="1">
      <alignment horizontal="right"/>
    </xf>
    <xf numFmtId="169" fontId="136" fillId="0" borderId="40" xfId="73" applyNumberFormat="1" applyFont="1" applyFill="1" applyBorder="1" applyAlignment="1">
      <alignment horizontal="right"/>
    </xf>
    <xf numFmtId="165" fontId="137" fillId="0" borderId="0" xfId="186" applyNumberFormat="1" applyFont="1" applyFill="1" applyBorder="1"/>
    <xf numFmtId="165" fontId="137" fillId="0" borderId="1" xfId="186" applyNumberFormat="1" applyFont="1" applyFill="1" applyBorder="1" applyAlignment="1"/>
    <xf numFmtId="169" fontId="136" fillId="0" borderId="1" xfId="73" applyNumberFormat="1" applyFont="1" applyFill="1" applyBorder="1" applyAlignment="1">
      <alignment horizontal="right"/>
    </xf>
    <xf numFmtId="165" fontId="137" fillId="0" borderId="1" xfId="186" applyNumberFormat="1" applyFont="1" applyFill="1" applyBorder="1"/>
    <xf numFmtId="165" fontId="137" fillId="0" borderId="0" xfId="186" applyNumberFormat="1" applyFont="1" applyFill="1" applyBorder="1" applyAlignment="1"/>
    <xf numFmtId="169" fontId="136" fillId="0" borderId="0" xfId="73" applyNumberFormat="1" applyFont="1" applyFill="1" applyBorder="1"/>
    <xf numFmtId="169" fontId="136" fillId="0" borderId="25" xfId="73" applyNumberFormat="1" applyFont="1" applyFill="1" applyBorder="1"/>
    <xf numFmtId="169" fontId="136" fillId="0" borderId="1" xfId="73" applyNumberFormat="1" applyFont="1" applyFill="1" applyBorder="1"/>
    <xf numFmtId="165" fontId="137" fillId="0" borderId="25" xfId="186" applyNumberFormat="1" applyFont="1" applyFill="1" applyBorder="1"/>
    <xf numFmtId="169" fontId="136" fillId="0" borderId="1" xfId="73" applyNumberFormat="1" applyFont="1" applyFill="1" applyBorder="1" applyAlignment="1"/>
    <xf numFmtId="205" fontId="135" fillId="30" borderId="92" xfId="73" applyNumberFormat="1" applyFont="1" applyFill="1" applyBorder="1"/>
    <xf numFmtId="165" fontId="137" fillId="0" borderId="0" xfId="199" applyNumberFormat="1" applyFont="1" applyFill="1" applyBorder="1"/>
    <xf numFmtId="165" fontId="137" fillId="0" borderId="1" xfId="199" applyNumberFormat="1" applyFont="1" applyFill="1" applyBorder="1"/>
    <xf numFmtId="205" fontId="136" fillId="0" borderId="0" xfId="73" applyNumberFormat="1" applyFont="1" applyFill="1" applyBorder="1"/>
    <xf numFmtId="205" fontId="136" fillId="0" borderId="1" xfId="73" applyNumberFormat="1" applyFont="1" applyFill="1" applyBorder="1"/>
    <xf numFmtId="165" fontId="137" fillId="0" borderId="8" xfId="199" applyNumberFormat="1" applyFont="1" applyFill="1" applyBorder="1"/>
    <xf numFmtId="165" fontId="137" fillId="0" borderId="27" xfId="199" applyNumberFormat="1" applyFont="1" applyFill="1" applyBorder="1"/>
    <xf numFmtId="205" fontId="135" fillId="0" borderId="0" xfId="73" applyNumberFormat="1" applyFont="1" applyFill="1" applyBorder="1"/>
    <xf numFmtId="205" fontId="135" fillId="0" borderId="1" xfId="73" applyNumberFormat="1" applyFont="1" applyFill="1" applyBorder="1"/>
    <xf numFmtId="165" fontId="136" fillId="0" borderId="1" xfId="73" applyNumberFormat="1" applyFont="1" applyFill="1" applyBorder="1"/>
    <xf numFmtId="166" fontId="136" fillId="0" borderId="0" xfId="73" applyNumberFormat="1" applyFont="1" applyFill="1" applyBorder="1"/>
    <xf numFmtId="166" fontId="136" fillId="0" borderId="1" xfId="73" applyNumberFormat="1" applyFont="1" applyFill="1" applyBorder="1"/>
    <xf numFmtId="192" fontId="136" fillId="0" borderId="1" xfId="0" applyNumberFormat="1" applyFont="1" applyFill="1" applyBorder="1"/>
    <xf numFmtId="205" fontId="136" fillId="0" borderId="44" xfId="73" applyNumberFormat="1" applyFont="1" applyFill="1" applyBorder="1"/>
    <xf numFmtId="165" fontId="136" fillId="0" borderId="0" xfId="199" applyNumberFormat="1" applyFont="1" applyFill="1" applyBorder="1"/>
    <xf numFmtId="165" fontId="136" fillId="0" borderId="44" xfId="199" applyNumberFormat="1" applyFont="1" applyFill="1" applyBorder="1"/>
    <xf numFmtId="165" fontId="136" fillId="0" borderId="1" xfId="199" applyNumberFormat="1" applyFont="1" applyFill="1" applyBorder="1"/>
    <xf numFmtId="205" fontId="135" fillId="0" borderId="2" xfId="73" applyNumberFormat="1" applyFont="1" applyFill="1" applyBorder="1"/>
    <xf numFmtId="205" fontId="135" fillId="0" borderId="31" xfId="73" applyNumberFormat="1" applyFont="1" applyFill="1" applyBorder="1"/>
    <xf numFmtId="165" fontId="137" fillId="0" borderId="0" xfId="73" applyNumberFormat="1" applyFont="1" applyFill="1" applyBorder="1"/>
    <xf numFmtId="165" fontId="137" fillId="0" borderId="1" xfId="73" applyNumberFormat="1" applyFont="1" applyFill="1" applyBorder="1"/>
    <xf numFmtId="205" fontId="136" fillId="0" borderId="1" xfId="0" applyNumberFormat="1" applyFont="1" applyFill="1" applyBorder="1"/>
    <xf numFmtId="206" fontId="135" fillId="0" borderId="2" xfId="73" applyNumberFormat="1" applyFont="1" applyFill="1" applyBorder="1"/>
    <xf numFmtId="206" fontId="135" fillId="0" borderId="31" xfId="73" applyNumberFormat="1" applyFont="1" applyFill="1" applyBorder="1"/>
    <xf numFmtId="206" fontId="135" fillId="0" borderId="71" xfId="73" applyNumberFormat="1" applyFont="1" applyFill="1" applyBorder="1"/>
    <xf numFmtId="206" fontId="135" fillId="0" borderId="92" xfId="73" applyNumberFormat="1" applyFont="1" applyFill="1" applyBorder="1"/>
    <xf numFmtId="206" fontId="135" fillId="0" borderId="95" xfId="73" applyNumberFormat="1" applyFont="1" applyFill="1" applyBorder="1"/>
    <xf numFmtId="166" fontId="135" fillId="0" borderId="0" xfId="73" applyNumberFormat="1" applyFont="1" applyFill="1" applyBorder="1"/>
    <xf numFmtId="166" fontId="135" fillId="0" borderId="1" xfId="73" applyNumberFormat="1" applyFont="1" applyFill="1" applyBorder="1"/>
    <xf numFmtId="192" fontId="135" fillId="0" borderId="1" xfId="0" applyNumberFormat="1" applyFont="1" applyFill="1" applyBorder="1"/>
    <xf numFmtId="192" fontId="136" fillId="0" borderId="0" xfId="73" applyNumberFormat="1" applyFont="1" applyFill="1" applyBorder="1"/>
    <xf numFmtId="192" fontId="136" fillId="0" borderId="1" xfId="73" applyNumberFormat="1" applyFont="1" applyFill="1" applyBorder="1"/>
    <xf numFmtId="192" fontId="136" fillId="0" borderId="32" xfId="73" applyNumberFormat="1" applyFont="1" applyFill="1" applyBorder="1"/>
    <xf numFmtId="192" fontId="136" fillId="0" borderId="24" xfId="73" applyNumberFormat="1" applyFont="1" applyFill="1" applyBorder="1"/>
    <xf numFmtId="166" fontId="137" fillId="0" borderId="0" xfId="73" applyNumberFormat="1" applyFont="1" applyFill="1"/>
    <xf numFmtId="192" fontId="137" fillId="0" borderId="0" xfId="0" applyNumberFormat="1" applyFont="1" applyFill="1"/>
    <xf numFmtId="206" fontId="115" fillId="0" borderId="2" xfId="73" applyNumberFormat="1" applyFont="1" applyFill="1" applyBorder="1"/>
    <xf numFmtId="0" fontId="132" fillId="30" borderId="16" xfId="179" applyFont="1" applyFill="1" applyBorder="1"/>
    <xf numFmtId="0" fontId="132" fillId="30" borderId="0" xfId="179" applyFont="1" applyFill="1" applyBorder="1"/>
    <xf numFmtId="207" fontId="132" fillId="30" borderId="35" xfId="179" applyNumberFormat="1" applyFont="1" applyFill="1" applyBorder="1" applyAlignment="1">
      <alignment horizontal="right"/>
    </xf>
    <xf numFmtId="207" fontId="132" fillId="30" borderId="0" xfId="179" applyNumberFormat="1" applyFont="1" applyFill="1" applyBorder="1" applyAlignment="1">
      <alignment horizontal="right"/>
    </xf>
    <xf numFmtId="207" fontId="132" fillId="30" borderId="37" xfId="179" applyNumberFormat="1" applyFont="1" applyFill="1" applyBorder="1" applyAlignment="1">
      <alignment horizontal="right"/>
    </xf>
    <xf numFmtId="217" fontId="132" fillId="30" borderId="37" xfId="79" applyNumberFormat="1" applyFont="1" applyFill="1" applyBorder="1" applyAlignment="1">
      <alignment horizontal="right"/>
    </xf>
    <xf numFmtId="169" fontId="132" fillId="30" borderId="37" xfId="79" applyNumberFormat="1" applyFont="1" applyFill="1" applyBorder="1" applyAlignment="1">
      <alignment horizontal="right"/>
    </xf>
    <xf numFmtId="43" fontId="132" fillId="30" borderId="37" xfId="79" applyFont="1" applyFill="1" applyBorder="1" applyAlignment="1">
      <alignment horizontal="right"/>
    </xf>
    <xf numFmtId="0" fontId="132" fillId="30" borderId="21" xfId="179" applyFont="1" applyFill="1" applyBorder="1"/>
    <xf numFmtId="0" fontId="132" fillId="30" borderId="8" xfId="179" applyFont="1" applyFill="1" applyBorder="1"/>
    <xf numFmtId="43" fontId="132" fillId="30" borderId="39" xfId="79" applyFont="1" applyFill="1" applyBorder="1" applyAlignment="1">
      <alignment horizontal="right"/>
    </xf>
    <xf numFmtId="205" fontId="135" fillId="0" borderId="44" xfId="73" applyNumberFormat="1" applyFont="1" applyFill="1" applyBorder="1"/>
    <xf numFmtId="165" fontId="136" fillId="0" borderId="44" xfId="73" applyNumberFormat="1" applyFont="1" applyFill="1" applyBorder="1"/>
    <xf numFmtId="166" fontId="136" fillId="0" borderId="44" xfId="73" applyNumberFormat="1" applyFont="1" applyFill="1" applyBorder="1"/>
    <xf numFmtId="205" fontId="135" fillId="0" borderId="47" xfId="73" applyNumberFormat="1" applyFont="1" applyFill="1" applyBorder="1"/>
    <xf numFmtId="165" fontId="137" fillId="0" borderId="44" xfId="199" applyNumberFormat="1" applyFont="1" applyFill="1" applyBorder="1"/>
    <xf numFmtId="165" fontId="137" fillId="0" borderId="45" xfId="199" applyNumberFormat="1" applyFont="1" applyFill="1" applyBorder="1"/>
    <xf numFmtId="10" fontId="116" fillId="0" borderId="0" xfId="180" applyNumberFormat="1" applyFont="1" applyFill="1" applyBorder="1"/>
    <xf numFmtId="10" fontId="93" fillId="0" borderId="0" xfId="180" applyNumberFormat="1" applyFont="1" applyFill="1" applyBorder="1"/>
    <xf numFmtId="10" fontId="93" fillId="0" borderId="69" xfId="180" applyNumberFormat="1" applyFont="1" applyFill="1" applyBorder="1"/>
    <xf numFmtId="164" fontId="138" fillId="0" borderId="0" xfId="0" applyFont="1" applyFill="1" applyBorder="1"/>
    <xf numFmtId="192" fontId="139" fillId="0" borderId="0" xfId="0" applyNumberFormat="1" applyFont="1" applyFill="1" applyBorder="1"/>
    <xf numFmtId="192" fontId="139" fillId="0" borderId="0" xfId="0" applyNumberFormat="1" applyFont="1" applyFill="1" applyBorder="1" applyAlignment="1">
      <alignment horizontal="right"/>
    </xf>
    <xf numFmtId="164" fontId="138" fillId="0" borderId="0" xfId="0" applyFont="1"/>
    <xf numFmtId="164" fontId="139" fillId="0" borderId="0" xfId="0" applyFont="1" applyFill="1" applyBorder="1"/>
    <xf numFmtId="0" fontId="140" fillId="0" borderId="0" xfId="0" applyNumberFormat="1" applyFont="1" applyFill="1" applyBorder="1" applyAlignment="1">
      <alignment horizontal="right"/>
    </xf>
    <xf numFmtId="0" fontId="141" fillId="0" borderId="87" xfId="0" applyNumberFormat="1" applyFont="1" applyFill="1" applyBorder="1" applyAlignment="1"/>
    <xf numFmtId="0" fontId="141" fillId="0" borderId="88" xfId="0" applyNumberFormat="1" applyFont="1" applyFill="1" applyBorder="1" applyAlignment="1">
      <alignment wrapText="1"/>
    </xf>
    <xf numFmtId="194" fontId="142" fillId="0" borderId="88" xfId="0" applyNumberFormat="1" applyFont="1" applyFill="1" applyBorder="1" applyAlignment="1">
      <alignment horizontal="right" wrapText="1"/>
    </xf>
    <xf numFmtId="194" fontId="141" fillId="0" borderId="88" xfId="0" applyNumberFormat="1" applyFont="1" applyFill="1" applyBorder="1" applyAlignment="1">
      <alignment horizontal="right" wrapText="1"/>
    </xf>
    <xf numFmtId="194" fontId="141" fillId="0" borderId="89" xfId="0" applyNumberFormat="1" applyFont="1" applyFill="1" applyBorder="1" applyAlignment="1">
      <alignment horizontal="right" wrapText="1"/>
    </xf>
    <xf numFmtId="0" fontId="141" fillId="0" borderId="68" xfId="0" applyNumberFormat="1" applyFont="1" applyFill="1" applyBorder="1" applyAlignment="1"/>
    <xf numFmtId="0" fontId="143" fillId="0" borderId="0" xfId="0" applyNumberFormat="1" applyFont="1" applyFill="1" applyBorder="1" applyAlignment="1"/>
    <xf numFmtId="0" fontId="144" fillId="0" borderId="0" xfId="0" applyNumberFormat="1" applyFont="1" applyFill="1" applyBorder="1"/>
    <xf numFmtId="0" fontId="138" fillId="0" borderId="0" xfId="0" applyNumberFormat="1" applyFont="1" applyFill="1" applyBorder="1"/>
    <xf numFmtId="0" fontId="145" fillId="0" borderId="0" xfId="0" applyNumberFormat="1" applyFont="1" applyFill="1" applyBorder="1"/>
    <xf numFmtId="164" fontId="138" fillId="0" borderId="69" xfId="0" applyFont="1" applyFill="1" applyBorder="1"/>
    <xf numFmtId="0" fontId="143" fillId="0" borderId="68" xfId="0" applyNumberFormat="1" applyFont="1" applyFill="1" applyBorder="1" applyAlignment="1"/>
    <xf numFmtId="166" fontId="144" fillId="0" borderId="0" xfId="73" applyNumberFormat="1" applyFont="1" applyFill="1" applyBorder="1" applyAlignment="1">
      <alignment horizontal="center"/>
    </xf>
    <xf numFmtId="166" fontId="138" fillId="0" borderId="0" xfId="73" applyNumberFormat="1" applyFont="1" applyFill="1" applyBorder="1" applyAlignment="1">
      <alignment horizontal="center"/>
    </xf>
    <xf numFmtId="166" fontId="138" fillId="0" borderId="69" xfId="73" applyNumberFormat="1" applyFont="1" applyFill="1" applyBorder="1" applyAlignment="1">
      <alignment horizontal="center"/>
    </xf>
    <xf numFmtId="166" fontId="144" fillId="0" borderId="0" xfId="73" applyNumberFormat="1" applyFont="1" applyFill="1" applyBorder="1" applyAlignment="1">
      <alignment horizontal="right"/>
    </xf>
    <xf numFmtId="166" fontId="138" fillId="0" borderId="0" xfId="73" applyNumberFormat="1" applyFont="1" applyFill="1" applyBorder="1" applyAlignment="1">
      <alignment horizontal="right"/>
    </xf>
    <xf numFmtId="166" fontId="138" fillId="0" borderId="69" xfId="73" applyNumberFormat="1" applyFont="1" applyFill="1" applyBorder="1" applyAlignment="1">
      <alignment horizontal="right"/>
    </xf>
    <xf numFmtId="166" fontId="138" fillId="0" borderId="97" xfId="73" applyNumberFormat="1" applyFont="1" applyFill="1" applyBorder="1" applyAlignment="1">
      <alignment horizontal="right"/>
    </xf>
    <xf numFmtId="9" fontId="138" fillId="0" borderId="0" xfId="199" applyFont="1"/>
    <xf numFmtId="0" fontId="143" fillId="0" borderId="0" xfId="0" quotePrefix="1" applyNumberFormat="1" applyFont="1" applyFill="1" applyBorder="1" applyAlignment="1"/>
    <xf numFmtId="166" fontId="142" fillId="0" borderId="0" xfId="73" applyNumberFormat="1" applyFont="1" applyFill="1" applyBorder="1" applyAlignment="1">
      <alignment horizontal="center"/>
    </xf>
    <xf numFmtId="166" fontId="141" fillId="0" borderId="0" xfId="73" applyNumberFormat="1" applyFont="1" applyFill="1" applyBorder="1" applyAlignment="1">
      <alignment horizontal="center"/>
    </xf>
    <xf numFmtId="166" fontId="141" fillId="0" borderId="97" xfId="73" applyNumberFormat="1" applyFont="1" applyFill="1" applyBorder="1" applyAlignment="1">
      <alignment horizontal="center"/>
    </xf>
    <xf numFmtId="166" fontId="144" fillId="0" borderId="0" xfId="73" applyNumberFormat="1" applyFont="1" applyFill="1" applyBorder="1"/>
    <xf numFmtId="166" fontId="138" fillId="0" borderId="0" xfId="73" applyNumberFormat="1" applyFont="1" applyFill="1" applyBorder="1"/>
    <xf numFmtId="166" fontId="145" fillId="0" borderId="0" xfId="73" applyNumberFormat="1" applyFont="1" applyFill="1" applyBorder="1"/>
    <xf numFmtId="164" fontId="138" fillId="0" borderId="97" xfId="0" applyFont="1" applyFill="1" applyBorder="1"/>
    <xf numFmtId="43" fontId="144" fillId="0" borderId="0" xfId="73" applyNumberFormat="1" applyFont="1" applyFill="1" applyBorder="1"/>
    <xf numFmtId="43" fontId="138" fillId="0" borderId="0" xfId="73" applyNumberFormat="1" applyFont="1" applyFill="1" applyBorder="1"/>
    <xf numFmtId="43" fontId="138" fillId="0" borderId="69" xfId="73" applyNumberFormat="1" applyFont="1" applyFill="1" applyBorder="1"/>
    <xf numFmtId="166" fontId="138" fillId="0" borderId="69" xfId="73" applyNumberFormat="1" applyFont="1" applyFill="1" applyBorder="1"/>
    <xf numFmtId="0" fontId="141" fillId="0" borderId="50" xfId="0" applyNumberFormat="1" applyFont="1" applyFill="1" applyBorder="1" applyAlignment="1"/>
    <xf numFmtId="164" fontId="138" fillId="0" borderId="51" xfId="0" applyFont="1" applyFill="1" applyBorder="1"/>
    <xf numFmtId="166" fontId="141" fillId="0" borderId="51" xfId="73" applyNumberFormat="1" applyFont="1" applyFill="1" applyBorder="1"/>
    <xf numFmtId="166" fontId="138" fillId="0" borderId="51" xfId="73" applyNumberFormat="1" applyFont="1" applyFill="1" applyBorder="1"/>
    <xf numFmtId="164" fontId="138" fillId="0" borderId="52" xfId="0" applyFont="1" applyFill="1" applyBorder="1"/>
    <xf numFmtId="0" fontId="141" fillId="0" borderId="0" xfId="0" applyNumberFormat="1" applyFont="1" applyFill="1" applyBorder="1" applyAlignment="1"/>
    <xf numFmtId="0" fontId="141" fillId="0" borderId="0" xfId="0" applyNumberFormat="1" applyFont="1" applyFill="1" applyBorder="1" applyAlignment="1" applyProtection="1"/>
    <xf numFmtId="193" fontId="141" fillId="0" borderId="0" xfId="0" applyNumberFormat="1" applyFont="1" applyFill="1" applyBorder="1" applyAlignment="1" applyProtection="1"/>
    <xf numFmtId="166" fontId="141" fillId="0" borderId="0" xfId="73" applyNumberFormat="1" applyFont="1" applyFill="1" applyBorder="1" applyAlignment="1" applyProtection="1"/>
    <xf numFmtId="0" fontId="139" fillId="0" borderId="0" xfId="179" applyFont="1" applyFill="1" applyBorder="1"/>
    <xf numFmtId="0" fontId="138" fillId="0" borderId="0" xfId="179" applyFont="1" applyFill="1" applyBorder="1"/>
    <xf numFmtId="0" fontId="138" fillId="0" borderId="0" xfId="179" applyFont="1" applyFill="1" applyBorder="1" applyAlignment="1">
      <alignment horizontal="center"/>
    </xf>
    <xf numFmtId="0" fontId="143" fillId="0" borderId="87" xfId="0" applyNumberFormat="1" applyFont="1" applyFill="1" applyBorder="1" applyAlignment="1"/>
    <xf numFmtId="166" fontId="143" fillId="0" borderId="89" xfId="73" applyNumberFormat="1" applyFont="1" applyFill="1" applyBorder="1" applyAlignment="1"/>
    <xf numFmtId="0" fontId="143" fillId="0" borderId="87" xfId="0" applyNumberFormat="1" applyFont="1" applyFill="1" applyBorder="1" applyAlignment="1" applyProtection="1"/>
    <xf numFmtId="193" fontId="141" fillId="0" borderId="88" xfId="0" applyNumberFormat="1" applyFont="1" applyFill="1" applyBorder="1" applyAlignment="1" applyProtection="1"/>
    <xf numFmtId="166" fontId="143" fillId="0" borderId="89" xfId="73" applyNumberFormat="1" applyFont="1" applyFill="1" applyBorder="1" applyAlignment="1" applyProtection="1"/>
    <xf numFmtId="0" fontId="139" fillId="0" borderId="87" xfId="179" applyFont="1" applyFill="1" applyBorder="1"/>
    <xf numFmtId="0" fontId="139" fillId="0" borderId="88" xfId="179" applyFont="1" applyFill="1" applyBorder="1" applyAlignment="1">
      <alignment horizontal="center"/>
    </xf>
    <xf numFmtId="0" fontId="139" fillId="0" borderId="89" xfId="179" applyFont="1" applyFill="1" applyBorder="1" applyAlignment="1">
      <alignment horizontal="center"/>
    </xf>
    <xf numFmtId="165" fontId="141" fillId="0" borderId="69" xfId="199" applyNumberFormat="1" applyFont="1" applyFill="1" applyBorder="1"/>
    <xf numFmtId="0" fontId="143" fillId="0" borderId="68" xfId="0" applyNumberFormat="1" applyFont="1" applyFill="1" applyBorder="1" applyAlignment="1" applyProtection="1"/>
    <xf numFmtId="166" fontId="143" fillId="0" borderId="69" xfId="73" applyNumberFormat="1" applyFont="1" applyFill="1" applyBorder="1" applyAlignment="1" applyProtection="1"/>
    <xf numFmtId="0" fontId="138" fillId="0" borderId="68" xfId="179" applyFont="1" applyFill="1" applyBorder="1"/>
    <xf numFmtId="9" fontId="138" fillId="0" borderId="0" xfId="179" applyNumberFormat="1" applyFont="1" applyFill="1" applyBorder="1" applyAlignment="1">
      <alignment horizontal="center"/>
    </xf>
    <xf numFmtId="208" fontId="138" fillId="0" borderId="69" xfId="179" applyNumberFormat="1" applyFont="1" applyFill="1" applyBorder="1" applyAlignment="1">
      <alignment horizontal="center"/>
    </xf>
    <xf numFmtId="0" fontId="138" fillId="0" borderId="68" xfId="179" applyFont="1" applyFill="1" applyBorder="1" applyAlignment="1">
      <alignment horizontal="left"/>
    </xf>
    <xf numFmtId="208" fontId="138" fillId="0" borderId="69" xfId="79" applyNumberFormat="1" applyFont="1" applyFill="1" applyBorder="1" applyAlignment="1">
      <alignment horizontal="center"/>
    </xf>
    <xf numFmtId="165" fontId="138" fillId="0" borderId="0" xfId="199" applyNumberFormat="1" applyFont="1"/>
    <xf numFmtId="166" fontId="143" fillId="0" borderId="69" xfId="73" applyNumberFormat="1" applyFont="1" applyFill="1" applyBorder="1" applyAlignment="1"/>
    <xf numFmtId="193" fontId="143" fillId="0" borderId="0" xfId="0" applyNumberFormat="1" applyFont="1" applyFill="1" applyBorder="1" applyAlignment="1" applyProtection="1"/>
    <xf numFmtId="164" fontId="138" fillId="0" borderId="68" xfId="0" applyFont="1" applyBorder="1"/>
    <xf numFmtId="164" fontId="138" fillId="0" borderId="0" xfId="0" applyFont="1" applyBorder="1"/>
    <xf numFmtId="208" fontId="138" fillId="0" borderId="69" xfId="0" applyNumberFormat="1" applyFont="1" applyBorder="1"/>
    <xf numFmtId="0" fontId="143" fillId="0" borderId="50" xfId="0" applyNumberFormat="1" applyFont="1" applyFill="1" applyBorder="1" applyAlignment="1"/>
    <xf numFmtId="166" fontId="143" fillId="0" borderId="52" xfId="73" applyNumberFormat="1" applyFont="1" applyFill="1" applyBorder="1" applyAlignment="1"/>
    <xf numFmtId="0" fontId="141" fillId="0" borderId="50" xfId="0" applyNumberFormat="1" applyFont="1" applyFill="1" applyBorder="1" applyAlignment="1" applyProtection="1"/>
    <xf numFmtId="193" fontId="141" fillId="0" borderId="51" xfId="0" applyNumberFormat="1" applyFont="1" applyFill="1" applyBorder="1" applyAlignment="1" applyProtection="1"/>
    <xf numFmtId="43" fontId="141" fillId="0" borderId="52" xfId="73" applyNumberFormat="1" applyFont="1" applyFill="1" applyBorder="1" applyAlignment="1" applyProtection="1"/>
    <xf numFmtId="0" fontId="139" fillId="0" borderId="68" xfId="179" applyFont="1" applyFill="1" applyBorder="1" applyAlignment="1">
      <alignment horizontal="left"/>
    </xf>
    <xf numFmtId="208" fontId="139" fillId="0" borderId="69" xfId="179" applyNumberFormat="1" applyFont="1" applyFill="1" applyBorder="1" applyAlignment="1">
      <alignment horizontal="center"/>
    </xf>
    <xf numFmtId="166" fontId="143" fillId="0" borderId="0" xfId="73" applyNumberFormat="1" applyFont="1" applyFill="1" applyBorder="1" applyAlignment="1"/>
    <xf numFmtId="43" fontId="141" fillId="0" borderId="0" xfId="73" applyNumberFormat="1" applyFont="1" applyFill="1" applyBorder="1" applyAlignment="1" applyProtection="1"/>
    <xf numFmtId="166" fontId="138" fillId="0" borderId="0" xfId="73" applyNumberFormat="1" applyFont="1" applyFill="1" applyBorder="1" applyAlignment="1"/>
    <xf numFmtId="9" fontId="138" fillId="0" borderId="69" xfId="79" applyNumberFormat="1" applyFont="1" applyFill="1" applyBorder="1" applyAlignment="1">
      <alignment horizontal="center"/>
    </xf>
    <xf numFmtId="0" fontId="143" fillId="0" borderId="50" xfId="179" applyFont="1" applyFill="1" applyBorder="1" applyAlignment="1">
      <alignment horizontal="left"/>
    </xf>
    <xf numFmtId="0" fontId="143" fillId="0" borderId="51" xfId="179" applyFont="1" applyFill="1" applyBorder="1"/>
    <xf numFmtId="0" fontId="143" fillId="0" borderId="52" xfId="179" applyFont="1" applyFill="1" applyBorder="1" applyAlignment="1">
      <alignment horizontal="center"/>
    </xf>
    <xf numFmtId="164" fontId="146" fillId="0" borderId="0" xfId="0" applyFont="1" applyFill="1" applyBorder="1"/>
    <xf numFmtId="0" fontId="140" fillId="0" borderId="0" xfId="0" applyNumberFormat="1" applyFont="1" applyFill="1" applyBorder="1"/>
    <xf numFmtId="166" fontId="146" fillId="0" borderId="0" xfId="73" applyNumberFormat="1" applyFont="1" applyFill="1" applyBorder="1"/>
    <xf numFmtId="166" fontId="146" fillId="0" borderId="0" xfId="73" applyNumberFormat="1" applyFont="1" applyFill="1" applyBorder="1" applyAlignment="1"/>
    <xf numFmtId="164" fontId="146" fillId="0" borderId="0" xfId="0" applyFont="1"/>
    <xf numFmtId="192" fontId="139" fillId="0" borderId="0" xfId="0" applyNumberFormat="1" applyFont="1" applyBorder="1"/>
    <xf numFmtId="164" fontId="138" fillId="42" borderId="0" xfId="0" applyFont="1" applyFill="1"/>
    <xf numFmtId="192" fontId="139" fillId="30" borderId="0" xfId="0" applyNumberFormat="1" applyFont="1" applyFill="1" applyAlignment="1">
      <alignment horizontal="right"/>
    </xf>
    <xf numFmtId="164" fontId="139" fillId="42" borderId="0" xfId="0" applyFont="1" applyFill="1"/>
    <xf numFmtId="0" fontId="140" fillId="30" borderId="16" xfId="0" applyNumberFormat="1" applyFont="1" applyFill="1" applyBorder="1" applyAlignment="1">
      <alignment horizontal="right"/>
    </xf>
    <xf numFmtId="164" fontId="138" fillId="42" borderId="0" xfId="0" applyFont="1" applyFill="1" applyBorder="1"/>
    <xf numFmtId="0" fontId="141" fillId="42" borderId="0" xfId="193" applyFont="1" applyFill="1" applyBorder="1" applyAlignment="1">
      <alignment horizontal="center"/>
    </xf>
    <xf numFmtId="0" fontId="143" fillId="42" borderId="0" xfId="193" applyFont="1" applyFill="1" applyBorder="1"/>
    <xf numFmtId="0" fontId="141" fillId="42" borderId="0" xfId="193" applyFont="1" applyFill="1" applyBorder="1" applyAlignment="1">
      <alignment horizontal="left"/>
    </xf>
    <xf numFmtId="0" fontId="141" fillId="42" borderId="0" xfId="193" applyFont="1" applyFill="1" applyBorder="1" applyAlignment="1">
      <alignment horizontal="centerContinuous"/>
    </xf>
    <xf numFmtId="164" fontId="138" fillId="42" borderId="87" xfId="0" applyFont="1" applyFill="1" applyBorder="1"/>
    <xf numFmtId="14" fontId="141" fillId="42" borderId="88" xfId="193" applyNumberFormat="1" applyFont="1" applyFill="1" applyBorder="1" applyAlignment="1">
      <alignment horizontal="center"/>
    </xf>
    <xf numFmtId="0" fontId="141" fillId="42" borderId="88" xfId="193" applyFont="1" applyFill="1" applyBorder="1" applyAlignment="1">
      <alignment horizontal="center"/>
    </xf>
    <xf numFmtId="0" fontId="141" fillId="42" borderId="89" xfId="193" applyFont="1" applyFill="1" applyBorder="1" applyAlignment="1">
      <alignment horizontal="center"/>
    </xf>
    <xf numFmtId="164" fontId="138" fillId="42" borderId="50" xfId="0" applyFont="1" applyFill="1" applyBorder="1"/>
    <xf numFmtId="206" fontId="141" fillId="42" borderId="51" xfId="193" applyNumberFormat="1" applyFont="1" applyFill="1" applyBorder="1" applyAlignment="1">
      <alignment horizontal="center"/>
    </xf>
    <xf numFmtId="9" fontId="141" fillId="42" borderId="51" xfId="199" applyFont="1" applyFill="1" applyBorder="1" applyAlignment="1">
      <alignment horizontal="center"/>
    </xf>
    <xf numFmtId="14" fontId="141" fillId="42" borderId="51" xfId="193" applyNumberFormat="1" applyFont="1" applyFill="1" applyBorder="1" applyAlignment="1">
      <alignment horizontal="center"/>
    </xf>
    <xf numFmtId="209" fontId="141" fillId="42" borderId="51" xfId="193" applyNumberFormat="1" applyFont="1" applyFill="1" applyBorder="1" applyAlignment="1">
      <alignment horizontal="center"/>
    </xf>
    <xf numFmtId="172" fontId="141" fillId="42" borderId="51" xfId="193" applyNumberFormat="1" applyFont="1" applyFill="1" applyBorder="1" applyAlignment="1">
      <alignment horizontal="center"/>
    </xf>
    <xf numFmtId="165" fontId="141" fillId="42" borderId="51" xfId="199" applyNumberFormat="1" applyFont="1" applyFill="1" applyBorder="1" applyAlignment="1">
      <alignment horizontal="center"/>
    </xf>
    <xf numFmtId="165" fontId="141" fillId="42" borderId="52" xfId="199" applyNumberFormat="1" applyFont="1" applyFill="1" applyBorder="1" applyAlignment="1">
      <alignment horizontal="center"/>
    </xf>
    <xf numFmtId="0" fontId="141" fillId="42" borderId="0" xfId="193" applyFont="1" applyFill="1" applyBorder="1"/>
    <xf numFmtId="0" fontId="143" fillId="42" borderId="87" xfId="193" applyFont="1" applyFill="1" applyBorder="1"/>
    <xf numFmtId="0" fontId="141" fillId="42" borderId="88" xfId="193" applyFont="1" applyFill="1" applyBorder="1" applyAlignment="1">
      <alignment horizontal="centerContinuous"/>
    </xf>
    <xf numFmtId="0" fontId="141" fillId="42" borderId="89" xfId="193" applyFont="1" applyFill="1" applyBorder="1" applyAlignment="1">
      <alignment horizontal="centerContinuous"/>
    </xf>
    <xf numFmtId="0" fontId="143" fillId="42" borderId="68" xfId="193" applyFont="1" applyFill="1" applyBorder="1"/>
    <xf numFmtId="195" fontId="141" fillId="42" borderId="0" xfId="193" applyNumberFormat="1" applyFont="1" applyFill="1" applyBorder="1" applyAlignment="1">
      <alignment horizontal="center"/>
    </xf>
    <xf numFmtId="195" fontId="141" fillId="42" borderId="69" xfId="193" applyNumberFormat="1" applyFont="1" applyFill="1" applyBorder="1" applyAlignment="1">
      <alignment horizontal="center"/>
    </xf>
    <xf numFmtId="210" fontId="141" fillId="42" borderId="0" xfId="193" applyNumberFormat="1" applyFont="1" applyFill="1" applyBorder="1" applyAlignment="1">
      <alignment horizontal="center"/>
    </xf>
    <xf numFmtId="210" fontId="141" fillId="42" borderId="69" xfId="193" applyNumberFormat="1" applyFont="1" applyFill="1" applyBorder="1" applyAlignment="1">
      <alignment horizontal="center"/>
    </xf>
    <xf numFmtId="165" fontId="141" fillId="42" borderId="0" xfId="193" applyNumberFormat="1" applyFont="1" applyFill="1" applyBorder="1" applyAlignment="1">
      <alignment horizontal="center"/>
    </xf>
    <xf numFmtId="44" fontId="143" fillId="42" borderId="0" xfId="81" applyFont="1" applyFill="1" applyBorder="1" applyAlignment="1">
      <alignment horizontal="right"/>
    </xf>
    <xf numFmtId="44" fontId="143" fillId="42" borderId="0" xfId="81" applyFont="1" applyFill="1" applyBorder="1"/>
    <xf numFmtId="44" fontId="143" fillId="42" borderId="69" xfId="81" applyFont="1" applyFill="1" applyBorder="1"/>
    <xf numFmtId="43" fontId="143" fillId="42" borderId="0" xfId="81" applyNumberFormat="1" applyFont="1" applyFill="1" applyBorder="1"/>
    <xf numFmtId="43" fontId="143" fillId="42" borderId="69" xfId="81" applyNumberFormat="1" applyFont="1" applyFill="1" applyBorder="1"/>
    <xf numFmtId="165" fontId="139" fillId="42" borderId="0" xfId="199" applyNumberFormat="1" applyFont="1" applyFill="1" applyBorder="1" applyAlignment="1">
      <alignment horizontal="center"/>
    </xf>
    <xf numFmtId="211" fontId="143" fillId="42" borderId="0" xfId="193" applyNumberFormat="1" applyFont="1" applyFill="1" applyBorder="1"/>
    <xf numFmtId="206" fontId="141" fillId="42" borderId="96" xfId="193" applyNumberFormat="1" applyFont="1" applyFill="1" applyBorder="1"/>
    <xf numFmtId="211" fontId="143" fillId="42" borderId="69" xfId="193" applyNumberFormat="1" applyFont="1" applyFill="1" applyBorder="1"/>
    <xf numFmtId="0" fontId="143" fillId="42" borderId="50" xfId="193" applyFont="1" applyFill="1" applyBorder="1"/>
    <xf numFmtId="165" fontId="141" fillId="42" borderId="51" xfId="193" applyNumberFormat="1" applyFont="1" applyFill="1" applyBorder="1" applyAlignment="1">
      <alignment horizontal="center"/>
    </xf>
    <xf numFmtId="43" fontId="143" fillId="42" borderId="51" xfId="81" applyNumberFormat="1" applyFont="1" applyFill="1" applyBorder="1"/>
    <xf numFmtId="43" fontId="143" fillId="42" borderId="52" xfId="81" applyNumberFormat="1" applyFont="1" applyFill="1" applyBorder="1"/>
    <xf numFmtId="14" fontId="141" fillId="42" borderId="87" xfId="193" applyNumberFormat="1" applyFont="1" applyFill="1" applyBorder="1" applyAlignment="1">
      <alignment horizontal="center"/>
    </xf>
    <xf numFmtId="0" fontId="141" fillId="42" borderId="68" xfId="193" applyFont="1" applyFill="1" applyBorder="1" applyAlignment="1">
      <alignment horizontal="center"/>
    </xf>
    <xf numFmtId="210" fontId="147" fillId="42" borderId="0" xfId="193" applyNumberFormat="1" applyFont="1" applyFill="1" applyBorder="1"/>
    <xf numFmtId="210" fontId="147" fillId="42" borderId="69" xfId="193" applyNumberFormat="1" applyFont="1" applyFill="1" applyBorder="1"/>
    <xf numFmtId="165" fontId="143" fillId="42" borderId="68" xfId="193" applyNumberFormat="1" applyFont="1" applyFill="1" applyBorder="1" applyAlignment="1">
      <alignment horizontal="center"/>
    </xf>
    <xf numFmtId="206" fontId="143" fillId="42" borderId="0" xfId="193" applyNumberFormat="1" applyFont="1" applyFill="1" applyBorder="1"/>
    <xf numFmtId="43" fontId="143" fillId="42" borderId="0" xfId="193" applyNumberFormat="1" applyFont="1" applyFill="1" applyBorder="1"/>
    <xf numFmtId="165" fontId="141" fillId="42" borderId="68" xfId="193" applyNumberFormat="1" applyFont="1" applyFill="1" applyBorder="1" applyAlignment="1">
      <alignment horizontal="center"/>
    </xf>
    <xf numFmtId="211" fontId="141" fillId="42" borderId="0" xfId="193" applyNumberFormat="1" applyFont="1" applyFill="1" applyBorder="1"/>
    <xf numFmtId="206" fontId="141" fillId="42" borderId="0" xfId="193" applyNumberFormat="1" applyFont="1" applyFill="1" applyBorder="1"/>
    <xf numFmtId="165" fontId="143" fillId="42" borderId="50" xfId="193" applyNumberFormat="1" applyFont="1" applyFill="1" applyBorder="1" applyAlignment="1">
      <alignment horizontal="center"/>
    </xf>
    <xf numFmtId="211" fontId="143" fillId="42" borderId="51" xfId="193" applyNumberFormat="1" applyFont="1" applyFill="1" applyBorder="1"/>
    <xf numFmtId="0" fontId="143" fillId="41" borderId="0" xfId="193" applyFont="1" applyFill="1"/>
    <xf numFmtId="169" fontId="116" fillId="0" borderId="0" xfId="73" applyNumberFormat="1" applyFont="1" applyFill="1" applyBorder="1"/>
    <xf numFmtId="10" fontId="132" fillId="0" borderId="0" xfId="180" applyNumberFormat="1" applyFont="1" applyFill="1" applyBorder="1"/>
    <xf numFmtId="1" fontId="116" fillId="42" borderId="97" xfId="180" applyNumberFormat="1" applyFont="1" applyFill="1" applyBorder="1"/>
    <xf numFmtId="9" fontId="93" fillId="0" borderId="97" xfId="180" applyNumberFormat="1" applyFont="1" applyFill="1" applyBorder="1"/>
    <xf numFmtId="166" fontId="93" fillId="42" borderId="97" xfId="180" applyNumberFormat="1" applyFont="1" applyFill="1" applyBorder="1"/>
    <xf numFmtId="38" fontId="114" fillId="0" borderId="68" xfId="187" applyNumberFormat="1" applyFont="1" applyBorder="1"/>
    <xf numFmtId="0" fontId="8" fillId="41" borderId="0" xfId="0" applyNumberFormat="1" applyFont="1" applyFill="1"/>
    <xf numFmtId="0" fontId="8" fillId="41" borderId="0" xfId="0" applyNumberFormat="1" applyFont="1" applyFill="1"/>
    <xf numFmtId="2" fontId="8" fillId="41" borderId="0" xfId="0" applyNumberFormat="1" applyFont="1" applyFill="1"/>
    <xf numFmtId="14" fontId="96" fillId="30" borderId="20" xfId="179" applyNumberFormat="1" applyFont="1" applyFill="1" applyBorder="1" applyAlignment="1">
      <alignment horizontal="right"/>
    </xf>
    <xf numFmtId="14" fontId="96" fillId="30" borderId="12" xfId="179" applyNumberFormat="1" applyFont="1" applyFill="1" applyBorder="1" applyAlignment="1">
      <alignment horizontal="right"/>
    </xf>
    <xf numFmtId="164" fontId="116" fillId="0" borderId="0" xfId="0" applyFont="1"/>
    <xf numFmtId="192" fontId="47" fillId="30" borderId="0" xfId="0" applyNumberFormat="1" applyFont="1" applyFill="1" applyAlignment="1">
      <alignment horizontal="right"/>
    </xf>
    <xf numFmtId="0" fontId="115" fillId="0" borderId="0" xfId="0" applyNumberFormat="1" applyFont="1"/>
    <xf numFmtId="0" fontId="118" fillId="0" borderId="0" xfId="0" applyNumberFormat="1" applyFont="1"/>
    <xf numFmtId="0" fontId="150" fillId="30" borderId="16" xfId="0" applyNumberFormat="1" applyFont="1" applyFill="1" applyBorder="1" applyAlignment="1">
      <alignment horizontal="right"/>
    </xf>
    <xf numFmtId="164" fontId="115" fillId="0" borderId="0" xfId="0" applyFont="1" applyFill="1" applyBorder="1" applyAlignment="1">
      <alignment horizontal="center"/>
    </xf>
    <xf numFmtId="164" fontId="94" fillId="0" borderId="0" xfId="0" applyFont="1" applyFill="1" applyBorder="1" applyAlignment="1">
      <alignment horizontal="center"/>
    </xf>
    <xf numFmtId="164" fontId="93" fillId="0" borderId="0" xfId="0" applyFont="1" applyFill="1" applyBorder="1"/>
    <xf numFmtId="164" fontId="93" fillId="0" borderId="87" xfId="0" applyFont="1" applyFill="1" applyBorder="1"/>
    <xf numFmtId="192" fontId="115" fillId="0" borderId="88" xfId="0" applyNumberFormat="1" applyFont="1" applyFill="1" applyBorder="1" applyAlignment="1">
      <alignment horizontal="center"/>
    </xf>
    <xf numFmtId="164" fontId="116" fillId="0" borderId="88" xfId="0" applyFont="1" applyFill="1" applyBorder="1"/>
    <xf numFmtId="164" fontId="93" fillId="0" borderId="88" xfId="0" applyFont="1" applyFill="1" applyBorder="1" applyAlignment="1">
      <alignment horizontal="center"/>
    </xf>
    <xf numFmtId="164" fontId="93" fillId="0" borderId="89" xfId="0" applyFont="1" applyBorder="1"/>
    <xf numFmtId="164" fontId="93" fillId="0" borderId="50" xfId="0" applyFont="1" applyFill="1" applyBorder="1"/>
    <xf numFmtId="192" fontId="115" fillId="0" borderId="51" xfId="0" applyNumberFormat="1" applyFont="1" applyFill="1" applyBorder="1" applyAlignment="1">
      <alignment horizontal="center"/>
    </xf>
    <xf numFmtId="164" fontId="115" fillId="0" borderId="51" xfId="0" applyFont="1" applyFill="1" applyBorder="1" applyAlignment="1">
      <alignment horizontal="center"/>
    </xf>
    <xf numFmtId="164" fontId="115" fillId="0" borderId="52" xfId="0" applyFont="1" applyFill="1" applyBorder="1" applyAlignment="1">
      <alignment horizontal="center"/>
    </xf>
    <xf numFmtId="174" fontId="94" fillId="0" borderId="68" xfId="0" applyNumberFormat="1" applyFont="1" applyFill="1" applyBorder="1"/>
    <xf numFmtId="37" fontId="93" fillId="0" borderId="0" xfId="0" applyNumberFormat="1" applyFont="1" applyFill="1" applyBorder="1" applyAlignment="1">
      <alignment horizontal="center"/>
    </xf>
    <xf numFmtId="37" fontId="93" fillId="0" borderId="89" xfId="0" applyNumberFormat="1" applyFont="1" applyFill="1" applyBorder="1" applyAlignment="1">
      <alignment horizontal="center"/>
    </xf>
    <xf numFmtId="174" fontId="130" fillId="0" borderId="50" xfId="0" applyNumberFormat="1" applyFont="1" applyFill="1" applyBorder="1"/>
    <xf numFmtId="37" fontId="129" fillId="0" borderId="51" xfId="0" applyNumberFormat="1" applyFont="1" applyFill="1" applyBorder="1" applyAlignment="1">
      <alignment horizontal="center"/>
    </xf>
    <xf numFmtId="37" fontId="129" fillId="0" borderId="52" xfId="0" applyNumberFormat="1" applyFont="1" applyFill="1" applyBorder="1" applyAlignment="1">
      <alignment horizontal="center"/>
    </xf>
    <xf numFmtId="172" fontId="129" fillId="0" borderId="0" xfId="0" applyNumberFormat="1" applyFont="1" applyBorder="1" applyAlignment="1">
      <alignment horizontal="center"/>
    </xf>
    <xf numFmtId="164" fontId="129" fillId="0" borderId="0" xfId="0" applyFont="1" applyBorder="1"/>
    <xf numFmtId="164" fontId="129" fillId="0" borderId="0" xfId="0" applyFont="1"/>
    <xf numFmtId="164" fontId="116" fillId="0" borderId="0" xfId="0" applyFont="1" applyFill="1" applyBorder="1"/>
    <xf numFmtId="164" fontId="93" fillId="0" borderId="0" xfId="0" applyFont="1" applyFill="1" applyBorder="1" applyAlignment="1">
      <alignment horizontal="center"/>
    </xf>
    <xf numFmtId="164" fontId="94" fillId="0" borderId="0" xfId="0" applyFont="1" applyFill="1" applyBorder="1" applyAlignment="1">
      <alignment horizontal="center"/>
    </xf>
    <xf numFmtId="164" fontId="93" fillId="0" borderId="88" xfId="0" applyFont="1" applyFill="1" applyBorder="1"/>
    <xf numFmtId="164" fontId="94" fillId="0" borderId="51" xfId="0" applyFont="1" applyFill="1" applyBorder="1" applyAlignment="1">
      <alignment horizontal="center"/>
    </xf>
    <xf numFmtId="164" fontId="94" fillId="0" borderId="52" xfId="0" applyFont="1" applyFill="1" applyBorder="1" applyAlignment="1">
      <alignment horizontal="center"/>
    </xf>
    <xf numFmtId="39" fontId="93" fillId="0" borderId="0" xfId="0" applyNumberFormat="1" applyFont="1" applyFill="1" applyBorder="1" applyAlignment="1">
      <alignment horizontal="center"/>
    </xf>
    <xf numFmtId="39" fontId="93" fillId="0" borderId="89" xfId="0" applyNumberFormat="1" applyFont="1" applyFill="1" applyBorder="1" applyAlignment="1">
      <alignment horizontal="center"/>
    </xf>
    <xf numFmtId="39" fontId="129" fillId="0" borderId="51" xfId="0" applyNumberFormat="1" applyFont="1" applyFill="1" applyBorder="1" applyAlignment="1">
      <alignment horizontal="center"/>
    </xf>
    <xf numFmtId="164" fontId="129" fillId="0" borderId="51" xfId="0" applyFont="1" applyFill="1" applyBorder="1" applyAlignment="1">
      <alignment horizontal="center"/>
    </xf>
    <xf numFmtId="164" fontId="129" fillId="0" borderId="52" xfId="0" applyFont="1" applyBorder="1" applyAlignment="1">
      <alignment horizontal="center"/>
    </xf>
    <xf numFmtId="164" fontId="114" fillId="0" borderId="0" xfId="0" applyFont="1"/>
    <xf numFmtId="164" fontId="93" fillId="0" borderId="0" xfId="0" applyFont="1" applyFill="1" applyAlignment="1">
      <alignment horizontal="center"/>
    </xf>
    <xf numFmtId="0" fontId="114" fillId="0" borderId="0" xfId="0" applyNumberFormat="1" applyFont="1" applyBorder="1"/>
    <xf numFmtId="164" fontId="93" fillId="0" borderId="0" xfId="0" applyFont="1" applyFill="1"/>
    <xf numFmtId="164" fontId="93" fillId="42" borderId="0" xfId="0" applyFont="1" applyFill="1"/>
    <xf numFmtId="0" fontId="150" fillId="42" borderId="0" xfId="0" applyNumberFormat="1" applyFont="1" applyFill="1" applyBorder="1" applyAlignment="1">
      <alignment horizontal="right"/>
    </xf>
    <xf numFmtId="164" fontId="93" fillId="42" borderId="0" xfId="0" applyFont="1" applyFill="1" applyBorder="1"/>
    <xf numFmtId="164" fontId="94" fillId="46" borderId="87" xfId="0" applyFont="1" applyFill="1" applyBorder="1"/>
    <xf numFmtId="164" fontId="94" fillId="46" borderId="88" xfId="0" applyFont="1" applyFill="1" applyBorder="1"/>
    <xf numFmtId="164" fontId="94" fillId="46" borderId="89" xfId="0" applyFont="1" applyFill="1" applyBorder="1"/>
    <xf numFmtId="164" fontId="93" fillId="42" borderId="59" xfId="0" applyFont="1" applyFill="1" applyBorder="1"/>
    <xf numFmtId="164" fontId="93" fillId="42" borderId="53" xfId="0" applyFont="1" applyFill="1" applyBorder="1"/>
    <xf numFmtId="164" fontId="93" fillId="42" borderId="56" xfId="0" applyFont="1" applyFill="1" applyBorder="1"/>
    <xf numFmtId="164" fontId="93" fillId="42" borderId="60" xfId="0" applyFont="1" applyFill="1" applyBorder="1"/>
    <xf numFmtId="164" fontId="93" fillId="42" borderId="55" xfId="0" applyFont="1" applyFill="1" applyBorder="1"/>
    <xf numFmtId="164" fontId="93" fillId="42" borderId="57" xfId="0" applyFont="1" applyFill="1" applyBorder="1"/>
    <xf numFmtId="164" fontId="93" fillId="42" borderId="61" xfId="0" applyFont="1" applyFill="1" applyBorder="1"/>
    <xf numFmtId="164" fontId="93" fillId="42" borderId="54" xfId="0" applyFont="1" applyFill="1" applyBorder="1"/>
    <xf numFmtId="164" fontId="93" fillId="42" borderId="58" xfId="0" applyFont="1" applyFill="1" applyBorder="1"/>
    <xf numFmtId="164" fontId="93" fillId="42" borderId="50" xfId="0" applyFont="1" applyFill="1" applyBorder="1"/>
    <xf numFmtId="164" fontId="93" fillId="42" borderId="51" xfId="0" applyFont="1" applyFill="1" applyBorder="1"/>
    <xf numFmtId="164" fontId="93" fillId="42" borderId="52" xfId="0" applyFont="1" applyFill="1" applyBorder="1"/>
    <xf numFmtId="192" fontId="47" fillId="42" borderId="0" xfId="0" applyNumberFormat="1" applyFont="1" applyFill="1" applyBorder="1" applyAlignment="1">
      <alignment horizontal="right"/>
    </xf>
    <xf numFmtId="164" fontId="94" fillId="46" borderId="65" xfId="0" applyFont="1" applyFill="1" applyBorder="1" applyAlignment="1">
      <alignment horizontal="left"/>
    </xf>
    <xf numFmtId="164" fontId="94" fillId="46" borderId="66" xfId="0" applyFont="1" applyFill="1" applyBorder="1"/>
    <xf numFmtId="164" fontId="94" fillId="46" borderId="67" xfId="0" applyFont="1" applyFill="1" applyBorder="1"/>
    <xf numFmtId="0" fontId="93" fillId="42" borderId="60" xfId="0" applyNumberFormat="1" applyFont="1" applyFill="1" applyBorder="1" applyAlignment="1">
      <alignment horizontal="left"/>
    </xf>
    <xf numFmtId="0" fontId="93" fillId="42" borderId="62" xfId="0" applyNumberFormat="1" applyFont="1" applyFill="1" applyBorder="1" applyAlignment="1">
      <alignment horizontal="left"/>
    </xf>
    <xf numFmtId="164" fontId="93" fillId="42" borderId="63" xfId="0" applyFont="1" applyFill="1" applyBorder="1"/>
    <xf numFmtId="164" fontId="93" fillId="42" borderId="64" xfId="0" applyFont="1" applyFill="1" applyBorder="1"/>
    <xf numFmtId="2" fontId="93" fillId="42" borderId="0" xfId="0" applyNumberFormat="1" applyFont="1" applyFill="1"/>
    <xf numFmtId="2" fontId="93" fillId="42" borderId="0" xfId="0" applyNumberFormat="1" applyFont="1" applyFill="1" applyBorder="1"/>
    <xf numFmtId="2" fontId="94" fillId="42" borderId="65" xfId="0" applyNumberFormat="1" applyFont="1" applyFill="1" applyBorder="1" applyAlignment="1">
      <alignment horizontal="center" vertical="center" wrapText="1"/>
    </xf>
    <xf numFmtId="1" fontId="94" fillId="42" borderId="66" xfId="0" applyNumberFormat="1" applyFont="1" applyFill="1" applyBorder="1" applyAlignment="1">
      <alignment horizontal="center" vertical="center" wrapText="1"/>
    </xf>
    <xf numFmtId="1" fontId="94" fillId="42" borderId="67" xfId="0" applyNumberFormat="1" applyFont="1" applyFill="1" applyBorder="1" applyAlignment="1">
      <alignment horizontal="center" vertical="center" wrapText="1"/>
    </xf>
    <xf numFmtId="164" fontId="93" fillId="42" borderId="0" xfId="0" applyFont="1" applyFill="1" applyBorder="1" applyAlignment="1">
      <alignment wrapText="1"/>
    </xf>
    <xf numFmtId="164" fontId="93" fillId="42" borderId="0" xfId="0" applyFont="1" applyFill="1" applyAlignment="1">
      <alignment wrapText="1"/>
    </xf>
    <xf numFmtId="2" fontId="94" fillId="42" borderId="60" xfId="0" applyNumberFormat="1" applyFont="1" applyFill="1" applyBorder="1" applyAlignment="1">
      <alignment horizontal="left" vertical="center" wrapText="1"/>
    </xf>
    <xf numFmtId="1" fontId="93" fillId="42" borderId="55" xfId="0" applyNumberFormat="1" applyFont="1" applyFill="1" applyBorder="1" applyAlignment="1">
      <alignment horizontal="center" vertical="center" wrapText="1"/>
    </xf>
    <xf numFmtId="1" fontId="93" fillId="42" borderId="57" xfId="0" applyNumberFormat="1" applyFont="1" applyFill="1" applyBorder="1" applyAlignment="1">
      <alignment horizontal="center" vertical="center" wrapText="1"/>
    </xf>
    <xf numFmtId="9" fontId="93" fillId="42" borderId="55" xfId="0" applyNumberFormat="1" applyFont="1" applyFill="1" applyBorder="1" applyAlignment="1">
      <alignment horizontal="center" vertical="center" wrapText="1"/>
    </xf>
    <xf numFmtId="9" fontId="93" fillId="42" borderId="57" xfId="0" applyNumberFormat="1" applyFont="1" applyFill="1" applyBorder="1" applyAlignment="1">
      <alignment horizontal="center" vertical="center" wrapText="1"/>
    </xf>
    <xf numFmtId="0" fontId="93" fillId="42" borderId="55" xfId="0" applyNumberFormat="1" applyFont="1" applyFill="1" applyBorder="1" applyAlignment="1">
      <alignment horizontal="center" vertical="center" wrapText="1"/>
    </xf>
    <xf numFmtId="0" fontId="93" fillId="42" borderId="57" xfId="0" applyNumberFormat="1" applyFont="1" applyFill="1" applyBorder="1" applyAlignment="1">
      <alignment horizontal="center" vertical="center" wrapText="1"/>
    </xf>
    <xf numFmtId="1" fontId="125" fillId="42" borderId="55" xfId="0" applyNumberFormat="1" applyFont="1" applyFill="1" applyBorder="1" applyAlignment="1">
      <alignment horizontal="center" vertical="center" wrapText="1"/>
    </xf>
    <xf numFmtId="1" fontId="152" fillId="42" borderId="55" xfId="0" applyNumberFormat="1" applyFont="1" applyFill="1" applyBorder="1" applyAlignment="1">
      <alignment horizontal="center" vertical="center" wrapText="1"/>
    </xf>
    <xf numFmtId="2" fontId="94" fillId="42" borderId="62" xfId="0" applyNumberFormat="1" applyFont="1" applyFill="1" applyBorder="1" applyAlignment="1">
      <alignment horizontal="left" vertical="center" wrapText="1"/>
    </xf>
    <xf numFmtId="1" fontId="93" fillId="42" borderId="63" xfId="0" applyNumberFormat="1" applyFont="1" applyFill="1" applyBorder="1" applyAlignment="1">
      <alignment horizontal="center" vertical="center" wrapText="1"/>
    </xf>
    <xf numFmtId="1" fontId="93" fillId="42" borderId="64" xfId="0" applyNumberFormat="1" applyFont="1" applyFill="1" applyBorder="1" applyAlignment="1">
      <alignment horizontal="center" vertical="center" wrapText="1"/>
    </xf>
    <xf numFmtId="1" fontId="93" fillId="42" borderId="0" xfId="0" applyNumberFormat="1" applyFont="1" applyFill="1" applyBorder="1" applyAlignment="1">
      <alignment horizontal="center"/>
    </xf>
    <xf numFmtId="1" fontId="93" fillId="42" borderId="0" xfId="0" applyNumberFormat="1" applyFont="1" applyFill="1" applyAlignment="1">
      <alignment horizontal="center"/>
    </xf>
  </cellXfs>
  <cellStyles count="258">
    <cellStyle name="(z*¯_x000f_°(”,¯?À(¢,¯?Ð(°,¯?à(Â,¯?ð(Ô,¯?" xfId="1" xr:uid="{00000000-0005-0000-0000-000000000000}"/>
    <cellStyle name="_Comma" xfId="2" xr:uid="{00000000-0005-0000-0000-000001000000}"/>
    <cellStyle name="_Currency" xfId="3" xr:uid="{00000000-0005-0000-0000-000002000000}"/>
    <cellStyle name="_Currency_Analysis" xfId="4" xr:uid="{00000000-0005-0000-0000-000003000000}"/>
    <cellStyle name="_Currency_Smartportfolio model" xfId="5" xr:uid="{00000000-0005-0000-0000-000004000000}"/>
    <cellStyle name="_Currency_Smartportfolio model_Valuation Analysis 2.19 and after" xfId="6" xr:uid="{00000000-0005-0000-0000-000005000000}"/>
    <cellStyle name="_CurrencySpace" xfId="7" xr:uid="{00000000-0005-0000-0000-000006000000}"/>
    <cellStyle name="_Multiple" xfId="8" xr:uid="{00000000-0005-0000-0000-000007000000}"/>
    <cellStyle name="_Multiple_Analysis" xfId="9" xr:uid="{00000000-0005-0000-0000-000008000000}"/>
    <cellStyle name="_Multiple_Analysis_Valuation Analysis 2.19 and after" xfId="10" xr:uid="{00000000-0005-0000-0000-000009000000}"/>
    <cellStyle name="_Multiple_Smartportfolio model" xfId="11" xr:uid="{00000000-0005-0000-0000-00000A000000}"/>
    <cellStyle name="_MultipleSpace" xfId="12" xr:uid="{00000000-0005-0000-0000-00000B000000}"/>
    <cellStyle name="_MultipleSpace_Analysis" xfId="13" xr:uid="{00000000-0005-0000-0000-00000C000000}"/>
    <cellStyle name="_MultipleSpace_Smartportfolio model" xfId="14" xr:uid="{00000000-0005-0000-0000-00000D000000}"/>
    <cellStyle name="_MultipleSpace_Smartportfolio model_Valuation Analysis 2.19 and after" xfId="15" xr:uid="{00000000-0005-0000-0000-00000E000000}"/>
    <cellStyle name="_Percent" xfId="16" xr:uid="{00000000-0005-0000-0000-00000F000000}"/>
    <cellStyle name="_Percent_Analysis" xfId="17" xr:uid="{00000000-0005-0000-0000-000010000000}"/>
    <cellStyle name="_Percent_Smartportfolio model" xfId="18" xr:uid="{00000000-0005-0000-0000-000011000000}"/>
    <cellStyle name="_Percent_Smartportfolio model_Valuation Analysis 2.19 and after" xfId="19" xr:uid="{00000000-0005-0000-0000-000012000000}"/>
    <cellStyle name="_PercentSpace" xfId="20" xr:uid="{00000000-0005-0000-0000-000013000000}"/>
    <cellStyle name="_PercentSpace_Analysis" xfId="21" xr:uid="{00000000-0005-0000-0000-000014000000}"/>
    <cellStyle name="_PercentSpace_Smartportfolio model" xfId="22" xr:uid="{00000000-0005-0000-0000-000015000000}"/>
    <cellStyle name="=C:\WINNT\SYSTEM32\COMMAND.COM" xfId="23" xr:uid="{00000000-0005-0000-0000-000016000000}"/>
    <cellStyle name="=C:\WINNT35\SYSTEM32\COMMAND.COM" xfId="24" xr:uid="{00000000-0005-0000-0000-000017000000}"/>
    <cellStyle name="20% - Accent1" xfId="25" builtinId="30" customBuiltin="1"/>
    <cellStyle name="20% - Accent2" xfId="26" builtinId="34" customBuiltin="1"/>
    <cellStyle name="20% - Accent3" xfId="27" builtinId="38" customBuiltin="1"/>
    <cellStyle name="20% - Accent4" xfId="28" builtinId="42" customBuiltin="1"/>
    <cellStyle name="20% - Accent5" xfId="29" builtinId="46" customBuiltin="1"/>
    <cellStyle name="20% - Accent6" xfId="30" builtinId="50" customBuiltin="1"/>
    <cellStyle name="40% - Accent1" xfId="31" builtinId="31" customBuiltin="1"/>
    <cellStyle name="40% - Accent2" xfId="32" builtinId="35" customBuiltin="1"/>
    <cellStyle name="40% - Accent3" xfId="33" builtinId="39" customBuiltin="1"/>
    <cellStyle name="40% - Accent4" xfId="34" builtinId="43" customBuiltin="1"/>
    <cellStyle name="40% - Accent5" xfId="35" builtinId="47" customBuiltin="1"/>
    <cellStyle name="40% - Accent6" xfId="36" builtinId="51" customBuiltin="1"/>
    <cellStyle name="60% - Accent1" xfId="37" builtinId="32" customBuiltin="1"/>
    <cellStyle name="60% - Accent2" xfId="38" builtinId="36" customBuiltin="1"/>
    <cellStyle name="60% - Accent3" xfId="39" builtinId="40" customBuiltin="1"/>
    <cellStyle name="60% - Accent4" xfId="40" builtinId="44" customBuiltin="1"/>
    <cellStyle name="60% - Accent5" xfId="41" builtinId="48" customBuiltin="1"/>
    <cellStyle name="60% - Accent6" xfId="42" builtinId="52" customBuiltin="1"/>
    <cellStyle name="A_Block Space" xfId="43" xr:uid="{00000000-0005-0000-0000-00002A000000}"/>
    <cellStyle name="A_BlueLine" xfId="44" xr:uid="{00000000-0005-0000-0000-00002B000000}"/>
    <cellStyle name="A_Do not Change" xfId="45" xr:uid="{00000000-0005-0000-0000-00002C000000}"/>
    <cellStyle name="A_Estimate" xfId="46" xr:uid="{00000000-0005-0000-0000-00002D000000}"/>
    <cellStyle name="A_Memo" xfId="47" xr:uid="{00000000-0005-0000-0000-00002E000000}"/>
    <cellStyle name="A_Normal" xfId="48" xr:uid="{00000000-0005-0000-0000-00002F000000}"/>
    <cellStyle name="A_Normal Forecast" xfId="49" xr:uid="{00000000-0005-0000-0000-000030000000}"/>
    <cellStyle name="A_Normal Historical" xfId="50" xr:uid="{00000000-0005-0000-0000-000031000000}"/>
    <cellStyle name="A_Rate_Data" xfId="51" xr:uid="{00000000-0005-0000-0000-000032000000}"/>
    <cellStyle name="A_Rate_Data Historical" xfId="52" xr:uid="{00000000-0005-0000-0000-000033000000}"/>
    <cellStyle name="A_Rate_Title" xfId="53" xr:uid="{00000000-0005-0000-0000-000034000000}"/>
    <cellStyle name="A_Simple Title" xfId="54" xr:uid="{00000000-0005-0000-0000-000035000000}"/>
    <cellStyle name="A_Sum" xfId="55" xr:uid="{00000000-0005-0000-0000-000036000000}"/>
    <cellStyle name="A_SUM_Row Major" xfId="56" xr:uid="{00000000-0005-0000-0000-000037000000}"/>
    <cellStyle name="A_SUM_Row Minor" xfId="57" xr:uid="{00000000-0005-0000-0000-000038000000}"/>
    <cellStyle name="A_Title" xfId="58" xr:uid="{00000000-0005-0000-0000-000039000000}"/>
    <cellStyle name="A_YearHeadings" xfId="59" xr:uid="{00000000-0005-0000-0000-00003A000000}"/>
    <cellStyle name="Accent1" xfId="60" builtinId="29" customBuiltin="1"/>
    <cellStyle name="Accent2" xfId="61" builtinId="33" customBuiltin="1"/>
    <cellStyle name="Accent3" xfId="62" builtinId="37" customBuiltin="1"/>
    <cellStyle name="Accent4" xfId="63" builtinId="41" customBuiltin="1"/>
    <cellStyle name="Accent5" xfId="64" builtinId="45" customBuiltin="1"/>
    <cellStyle name="Accent6" xfId="65" builtinId="49" customBuiltin="1"/>
    <cellStyle name="Bad" xfId="66" builtinId="27" customBuiltin="1"/>
    <cellStyle name="Blue" xfId="67" xr:uid="{00000000-0005-0000-0000-000042000000}"/>
    <cellStyle name="Calculation" xfId="68" builtinId="22" customBuiltin="1"/>
    <cellStyle name="ChartingText" xfId="69" xr:uid="{00000000-0005-0000-0000-000044000000}"/>
    <cellStyle name="Check Cell" xfId="70" builtinId="23" customBuiltin="1"/>
    <cellStyle name="Code" xfId="71" xr:uid="{00000000-0005-0000-0000-000046000000}"/>
    <cellStyle name="ColumnHeaderNormal" xfId="72" xr:uid="{00000000-0005-0000-0000-000047000000}"/>
    <cellStyle name="Comma" xfId="73" builtinId="3"/>
    <cellStyle name="Comma [2]" xfId="74" xr:uid="{00000000-0005-0000-0000-000049000000}"/>
    <cellStyle name="Comma 0" xfId="75" xr:uid="{00000000-0005-0000-0000-00004A000000}"/>
    <cellStyle name="Comma 0*" xfId="76" xr:uid="{00000000-0005-0000-0000-00004B000000}"/>
    <cellStyle name="Comma 2" xfId="77" xr:uid="{00000000-0005-0000-0000-00004C000000}"/>
    <cellStyle name="Comma 3" xfId="78" xr:uid="{00000000-0005-0000-0000-00004D000000}"/>
    <cellStyle name="Comma 4" xfId="79" xr:uid="{00000000-0005-0000-0000-00004E000000}"/>
    <cellStyle name="Comma 5" xfId="80" xr:uid="{00000000-0005-0000-0000-00004F000000}"/>
    <cellStyle name="Currency" xfId="81" builtinId="4"/>
    <cellStyle name="Currency [2]" xfId="82" xr:uid="{00000000-0005-0000-0000-000051000000}"/>
    <cellStyle name="Currency 0" xfId="83" xr:uid="{00000000-0005-0000-0000-000052000000}"/>
    <cellStyle name="Currency 2" xfId="84" xr:uid="{00000000-0005-0000-0000-000053000000}"/>
    <cellStyle name="DataBases" xfId="85" xr:uid="{00000000-0005-0000-0000-000054000000}"/>
    <cellStyle name="DataToHide" xfId="86" xr:uid="{00000000-0005-0000-0000-000055000000}"/>
    <cellStyle name="Date" xfId="87" xr:uid="{00000000-0005-0000-0000-000056000000}"/>
    <cellStyle name="Date [mmm-yy]" xfId="88" xr:uid="{00000000-0005-0000-0000-000057000000}"/>
    <cellStyle name="Date Aligned" xfId="89" xr:uid="{00000000-0005-0000-0000-000058000000}"/>
    <cellStyle name="Dotted Line" xfId="90" xr:uid="{00000000-0005-0000-0000-000059000000}"/>
    <cellStyle name="Entities" xfId="91" xr:uid="{00000000-0005-0000-0000-00005A000000}"/>
    <cellStyle name="Euro" xfId="92" xr:uid="{00000000-0005-0000-0000-00005B000000}"/>
    <cellStyle name="Explanatory Text" xfId="93" builtinId="53" customBuiltin="1"/>
    <cellStyle name="Final_Data" xfId="94" xr:uid="{00000000-0005-0000-0000-00005D000000}"/>
    <cellStyle name="Footnote" xfId="95" xr:uid="{00000000-0005-0000-0000-00005E000000}"/>
    <cellStyle name="Good" xfId="96" builtinId="26" customBuiltin="1"/>
    <cellStyle name="GSExhibit-Body1-CHI" xfId="97" xr:uid="{00000000-0005-0000-0000-000060000000}"/>
    <cellStyle name="GSExhibit-Body1-ENG" xfId="98" xr:uid="{00000000-0005-0000-0000-000061000000}"/>
    <cellStyle name="GSExhibit-Body1-JPN" xfId="99" xr:uid="{00000000-0005-0000-0000-000062000000}"/>
    <cellStyle name="GSExhibit-Body2-CHI" xfId="100" xr:uid="{00000000-0005-0000-0000-000063000000}"/>
    <cellStyle name="GSExhibit-Body2-ENG" xfId="101" xr:uid="{00000000-0005-0000-0000-000064000000}"/>
    <cellStyle name="GSExhibit-Body2-JPN" xfId="102" xr:uid="{00000000-0005-0000-0000-000065000000}"/>
    <cellStyle name="GSExhibit-Body3-CHI" xfId="103" xr:uid="{00000000-0005-0000-0000-000066000000}"/>
    <cellStyle name="GSExhibit-Body3-ENG" xfId="104" xr:uid="{00000000-0005-0000-0000-000067000000}"/>
    <cellStyle name="GSExhibit-Body3-JPN" xfId="105" xr:uid="{00000000-0005-0000-0000-000068000000}"/>
    <cellStyle name="GSExhibit-BoldBody1-CHI" xfId="106" xr:uid="{00000000-0005-0000-0000-000069000000}"/>
    <cellStyle name="GSExhibit-BoldBody1-ENG" xfId="107" xr:uid="{00000000-0005-0000-0000-00006A000000}"/>
    <cellStyle name="GSExhibit-BoldBody1-JPN" xfId="108" xr:uid="{00000000-0005-0000-0000-00006B000000}"/>
    <cellStyle name="GSExhibit-BoldBody2-CHI" xfId="109" xr:uid="{00000000-0005-0000-0000-00006C000000}"/>
    <cellStyle name="GSExhibit-BoldBody2-ENG" xfId="110" xr:uid="{00000000-0005-0000-0000-00006D000000}"/>
    <cellStyle name="GSExhibit-BoldBody2-JPN" xfId="111" xr:uid="{00000000-0005-0000-0000-00006E000000}"/>
    <cellStyle name="GSExhibit-Footnote3-CHI" xfId="112" xr:uid="{00000000-0005-0000-0000-00006F000000}"/>
    <cellStyle name="GSExhibit-Footnote3-ENG" xfId="113" xr:uid="{00000000-0005-0000-0000-000070000000}"/>
    <cellStyle name="GSExhibit-Footnote3-JPN" xfId="114" xr:uid="{00000000-0005-0000-0000-000071000000}"/>
    <cellStyle name="GSExhibit-FootnoteI2-CHI" xfId="115" xr:uid="{00000000-0005-0000-0000-000072000000}"/>
    <cellStyle name="GSExhibit-FootnoteI2-ENG" xfId="116" xr:uid="{00000000-0005-0000-0000-000073000000}"/>
    <cellStyle name="GSExhibit-FootnoteI2-JPN" xfId="117" xr:uid="{00000000-0005-0000-0000-000074000000}"/>
    <cellStyle name="GSExhibit-FootnoteR2-CHI" xfId="118" xr:uid="{00000000-0005-0000-0000-000075000000}"/>
    <cellStyle name="GSExhibit-FootnoteR2-ENG" xfId="119" xr:uid="{00000000-0005-0000-0000-000076000000}"/>
    <cellStyle name="GSExhibit-FootnoteR2-JPN" xfId="120" xr:uid="{00000000-0005-0000-0000-000077000000}"/>
    <cellStyle name="GSExhibit-Header1-CHI" xfId="121" xr:uid="{00000000-0005-0000-0000-000078000000}"/>
    <cellStyle name="GSExhibit-Header1-ENG" xfId="122" xr:uid="{00000000-0005-0000-0000-000079000000}"/>
    <cellStyle name="GSExhibit-Header1-JPN" xfId="123" xr:uid="{00000000-0005-0000-0000-00007A000000}"/>
    <cellStyle name="GSExhibit-Header2-CHI" xfId="124" xr:uid="{00000000-0005-0000-0000-00007B000000}"/>
    <cellStyle name="GSExhibit-Header2-ENG" xfId="125" xr:uid="{00000000-0005-0000-0000-00007C000000}"/>
    <cellStyle name="GSExhibit-Header2-JPN" xfId="126" xr:uid="{00000000-0005-0000-0000-00007D000000}"/>
    <cellStyle name="GSExhibit-Header3-CHI" xfId="127" xr:uid="{00000000-0005-0000-0000-00007E000000}"/>
    <cellStyle name="GSExhibit-Header3-ENG" xfId="128" xr:uid="{00000000-0005-0000-0000-00007F000000}"/>
    <cellStyle name="GSExhibit-Header3-JPN" xfId="129" xr:uid="{00000000-0005-0000-0000-000080000000}"/>
    <cellStyle name="GSExhibit-Price" xfId="130" xr:uid="{00000000-0005-0000-0000-000081000000}"/>
    <cellStyle name="GSExhibit-RightBody1-CHI" xfId="131" xr:uid="{00000000-0005-0000-0000-000082000000}"/>
    <cellStyle name="GSExhibit-RightBody1-ENG" xfId="132" xr:uid="{00000000-0005-0000-0000-000083000000}"/>
    <cellStyle name="GSExhibit-RightBody1-JPN" xfId="133" xr:uid="{00000000-0005-0000-0000-000084000000}"/>
    <cellStyle name="GSExhibit-RightBody2-CHI" xfId="134" xr:uid="{00000000-0005-0000-0000-000085000000}"/>
    <cellStyle name="GSExhibit-RightBody2-ENG" xfId="135" xr:uid="{00000000-0005-0000-0000-000086000000}"/>
    <cellStyle name="GSExhibit-RightBody2-JPN" xfId="136" xr:uid="{00000000-0005-0000-0000-000087000000}"/>
    <cellStyle name="GSExhibit-RightBody3-CHI" xfId="137" xr:uid="{00000000-0005-0000-0000-000088000000}"/>
    <cellStyle name="GSExhibit-RightBody3-ENG" xfId="138" xr:uid="{00000000-0005-0000-0000-000089000000}"/>
    <cellStyle name="GSExhibit-RightBody3-JPN" xfId="139" xr:uid="{00000000-0005-0000-0000-00008A000000}"/>
    <cellStyle name="GSExhibit-RightBoldBody1-CHI" xfId="140" xr:uid="{00000000-0005-0000-0000-00008B000000}"/>
    <cellStyle name="GSExhibit-RightBoldBody1-ENG" xfId="141" xr:uid="{00000000-0005-0000-0000-00008C000000}"/>
    <cellStyle name="GSExhibit-RightBoldBody1-JPN" xfId="142" xr:uid="{00000000-0005-0000-0000-00008D000000}"/>
    <cellStyle name="GSExhibit-RightBoldBody2-CHI" xfId="143" xr:uid="{00000000-0005-0000-0000-00008E000000}"/>
    <cellStyle name="GSExhibit-RightBoldBody2-ENG" xfId="144" xr:uid="{00000000-0005-0000-0000-00008F000000}"/>
    <cellStyle name="GSExhibit-RightBoldBody2-JPN" xfId="145" xr:uid="{00000000-0005-0000-0000-000090000000}"/>
    <cellStyle name="GSExhibit-RightHeader1-CHI" xfId="146" xr:uid="{00000000-0005-0000-0000-000091000000}"/>
    <cellStyle name="GSExhibit-RightHeader1-ENG" xfId="147" xr:uid="{00000000-0005-0000-0000-000092000000}"/>
    <cellStyle name="GSExhibit-RightHeader1-JPN" xfId="148" xr:uid="{00000000-0005-0000-0000-000093000000}"/>
    <cellStyle name="GSExhibit-RightHeader2-CHI" xfId="149" xr:uid="{00000000-0005-0000-0000-000094000000}"/>
    <cellStyle name="GSExhibit-RightHeader2-ENG" xfId="150" xr:uid="{00000000-0005-0000-0000-000095000000}"/>
    <cellStyle name="GSExhibit-RightHeader2-JPN" xfId="151" xr:uid="{00000000-0005-0000-0000-000096000000}"/>
    <cellStyle name="GSExhibit-RightHeader3-CHI" xfId="152" xr:uid="{00000000-0005-0000-0000-000097000000}"/>
    <cellStyle name="GSExhibit-RightHeader3-ENG" xfId="153" xr:uid="{00000000-0005-0000-0000-000098000000}"/>
    <cellStyle name="GSExhibit-RightHeader3-JPN" xfId="154" xr:uid="{00000000-0005-0000-0000-000099000000}"/>
    <cellStyle name="GSExhibit-RightSubHeader1-CHI" xfId="155" xr:uid="{00000000-0005-0000-0000-00009A000000}"/>
    <cellStyle name="GSExhibit-RightSubHeader1-ENG" xfId="156" xr:uid="{00000000-0005-0000-0000-00009B000000}"/>
    <cellStyle name="GSExhibit-RightSubHeader1-JPN" xfId="157" xr:uid="{00000000-0005-0000-0000-00009C000000}"/>
    <cellStyle name="GSExhibit-SubHeader1-CHI" xfId="158" xr:uid="{00000000-0005-0000-0000-00009D000000}"/>
    <cellStyle name="GSExhibit-SubHeader1-ENG" xfId="159" xr:uid="{00000000-0005-0000-0000-00009E000000}"/>
    <cellStyle name="GSExhibit-SubHeader1-JPN" xfId="160" xr:uid="{00000000-0005-0000-0000-00009F000000}"/>
    <cellStyle name="Hard Percent" xfId="161" xr:uid="{00000000-0005-0000-0000-0000A0000000}"/>
    <cellStyle name="Header" xfId="162" xr:uid="{00000000-0005-0000-0000-0000A1000000}"/>
    <cellStyle name="Heading 1" xfId="163" builtinId="16" customBuiltin="1"/>
    <cellStyle name="Heading 2" xfId="164" builtinId="17" customBuiltin="1"/>
    <cellStyle name="Heading 3" xfId="165" builtinId="18" customBuiltin="1"/>
    <cellStyle name="Heading 4" xfId="166" builtinId="19" customBuiltin="1"/>
    <cellStyle name="Input" xfId="167" builtinId="20" customBuiltin="1"/>
    <cellStyle name="Invisible" xfId="168" xr:uid="{00000000-0005-0000-0000-0000A7000000}"/>
    <cellStyle name="Line" xfId="169" xr:uid="{00000000-0005-0000-0000-0000A8000000}"/>
    <cellStyle name="Linked Cell" xfId="170" builtinId="24" customBuiltin="1"/>
    <cellStyle name="LookUpText" xfId="171" xr:uid="{00000000-0005-0000-0000-0000AA000000}"/>
    <cellStyle name="Multiple" xfId="172" xr:uid="{00000000-0005-0000-0000-0000AB000000}"/>
    <cellStyle name="Neutral" xfId="173" builtinId="28" customBuiltin="1"/>
    <cellStyle name="New" xfId="174" xr:uid="{00000000-0005-0000-0000-0000AD000000}"/>
    <cellStyle name="NewColumnHeaderNormal" xfId="175" xr:uid="{00000000-0005-0000-0000-0000AE000000}"/>
    <cellStyle name="NewSectionHeaderNormal" xfId="176" xr:uid="{00000000-0005-0000-0000-0000AF000000}"/>
    <cellStyle name="NewTitleNormal" xfId="177" xr:uid="{00000000-0005-0000-0000-0000B0000000}"/>
    <cellStyle name="No-definido" xfId="178" xr:uid="{00000000-0005-0000-0000-0000B1000000}"/>
    <cellStyle name="Normal" xfId="0" builtinId="0"/>
    <cellStyle name="Normal 10" xfId="179" xr:uid="{00000000-0005-0000-0000-0000B3000000}"/>
    <cellStyle name="Normal 11" xfId="180" xr:uid="{00000000-0005-0000-0000-0000B4000000}"/>
    <cellStyle name="Normal 2" xfId="181" xr:uid="{00000000-0005-0000-0000-0000B5000000}"/>
    <cellStyle name="Normal 2 2" xfId="182" xr:uid="{00000000-0005-0000-0000-0000B6000000}"/>
    <cellStyle name="Normal 2 2 2" xfId="183" xr:uid="{00000000-0005-0000-0000-0000B7000000}"/>
    <cellStyle name="Normal 3" xfId="184" xr:uid="{00000000-0005-0000-0000-0000B8000000}"/>
    <cellStyle name="Normal 4" xfId="185" xr:uid="{00000000-0005-0000-0000-0000B9000000}"/>
    <cellStyle name="Normal 5" xfId="186" xr:uid="{00000000-0005-0000-0000-0000BA000000}"/>
    <cellStyle name="Normal 5_VRTX JM Model 04 04 2013_style changes_V2.xls" xfId="187" xr:uid="{00000000-0005-0000-0000-0000BB000000}"/>
    <cellStyle name="Normal 6" xfId="188" xr:uid="{00000000-0005-0000-0000-0000BC000000}"/>
    <cellStyle name="Normal 7" xfId="189" xr:uid="{00000000-0005-0000-0000-0000BD000000}"/>
    <cellStyle name="Normal 8" xfId="190" xr:uid="{00000000-0005-0000-0000-0000BE000000}"/>
    <cellStyle name="Normal 9" xfId="191" xr:uid="{00000000-0005-0000-0000-0000BF000000}"/>
    <cellStyle name="Normal Bold" xfId="192" xr:uid="{00000000-0005-0000-0000-0000C0000000}"/>
    <cellStyle name="Normal_Ticker_Model Template2" xfId="193" xr:uid="{00000000-0005-0000-0000-0000C1000000}"/>
    <cellStyle name="NormalGB" xfId="194" xr:uid="{00000000-0005-0000-0000-0000C2000000}"/>
    <cellStyle name="Note" xfId="195" builtinId="10" customBuiltin="1"/>
    <cellStyle name="OScommands" xfId="196" xr:uid="{00000000-0005-0000-0000-0000C4000000}"/>
    <cellStyle name="Output" xfId="197" builtinId="21" customBuiltin="1"/>
    <cellStyle name="Page Number" xfId="198" xr:uid="{00000000-0005-0000-0000-0000C6000000}"/>
    <cellStyle name="Percent" xfId="199" builtinId="5"/>
    <cellStyle name="Percent (1)" xfId="200" xr:uid="{00000000-0005-0000-0000-0000C8000000}"/>
    <cellStyle name="Percent [1]" xfId="201" xr:uid="{00000000-0005-0000-0000-0000C9000000}"/>
    <cellStyle name="Percent 2" xfId="202" xr:uid="{00000000-0005-0000-0000-0000CA000000}"/>
    <cellStyle name="Percent 2 2" xfId="203" xr:uid="{00000000-0005-0000-0000-0000CB000000}"/>
    <cellStyle name="Percent 3" xfId="204" xr:uid="{00000000-0005-0000-0000-0000CC000000}"/>
    <cellStyle name="Percent 4" xfId="205" xr:uid="{00000000-0005-0000-0000-0000CD000000}"/>
    <cellStyle name="Percent 5" xfId="206" xr:uid="{00000000-0005-0000-0000-0000CE000000}"/>
    <cellStyle name="Percent 6" xfId="207" xr:uid="{00000000-0005-0000-0000-0000CF000000}"/>
    <cellStyle name="Periods" xfId="208" xr:uid="{00000000-0005-0000-0000-0000D0000000}"/>
    <cellStyle name="PSChar" xfId="209" xr:uid="{00000000-0005-0000-0000-0000D1000000}"/>
    <cellStyle name="PSDec" xfId="210" xr:uid="{00000000-0005-0000-0000-0000D2000000}"/>
    <cellStyle name="ReadInData" xfId="211" xr:uid="{00000000-0005-0000-0000-0000D3000000}"/>
    <cellStyle name="ref" xfId="212" xr:uid="{00000000-0005-0000-0000-0000D4000000}"/>
    <cellStyle name="ReportNums" xfId="213" xr:uid="{00000000-0005-0000-0000-0000D5000000}"/>
    <cellStyle name="Salomon Logo" xfId="214" xr:uid="{00000000-0005-0000-0000-0000D6000000}"/>
    <cellStyle name="SectionHeaderNormal" xfId="215" xr:uid="{00000000-0005-0000-0000-0000D7000000}"/>
    <cellStyle name="Shade" xfId="216" xr:uid="{00000000-0005-0000-0000-0000D8000000}"/>
    <cellStyle name="Style 1" xfId="217" xr:uid="{00000000-0005-0000-0000-0000D9000000}"/>
    <cellStyle name="SubScript" xfId="218" xr:uid="{00000000-0005-0000-0000-0000DA000000}"/>
    <cellStyle name="SuperScript" xfId="219" xr:uid="{00000000-0005-0000-0000-0000DB000000}"/>
    <cellStyle name="t" xfId="220" xr:uid="{00000000-0005-0000-0000-0000DC000000}"/>
    <cellStyle name="Table" xfId="221" xr:uid="{00000000-0005-0000-0000-0000DD000000}"/>
    <cellStyle name="Table Head" xfId="222" xr:uid="{00000000-0005-0000-0000-0000DE000000}"/>
    <cellStyle name="Table Head Aligned" xfId="223" xr:uid="{00000000-0005-0000-0000-0000DF000000}"/>
    <cellStyle name="Table Head Blue" xfId="224" xr:uid="{00000000-0005-0000-0000-0000E0000000}"/>
    <cellStyle name="Table Head Green" xfId="225" xr:uid="{00000000-0005-0000-0000-0000E1000000}"/>
    <cellStyle name="Table Head_Val_Sum_Graph" xfId="226" xr:uid="{00000000-0005-0000-0000-0000E2000000}"/>
    <cellStyle name="Table Sub Heading" xfId="227" xr:uid="{00000000-0005-0000-0000-0000E3000000}"/>
    <cellStyle name="Table Text" xfId="228" xr:uid="{00000000-0005-0000-0000-0000E4000000}"/>
    <cellStyle name="Table Title" xfId="229" xr:uid="{00000000-0005-0000-0000-0000E5000000}"/>
    <cellStyle name="Table Units" xfId="230" xr:uid="{00000000-0005-0000-0000-0000E6000000}"/>
    <cellStyle name="Table_Header" xfId="231" xr:uid="{00000000-0005-0000-0000-0000E7000000}"/>
    <cellStyle name="Text 1" xfId="232" xr:uid="{00000000-0005-0000-0000-0000E8000000}"/>
    <cellStyle name="Text Head 1" xfId="233" xr:uid="{00000000-0005-0000-0000-0000E9000000}"/>
    <cellStyle name="TextBold" xfId="234" xr:uid="{00000000-0005-0000-0000-0000EA000000}"/>
    <cellStyle name="TextItalic" xfId="235" xr:uid="{00000000-0005-0000-0000-0000EB000000}"/>
    <cellStyle name="TextNormal" xfId="236" xr:uid="{00000000-0005-0000-0000-0000EC000000}"/>
    <cellStyle name="Title" xfId="237" builtinId="15" customBuiltin="1"/>
    <cellStyle name="TitleNormal" xfId="238" xr:uid="{00000000-0005-0000-0000-0000EE000000}"/>
    <cellStyle name="Total" xfId="239" builtinId="25" customBuiltin="1"/>
    <cellStyle name="Total 2" xfId="240" xr:uid="{00000000-0005-0000-0000-0000F0000000}"/>
    <cellStyle name="Total 3" xfId="241" xr:uid="{00000000-0005-0000-0000-0000F1000000}"/>
    <cellStyle name="Total 4" xfId="242" xr:uid="{00000000-0005-0000-0000-0000F2000000}"/>
    <cellStyle name="Total 5" xfId="243" xr:uid="{00000000-0005-0000-0000-0000F3000000}"/>
    <cellStyle name="Total 6" xfId="244" xr:uid="{00000000-0005-0000-0000-0000F4000000}"/>
    <cellStyle name="Total 7" xfId="245" xr:uid="{00000000-0005-0000-0000-0000F5000000}"/>
    <cellStyle name="Total 8" xfId="246" xr:uid="{00000000-0005-0000-0000-0000F6000000}"/>
    <cellStyle name="Total Bold" xfId="247" xr:uid="{00000000-0005-0000-0000-0000F7000000}"/>
    <cellStyle name="Tusental (0)_Blad1" xfId="248" xr:uid="{00000000-0005-0000-0000-0000F8000000}"/>
    <cellStyle name="Tusental_Blad1" xfId="249" xr:uid="{00000000-0005-0000-0000-0000F9000000}"/>
    <cellStyle name="UI Background" xfId="250" xr:uid="{00000000-0005-0000-0000-0000FA000000}"/>
    <cellStyle name="UIScreenText" xfId="251" xr:uid="{00000000-0005-0000-0000-0000FB000000}"/>
    <cellStyle name="Underline_Single" xfId="252" xr:uid="{00000000-0005-0000-0000-0000FC000000}"/>
    <cellStyle name="Valuta (0)_Blad1" xfId="253" xr:uid="{00000000-0005-0000-0000-0000FD000000}"/>
    <cellStyle name="Valuta_Blad1" xfId="254" xr:uid="{00000000-0005-0000-0000-0000FE000000}"/>
    <cellStyle name="Variables" xfId="255" xr:uid="{00000000-0005-0000-0000-0000FF000000}"/>
    <cellStyle name="Warning Text" xfId="256" builtinId="11" customBuiltin="1"/>
    <cellStyle name="year" xfId="257" xr:uid="{00000000-0005-0000-0000-00000101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s>
</file>

<file path=xl/ctrlProps/ctrlProp1.xml><?xml version="1.0" encoding="utf-8"?>
<formControlPr xmlns="http://schemas.microsoft.com/office/spreadsheetml/2009/9/main" objectType="Scroll" dx="16" fmlaLink="#REF!" horiz="1" inc="10" max="100" page="20" val="0"/>
</file>

<file path=xl/ctrlProps/ctrlProp2.xml><?xml version="1.0" encoding="utf-8"?>
<formControlPr xmlns="http://schemas.microsoft.com/office/spreadsheetml/2009/9/main" objectType="Scroll" dx="16" fmlaLink="#REF!" horiz="1" inc="10" max="100" page="2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23</xdr:col>
          <xdr:colOff>0</xdr:colOff>
          <xdr:row>57</xdr:row>
          <xdr:rowOff>0</xdr:rowOff>
        </xdr:from>
        <xdr:to>
          <xdr:col>24</xdr:col>
          <xdr:colOff>61913</xdr:colOff>
          <xdr:row>58</xdr:row>
          <xdr:rowOff>23813</xdr:rowOff>
        </xdr:to>
        <xdr:sp macro="" textlink="">
          <xdr:nvSpPr>
            <xdr:cNvPr id="19457" name="Scroll Bar 1" hidden="1">
              <a:extLst>
                <a:ext uri="{63B3BB69-23CF-44E3-9099-C40C66FF867C}">
                  <a14:compatExt spid="_x0000_s19457"/>
                </a:ext>
                <a:ext uri="{FF2B5EF4-FFF2-40B4-BE49-F238E27FC236}">
                  <a16:creationId xmlns:a16="http://schemas.microsoft.com/office/drawing/2014/main" id="{00000000-0008-0000-0100-0000014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0</xdr:colOff>
          <xdr:row>57</xdr:row>
          <xdr:rowOff>0</xdr:rowOff>
        </xdr:from>
        <xdr:to>
          <xdr:col>24</xdr:col>
          <xdr:colOff>61913</xdr:colOff>
          <xdr:row>58</xdr:row>
          <xdr:rowOff>23813</xdr:rowOff>
        </xdr:to>
        <xdr:sp macro="" textlink="">
          <xdr:nvSpPr>
            <xdr:cNvPr id="19458" name="Scroll Bar 2" hidden="1">
              <a:extLst>
                <a:ext uri="{63B3BB69-23CF-44E3-9099-C40C66FF867C}">
                  <a14:compatExt spid="_x0000_s19458"/>
                </a:ext>
                <a:ext uri="{FF2B5EF4-FFF2-40B4-BE49-F238E27FC236}">
                  <a16:creationId xmlns:a16="http://schemas.microsoft.com/office/drawing/2014/main" id="{00000000-0008-0000-0100-0000024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0.105.12.124/reuter_data/Biotechnology/Alks/ALKS%20051228%20gur%202011"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0.105.12.124/reuter_data/NY/Wei/Celg/CELG%2010011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NY/Wei/Celg/CELG%2010011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iotechnology/Alks/ALKS%20051228%20gur%20201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0.105.12.124/reuter_data/Biotechnology/GILD/GILD%20090417"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iotechnology/GILD/GILD%20090417"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income-approach-2004"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0.105.12.124/reuter_data/Documents%20and%20Settings/twei/Application%20Data/Microsoft/Excel/DOCUME~1/RKELSEY/LOCALS~1/Temp/c.notes.data/Download/Drinker%20Biddle%20(Download%20"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Drinker%20Biddle%20(Download%20#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A4OCFVB7/UTHR%20HCW%20model%2004%2029%2020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Biotechnology\Companies\Current%20Models\Alks_Mod\2002\ALKS020702wip"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s"/>
      <sheetName val="Q"/>
      <sheetName val="A"/>
      <sheetName val="Balance"/>
      <sheetName val="Vivitrex"/>
      <sheetName val="Vivitrex Quarterly"/>
      <sheetName val="Consta"/>
      <sheetName val="Other products"/>
      <sheetName val="Partners"/>
      <sheetName val="Nutropin"/>
      <sheetName val="Schizo Market"/>
      <sheetName val="IMS"/>
      <sheetName val="Medicaid"/>
      <sheetName val="US population"/>
      <sheetName val="Schizo dynamics"/>
      <sheetName val="Risperdal"/>
      <sheetName val="population"/>
      <sheetName val="US patient est"/>
      <sheetName val="manufacturing"/>
      <sheetName val="Naltrexon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rterly"/>
      <sheetName val="Annual"/>
      <sheetName val="balance sheet"/>
      <sheetName val="Launch dates"/>
      <sheetName val="DCF"/>
      <sheetName val="Products"/>
      <sheetName val="PriceRx"/>
      <sheetName val="IMS Monthly Rx"/>
      <sheetName val="IMS Monthly Sales"/>
      <sheetName val="Rev ROW pricing"/>
      <sheetName val="Thalomid"/>
      <sheetName val="Vidaza"/>
      <sheetName val="__FDSCACHE__"/>
      <sheetName val="Module1"/>
      <sheetName val="Istodax"/>
      <sheetName val="PTCL"/>
      <sheetName val="CTCL"/>
      <sheetName val="Questions"/>
      <sheetName val="Products.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arterly"/>
      <sheetName val="Annual"/>
      <sheetName val="balance sheet"/>
      <sheetName val="Launch dates"/>
      <sheetName val="DCF"/>
      <sheetName val="Products"/>
      <sheetName val="PriceRx"/>
      <sheetName val="IMS Monthly Rx"/>
      <sheetName val="IMS Monthly Sales"/>
      <sheetName val="Rev ROW pricing"/>
      <sheetName val="Thalomid"/>
      <sheetName val="Vidaza"/>
      <sheetName val="__FDSCACHE__"/>
      <sheetName val="Module1"/>
      <sheetName val="Istodax"/>
      <sheetName val="PTCL"/>
      <sheetName val="CTCL"/>
      <sheetName val="Questions"/>
      <sheetName val="Products.ol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s"/>
      <sheetName val="Q"/>
      <sheetName val="A"/>
      <sheetName val="Balance"/>
      <sheetName val="Vivitrex"/>
      <sheetName val="Vivitrex Quarterly"/>
      <sheetName val="Consta"/>
      <sheetName val="Other products"/>
      <sheetName val="Partners"/>
      <sheetName val="Nutropin"/>
      <sheetName val="Schizo Market"/>
      <sheetName val="IMS"/>
      <sheetName val="Medicaid"/>
      <sheetName val="US population"/>
      <sheetName val="Schizo dynamics"/>
      <sheetName val="Risperdal"/>
      <sheetName val="population"/>
      <sheetName val="US patient est"/>
      <sheetName val="manufacturing"/>
      <sheetName val="Naltrexon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s"/>
      <sheetName val="2Q08 analysis"/>
      <sheetName val="HIV Sales Analysis"/>
      <sheetName val="GILD Drug Prices 2"/>
      <sheetName val="EU Atripla"/>
      <sheetName val="Monthly analysis"/>
      <sheetName val="Chart1"/>
      <sheetName val="Cheat Sheet"/>
      <sheetName val="quarterly"/>
      <sheetName val="annual"/>
      <sheetName val="balance"/>
      <sheetName val="Ranexa Monthly IMS"/>
      <sheetName val="Ranexa Weekly IMS"/>
      <sheetName val="Est Ranexa Run"/>
      <sheetName val="CVTX NPV"/>
      <sheetName val="HBV"/>
      <sheetName val="IMS to Reported Sales Correlati"/>
      <sheetName val="Monthly IMS TRx - HIV"/>
      <sheetName val="Weekly IMS TRx - HIV (2)"/>
      <sheetName val="Weekly analysis"/>
      <sheetName val="Weekly-Monthly Correlation"/>
      <sheetName val="R&amp;D ROI"/>
      <sheetName val="NPV"/>
      <sheetName val="Royalties"/>
      <sheetName val="Weekly IMS TRx - HIV"/>
      <sheetName val="GILD Drug Prices"/>
      <sheetName val="Sensitivity"/>
      <sheetName val="viread"/>
      <sheetName val="viread trx"/>
      <sheetName val="Viread ROW"/>
      <sheetName val="Emtriva trx"/>
      <sheetName val="hepsera"/>
      <sheetName val="Hepsera trx"/>
      <sheetName val="Questions"/>
      <sheetName val="geography"/>
      <sheetName val="GSK drugs"/>
      <sheetName val="COGS"/>
      <sheetName val="Tamiflu"/>
      <sheetName val="clinical trials"/>
      <sheetName val="HIV Drug Prices"/>
      <sheetName val="Fx"/>
      <sheetName val="monthly Rx"/>
      <sheetName val="Sheet2"/>
      <sheetName val="Beta calculation2"/>
      <sheetName val="Beta calculation1"/>
      <sheetName val="Atripla Launch"/>
      <sheetName val="Atripla analysis_truvada_comp"/>
      <sheetName val="Nrx_Trx_analysis 7 drugs"/>
      <sheetName val="Nrx From Launch Of 7 HIV Drugs "/>
      <sheetName val="Nrx_Trx chart 7 drugs"/>
      <sheetName val="Sheet1"/>
      <sheetName val="2Q05 Weekly IM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ons"/>
      <sheetName val="2Q08 analysis"/>
      <sheetName val="HIV Sales Analysis"/>
      <sheetName val="GILD Drug Prices 2"/>
      <sheetName val="EU Atripla"/>
      <sheetName val="Monthly analysis"/>
      <sheetName val="Chart1"/>
      <sheetName val="Cheat Sheet"/>
      <sheetName val="quarterly"/>
      <sheetName val="annual"/>
      <sheetName val="balance"/>
      <sheetName val="Ranexa Monthly IMS"/>
      <sheetName val="Ranexa Weekly IMS"/>
      <sheetName val="Est Ranexa Run"/>
      <sheetName val="CVTX NPV"/>
      <sheetName val="HBV"/>
      <sheetName val="IMS to Reported Sales Correlati"/>
      <sheetName val="Monthly IMS TRx - HIV"/>
      <sheetName val="Weekly IMS TRx - HIV (2)"/>
      <sheetName val="Weekly analysis"/>
      <sheetName val="Weekly-Monthly Correlation"/>
      <sheetName val="R&amp;D ROI"/>
      <sheetName val="NPV"/>
      <sheetName val="Royalties"/>
      <sheetName val="Weekly IMS TRx - HIV"/>
      <sheetName val="GILD Drug Prices"/>
      <sheetName val="Sensitivity"/>
      <sheetName val="viread"/>
      <sheetName val="viread trx"/>
      <sheetName val="Viread ROW"/>
      <sheetName val="Emtriva trx"/>
      <sheetName val="hepsera"/>
      <sheetName val="Hepsera trx"/>
      <sheetName val="Questions"/>
      <sheetName val="geography"/>
      <sheetName val="GSK drugs"/>
      <sheetName val="COGS"/>
      <sheetName val="Tamiflu"/>
      <sheetName val="clinical trials"/>
      <sheetName val="HIV Drug Prices"/>
      <sheetName val="Fx"/>
      <sheetName val="monthly Rx"/>
      <sheetName val="Sheet2"/>
      <sheetName val="Beta calculation2"/>
      <sheetName val="Beta calculation1"/>
      <sheetName val="Atripla Launch"/>
      <sheetName val="Atripla analysis_truvada_comp"/>
      <sheetName val="Nrx_Trx_analysis 7 drugs"/>
      <sheetName val="Nrx From Launch Of 7 HIV Drugs "/>
      <sheetName val="Nrx_Trx chart 7 drugs"/>
      <sheetName val="Sheet1"/>
      <sheetName val="2Q05 Weekly IM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CC"/>
      <sheetName val="RISK_ADJ"/>
      <sheetName val="NWC"/>
      <sheetName val="DCF"/>
    </sheetNames>
    <sheetDataSet>
      <sheetData sheetId="0">
        <row r="104">
          <cell r="G104">
            <v>0</v>
          </cell>
        </row>
        <row r="106">
          <cell r="G106">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EDIT DATA"/>
      <sheetName val="PRICES"/>
      <sheetName val="IB-LONG"/>
      <sheetName val="REP35"/>
      <sheetName val="REP24"/>
      <sheetName val="IB-CURRENT"/>
    </sheetNames>
    <sheetDataSet>
      <sheetData sheetId="0">
        <row r="6">
          <cell r="F6">
            <v>38533</v>
          </cell>
        </row>
        <row r="44">
          <cell r="X44">
            <v>1</v>
          </cell>
        </row>
      </sheetData>
      <sheetData sheetId="1">
        <row r="11">
          <cell r="A11"/>
        </row>
      </sheetData>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EDIT DATA"/>
      <sheetName val="PRICES"/>
      <sheetName val="IB-LONG"/>
      <sheetName val="REP35"/>
      <sheetName val="REP24"/>
      <sheetName val="IB-CURRENT"/>
    </sheetNames>
    <sheetDataSet>
      <sheetData sheetId="0">
        <row r="6">
          <cell r="F6">
            <v>38533</v>
          </cell>
        </row>
        <row r="44">
          <cell r="X44">
            <v>1</v>
          </cell>
        </row>
      </sheetData>
      <sheetData sheetId="1">
        <row r="11">
          <cell r="A11"/>
        </row>
      </sheetData>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sheetName val="A"/>
      <sheetName val="notes"/>
    </sheetNames>
    <sheetDataSet>
      <sheetData sheetId="0" refreshError="1"/>
      <sheetData sheetId="1" refreshError="1"/>
      <sheetData sheetId="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
      <sheetName val="A"/>
      <sheetName val="notes"/>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188"/>
  <sheetViews>
    <sheetView showGridLines="0" tabSelected="1" zoomScaleNormal="100" zoomScaleSheetLayoutView="85" workbookViewId="0">
      <pane xSplit="1" ySplit="6" topLeftCell="B7" activePane="bottomRight" state="frozen"/>
      <selection activeCell="AB70" sqref="AB70"/>
      <selection pane="topRight" activeCell="AB70" sqref="AB70"/>
      <selection pane="bottomLeft" activeCell="AB70" sqref="AB70"/>
      <selection pane="bottomRight" activeCell="F23" sqref="F23"/>
    </sheetView>
  </sheetViews>
  <sheetFormatPr defaultColWidth="8.5546875" defaultRowHeight="13.15" outlineLevelRow="1" outlineLevelCol="1"/>
  <cols>
    <col min="1" max="1" width="29.83203125" style="27" customWidth="1"/>
    <col min="2" max="3" width="8.71875" style="27" customWidth="1"/>
    <col min="4" max="7" width="8.71875" style="27" customWidth="1" outlineLevel="1"/>
    <col min="8" max="8" width="8.71875" style="27" customWidth="1"/>
    <col min="9" max="12" width="8.71875" style="110" customWidth="1" outlineLevel="1"/>
    <col min="13" max="13" width="8.71875" style="110" customWidth="1"/>
    <col min="14" max="17" width="8.71875" style="110" customWidth="1" outlineLevel="1"/>
    <col min="18" max="18" width="8.5546875" style="110"/>
    <col min="19" max="21" width="8.5546875" style="110" customWidth="1" outlineLevel="1"/>
    <col min="22" max="22" width="8.5546875" style="27" customWidth="1" outlineLevel="1"/>
    <col min="23" max="23" width="9.44140625" style="27" bestFit="1" customWidth="1"/>
    <col min="24" max="16384" width="8.5546875" style="27"/>
  </cols>
  <sheetData>
    <row r="1" spans="1:29" s="31" customFormat="1">
      <c r="A1" s="112" t="str">
        <f>DCF!B1</f>
        <v>United Therapeutics Corporation</v>
      </c>
      <c r="I1" s="110"/>
      <c r="J1" s="110"/>
      <c r="K1" s="110"/>
      <c r="L1" s="110"/>
      <c r="M1" s="110"/>
      <c r="N1" s="110"/>
      <c r="O1" s="110"/>
      <c r="P1" s="110"/>
      <c r="Q1" s="110"/>
      <c r="R1" s="110"/>
      <c r="S1" s="110"/>
      <c r="T1" s="110"/>
      <c r="U1" s="110"/>
      <c r="V1" s="28"/>
      <c r="W1" s="28"/>
      <c r="X1" s="28"/>
      <c r="Y1" s="27"/>
      <c r="Z1" s="27"/>
      <c r="AA1" s="27"/>
      <c r="AB1" s="27"/>
      <c r="AC1" s="408"/>
    </row>
    <row r="2" spans="1:29" s="113" customFormat="1">
      <c r="A2" s="114" t="s">
        <v>355</v>
      </c>
      <c r="B2" s="24"/>
      <c r="C2" s="24"/>
      <c r="D2" s="24"/>
      <c r="E2" s="24"/>
      <c r="F2" s="24"/>
      <c r="G2" s="24"/>
      <c r="H2" s="24"/>
      <c r="I2" s="110"/>
      <c r="J2" s="110"/>
      <c r="K2" s="110"/>
      <c r="L2" s="110"/>
      <c r="M2" s="110"/>
      <c r="N2" s="110"/>
      <c r="O2" s="110"/>
      <c r="P2" s="110"/>
      <c r="Q2" s="110"/>
      <c r="R2" s="110"/>
      <c r="S2" s="110"/>
      <c r="T2" s="110"/>
      <c r="U2" s="110"/>
      <c r="V2" s="28"/>
      <c r="W2" s="28"/>
      <c r="X2" s="28"/>
      <c r="Y2" s="27"/>
      <c r="Z2" s="27"/>
      <c r="AA2" s="27"/>
      <c r="AB2" s="27"/>
      <c r="AC2" s="408"/>
    </row>
    <row r="3" spans="1:29">
      <c r="A3" s="219" t="s">
        <v>356</v>
      </c>
      <c r="B3" s="31"/>
      <c r="C3" s="31"/>
      <c r="D3" s="31"/>
      <c r="E3" s="31"/>
      <c r="F3" s="31"/>
      <c r="G3" s="31"/>
      <c r="H3" s="31"/>
      <c r="V3" s="28"/>
      <c r="W3" s="28"/>
      <c r="X3" s="28"/>
      <c r="Y3" s="28"/>
      <c r="AC3" s="409"/>
    </row>
    <row r="4" spans="1:29" ht="13.5" thickBot="1">
      <c r="A4" s="115"/>
      <c r="B4" s="24"/>
      <c r="C4" s="24"/>
      <c r="D4" s="24"/>
      <c r="E4" s="24"/>
      <c r="F4" s="24"/>
      <c r="G4" s="24"/>
      <c r="H4" s="24"/>
      <c r="V4" s="28"/>
      <c r="W4" s="28"/>
      <c r="X4" s="28"/>
      <c r="Y4" s="26"/>
    </row>
    <row r="5" spans="1:29" s="226" customFormat="1">
      <c r="A5" s="116"/>
      <c r="B5" s="586"/>
      <c r="C5" s="586"/>
      <c r="D5" s="587" t="s">
        <v>44</v>
      </c>
      <c r="E5" s="587" t="s">
        <v>45</v>
      </c>
      <c r="F5" s="587" t="s">
        <v>46</v>
      </c>
      <c r="G5" s="587" t="s">
        <v>47</v>
      </c>
      <c r="H5" s="586"/>
      <c r="I5" s="569" t="s">
        <v>44</v>
      </c>
      <c r="J5" s="569" t="s">
        <v>45</v>
      </c>
      <c r="K5" s="569" t="s">
        <v>46</v>
      </c>
      <c r="L5" s="569" t="s">
        <v>47</v>
      </c>
      <c r="M5" s="570"/>
      <c r="N5" s="569" t="s">
        <v>44</v>
      </c>
      <c r="O5" s="569" t="s">
        <v>45</v>
      </c>
      <c r="P5" s="569" t="s">
        <v>46</v>
      </c>
      <c r="Q5" s="569" t="s">
        <v>47</v>
      </c>
      <c r="R5" s="570"/>
      <c r="S5" s="569" t="s">
        <v>44</v>
      </c>
      <c r="T5" s="569" t="s">
        <v>45</v>
      </c>
      <c r="U5" s="569" t="s">
        <v>46</v>
      </c>
      <c r="V5" s="745" t="s">
        <v>47</v>
      </c>
      <c r="W5" s="746"/>
      <c r="X5" s="746"/>
      <c r="Y5" s="746"/>
      <c r="Z5" s="746"/>
      <c r="AA5" s="746"/>
      <c r="AB5" s="746"/>
      <c r="AC5" s="746"/>
    </row>
    <row r="6" spans="1:29" s="226" customFormat="1" ht="13.5" thickBot="1">
      <c r="A6" s="117"/>
      <c r="B6" s="588">
        <v>2009</v>
      </c>
      <c r="C6" s="588">
        <v>2010</v>
      </c>
      <c r="D6" s="589" t="s">
        <v>48</v>
      </c>
      <c r="E6" s="589" t="s">
        <v>49</v>
      </c>
      <c r="F6" s="589" t="s">
        <v>50</v>
      </c>
      <c r="G6" s="589" t="s">
        <v>51</v>
      </c>
      <c r="H6" s="588">
        <v>2011</v>
      </c>
      <c r="I6" s="574" t="s">
        <v>52</v>
      </c>
      <c r="J6" s="574" t="s">
        <v>270</v>
      </c>
      <c r="K6" s="574" t="s">
        <v>315</v>
      </c>
      <c r="L6" s="574" t="s">
        <v>316</v>
      </c>
      <c r="M6" s="576">
        <v>2012</v>
      </c>
      <c r="N6" s="574" t="s">
        <v>58</v>
      </c>
      <c r="O6" s="574" t="s">
        <v>64</v>
      </c>
      <c r="P6" s="574" t="s">
        <v>366</v>
      </c>
      <c r="Q6" s="574" t="s">
        <v>378</v>
      </c>
      <c r="R6" s="576">
        <v>2013</v>
      </c>
      <c r="S6" s="574" t="s">
        <v>385</v>
      </c>
      <c r="T6" s="574" t="s">
        <v>386</v>
      </c>
      <c r="U6" s="574" t="s">
        <v>387</v>
      </c>
      <c r="V6" s="747" t="s">
        <v>382</v>
      </c>
      <c r="W6" s="748" t="s">
        <v>41</v>
      </c>
      <c r="X6" s="748" t="s">
        <v>42</v>
      </c>
      <c r="Y6" s="748" t="s">
        <v>43</v>
      </c>
      <c r="Z6" s="748" t="s">
        <v>18</v>
      </c>
      <c r="AA6" s="748" t="s">
        <v>19</v>
      </c>
      <c r="AB6" s="748" t="s">
        <v>20</v>
      </c>
      <c r="AC6" s="748" t="s">
        <v>21</v>
      </c>
    </row>
    <row r="7" spans="1:29" s="316" customFormat="1">
      <c r="A7" s="315" t="s">
        <v>185</v>
      </c>
      <c r="B7" s="190">
        <v>331.57900000000001</v>
      </c>
      <c r="C7" s="190">
        <v>403.59800000000001</v>
      </c>
      <c r="D7" s="191">
        <v>103.205</v>
      </c>
      <c r="E7" s="191">
        <v>104.89400000000001</v>
      </c>
      <c r="F7" s="191">
        <v>114.91800000000001</v>
      </c>
      <c r="G7" s="191">
        <v>107.116</v>
      </c>
      <c r="H7" s="190">
        <f>D7+E7+F7+G7</f>
        <v>430.13299999999998</v>
      </c>
      <c r="I7" s="192">
        <v>110.54600000000001</v>
      </c>
      <c r="J7" s="191">
        <v>110.398</v>
      </c>
      <c r="K7" s="191">
        <v>120.81100000000001</v>
      </c>
      <c r="L7" s="191">
        <v>116.214</v>
      </c>
      <c r="M7" s="321">
        <v>457.96899999999999</v>
      </c>
      <c r="N7" s="394">
        <v>114.681</v>
      </c>
      <c r="O7" s="618">
        <v>124.31100000000001</v>
      </c>
      <c r="P7" s="618">
        <v>132.322</v>
      </c>
      <c r="Q7" s="191">
        <v>119.86499999999999</v>
      </c>
      <c r="R7" s="321">
        <f>SUM(N7:Q7)</f>
        <v>491.17900000000003</v>
      </c>
      <c r="S7" s="321">
        <v>136.10599999999999</v>
      </c>
      <c r="T7" s="618">
        <v>138.15199999999999</v>
      </c>
      <c r="U7" s="618">
        <v>142.87700000000001</v>
      </c>
      <c r="V7" s="749">
        <f>Revenue!J10</f>
        <v>148.66697595306104</v>
      </c>
      <c r="W7" s="750">
        <f>SUM(S7:V7)</f>
        <v>565.80197595306106</v>
      </c>
      <c r="X7" s="750">
        <f>Revenue!L10</f>
        <v>841.35906396579151</v>
      </c>
      <c r="Y7" s="750">
        <f>Revenue!M10</f>
        <v>898.03471066414102</v>
      </c>
      <c r="Z7" s="750">
        <f>Revenue!N10</f>
        <v>950.22869584205046</v>
      </c>
      <c r="AA7" s="750">
        <f>Revenue!O10</f>
        <v>545.67552043426372</v>
      </c>
      <c r="AB7" s="750">
        <f>Revenue!P10</f>
        <v>460.97821413423412</v>
      </c>
      <c r="AC7" s="751">
        <f>Revenue!Q10</f>
        <v>386.19349329304958</v>
      </c>
    </row>
    <row r="8" spans="1:29" s="318" customFormat="1">
      <c r="A8" s="317" t="s">
        <v>391</v>
      </c>
      <c r="B8" s="194" t="str">
        <f>IF(ISERROR(B7/#REF!-1),"",(B7/#REF!-1))</f>
        <v/>
      </c>
      <c r="C8" s="194">
        <f>IF(ISERROR(C7/B7-1),"",(C7/B7-1))</f>
        <v>0.21720012425394852</v>
      </c>
      <c r="D8" s="193" t="str">
        <f>IF(ISERROR(D7/#REF!-1),"",(D7/#REF!-1))</f>
        <v/>
      </c>
      <c r="E8" s="193" t="str">
        <f>IF(ISERROR(E7/#REF!-1),"",(E7/#REF!-1))</f>
        <v/>
      </c>
      <c r="F8" s="193" t="str">
        <f>IF(ISERROR(F7/#REF!-1),"",(F7/#REF!-1))</f>
        <v/>
      </c>
      <c r="G8" s="193" t="str">
        <f>IF(ISERROR(G7/#REF!-1),"",(G7/#REF!-1))</f>
        <v/>
      </c>
      <c r="H8" s="194">
        <f>IF(ISERROR(H7/C7-1),"",(H7/C7-1))</f>
        <v>6.5746113707203513E-2</v>
      </c>
      <c r="I8" s="195"/>
      <c r="J8" s="193"/>
      <c r="K8" s="193"/>
      <c r="L8" s="193"/>
      <c r="M8" s="199">
        <f>M7/H7-1</f>
        <v>6.4714867261986386E-2</v>
      </c>
      <c r="N8" s="395">
        <f>N7/L7-1</f>
        <v>-1.3191181785327077E-2</v>
      </c>
      <c r="O8" s="322">
        <f>O7/N7-1</f>
        <v>8.3972061631830908E-2</v>
      </c>
      <c r="P8" s="322">
        <f>P7/O7-1</f>
        <v>6.4443210978915699E-2</v>
      </c>
      <c r="Q8" s="322">
        <f>Q7/P7-1</f>
        <v>-9.4141563761128255E-2</v>
      </c>
      <c r="R8" s="194">
        <f>R7/M7-1</f>
        <v>7.2515825306953108E-2</v>
      </c>
      <c r="S8" s="395">
        <f>S7/Q7-1</f>
        <v>0.13549409752638386</v>
      </c>
      <c r="T8" s="322">
        <f>T7/S7-1</f>
        <v>1.5032401216698688E-2</v>
      </c>
      <c r="U8" s="322">
        <f>U7/T7-1</f>
        <v>3.4201459262261924E-2</v>
      </c>
      <c r="V8" s="752">
        <f>V7/U7-1</f>
        <v>4.0524198807792899E-2</v>
      </c>
      <c r="W8" s="753">
        <f>W7/R7-1</f>
        <v>0.15192623453580278</v>
      </c>
      <c r="X8" s="753">
        <f t="shared" ref="X8:AC8" si="0">X7/W7-1</f>
        <v>0.48702037059621484</v>
      </c>
      <c r="Y8" s="753">
        <f t="shared" si="0"/>
        <v>6.736202071824815E-2</v>
      </c>
      <c r="Z8" s="753">
        <f t="shared" si="0"/>
        <v>5.8120231387614574E-2</v>
      </c>
      <c r="AA8" s="753">
        <f t="shared" si="0"/>
        <v>-0.4257429576458851</v>
      </c>
      <c r="AB8" s="753">
        <f t="shared" si="0"/>
        <v>-0.15521551385084154</v>
      </c>
      <c r="AC8" s="753">
        <f t="shared" si="0"/>
        <v>-0.16223048844431431</v>
      </c>
    </row>
    <row r="9" spans="1:29" s="319" customFormat="1">
      <c r="A9" s="315" t="s">
        <v>54</v>
      </c>
      <c r="B9" s="197">
        <v>20.268000000000001</v>
      </c>
      <c r="C9" s="197">
        <v>151.797</v>
      </c>
      <c r="D9" s="196">
        <v>47.695</v>
      </c>
      <c r="E9" s="196">
        <v>61.808999999999997</v>
      </c>
      <c r="F9" s="191">
        <v>66.33</v>
      </c>
      <c r="G9" s="196">
        <v>64.546999999999997</v>
      </c>
      <c r="H9" s="197">
        <f>D9+E9+F9+G9</f>
        <v>240.381</v>
      </c>
      <c r="I9" s="198">
        <v>70.066999999999993</v>
      </c>
      <c r="J9" s="191">
        <v>81.209999999999994</v>
      </c>
      <c r="K9" s="191">
        <v>88.302000000000007</v>
      </c>
      <c r="L9" s="196">
        <v>86.036000000000001</v>
      </c>
      <c r="M9" s="190">
        <v>325.61399999999998</v>
      </c>
      <c r="N9" s="321">
        <v>94.644999999999996</v>
      </c>
      <c r="O9" s="191">
        <v>109.458</v>
      </c>
      <c r="P9" s="191">
        <v>120.306</v>
      </c>
      <c r="Q9" s="191">
        <v>114.38500000000001</v>
      </c>
      <c r="R9" s="321">
        <f>SUM(N9:Q9)</f>
        <v>438.79399999999998</v>
      </c>
      <c r="S9" s="321">
        <v>107.086</v>
      </c>
      <c r="T9" s="191">
        <v>121.227</v>
      </c>
      <c r="U9" s="191">
        <v>119.685</v>
      </c>
      <c r="V9" s="749">
        <f>Revenue!J11</f>
        <v>124.98252540076001</v>
      </c>
      <c r="W9" s="750">
        <f>SUM(S9:V9)</f>
        <v>472.98052540076003</v>
      </c>
      <c r="X9" s="750">
        <f>Revenue!L11</f>
        <v>593.85267030913894</v>
      </c>
      <c r="Y9" s="750">
        <f>Revenue!M11</f>
        <v>676.86426541685296</v>
      </c>
      <c r="Z9" s="750">
        <f>Revenue!N11</f>
        <v>740.99210020954854</v>
      </c>
      <c r="AA9" s="750">
        <f>Revenue!O11</f>
        <v>760.94806463055011</v>
      </c>
      <c r="AB9" s="750">
        <f>Revenue!P11</f>
        <v>582.7988178164627</v>
      </c>
      <c r="AC9" s="754">
        <f>Revenue!Q11</f>
        <v>349.23226646866158</v>
      </c>
    </row>
    <row r="10" spans="1:29" s="320" customFormat="1">
      <c r="A10" s="317" t="s">
        <v>391</v>
      </c>
      <c r="B10" s="194" t="str">
        <f>IF(ISERROR(B9/#REF!-1),"",(B9/#REF!-1))</f>
        <v/>
      </c>
      <c r="C10" s="194">
        <f>IF(ISERROR(C9/B9-1),"",(C9/B9-1))</f>
        <v>6.4894908229721722</v>
      </c>
      <c r="D10" s="193" t="str">
        <f>IF(ISERROR(D9/#REF!-1),"",(D9/#REF!-1))</f>
        <v/>
      </c>
      <c r="E10" s="193" t="str">
        <f>IF(ISERROR(E9/#REF!-1),"",(E9/#REF!-1))</f>
        <v/>
      </c>
      <c r="F10" s="193" t="str">
        <f>IF(ISERROR(F9/#REF!-1),"",(F9/#REF!-1))</f>
        <v/>
      </c>
      <c r="G10" s="193" t="str">
        <f>IF(ISERROR(G9/#REF!-1),"",(G9/#REF!-1))</f>
        <v/>
      </c>
      <c r="H10" s="194">
        <f>IF(ISERROR(H9/C9-1),"",(H9/C9-1))</f>
        <v>0.58356884523409547</v>
      </c>
      <c r="I10" s="195"/>
      <c r="J10" s="193"/>
      <c r="K10" s="193"/>
      <c r="L10" s="322"/>
      <c r="M10" s="199">
        <f>M9/H9-1</f>
        <v>0.3545746128021765</v>
      </c>
      <c r="N10" s="395">
        <f>N9/L9-1</f>
        <v>0.10006276442419448</v>
      </c>
      <c r="O10" s="322">
        <f>O9/N9-1</f>
        <v>0.15651117333192466</v>
      </c>
      <c r="P10" s="322">
        <f>P9/O9-1</f>
        <v>9.9106506605273204E-2</v>
      </c>
      <c r="Q10" s="322">
        <f>Q9/P9-1</f>
        <v>-4.9216165444782356E-2</v>
      </c>
      <c r="R10" s="199">
        <f>R9/M9-1</f>
        <v>0.34758947711093513</v>
      </c>
      <c r="S10" s="395">
        <f>S9/Q9-1</f>
        <v>-6.3810814355029111E-2</v>
      </c>
      <c r="T10" s="322">
        <f>T9/S9-1</f>
        <v>0.13205274265543587</v>
      </c>
      <c r="U10" s="322">
        <f>U9/T9-1</f>
        <v>-1.2719938627533511E-2</v>
      </c>
      <c r="V10" s="752">
        <f>V9/U9-1</f>
        <v>4.4262233368926873E-2</v>
      </c>
      <c r="W10" s="755">
        <f>W9/R9-1</f>
        <v>7.7910193395443139E-2</v>
      </c>
      <c r="X10" s="755">
        <f t="shared" ref="X10:AC10" si="1">X9/W9-1</f>
        <v>0.25555416854840485</v>
      </c>
      <c r="Y10" s="755">
        <f t="shared" si="1"/>
        <v>0.13978483091521854</v>
      </c>
      <c r="Z10" s="755">
        <f t="shared" si="1"/>
        <v>9.4742532689625625E-2</v>
      </c>
      <c r="AA10" s="755">
        <f t="shared" si="1"/>
        <v>2.6931413189638764E-2</v>
      </c>
      <c r="AB10" s="755">
        <f t="shared" si="1"/>
        <v>-0.23411485631490647</v>
      </c>
      <c r="AC10" s="755">
        <f t="shared" si="1"/>
        <v>-0.40076703007547421</v>
      </c>
    </row>
    <row r="11" spans="1:29" s="319" customFormat="1">
      <c r="A11" s="315" t="s">
        <v>55</v>
      </c>
      <c r="B11" s="197">
        <v>5.7889999999999997</v>
      </c>
      <c r="C11" s="197">
        <v>36.307000000000002</v>
      </c>
      <c r="D11" s="196">
        <v>11.318</v>
      </c>
      <c r="E11" s="196">
        <v>16.843</v>
      </c>
      <c r="F11" s="191">
        <v>19.771999999999998</v>
      </c>
      <c r="G11" s="196">
        <v>22.646999999999998</v>
      </c>
      <c r="H11" s="197">
        <f>D11+E11+F11+G11</f>
        <v>70.58</v>
      </c>
      <c r="I11" s="198">
        <v>22.33</v>
      </c>
      <c r="J11" s="191">
        <v>30.224</v>
      </c>
      <c r="K11" s="191">
        <v>31.803999999999998</v>
      </c>
      <c r="L11" s="196">
        <v>38.182000000000002</v>
      </c>
      <c r="M11" s="190">
        <v>122.54</v>
      </c>
      <c r="N11" s="321">
        <v>33.82</v>
      </c>
      <c r="O11" s="191">
        <v>43.725999999999999</v>
      </c>
      <c r="P11" s="191">
        <v>47.378</v>
      </c>
      <c r="Q11" s="191">
        <v>52.046999999999997</v>
      </c>
      <c r="R11" s="321">
        <f>SUM(N11:Q11)</f>
        <v>176.971</v>
      </c>
      <c r="S11" s="321">
        <v>41.360999999999997</v>
      </c>
      <c r="T11" s="191">
        <v>55.317999999999998</v>
      </c>
      <c r="U11" s="191">
        <v>51.247</v>
      </c>
      <c r="V11" s="749">
        <f>Revenue!J12</f>
        <v>56.064017334914041</v>
      </c>
      <c r="W11" s="750">
        <f>SUM(S11:V11)</f>
        <v>203.99001733491403</v>
      </c>
      <c r="X11" s="750">
        <f>Revenue!L12</f>
        <v>206.73146916245412</v>
      </c>
      <c r="Y11" s="750">
        <f>Revenue!M12</f>
        <v>223.51806445844542</v>
      </c>
      <c r="Z11" s="750">
        <f>Revenue!N12</f>
        <v>229.58434472784759</v>
      </c>
      <c r="AA11" s="750">
        <f>Revenue!O12</f>
        <v>78.605087947920453</v>
      </c>
      <c r="AB11" s="750">
        <f>Revenue!P12</f>
        <v>40.369215017413509</v>
      </c>
      <c r="AC11" s="754">
        <f>Revenue!Q12</f>
        <v>33.171868410388889</v>
      </c>
    </row>
    <row r="12" spans="1:29" s="320" customFormat="1">
      <c r="A12" s="317" t="s">
        <v>391</v>
      </c>
      <c r="B12" s="194" t="str">
        <f>IF(ISERROR(B11/#REF!-1),"",(B11/#REF!-1))</f>
        <v/>
      </c>
      <c r="C12" s="194">
        <f>IF(ISERROR(C11/B11-1),"",(C11/B11-1))</f>
        <v>5.271722231818968</v>
      </c>
      <c r="D12" s="193" t="str">
        <f>IF(ISERROR(D11/#REF!-1),"",(D11/#REF!-1))</f>
        <v/>
      </c>
      <c r="E12" s="193" t="str">
        <f>IF(ISERROR(E11/#REF!-1),"",(E11/#REF!-1))</f>
        <v/>
      </c>
      <c r="F12" s="193" t="str">
        <f>IF(ISERROR(F11/#REF!-1),"",(F11/#REF!-1))</f>
        <v/>
      </c>
      <c r="G12" s="193" t="str">
        <f>IF(ISERROR(G11/#REF!-1),"",(G11/#REF!-1))</f>
        <v/>
      </c>
      <c r="H12" s="194">
        <f>IF(ISERROR(H11/C11-1),"",(H11/C11-1))</f>
        <v>0.94397774533836443</v>
      </c>
      <c r="I12" s="195"/>
      <c r="J12" s="193"/>
      <c r="K12" s="193"/>
      <c r="L12" s="193"/>
      <c r="M12" s="194">
        <f>M11/H11-1</f>
        <v>0.7361858883536414</v>
      </c>
      <c r="N12" s="396">
        <f>N11/K11-1</f>
        <v>6.3388253049930787E-2</v>
      </c>
      <c r="O12" s="193">
        <f>O11/N11-1</f>
        <v>0.29290360733293896</v>
      </c>
      <c r="P12" s="193">
        <f>P11/O11-1</f>
        <v>8.352010245620467E-2</v>
      </c>
      <c r="Q12" s="193">
        <f>Q11/P11-1</f>
        <v>9.8547849212714755E-2</v>
      </c>
      <c r="R12" s="199">
        <f>R11/M11-1</f>
        <v>0.44418965235841346</v>
      </c>
      <c r="S12" s="396">
        <f>S11/Q11-1</f>
        <v>-0.20531442734451555</v>
      </c>
      <c r="T12" s="193">
        <f>T11/S11-1</f>
        <v>0.33744348540896008</v>
      </c>
      <c r="U12" s="193">
        <f>U11/T11-1</f>
        <v>-7.3592682309555624E-2</v>
      </c>
      <c r="V12" s="756">
        <f>V11/U11-1</f>
        <v>9.3996084354480036E-2</v>
      </c>
      <c r="W12" s="755">
        <f>W11/R11-1</f>
        <v>0.15267482997165649</v>
      </c>
      <c r="X12" s="755">
        <f t="shared" ref="X12:AC12" si="2">X11/W11-1</f>
        <v>1.3439146990409379E-2</v>
      </c>
      <c r="Y12" s="755">
        <f t="shared" si="2"/>
        <v>8.1200000000000161E-2</v>
      </c>
      <c r="Z12" s="755">
        <f t="shared" si="2"/>
        <v>2.713999999999972E-2</v>
      </c>
      <c r="AA12" s="755">
        <f t="shared" si="2"/>
        <v>-0.65762000000000009</v>
      </c>
      <c r="AB12" s="755">
        <f t="shared" si="2"/>
        <v>-0.48642999999999992</v>
      </c>
      <c r="AC12" s="755">
        <f t="shared" si="2"/>
        <v>-0.178288</v>
      </c>
    </row>
    <row r="13" spans="1:29" s="320" customFormat="1">
      <c r="A13" s="646" t="s">
        <v>377</v>
      </c>
      <c r="B13" s="194"/>
      <c r="C13" s="194"/>
      <c r="D13" s="193"/>
      <c r="E13" s="193"/>
      <c r="F13" s="193"/>
      <c r="G13" s="193"/>
      <c r="H13" s="194"/>
      <c r="I13" s="195"/>
      <c r="J13" s="193"/>
      <c r="K13" s="193"/>
      <c r="L13" s="193"/>
      <c r="M13" s="194"/>
      <c r="N13" s="396"/>
      <c r="O13" s="193"/>
      <c r="P13" s="193"/>
      <c r="Q13" s="193"/>
      <c r="R13" s="654"/>
      <c r="S13" s="396"/>
      <c r="T13" s="196">
        <v>6.6319999999999997</v>
      </c>
      <c r="U13" s="968">
        <v>14.46</v>
      </c>
      <c r="V13" s="757">
        <f>Revenue!J13</f>
        <v>26.671902604875001</v>
      </c>
      <c r="W13" s="758">
        <f>SUM(T13:V13)</f>
        <v>47.763902604875</v>
      </c>
      <c r="X13" s="758">
        <f>Revenue!L13</f>
        <v>179.81836665521556</v>
      </c>
      <c r="Y13" s="758">
        <f>Revenue!M13</f>
        <v>315.63130597892581</v>
      </c>
      <c r="Z13" s="758">
        <f>Revenue!N13</f>
        <v>386.8988463061109</v>
      </c>
      <c r="AA13" s="758">
        <f>Revenue!O13</f>
        <v>432.16422563694289</v>
      </c>
      <c r="AB13" s="758">
        <f>Revenue!P13</f>
        <v>448.24505647289357</v>
      </c>
      <c r="AC13" s="759">
        <f>Revenue!Q13</f>
        <v>464.92425502424982</v>
      </c>
    </row>
    <row r="14" spans="1:29" s="320" customFormat="1">
      <c r="A14" s="317" t="s">
        <v>391</v>
      </c>
      <c r="B14" s="194"/>
      <c r="C14" s="194"/>
      <c r="D14" s="193"/>
      <c r="E14" s="193"/>
      <c r="F14" s="193"/>
      <c r="G14" s="193"/>
      <c r="H14" s="194"/>
      <c r="I14" s="195"/>
      <c r="J14" s="193"/>
      <c r="K14" s="193"/>
      <c r="L14" s="193"/>
      <c r="M14" s="194"/>
      <c r="N14" s="396"/>
      <c r="O14" s="193"/>
      <c r="P14" s="193"/>
      <c r="Q14" s="193"/>
      <c r="R14" s="395"/>
      <c r="S14" s="396"/>
      <c r="T14" s="193"/>
      <c r="U14" s="193"/>
      <c r="V14" s="756"/>
      <c r="W14" s="760"/>
      <c r="X14" s="760">
        <f t="shared" ref="X14:AC14" si="3">X13/W13-1</f>
        <v>2.7647335508313864</v>
      </c>
      <c r="Y14" s="760">
        <f t="shared" si="3"/>
        <v>0.75527846153846179</v>
      </c>
      <c r="Z14" s="760">
        <f t="shared" si="3"/>
        <v>0.22579363636363592</v>
      </c>
      <c r="AA14" s="760">
        <f t="shared" si="3"/>
        <v>0.11699538461538461</v>
      </c>
      <c r="AB14" s="760">
        <f t="shared" si="3"/>
        <v>3.7210000000000187E-2</v>
      </c>
      <c r="AC14" s="755">
        <f t="shared" si="3"/>
        <v>3.7209999999999743E-2</v>
      </c>
    </row>
    <row r="15" spans="1:29" s="319" customFormat="1" outlineLevel="1">
      <c r="A15" s="315" t="s">
        <v>375</v>
      </c>
      <c r="B15" s="197">
        <v>5.7889999999999997</v>
      </c>
      <c r="C15" s="197">
        <v>36.307000000000002</v>
      </c>
      <c r="D15" s="196">
        <v>11.318</v>
      </c>
      <c r="E15" s="196">
        <v>16.843</v>
      </c>
      <c r="F15" s="191">
        <v>19.771999999999998</v>
      </c>
      <c r="G15" s="196">
        <v>22.646999999999998</v>
      </c>
      <c r="H15" s="197">
        <f>D15+E15+F15+G15</f>
        <v>70.58</v>
      </c>
      <c r="I15" s="198">
        <v>22.33</v>
      </c>
      <c r="J15" s="191">
        <v>30.224</v>
      </c>
      <c r="K15" s="191">
        <v>31.803999999999998</v>
      </c>
      <c r="L15" s="196">
        <v>38.182000000000002</v>
      </c>
      <c r="M15" s="190">
        <v>122.54</v>
      </c>
      <c r="N15" s="321">
        <f>Revenue!B16</f>
        <v>0</v>
      </c>
      <c r="O15" s="191">
        <f>Revenue!C16</f>
        <v>0</v>
      </c>
      <c r="P15" s="191">
        <f>Revenue!D16</f>
        <v>0</v>
      </c>
      <c r="Q15" s="191">
        <f>Revenue!E16</f>
        <v>0</v>
      </c>
      <c r="R15" s="321">
        <f>Revenue!F16</f>
        <v>0</v>
      </c>
      <c r="S15" s="321">
        <f>Revenue!K16</f>
        <v>0</v>
      </c>
      <c r="T15" s="191">
        <f>Revenue!L16</f>
        <v>0</v>
      </c>
      <c r="U15" s="191">
        <f>Revenue!M16</f>
        <v>0</v>
      </c>
      <c r="V15" s="749">
        <f>Revenue!N16</f>
        <v>0</v>
      </c>
      <c r="W15" s="750">
        <f>Revenue!K16</f>
        <v>0</v>
      </c>
      <c r="X15" s="750">
        <f>Revenue!L16</f>
        <v>0</v>
      </c>
      <c r="Y15" s="750">
        <f>Revenue!M16</f>
        <v>0</v>
      </c>
      <c r="Z15" s="750">
        <f>Revenue!N14</f>
        <v>0</v>
      </c>
      <c r="AA15" s="750">
        <f>Revenue!O14</f>
        <v>0</v>
      </c>
      <c r="AB15" s="750">
        <f>Revenue!P14</f>
        <v>0</v>
      </c>
      <c r="AC15" s="754">
        <f>Revenue!Q14</f>
        <v>0</v>
      </c>
    </row>
    <row r="16" spans="1:29" s="320" customFormat="1" outlineLevel="1">
      <c r="A16" s="317" t="s">
        <v>294</v>
      </c>
      <c r="B16" s="194" t="str">
        <f>IF(ISERROR(B15/#REF!-1),"",(B15/#REF!-1))</f>
        <v/>
      </c>
      <c r="C16" s="194">
        <f>IF(ISERROR(C15/B15-1),"",(C15/B15-1))</f>
        <v>5.271722231818968</v>
      </c>
      <c r="D16" s="193" t="str">
        <f>IF(ISERROR(D15/#REF!-1),"",(D15/#REF!-1))</f>
        <v/>
      </c>
      <c r="E16" s="193" t="str">
        <f>IF(ISERROR(E15/#REF!-1),"",(E15/#REF!-1))</f>
        <v/>
      </c>
      <c r="F16" s="193" t="str">
        <f>IF(ISERROR(F15/#REF!-1),"",(F15/#REF!-1))</f>
        <v/>
      </c>
      <c r="G16" s="193" t="str">
        <f>IF(ISERROR(G15/#REF!-1),"",(G15/#REF!-1))</f>
        <v/>
      </c>
      <c r="H16" s="194">
        <f>IF(ISERROR(H15/C15-1),"",(H15/C15-1))</f>
        <v>0.94397774533836443</v>
      </c>
      <c r="I16" s="195"/>
      <c r="J16" s="193"/>
      <c r="K16" s="193"/>
      <c r="L16" s="193"/>
      <c r="M16" s="194">
        <f>M15/H15-1</f>
        <v>0.7361858883536414</v>
      </c>
      <c r="N16" s="396"/>
      <c r="O16" s="193"/>
      <c r="P16" s="193"/>
      <c r="Q16" s="193"/>
      <c r="R16" s="199"/>
      <c r="S16" s="396"/>
      <c r="T16" s="193"/>
      <c r="U16" s="193"/>
      <c r="V16" s="756"/>
      <c r="W16" s="755"/>
      <c r="X16" s="755"/>
      <c r="Y16" s="755"/>
      <c r="Z16" s="755"/>
      <c r="AA16" s="755" t="e">
        <f>AA15/Z15-1</f>
        <v>#DIV/0!</v>
      </c>
      <c r="AB16" s="755" t="e">
        <f>AB15/AA15-1</f>
        <v>#DIV/0!</v>
      </c>
      <c r="AC16" s="755" t="e">
        <f>AC15/AB15-1</f>
        <v>#DIV/0!</v>
      </c>
    </row>
    <row r="17" spans="1:29" s="319" customFormat="1">
      <c r="A17" s="315" t="s">
        <v>293</v>
      </c>
      <c r="B17" s="197">
        <v>1.244</v>
      </c>
      <c r="C17" s="197">
        <v>1.1970000000000001</v>
      </c>
      <c r="D17" s="196">
        <v>0.29399999999999998</v>
      </c>
      <c r="E17" s="196">
        <v>0.20499999999999999</v>
      </c>
      <c r="F17" s="191">
        <v>0.72199999999999998</v>
      </c>
      <c r="G17" s="196">
        <v>0.86799999999999999</v>
      </c>
      <c r="H17" s="197">
        <f>D17+E17+F17+G17</f>
        <v>2.089</v>
      </c>
      <c r="I17" s="198">
        <v>1.2709999999999999</v>
      </c>
      <c r="J17" s="191">
        <v>3.7450000000000001</v>
      </c>
      <c r="K17" s="191">
        <v>1.5509999999999999</v>
      </c>
      <c r="L17" s="196">
        <v>3.3849999999999998</v>
      </c>
      <c r="M17" s="190">
        <v>9.9529999999999994</v>
      </c>
      <c r="N17" s="321">
        <v>1.99</v>
      </c>
      <c r="O17" s="191">
        <v>3.1110000000000002</v>
      </c>
      <c r="P17" s="191">
        <v>2.2189999999999999</v>
      </c>
      <c r="Q17" s="191">
        <v>2.72</v>
      </c>
      <c r="R17" s="197">
        <f>SUM(N17:Q17)</f>
        <v>10.040000000000001</v>
      </c>
      <c r="S17" s="321">
        <v>4.8499999999999996</v>
      </c>
      <c r="T17" s="191">
        <v>1.4730000000000001</v>
      </c>
      <c r="U17" s="191">
        <v>1.681</v>
      </c>
      <c r="V17" s="749">
        <f>U17</f>
        <v>1.681</v>
      </c>
      <c r="W17" s="761">
        <f>SUM(S17:V17)</f>
        <v>9.6849999999999987</v>
      </c>
      <c r="X17" s="761">
        <f t="shared" ref="X17:AC17" si="4">W17</f>
        <v>9.6849999999999987</v>
      </c>
      <c r="Y17" s="761">
        <f t="shared" si="4"/>
        <v>9.6849999999999987</v>
      </c>
      <c r="Z17" s="761">
        <f t="shared" si="4"/>
        <v>9.6849999999999987</v>
      </c>
      <c r="AA17" s="761">
        <f t="shared" si="4"/>
        <v>9.6849999999999987</v>
      </c>
      <c r="AB17" s="761">
        <f t="shared" si="4"/>
        <v>9.6849999999999987</v>
      </c>
      <c r="AC17" s="761">
        <f t="shared" si="4"/>
        <v>9.6849999999999987</v>
      </c>
    </row>
    <row r="18" spans="1:29" s="320" customFormat="1" ht="13.5" thickBot="1">
      <c r="A18" s="317" t="s">
        <v>391</v>
      </c>
      <c r="B18" s="194" t="str">
        <f>IF(ISERROR(B17/#REF!-1),"",(B17/#REF!-1))</f>
        <v/>
      </c>
      <c r="C18" s="194">
        <f>IF(ISERROR(C17/B17-1),"",(C17/B17-1))</f>
        <v>-3.7781350482315013E-2</v>
      </c>
      <c r="D18" s="193" t="str">
        <f>IF(ISERROR(D17/#REF!-1),"",(D17/#REF!-1))</f>
        <v/>
      </c>
      <c r="E18" s="193" t="str">
        <f>IF(ISERROR(E17/#REF!-1),"",(E17/#REF!-1))</f>
        <v/>
      </c>
      <c r="F18" s="193" t="str">
        <f>IF(ISERROR(F17/#REF!-1),"",(F17/#REF!-1))</f>
        <v/>
      </c>
      <c r="G18" s="193" t="str">
        <f>IF(ISERROR(G17/#REF!-1),"",(G17/#REF!-1))</f>
        <v/>
      </c>
      <c r="H18" s="194">
        <f>IF(ISERROR(H17/C17-1),"",(H17/C17-1))</f>
        <v>0.74519632414369252</v>
      </c>
      <c r="I18" s="195"/>
      <c r="J18" s="193"/>
      <c r="K18" s="193"/>
      <c r="L18" s="193"/>
      <c r="M18" s="194">
        <f>M17/H17-1</f>
        <v>3.7644806127333652</v>
      </c>
      <c r="N18" s="396"/>
      <c r="O18" s="193"/>
      <c r="P18" s="193"/>
      <c r="Q18" s="193"/>
      <c r="R18" s="199">
        <f>R17/M17-1</f>
        <v>8.7410830905256809E-3</v>
      </c>
      <c r="S18" s="396"/>
      <c r="T18" s="193"/>
      <c r="U18" s="193"/>
      <c r="V18" s="756"/>
      <c r="W18" s="755">
        <f>W17/R17-1</f>
        <v>-3.5358565737051983E-2</v>
      </c>
      <c r="X18" s="755">
        <f t="shared" ref="X18:AC18" si="5">X17/W17-1</f>
        <v>0</v>
      </c>
      <c r="Y18" s="755">
        <f t="shared" si="5"/>
        <v>0</v>
      </c>
      <c r="Z18" s="755">
        <f t="shared" si="5"/>
        <v>0</v>
      </c>
      <c r="AA18" s="755">
        <f t="shared" si="5"/>
        <v>0</v>
      </c>
      <c r="AB18" s="755">
        <f t="shared" si="5"/>
        <v>0</v>
      </c>
      <c r="AC18" s="755">
        <f t="shared" si="5"/>
        <v>0</v>
      </c>
    </row>
    <row r="19" spans="1:29" s="329" customFormat="1" ht="13.5" thickBot="1">
      <c r="A19" s="590" t="s">
        <v>186</v>
      </c>
      <c r="B19" s="591">
        <f>B7+B9+B11+B17</f>
        <v>358.88</v>
      </c>
      <c r="C19" s="591">
        <f t="shared" ref="C19:Q19" si="6">C7+C9+C11+C17</f>
        <v>592.899</v>
      </c>
      <c r="D19" s="592">
        <f t="shared" si="6"/>
        <v>162.51200000000003</v>
      </c>
      <c r="E19" s="593">
        <f t="shared" si="6"/>
        <v>183.751</v>
      </c>
      <c r="F19" s="593">
        <f t="shared" si="6"/>
        <v>201.74199999999999</v>
      </c>
      <c r="G19" s="594">
        <f t="shared" si="6"/>
        <v>195.178</v>
      </c>
      <c r="H19" s="591">
        <f t="shared" si="6"/>
        <v>743.18300000000011</v>
      </c>
      <c r="I19" s="592">
        <f t="shared" si="6"/>
        <v>204.21399999999997</v>
      </c>
      <c r="J19" s="595">
        <f t="shared" si="6"/>
        <v>225.577</v>
      </c>
      <c r="K19" s="595">
        <f t="shared" si="6"/>
        <v>242.46799999999999</v>
      </c>
      <c r="L19" s="596">
        <f t="shared" si="6"/>
        <v>243.81700000000001</v>
      </c>
      <c r="M19" s="597">
        <f t="shared" si="6"/>
        <v>916.07599999999991</v>
      </c>
      <c r="N19" s="598">
        <f t="shared" si="6"/>
        <v>245.136</v>
      </c>
      <c r="O19" s="595">
        <f t="shared" si="6"/>
        <v>280.60599999999999</v>
      </c>
      <c r="P19" s="595">
        <f t="shared" si="6"/>
        <v>302.22499999999997</v>
      </c>
      <c r="Q19" s="595">
        <f t="shared" si="6"/>
        <v>289.01700000000005</v>
      </c>
      <c r="R19" s="597">
        <f>SUM(N19:Q19)</f>
        <v>1116.9839999999999</v>
      </c>
      <c r="S19" s="598">
        <f>S7+S9+S11+S17</f>
        <v>289.40300000000002</v>
      </c>
      <c r="T19" s="595">
        <f>T7+T9+T11+T17+T13</f>
        <v>322.80200000000002</v>
      </c>
      <c r="U19" s="595">
        <f>U7+U9+U11+U17+U13</f>
        <v>329.95</v>
      </c>
      <c r="V19" s="595">
        <f>V7+V9+V11+V17+V13</f>
        <v>358.06642129361012</v>
      </c>
      <c r="W19" s="762">
        <f>W7+W9+W11+W15+W17+W13</f>
        <v>1300.2214212936101</v>
      </c>
      <c r="X19" s="762">
        <f t="shared" ref="X19:AC19" si="7">X7+X9+X11+X15+X17+X13</f>
        <v>1831.4465700926</v>
      </c>
      <c r="Y19" s="762">
        <f t="shared" si="7"/>
        <v>2123.7333465183651</v>
      </c>
      <c r="Z19" s="762">
        <f t="shared" si="7"/>
        <v>2317.3889870855573</v>
      </c>
      <c r="AA19" s="762">
        <f t="shared" si="7"/>
        <v>1827.0778986496771</v>
      </c>
      <c r="AB19" s="762">
        <f t="shared" si="7"/>
        <v>1542.0763034410038</v>
      </c>
      <c r="AC19" s="762">
        <f t="shared" si="7"/>
        <v>1243.2068831963497</v>
      </c>
    </row>
    <row r="20" spans="1:29" s="328" customFormat="1">
      <c r="A20" s="323" t="s">
        <v>189</v>
      </c>
      <c r="B20" s="324"/>
      <c r="C20" s="324">
        <f>C19/B19-1</f>
        <v>0.65208147570218467</v>
      </c>
      <c r="D20" s="325"/>
      <c r="E20" s="325"/>
      <c r="F20" s="325"/>
      <c r="G20" s="325"/>
      <c r="H20" s="324">
        <f t="shared" ref="H20:M20" si="8">H19/C19-1</f>
        <v>0.25347318851946143</v>
      </c>
      <c r="I20" s="326">
        <f t="shared" si="8"/>
        <v>0.25660874273899736</v>
      </c>
      <c r="J20" s="326">
        <f t="shared" si="8"/>
        <v>0.22762325102992631</v>
      </c>
      <c r="K20" s="326">
        <f t="shared" si="8"/>
        <v>0.20187169751464751</v>
      </c>
      <c r="L20" s="326">
        <f t="shared" si="8"/>
        <v>0.24920329135455854</v>
      </c>
      <c r="M20" s="327">
        <f t="shared" si="8"/>
        <v>0.23263852913750682</v>
      </c>
      <c r="N20" s="326">
        <f t="shared" ref="N20:W20" si="9">N19/I19-1</f>
        <v>0.20038782845446468</v>
      </c>
      <c r="O20" s="326">
        <f t="shared" si="9"/>
        <v>0.24394774289932042</v>
      </c>
      <c r="P20" s="326">
        <f t="shared" si="9"/>
        <v>0.24645314020819242</v>
      </c>
      <c r="Q20" s="326">
        <f t="shared" si="9"/>
        <v>0.18538494034460284</v>
      </c>
      <c r="R20" s="327">
        <f t="shared" si="9"/>
        <v>0.21931368139761331</v>
      </c>
      <c r="S20" s="326">
        <f t="shared" si="9"/>
        <v>0.18058139155407615</v>
      </c>
      <c r="T20" s="326">
        <f t="shared" si="9"/>
        <v>0.15037454651718085</v>
      </c>
      <c r="U20" s="326">
        <f t="shared" si="9"/>
        <v>9.1736289188518505E-2</v>
      </c>
      <c r="V20" s="763">
        <f t="shared" si="9"/>
        <v>0.23891127959120073</v>
      </c>
      <c r="W20" s="764">
        <f t="shared" si="9"/>
        <v>0.16404659448444225</v>
      </c>
      <c r="X20" s="764">
        <f t="shared" ref="X20:AC20" si="10">X19/W19-1</f>
        <v>0.40856514136681876</v>
      </c>
      <c r="Y20" s="764">
        <f t="shared" si="10"/>
        <v>0.1595933952968045</v>
      </c>
      <c r="Z20" s="764">
        <f t="shared" si="10"/>
        <v>9.1186419841582378E-2</v>
      </c>
      <c r="AA20" s="764">
        <f t="shared" si="10"/>
        <v>-0.21157910526385793</v>
      </c>
      <c r="AB20" s="764">
        <f t="shared" si="10"/>
        <v>-0.15598765406735371</v>
      </c>
      <c r="AC20" s="764">
        <f t="shared" si="10"/>
        <v>-0.19380974830995978</v>
      </c>
    </row>
    <row r="21" spans="1:29" s="232" customFormat="1">
      <c r="A21" s="229" t="s">
        <v>176</v>
      </c>
      <c r="B21" s="230">
        <v>-40.860999999999997</v>
      </c>
      <c r="C21" s="230">
        <v>-67.674000000000007</v>
      </c>
      <c r="D21" s="231">
        <v>-19.739000000000001</v>
      </c>
      <c r="E21" s="231">
        <v>-21.161999999999999</v>
      </c>
      <c r="F21" s="231">
        <v>-22.675999999999998</v>
      </c>
      <c r="G21" s="231">
        <v>-25.327000000000002</v>
      </c>
      <c r="H21" s="230">
        <f>D21+E21+F21+G21</f>
        <v>-88.903999999999996</v>
      </c>
      <c r="I21" s="263">
        <v>-24.030999999999999</v>
      </c>
      <c r="J21" s="263">
        <v>-29.632999999999999</v>
      </c>
      <c r="K21" s="263">
        <v>-27.968</v>
      </c>
      <c r="L21" s="263">
        <v>-37.664999999999999</v>
      </c>
      <c r="M21" s="224">
        <v>-119.297</v>
      </c>
      <c r="N21" s="263">
        <v>-29.312999999999999</v>
      </c>
      <c r="O21" s="263">
        <v>-32.32</v>
      </c>
      <c r="P21" s="263">
        <v>-30.716000000000001</v>
      </c>
      <c r="Q21" s="263">
        <v>-38.777999999999999</v>
      </c>
      <c r="R21" s="224">
        <v>-131.12700000000001</v>
      </c>
      <c r="S21" s="263">
        <v>-30.6</v>
      </c>
      <c r="T21" s="263">
        <v>-38.709000000000003</v>
      </c>
      <c r="U21" s="263">
        <v>-40.802999999999997</v>
      </c>
      <c r="V21" s="775">
        <f>-V19*V22</f>
        <v>-44.27999450838967</v>
      </c>
      <c r="W21" s="775">
        <f>SUM(S21:V21)</f>
        <v>-154.39199450838967</v>
      </c>
      <c r="X21" s="766">
        <f t="shared" ref="X21:AC21" si="11">-X22*X19</f>
        <v>-227.09937469148241</v>
      </c>
      <c r="Y21" s="766">
        <f t="shared" si="11"/>
        <v>-263.34293496827729</v>
      </c>
      <c r="Z21" s="766">
        <f t="shared" si="11"/>
        <v>-287.3562343986091</v>
      </c>
      <c r="AA21" s="766">
        <f t="shared" si="11"/>
        <v>-226.55765943255994</v>
      </c>
      <c r="AB21" s="766">
        <f t="shared" si="11"/>
        <v>-191.21746162668447</v>
      </c>
      <c r="AC21" s="766">
        <f t="shared" si="11"/>
        <v>-154.15765351634735</v>
      </c>
    </row>
    <row r="22" spans="1:29" s="328" customFormat="1">
      <c r="A22" s="375" t="s">
        <v>190</v>
      </c>
      <c r="B22" s="376">
        <f t="shared" ref="B22:M22" si="12">-B21/B19</f>
        <v>0.11385699955416852</v>
      </c>
      <c r="C22" s="376">
        <f t="shared" si="12"/>
        <v>0.11414085704310516</v>
      </c>
      <c r="D22" s="377">
        <f t="shared" si="12"/>
        <v>0.12146179974401888</v>
      </c>
      <c r="E22" s="377">
        <f t="shared" si="12"/>
        <v>0.11516672018111465</v>
      </c>
      <c r="F22" s="377">
        <f t="shared" si="12"/>
        <v>0.11240098739974819</v>
      </c>
      <c r="G22" s="377">
        <f t="shared" si="12"/>
        <v>0.12976360040578344</v>
      </c>
      <c r="H22" s="376">
        <f t="shared" si="12"/>
        <v>0.119625987139103</v>
      </c>
      <c r="I22" s="378">
        <f t="shared" si="12"/>
        <v>0.1176755756216518</v>
      </c>
      <c r="J22" s="378">
        <f t="shared" si="12"/>
        <v>0.13136534309792222</v>
      </c>
      <c r="K22" s="378">
        <f t="shared" si="12"/>
        <v>0.11534717983403996</v>
      </c>
      <c r="L22" s="378">
        <f t="shared" si="12"/>
        <v>0.15448061455928011</v>
      </c>
      <c r="M22" s="379">
        <f t="shared" si="12"/>
        <v>0.13022609477816252</v>
      </c>
      <c r="N22" s="378">
        <f>-N21/N19</f>
        <v>0.11957851967887213</v>
      </c>
      <c r="O22" s="378">
        <f>-O21/O19</f>
        <v>0.11517929053548392</v>
      </c>
      <c r="P22" s="378">
        <f>-P21/P19</f>
        <v>0.10163288940359005</v>
      </c>
      <c r="Q22" s="378">
        <f>-Q21/Q19</f>
        <v>0.1341720383230052</v>
      </c>
      <c r="R22" s="379">
        <f>AVERAGE(N22:Q22)</f>
        <v>0.11764068448523782</v>
      </c>
      <c r="S22" s="378">
        <f>-S21/S19</f>
        <v>0.10573490945152607</v>
      </c>
      <c r="T22" s="378">
        <f>-T21/T19</f>
        <v>0.11991561390573788</v>
      </c>
      <c r="U22" s="378">
        <f>-U21/U19</f>
        <v>0.12366419154417335</v>
      </c>
      <c r="V22" s="815">
        <f>U22</f>
        <v>0.12366419154417335</v>
      </c>
      <c r="W22" s="767">
        <f>AVERAGE(S22:V22)</f>
        <v>0.11824472661140266</v>
      </c>
      <c r="X22" s="768">
        <v>0.124</v>
      </c>
      <c r="Y22" s="768">
        <f>X22</f>
        <v>0.124</v>
      </c>
      <c r="Z22" s="768">
        <f>Y22</f>
        <v>0.124</v>
      </c>
      <c r="AA22" s="768">
        <f>Z22</f>
        <v>0.124</v>
      </c>
      <c r="AB22" s="768">
        <f>AA22</f>
        <v>0.124</v>
      </c>
      <c r="AC22" s="768">
        <f>AB22</f>
        <v>0.124</v>
      </c>
    </row>
    <row r="23" spans="1:29" s="249" customFormat="1">
      <c r="A23" s="237" t="s">
        <v>177</v>
      </c>
      <c r="B23" s="238">
        <f>B19+B21</f>
        <v>318.01900000000001</v>
      </c>
      <c r="C23" s="238">
        <f t="shared" ref="C23:M23" si="13">C19+C21</f>
        <v>525.22500000000002</v>
      </c>
      <c r="D23" s="239">
        <f t="shared" si="13"/>
        <v>142.77300000000002</v>
      </c>
      <c r="E23" s="239">
        <f t="shared" si="13"/>
        <v>162.589</v>
      </c>
      <c r="F23" s="239">
        <f t="shared" si="13"/>
        <v>179.066</v>
      </c>
      <c r="G23" s="239">
        <f t="shared" si="13"/>
        <v>169.851</v>
      </c>
      <c r="H23" s="238">
        <f t="shared" si="13"/>
        <v>654.27900000000011</v>
      </c>
      <c r="I23" s="265">
        <f t="shared" si="13"/>
        <v>180.18299999999996</v>
      </c>
      <c r="J23" s="265">
        <f t="shared" si="13"/>
        <v>195.94399999999999</v>
      </c>
      <c r="K23" s="265">
        <f t="shared" si="13"/>
        <v>214.5</v>
      </c>
      <c r="L23" s="265">
        <f t="shared" si="13"/>
        <v>206.15200000000002</v>
      </c>
      <c r="M23" s="266">
        <f t="shared" si="13"/>
        <v>796.77899999999988</v>
      </c>
      <c r="N23" s="265">
        <f t="shared" ref="N23:AC23" si="14">N19+N21</f>
        <v>215.82300000000001</v>
      </c>
      <c r="O23" s="265">
        <f t="shared" si="14"/>
        <v>248.286</v>
      </c>
      <c r="P23" s="265">
        <f t="shared" si="14"/>
        <v>271.50899999999996</v>
      </c>
      <c r="Q23" s="265">
        <f t="shared" si="14"/>
        <v>250.23900000000006</v>
      </c>
      <c r="R23" s="266">
        <f t="shared" si="14"/>
        <v>985.85699999999997</v>
      </c>
      <c r="S23" s="265">
        <f>S19+S21</f>
        <v>258.803</v>
      </c>
      <c r="T23" s="265">
        <f>T19+T21</f>
        <v>284.09300000000002</v>
      </c>
      <c r="U23" s="265">
        <f>U19+U21</f>
        <v>289.14699999999999</v>
      </c>
      <c r="V23" s="810">
        <f>V19+V21</f>
        <v>313.78642678522044</v>
      </c>
      <c r="W23" s="810">
        <f t="shared" si="14"/>
        <v>1145.8294267852204</v>
      </c>
      <c r="X23" s="770">
        <f t="shared" si="14"/>
        <v>1604.3471954011177</v>
      </c>
      <c r="Y23" s="770">
        <f t="shared" si="14"/>
        <v>1860.3904115500877</v>
      </c>
      <c r="Z23" s="770">
        <f t="shared" si="14"/>
        <v>2030.0327526869482</v>
      </c>
      <c r="AA23" s="770">
        <f t="shared" si="14"/>
        <v>1600.5202392171173</v>
      </c>
      <c r="AB23" s="770">
        <f t="shared" si="14"/>
        <v>1350.8588418143192</v>
      </c>
      <c r="AC23" s="770">
        <f t="shared" si="14"/>
        <v>1089.0492296800023</v>
      </c>
    </row>
    <row r="24" spans="1:29" s="243" customFormat="1">
      <c r="A24" s="240" t="s">
        <v>193</v>
      </c>
      <c r="B24" s="241">
        <f t="shared" ref="B24:M24" si="15">B23/B19</f>
        <v>0.8861430004458315</v>
      </c>
      <c r="C24" s="241">
        <f t="shared" si="15"/>
        <v>0.88585914295689494</v>
      </c>
      <c r="D24" s="242">
        <f t="shared" si="15"/>
        <v>0.87853820025598106</v>
      </c>
      <c r="E24" s="242">
        <f t="shared" si="15"/>
        <v>0.88483327981888527</v>
      </c>
      <c r="F24" s="242">
        <f t="shared" si="15"/>
        <v>0.88759901260025187</v>
      </c>
      <c r="G24" s="242">
        <f t="shared" si="15"/>
        <v>0.87023639959421661</v>
      </c>
      <c r="H24" s="241">
        <f t="shared" si="15"/>
        <v>0.880374012860897</v>
      </c>
      <c r="I24" s="222">
        <f t="shared" si="15"/>
        <v>0.88232442437834813</v>
      </c>
      <c r="J24" s="222">
        <f t="shared" si="15"/>
        <v>0.86863465690207775</v>
      </c>
      <c r="K24" s="222">
        <f t="shared" si="15"/>
        <v>0.88465282016596003</v>
      </c>
      <c r="L24" s="222">
        <f t="shared" si="15"/>
        <v>0.84551938544071992</v>
      </c>
      <c r="M24" s="223">
        <f t="shared" si="15"/>
        <v>0.8697739052218374</v>
      </c>
      <c r="N24" s="222">
        <f t="shared" ref="N24:AC24" si="16">N23/N19</f>
        <v>0.88042148032112788</v>
      </c>
      <c r="O24" s="222">
        <f t="shared" si="16"/>
        <v>0.88482070946451608</v>
      </c>
      <c r="P24" s="222">
        <f t="shared" si="16"/>
        <v>0.89836711059640995</v>
      </c>
      <c r="Q24" s="222">
        <f t="shared" si="16"/>
        <v>0.86582796167699483</v>
      </c>
      <c r="R24" s="223">
        <f t="shared" si="16"/>
        <v>0.8826061966867923</v>
      </c>
      <c r="S24" s="222">
        <f>S23/S19</f>
        <v>0.89426509054847381</v>
      </c>
      <c r="T24" s="222">
        <f>T23/T19</f>
        <v>0.88008438609426209</v>
      </c>
      <c r="U24" s="222">
        <f>U23/U19</f>
        <v>0.87633580845582659</v>
      </c>
      <c r="V24" s="811">
        <f>V23/V19</f>
        <v>0.87633580845582659</v>
      </c>
      <c r="W24" s="811">
        <f t="shared" si="16"/>
        <v>0.88125715206662059</v>
      </c>
      <c r="X24" s="771">
        <f t="shared" si="16"/>
        <v>0.876</v>
      </c>
      <c r="Y24" s="771">
        <f t="shared" si="16"/>
        <v>0.87599999999999989</v>
      </c>
      <c r="Z24" s="771">
        <f t="shared" si="16"/>
        <v>0.876</v>
      </c>
      <c r="AA24" s="771">
        <f t="shared" si="16"/>
        <v>0.87600000000000011</v>
      </c>
      <c r="AB24" s="771">
        <f t="shared" si="16"/>
        <v>0.876</v>
      </c>
      <c r="AC24" s="771">
        <f t="shared" si="16"/>
        <v>0.876</v>
      </c>
    </row>
    <row r="25" spans="1:29" s="228" customFormat="1">
      <c r="A25" s="227" t="s">
        <v>328</v>
      </c>
      <c r="B25" s="244"/>
      <c r="C25" s="244"/>
      <c r="D25" s="245"/>
      <c r="E25" s="245"/>
      <c r="F25" s="245"/>
      <c r="G25" s="245"/>
      <c r="H25" s="244"/>
      <c r="I25" s="267"/>
      <c r="J25" s="267"/>
      <c r="K25" s="267"/>
      <c r="L25" s="267"/>
      <c r="M25" s="268"/>
      <c r="N25" s="267"/>
      <c r="O25" s="267"/>
      <c r="P25" s="267"/>
      <c r="Q25" s="267"/>
      <c r="R25" s="268"/>
      <c r="S25" s="267"/>
      <c r="T25" s="267"/>
      <c r="U25" s="267"/>
      <c r="V25" s="812"/>
      <c r="W25" s="812"/>
      <c r="X25" s="773"/>
      <c r="Y25" s="773"/>
      <c r="Z25" s="774"/>
      <c r="AA25" s="774"/>
      <c r="AB25" s="774"/>
      <c r="AC25" s="774"/>
    </row>
    <row r="26" spans="1:29" s="232" customFormat="1">
      <c r="A26" s="229" t="s">
        <v>329</v>
      </c>
      <c r="B26" s="230">
        <v>-120.36799999999999</v>
      </c>
      <c r="C26" s="230">
        <v>-165.30600000000001</v>
      </c>
      <c r="D26" s="231">
        <v>-47.707000000000001</v>
      </c>
      <c r="E26" s="231">
        <v>-24.24</v>
      </c>
      <c r="F26" s="231">
        <v>-59.433</v>
      </c>
      <c r="G26" s="231">
        <v>-48.636000000000003</v>
      </c>
      <c r="H26" s="230">
        <f>D26+E26+F26+G26</f>
        <v>-180.01599999999999</v>
      </c>
      <c r="I26" s="263">
        <v>-33.656999999999996</v>
      </c>
      <c r="J26" s="263">
        <v>-37.098999999999997</v>
      </c>
      <c r="K26" s="263">
        <v>-65.155000000000001</v>
      </c>
      <c r="L26" s="263">
        <v>-37.475999999999999</v>
      </c>
      <c r="M26" s="224">
        <v>-173.387</v>
      </c>
      <c r="N26" s="263">
        <v>-50.43</v>
      </c>
      <c r="O26" s="263">
        <v>-54.616999999999997</v>
      </c>
      <c r="P26" s="263">
        <v>-72.748999999999995</v>
      </c>
      <c r="Q26" s="263">
        <v>-121.55200000000001</v>
      </c>
      <c r="R26" s="224">
        <f>SUM(N26:Q26)</f>
        <v>-299.34800000000001</v>
      </c>
      <c r="S26" s="690">
        <v>-12.448</v>
      </c>
      <c r="T26" s="263">
        <v>-39.741999999999997</v>
      </c>
      <c r="U26" s="263">
        <v>-118.876</v>
      </c>
      <c r="V26" s="775">
        <v>-42.7</v>
      </c>
      <c r="W26" s="775">
        <f>SUM(S26:V26)</f>
        <v>-213.76600000000002</v>
      </c>
      <c r="X26" s="766">
        <f t="shared" ref="X26:AC26" si="17">-X19*X27</f>
        <v>-168.4930844485192</v>
      </c>
      <c r="Y26" s="766">
        <f t="shared" si="17"/>
        <v>-180.51733445406106</v>
      </c>
      <c r="Z26" s="766">
        <f t="shared" si="17"/>
        <v>-162.21722909598904</v>
      </c>
      <c r="AA26" s="766">
        <f t="shared" si="17"/>
        <v>-182.70778986496771</v>
      </c>
      <c r="AB26" s="766">
        <f t="shared" si="17"/>
        <v>-154.20763034410038</v>
      </c>
      <c r="AC26" s="766">
        <f t="shared" si="17"/>
        <v>-136.75275715159847</v>
      </c>
    </row>
    <row r="27" spans="1:29" s="385" customFormat="1">
      <c r="A27" s="380" t="s">
        <v>190</v>
      </c>
      <c r="B27" s="381">
        <f t="shared" ref="B27:I27" si="18">-B26/B19</f>
        <v>0.33539901917075343</v>
      </c>
      <c r="C27" s="381">
        <f t="shared" si="18"/>
        <v>0.27880971295279638</v>
      </c>
      <c r="D27" s="382">
        <f t="shared" si="18"/>
        <v>0.2935598601949394</v>
      </c>
      <c r="E27" s="382">
        <f t="shared" si="18"/>
        <v>0.13191764942775822</v>
      </c>
      <c r="F27" s="382">
        <f t="shared" si="18"/>
        <v>0.29459904234120809</v>
      </c>
      <c r="G27" s="382">
        <f t="shared" si="18"/>
        <v>0.2491879207697589</v>
      </c>
      <c r="H27" s="381">
        <f t="shared" si="18"/>
        <v>0.24222297872798484</v>
      </c>
      <c r="I27" s="383">
        <f t="shared" si="18"/>
        <v>0.16481240267562461</v>
      </c>
      <c r="J27" s="383">
        <v>0.18</v>
      </c>
      <c r="K27" s="383">
        <v>0.18</v>
      </c>
      <c r="L27" s="383">
        <v>0.19500000000000001</v>
      </c>
      <c r="M27" s="384">
        <f>-M26/M19</f>
        <v>0.18927141416214377</v>
      </c>
      <c r="N27" s="383">
        <f>-N26/N19</f>
        <v>0.20572253769336205</v>
      </c>
      <c r="O27" s="383">
        <f>-O26/O19</f>
        <v>0.19463945888541229</v>
      </c>
      <c r="P27" s="383">
        <f>-P26/P19</f>
        <v>0.24071139052030774</v>
      </c>
      <c r="Q27" s="383">
        <f>-Q26/Q19</f>
        <v>0.42057041627309116</v>
      </c>
      <c r="R27" s="384">
        <f>AVERAGE(N27:Q27)</f>
        <v>0.26541095084304334</v>
      </c>
      <c r="S27" s="691">
        <f>-S26/S19</f>
        <v>4.3012684733744984E-2</v>
      </c>
      <c r="T27" s="383">
        <f>-T26/T19</f>
        <v>0.12311571799431228</v>
      </c>
      <c r="U27" s="383">
        <f>-U26/U19</f>
        <v>0.36028489165025007</v>
      </c>
      <c r="V27" s="777">
        <f>-V26/V19</f>
        <v>0.11925161774660384</v>
      </c>
      <c r="W27" s="777">
        <v>0.2</v>
      </c>
      <c r="X27" s="778">
        <v>9.1999999999999998E-2</v>
      </c>
      <c r="Y27" s="778">
        <v>8.5000000000000006E-2</v>
      </c>
      <c r="Z27" s="778">
        <v>7.0000000000000007E-2</v>
      </c>
      <c r="AA27" s="778">
        <v>0.1</v>
      </c>
      <c r="AB27" s="778">
        <v>0.1</v>
      </c>
      <c r="AC27" s="778">
        <v>0.11</v>
      </c>
    </row>
    <row r="28" spans="1:29" s="232" customFormat="1">
      <c r="A28" s="229" t="s">
        <v>330</v>
      </c>
      <c r="B28" s="230">
        <v>-171.89400000000001</v>
      </c>
      <c r="C28" s="230">
        <v>-188.60599999999999</v>
      </c>
      <c r="D28" s="231">
        <v>-58.262999999999998</v>
      </c>
      <c r="E28" s="231">
        <v>-23.856000000000002</v>
      </c>
      <c r="F28" s="231">
        <v>-16.655999999999999</v>
      </c>
      <c r="G28" s="231">
        <v>-57.707000000000001</v>
      </c>
      <c r="H28" s="230">
        <f>D28+E28+F28+G28</f>
        <v>-156.482</v>
      </c>
      <c r="I28" s="263">
        <v>-39.789000000000001</v>
      </c>
      <c r="J28" s="263">
        <v>-53.258000000000003</v>
      </c>
      <c r="K28" s="263">
        <v>-68.626000000000005</v>
      </c>
      <c r="L28" s="263">
        <v>-40.073</v>
      </c>
      <c r="M28" s="224">
        <v>-201.74600000000001</v>
      </c>
      <c r="N28" s="263">
        <v>-71.355999999999995</v>
      </c>
      <c r="O28" s="263">
        <v>-71.364999999999995</v>
      </c>
      <c r="P28" s="263">
        <v>-94.111000000000004</v>
      </c>
      <c r="Q28" s="263">
        <v>-157.178</v>
      </c>
      <c r="R28" s="224">
        <f>SUM(N28:Q28)</f>
        <v>-394.01</v>
      </c>
      <c r="S28" s="263">
        <v>-30.215</v>
      </c>
      <c r="T28" s="263">
        <v>-68.031000000000006</v>
      </c>
      <c r="U28" s="263">
        <v>-202.50700000000001</v>
      </c>
      <c r="V28" s="775">
        <f>T28</f>
        <v>-68.031000000000006</v>
      </c>
      <c r="W28" s="775">
        <f>SUM(S28:V28)</f>
        <v>-368.78400000000005</v>
      </c>
      <c r="X28" s="766">
        <f t="shared" ref="X28:AC28" si="19">-X19*X29</f>
        <v>-219.773588411112</v>
      </c>
      <c r="Y28" s="766">
        <f t="shared" si="19"/>
        <v>-233.61066811702017</v>
      </c>
      <c r="Z28" s="766">
        <f t="shared" si="19"/>
        <v>-254.91278857941131</v>
      </c>
      <c r="AA28" s="766">
        <f t="shared" si="19"/>
        <v>-200.97856885146447</v>
      </c>
      <c r="AB28" s="766">
        <f t="shared" si="19"/>
        <v>-185.04915641292044</v>
      </c>
      <c r="AC28" s="766">
        <f t="shared" si="19"/>
        <v>-149.18482598356195</v>
      </c>
    </row>
    <row r="29" spans="1:29" s="385" customFormat="1">
      <c r="A29" s="380" t="s">
        <v>190</v>
      </c>
      <c r="B29" s="381">
        <f t="shared" ref="B29:I29" si="20">-B28/B19</f>
        <v>0.47897347302719573</v>
      </c>
      <c r="C29" s="381">
        <f t="shared" si="20"/>
        <v>0.31810814320820241</v>
      </c>
      <c r="D29" s="382">
        <f t="shared" si="20"/>
        <v>0.35851506350300277</v>
      </c>
      <c r="E29" s="382">
        <f t="shared" si="20"/>
        <v>0.129827864882368</v>
      </c>
      <c r="F29" s="382">
        <f t="shared" si="20"/>
        <v>8.2560894607964633E-2</v>
      </c>
      <c r="G29" s="382">
        <f t="shared" si="20"/>
        <v>0.29566344567522979</v>
      </c>
      <c r="H29" s="381">
        <f t="shared" si="20"/>
        <v>0.21055648474198141</v>
      </c>
      <c r="I29" s="383">
        <f t="shared" si="20"/>
        <v>0.19483972695309826</v>
      </c>
      <c r="J29" s="383">
        <v>0.20499999999999999</v>
      </c>
      <c r="K29" s="383">
        <v>0.20499999999999999</v>
      </c>
      <c r="L29" s="383">
        <v>0.215</v>
      </c>
      <c r="M29" s="384">
        <f>-M28/M19</f>
        <v>0.22022845266113295</v>
      </c>
      <c r="N29" s="383">
        <f>-N28/N19</f>
        <v>0.29108739638404801</v>
      </c>
      <c r="O29" s="383">
        <f>-O28/O19</f>
        <v>0.2543245689685894</v>
      </c>
      <c r="P29" s="383">
        <f>-P28/P19</f>
        <v>0.31139382910083552</v>
      </c>
      <c r="Q29" s="383">
        <f>-Q28/Q19</f>
        <v>0.54383652172709551</v>
      </c>
      <c r="R29" s="384">
        <f>AVERAGE(N29:Q29)</f>
        <v>0.35016057904514214</v>
      </c>
      <c r="S29" s="383">
        <f>-S28/S19</f>
        <v>0.10440458461038758</v>
      </c>
      <c r="T29" s="383">
        <f>-T28/T19</f>
        <v>0.21075148233282323</v>
      </c>
      <c r="U29" s="383">
        <f>-U28/U19</f>
        <v>0.61375056826791941</v>
      </c>
      <c r="V29" s="777">
        <f>-V28/V19</f>
        <v>0.18999547557187835</v>
      </c>
      <c r="W29" s="776">
        <v>0.26</v>
      </c>
      <c r="X29" s="778">
        <v>0.12</v>
      </c>
      <c r="Y29" s="778">
        <v>0.11</v>
      </c>
      <c r="Z29" s="778">
        <v>0.11</v>
      </c>
      <c r="AA29" s="778">
        <v>0.11</v>
      </c>
      <c r="AB29" s="778">
        <v>0.12</v>
      </c>
      <c r="AC29" s="778">
        <v>0.12</v>
      </c>
    </row>
    <row r="30" spans="1:29" s="228" customFormat="1">
      <c r="A30" s="246" t="s">
        <v>157</v>
      </c>
      <c r="B30" s="247"/>
      <c r="C30" s="247"/>
      <c r="D30" s="248"/>
      <c r="E30" s="248"/>
      <c r="F30" s="248"/>
      <c r="G30" s="248"/>
      <c r="H30" s="247">
        <f>D30+E30+F30+G30</f>
        <v>0</v>
      </c>
      <c r="I30" s="267">
        <v>0</v>
      </c>
      <c r="J30" s="267"/>
      <c r="K30" s="267"/>
      <c r="L30" s="267"/>
      <c r="M30" s="268">
        <f>I30+J30+K30+L30</f>
        <v>0</v>
      </c>
      <c r="N30" s="267">
        <v>0</v>
      </c>
      <c r="O30" s="267"/>
      <c r="P30" s="267"/>
      <c r="Q30" s="267"/>
      <c r="R30" s="268"/>
      <c r="S30" s="267">
        <v>0</v>
      </c>
      <c r="T30" s="267"/>
      <c r="U30" s="267"/>
      <c r="V30" s="812"/>
      <c r="W30" s="812"/>
      <c r="X30" s="773"/>
      <c r="Y30" s="773"/>
      <c r="Z30" s="774"/>
      <c r="AA30" s="774"/>
      <c r="AB30" s="774"/>
      <c r="AC30" s="774"/>
    </row>
    <row r="31" spans="1:29" s="329" customFormat="1">
      <c r="A31" s="233" t="s">
        <v>331</v>
      </c>
      <c r="B31" s="234">
        <f>B26+B28+B30</f>
        <v>-292.262</v>
      </c>
      <c r="C31" s="234">
        <f t="shared" ref="C31:M31" si="21">C26+C28+C30</f>
        <v>-353.91200000000003</v>
      </c>
      <c r="D31" s="235">
        <f t="shared" si="21"/>
        <v>-105.97</v>
      </c>
      <c r="E31" s="235">
        <f t="shared" si="21"/>
        <v>-48.096000000000004</v>
      </c>
      <c r="F31" s="235">
        <f t="shared" si="21"/>
        <v>-76.088999999999999</v>
      </c>
      <c r="G31" s="235">
        <f t="shared" si="21"/>
        <v>-106.343</v>
      </c>
      <c r="H31" s="234">
        <f t="shared" si="21"/>
        <v>-336.49799999999999</v>
      </c>
      <c r="I31" s="264">
        <f t="shared" si="21"/>
        <v>-73.445999999999998</v>
      </c>
      <c r="J31" s="264">
        <f t="shared" si="21"/>
        <v>-90.356999999999999</v>
      </c>
      <c r="K31" s="264">
        <f t="shared" si="21"/>
        <v>-133.78100000000001</v>
      </c>
      <c r="L31" s="264">
        <f t="shared" si="21"/>
        <v>-77.549000000000007</v>
      </c>
      <c r="M31" s="225">
        <f t="shared" si="21"/>
        <v>-375.13300000000004</v>
      </c>
      <c r="N31" s="264">
        <f t="shared" ref="N31:AC31" si="22">N26+N28+N30</f>
        <v>-121.786</v>
      </c>
      <c r="O31" s="264">
        <f t="shared" si="22"/>
        <v>-125.982</v>
      </c>
      <c r="P31" s="264">
        <f t="shared" si="22"/>
        <v>-166.86</v>
      </c>
      <c r="Q31" s="264">
        <f t="shared" si="22"/>
        <v>-278.73</v>
      </c>
      <c r="R31" s="225">
        <f t="shared" si="22"/>
        <v>-693.35799999999995</v>
      </c>
      <c r="S31" s="264">
        <f>S26+S28+S30</f>
        <v>-42.662999999999997</v>
      </c>
      <c r="T31" s="264">
        <f>T26+T28+T30</f>
        <v>-107.773</v>
      </c>
      <c r="U31" s="264">
        <f>U26+U28+U30</f>
        <v>-321.38300000000004</v>
      </c>
      <c r="V31" s="813">
        <f>V26+V28+V30</f>
        <v>-110.73100000000001</v>
      </c>
      <c r="W31" s="813">
        <f t="shared" si="22"/>
        <v>-582.55000000000007</v>
      </c>
      <c r="X31" s="780">
        <f t="shared" si="22"/>
        <v>-388.26667285963117</v>
      </c>
      <c r="Y31" s="780">
        <f t="shared" si="22"/>
        <v>-414.1280025710812</v>
      </c>
      <c r="Z31" s="780">
        <f t="shared" si="22"/>
        <v>-417.13001767540038</v>
      </c>
      <c r="AA31" s="780">
        <f t="shared" si="22"/>
        <v>-383.68635871643221</v>
      </c>
      <c r="AB31" s="780">
        <f t="shared" si="22"/>
        <v>-339.25678675702079</v>
      </c>
      <c r="AC31" s="780">
        <f t="shared" si="22"/>
        <v>-285.93758313516042</v>
      </c>
    </row>
    <row r="32" spans="1:29" s="328" customFormat="1">
      <c r="A32" s="323" t="s">
        <v>190</v>
      </c>
      <c r="B32" s="324">
        <f>B31/B19</f>
        <v>-0.81437249219794916</v>
      </c>
      <c r="C32" s="324">
        <f t="shared" ref="C32:I32" si="23">C31/C19</f>
        <v>-0.59691785616099879</v>
      </c>
      <c r="D32" s="325">
        <f t="shared" si="23"/>
        <v>-0.65207492369794218</v>
      </c>
      <c r="E32" s="325">
        <f t="shared" si="23"/>
        <v>-0.26174551431012621</v>
      </c>
      <c r="F32" s="325">
        <f t="shared" si="23"/>
        <v>-0.37715993694917271</v>
      </c>
      <c r="G32" s="325">
        <f t="shared" si="23"/>
        <v>-0.54485136644498866</v>
      </c>
      <c r="H32" s="324">
        <f t="shared" si="23"/>
        <v>-0.45277946346996628</v>
      </c>
      <c r="I32" s="326">
        <f t="shared" si="23"/>
        <v>-0.35965212962872284</v>
      </c>
      <c r="J32" s="326">
        <f>J31/J19</f>
        <v>-0.40055945419967459</v>
      </c>
      <c r="K32" s="326">
        <f>K31/K19</f>
        <v>-0.55174703466024388</v>
      </c>
      <c r="L32" s="326">
        <f>L31/L19</f>
        <v>-0.31806231722972561</v>
      </c>
      <c r="M32" s="327">
        <f>M31/M19</f>
        <v>-0.40949986682327677</v>
      </c>
      <c r="N32" s="326">
        <f t="shared" ref="N32:AC32" si="24">N31/N19</f>
        <v>-0.49680993407741009</v>
      </c>
      <c r="O32" s="326">
        <f t="shared" si="24"/>
        <v>-0.44896402785400169</v>
      </c>
      <c r="P32" s="326">
        <f t="shared" si="24"/>
        <v>-0.55210521962114334</v>
      </c>
      <c r="Q32" s="326">
        <f t="shared" si="24"/>
        <v>-0.96440693800018673</v>
      </c>
      <c r="R32" s="327">
        <f t="shared" si="24"/>
        <v>-0.62074121025905471</v>
      </c>
      <c r="S32" s="326">
        <f>S31/S19</f>
        <v>-0.14741726934413255</v>
      </c>
      <c r="T32" s="326">
        <f>T31/T19</f>
        <v>-0.33386720032713546</v>
      </c>
      <c r="U32" s="326">
        <f>U31/U19</f>
        <v>-0.97403545991816953</v>
      </c>
      <c r="V32" s="814">
        <f>V31/V19</f>
        <v>-0.30924709331848221</v>
      </c>
      <c r="W32" s="814">
        <f t="shared" si="24"/>
        <v>-0.44803907277609084</v>
      </c>
      <c r="X32" s="764">
        <f t="shared" si="24"/>
        <v>-0.21199999999999997</v>
      </c>
      <c r="Y32" s="764">
        <f t="shared" si="24"/>
        <v>-0.19500000000000001</v>
      </c>
      <c r="Z32" s="764">
        <f t="shared" si="24"/>
        <v>-0.18000000000000002</v>
      </c>
      <c r="AA32" s="764">
        <f t="shared" si="24"/>
        <v>-0.21000000000000002</v>
      </c>
      <c r="AB32" s="764">
        <f t="shared" si="24"/>
        <v>-0.21999999999999997</v>
      </c>
      <c r="AC32" s="764">
        <f t="shared" si="24"/>
        <v>-0.22999999999999998</v>
      </c>
    </row>
    <row r="33" spans="1:29" s="236" customFormat="1">
      <c r="A33" s="233" t="s">
        <v>298</v>
      </c>
      <c r="B33" s="234">
        <f>B23+B31</f>
        <v>25.757000000000005</v>
      </c>
      <c r="C33" s="234">
        <f t="shared" ref="C33:M33" si="25">C23+C31</f>
        <v>171.31299999999999</v>
      </c>
      <c r="D33" s="235">
        <f t="shared" si="25"/>
        <v>36.803000000000026</v>
      </c>
      <c r="E33" s="235">
        <f t="shared" si="25"/>
        <v>114.49299999999999</v>
      </c>
      <c r="F33" s="235">
        <f t="shared" si="25"/>
        <v>102.977</v>
      </c>
      <c r="G33" s="235">
        <f t="shared" si="25"/>
        <v>63.507999999999996</v>
      </c>
      <c r="H33" s="234">
        <f t="shared" si="25"/>
        <v>317.78100000000012</v>
      </c>
      <c r="I33" s="264">
        <f t="shared" si="25"/>
        <v>106.73699999999997</v>
      </c>
      <c r="J33" s="264">
        <f t="shared" si="25"/>
        <v>105.58699999999999</v>
      </c>
      <c r="K33" s="264">
        <f t="shared" si="25"/>
        <v>80.718999999999994</v>
      </c>
      <c r="L33" s="264">
        <f t="shared" si="25"/>
        <v>128.60300000000001</v>
      </c>
      <c r="M33" s="225">
        <f t="shared" si="25"/>
        <v>421.64599999999984</v>
      </c>
      <c r="N33" s="264">
        <f t="shared" ref="N33:AC33" si="26">N23+N31</f>
        <v>94.037000000000006</v>
      </c>
      <c r="O33" s="264">
        <f t="shared" si="26"/>
        <v>122.304</v>
      </c>
      <c r="P33" s="264">
        <f t="shared" si="26"/>
        <v>104.64899999999994</v>
      </c>
      <c r="Q33" s="264">
        <f t="shared" si="26"/>
        <v>-28.490999999999957</v>
      </c>
      <c r="R33" s="225">
        <f t="shared" si="26"/>
        <v>292.49900000000002</v>
      </c>
      <c r="S33" s="264">
        <f>S23+S31</f>
        <v>216.14</v>
      </c>
      <c r="T33" s="264">
        <f>T23+T31</f>
        <v>176.32000000000002</v>
      </c>
      <c r="U33" s="264">
        <f>U23+U31</f>
        <v>-32.236000000000047</v>
      </c>
      <c r="V33" s="813">
        <f>V23+V31</f>
        <v>203.05542678522045</v>
      </c>
      <c r="W33" s="813">
        <f>SUM(S33:V33)</f>
        <v>563.27942678522049</v>
      </c>
      <c r="X33" s="780">
        <f t="shared" si="26"/>
        <v>1216.0805225414865</v>
      </c>
      <c r="Y33" s="780">
        <f t="shared" si="26"/>
        <v>1446.2624089790065</v>
      </c>
      <c r="Z33" s="780">
        <f t="shared" si="26"/>
        <v>1612.902735011548</v>
      </c>
      <c r="AA33" s="780">
        <f t="shared" si="26"/>
        <v>1216.8338805006852</v>
      </c>
      <c r="AB33" s="780">
        <f t="shared" si="26"/>
        <v>1011.6020550572985</v>
      </c>
      <c r="AC33" s="780">
        <f t="shared" si="26"/>
        <v>803.11164654484196</v>
      </c>
    </row>
    <row r="34" spans="1:29" s="335" customFormat="1">
      <c r="A34" s="330" t="s">
        <v>194</v>
      </c>
      <c r="B34" s="331">
        <f>B33/B19</f>
        <v>7.1770508247882309E-2</v>
      </c>
      <c r="C34" s="331">
        <f t="shared" ref="C34:M34" si="27">C33/C19</f>
        <v>0.28894128679589609</v>
      </c>
      <c r="D34" s="332">
        <f t="shared" si="27"/>
        <v>0.22646327655803891</v>
      </c>
      <c r="E34" s="332">
        <f t="shared" si="27"/>
        <v>0.62308776550875911</v>
      </c>
      <c r="F34" s="332">
        <f t="shared" si="27"/>
        <v>0.51043907565107915</v>
      </c>
      <c r="G34" s="332">
        <f t="shared" si="27"/>
        <v>0.32538503314922784</v>
      </c>
      <c r="H34" s="331">
        <f t="shared" si="27"/>
        <v>0.42759454939093072</v>
      </c>
      <c r="I34" s="333">
        <f t="shared" si="27"/>
        <v>0.52267229474962529</v>
      </c>
      <c r="J34" s="333">
        <f t="shared" si="27"/>
        <v>0.4680752027024031</v>
      </c>
      <c r="K34" s="333">
        <f t="shared" si="27"/>
        <v>0.3329057855057162</v>
      </c>
      <c r="L34" s="333">
        <f t="shared" si="27"/>
        <v>0.52745706821099436</v>
      </c>
      <c r="M34" s="334">
        <f t="shared" si="27"/>
        <v>0.46027403839856068</v>
      </c>
      <c r="N34" s="333">
        <f t="shared" ref="N34:AC34" si="28">N33/N19</f>
        <v>0.38361154624371779</v>
      </c>
      <c r="O34" s="333">
        <f t="shared" si="28"/>
        <v>0.43585668161051438</v>
      </c>
      <c r="P34" s="333">
        <f t="shared" si="28"/>
        <v>0.34626189097526661</v>
      </c>
      <c r="Q34" s="333">
        <f t="shared" si="28"/>
        <v>-9.8578976323191889E-2</v>
      </c>
      <c r="R34" s="334">
        <f t="shared" si="28"/>
        <v>0.26186498642773759</v>
      </c>
      <c r="S34" s="333">
        <f>S33/S19</f>
        <v>0.74684782120434123</v>
      </c>
      <c r="T34" s="333">
        <f>T33/T19</f>
        <v>0.54621718576712663</v>
      </c>
      <c r="U34" s="333">
        <f>U33/U19</f>
        <v>-9.7699651462342926E-2</v>
      </c>
      <c r="V34" s="781">
        <f>V33/V19</f>
        <v>0.56708871513734449</v>
      </c>
      <c r="W34" s="782">
        <f t="shared" si="28"/>
        <v>0.4332180792905298</v>
      </c>
      <c r="X34" s="782">
        <f t="shared" si="28"/>
        <v>0.66400000000000003</v>
      </c>
      <c r="Y34" s="782">
        <f t="shared" si="28"/>
        <v>0.68099999999999994</v>
      </c>
      <c r="Z34" s="782">
        <f t="shared" si="28"/>
        <v>0.69600000000000006</v>
      </c>
      <c r="AA34" s="782">
        <f t="shared" si="28"/>
        <v>0.66600000000000015</v>
      </c>
      <c r="AB34" s="782">
        <f t="shared" si="28"/>
        <v>0.65600000000000003</v>
      </c>
      <c r="AC34" s="782">
        <f t="shared" si="28"/>
        <v>0.64600000000000002</v>
      </c>
    </row>
    <row r="35" spans="1:29" s="232" customFormat="1">
      <c r="A35" s="229" t="s">
        <v>295</v>
      </c>
      <c r="B35" s="230">
        <v>5.1459999999999999</v>
      </c>
      <c r="C35" s="230">
        <v>2.9390000000000001</v>
      </c>
      <c r="D35" s="231">
        <v>0.66600000000000004</v>
      </c>
      <c r="E35" s="231">
        <v>0.83899999999999997</v>
      </c>
      <c r="F35" s="231">
        <v>1.016</v>
      </c>
      <c r="G35" s="231">
        <v>0.92900000000000005</v>
      </c>
      <c r="H35" s="230">
        <f>D35+E35+F35+G35</f>
        <v>3.45</v>
      </c>
      <c r="I35" s="263">
        <v>1.0329999999999999</v>
      </c>
      <c r="J35" s="263">
        <v>1.0549999999999999</v>
      </c>
      <c r="K35" s="263">
        <v>1.1379999999999999</v>
      </c>
      <c r="L35" s="263">
        <v>0.71599999999999997</v>
      </c>
      <c r="M35" s="224">
        <v>3.9409999999999998</v>
      </c>
      <c r="N35" s="263">
        <v>0.97899999999999998</v>
      </c>
      <c r="O35" s="263">
        <v>0.86899999999999999</v>
      </c>
      <c r="P35" s="263">
        <v>0.86799999999999999</v>
      </c>
      <c r="Q35" s="263">
        <v>1.111</v>
      </c>
      <c r="R35" s="224">
        <f>SUM(N35:Q35)</f>
        <v>3.827</v>
      </c>
      <c r="S35" s="263">
        <v>1.232</v>
      </c>
      <c r="T35" s="263">
        <v>1.1100000000000001</v>
      </c>
      <c r="U35" s="263"/>
      <c r="V35" s="765">
        <f>U35</f>
        <v>0</v>
      </c>
      <c r="W35" s="766">
        <f t="shared" ref="W35:W40" si="29">SUM(S35:V35)</f>
        <v>2.3420000000000001</v>
      </c>
      <c r="X35" s="766">
        <f t="shared" ref="X35:AC35" si="30">W35</f>
        <v>2.3420000000000001</v>
      </c>
      <c r="Y35" s="766">
        <f t="shared" si="30"/>
        <v>2.3420000000000001</v>
      </c>
      <c r="Z35" s="766">
        <f t="shared" si="30"/>
        <v>2.3420000000000001</v>
      </c>
      <c r="AA35" s="766">
        <f t="shared" si="30"/>
        <v>2.3420000000000001</v>
      </c>
      <c r="AB35" s="766">
        <f t="shared" si="30"/>
        <v>2.3420000000000001</v>
      </c>
      <c r="AC35" s="766">
        <f t="shared" si="30"/>
        <v>2.3420000000000001</v>
      </c>
    </row>
    <row r="36" spans="1:29" s="232" customFormat="1">
      <c r="A36" s="229" t="s">
        <v>334</v>
      </c>
      <c r="B36" s="230">
        <v>-12.875</v>
      </c>
      <c r="C36" s="230">
        <v>-19.71</v>
      </c>
      <c r="D36" s="231">
        <v>-5.41</v>
      </c>
      <c r="E36" s="231">
        <v>-5.431</v>
      </c>
      <c r="F36" s="231">
        <v>-5.4160000000000004</v>
      </c>
      <c r="G36" s="231">
        <v>-5.1120000000000001</v>
      </c>
      <c r="H36" s="230">
        <f>D36+E36+F36+G36</f>
        <v>-21.369</v>
      </c>
      <c r="I36" s="263">
        <v>-3.8860000000000001</v>
      </c>
      <c r="J36" s="263">
        <v>-3.879</v>
      </c>
      <c r="K36" s="263">
        <v>-4.3840000000000003</v>
      </c>
      <c r="L36" s="263">
        <v>-4.49</v>
      </c>
      <c r="M36" s="224">
        <v>-16.638999999999999</v>
      </c>
      <c r="N36" s="263">
        <f>-4.436</f>
        <v>-4.4359999999999999</v>
      </c>
      <c r="O36" s="263">
        <v>-4.5199999999999996</v>
      </c>
      <c r="P36" s="263">
        <v>-4.54</v>
      </c>
      <c r="Q36" s="263">
        <v>-4.5620000000000003</v>
      </c>
      <c r="R36" s="224">
        <f>SUM(N36:Q36)</f>
        <v>-18.058</v>
      </c>
      <c r="S36" s="263">
        <v>-4.6100000000000003</v>
      </c>
      <c r="T36" s="263">
        <v>-4.7460000000000004</v>
      </c>
      <c r="U36" s="263">
        <v>-4.7089999999999996</v>
      </c>
      <c r="V36" s="765">
        <f>U36</f>
        <v>-4.7089999999999996</v>
      </c>
      <c r="W36" s="766">
        <f t="shared" si="29"/>
        <v>-18.774000000000001</v>
      </c>
      <c r="X36" s="766">
        <f t="shared" ref="X36:AC36" si="31">W36</f>
        <v>-18.774000000000001</v>
      </c>
      <c r="Y36" s="766">
        <f t="shared" si="31"/>
        <v>-18.774000000000001</v>
      </c>
      <c r="Z36" s="766">
        <f t="shared" si="31"/>
        <v>-18.774000000000001</v>
      </c>
      <c r="AA36" s="766">
        <f t="shared" si="31"/>
        <v>-18.774000000000001</v>
      </c>
      <c r="AB36" s="766">
        <f t="shared" si="31"/>
        <v>-18.774000000000001</v>
      </c>
      <c r="AC36" s="766">
        <f t="shared" si="31"/>
        <v>-18.774000000000001</v>
      </c>
    </row>
    <row r="37" spans="1:29" s="232" customFormat="1">
      <c r="A37" s="229" t="s">
        <v>296</v>
      </c>
      <c r="B37" s="230">
        <v>-0.14099999999999999</v>
      </c>
      <c r="C37" s="230">
        <v>-0.16</v>
      </c>
      <c r="D37" s="231">
        <v>-3.6999999999999998E-2</v>
      </c>
      <c r="E37" s="231">
        <v>-0.03</v>
      </c>
      <c r="F37" s="231">
        <v>-4.2999999999999997E-2</v>
      </c>
      <c r="G37" s="231">
        <v>-8.9999999999999993E-3</v>
      </c>
      <c r="H37" s="230">
        <f>D37+E37+F37+G37</f>
        <v>-0.11899999999999999</v>
      </c>
      <c r="I37" s="263">
        <v>-0.02</v>
      </c>
      <c r="J37" s="263">
        <v>-4.2000000000000003E-2</v>
      </c>
      <c r="K37" s="263">
        <v>-4.8000000000000001E-2</v>
      </c>
      <c r="L37" s="263">
        <v>-3.3000000000000002E-2</v>
      </c>
      <c r="M37" s="224">
        <v>-0.14299999999999999</v>
      </c>
      <c r="N37" s="263">
        <v>-4.7E-2</v>
      </c>
      <c r="O37" s="263">
        <v>-7.1999999999999995E-2</v>
      </c>
      <c r="P37" s="263">
        <v>0</v>
      </c>
      <c r="Q37" s="263">
        <v>0</v>
      </c>
      <c r="R37" s="224">
        <f>SUM(N37:Q37)</f>
        <v>-0.11899999999999999</v>
      </c>
      <c r="S37" s="263">
        <v>0</v>
      </c>
      <c r="T37" s="263">
        <v>0</v>
      </c>
      <c r="U37" s="263">
        <v>0</v>
      </c>
      <c r="V37" s="765">
        <v>0</v>
      </c>
      <c r="W37" s="766">
        <f t="shared" si="29"/>
        <v>0</v>
      </c>
      <c r="X37" s="766">
        <f t="shared" ref="X37:AC37" si="32">W37</f>
        <v>0</v>
      </c>
      <c r="Y37" s="766">
        <f t="shared" si="32"/>
        <v>0</v>
      </c>
      <c r="Z37" s="766">
        <f t="shared" si="32"/>
        <v>0</v>
      </c>
      <c r="AA37" s="766">
        <f t="shared" si="32"/>
        <v>0</v>
      </c>
      <c r="AB37" s="766">
        <f t="shared" si="32"/>
        <v>0</v>
      </c>
      <c r="AC37" s="766">
        <f t="shared" si="32"/>
        <v>0</v>
      </c>
    </row>
    <row r="38" spans="1:29" s="232" customFormat="1">
      <c r="A38" s="229" t="s">
        <v>297</v>
      </c>
      <c r="B38" s="230">
        <v>0.73599999999999999</v>
      </c>
      <c r="C38" s="230">
        <v>0.76900000000000002</v>
      </c>
      <c r="D38" s="231">
        <v>4.1000000000000002E-2</v>
      </c>
      <c r="E38" s="231">
        <v>-0.25700000000000001</v>
      </c>
      <c r="F38" s="231">
        <v>-0.27800000000000002</v>
      </c>
      <c r="G38" s="231">
        <v>0.67300000000000004</v>
      </c>
      <c r="H38" s="230">
        <f>D38+E38+F38+G38</f>
        <v>0.17900000000000005</v>
      </c>
      <c r="I38" s="263">
        <v>7.1999999999999995E-2</v>
      </c>
      <c r="J38" s="263">
        <v>0.56899999999999995</v>
      </c>
      <c r="K38" s="263">
        <v>31.382000000000001</v>
      </c>
      <c r="L38" s="263">
        <v>0.156</v>
      </c>
      <c r="M38" s="224">
        <v>31.866</v>
      </c>
      <c r="N38" s="263">
        <f>0.302</f>
        <v>0.30199999999999999</v>
      </c>
      <c r="O38" s="263">
        <v>-6.2E-2</v>
      </c>
      <c r="P38" s="263">
        <v>0.20200000000000001</v>
      </c>
      <c r="Q38" s="263">
        <v>0.312</v>
      </c>
      <c r="R38" s="224">
        <f>SUM(N38:Q38)</f>
        <v>0.754</v>
      </c>
      <c r="S38" s="263">
        <v>0.45400000000000001</v>
      </c>
      <c r="T38" s="263">
        <v>0.34899999999999998</v>
      </c>
      <c r="U38" s="263">
        <v>1.1120000000000001</v>
      </c>
      <c r="V38" s="765">
        <f>U38</f>
        <v>1.1120000000000001</v>
      </c>
      <c r="W38" s="766">
        <f t="shared" si="29"/>
        <v>3.0270000000000001</v>
      </c>
      <c r="X38" s="766">
        <v>0</v>
      </c>
      <c r="Y38" s="766">
        <f>X38</f>
        <v>0</v>
      </c>
      <c r="Z38" s="766">
        <f>Y38</f>
        <v>0</v>
      </c>
      <c r="AA38" s="766">
        <f>Z38</f>
        <v>0</v>
      </c>
      <c r="AB38" s="766">
        <f>AA38</f>
        <v>0</v>
      </c>
      <c r="AC38" s="766">
        <f>AB38</f>
        <v>0</v>
      </c>
    </row>
    <row r="39" spans="1:29" s="236" customFormat="1">
      <c r="A39" s="233" t="s">
        <v>153</v>
      </c>
      <c r="B39" s="234">
        <f t="shared" ref="B39:H39" si="33">B33+B35+B36+B37+B38</f>
        <v>18.623000000000008</v>
      </c>
      <c r="C39" s="234">
        <f t="shared" si="33"/>
        <v>155.15099999999998</v>
      </c>
      <c r="D39" s="235">
        <f t="shared" si="33"/>
        <v>32.063000000000024</v>
      </c>
      <c r="E39" s="235">
        <f t="shared" si="33"/>
        <v>109.61399999999999</v>
      </c>
      <c r="F39" s="235">
        <f t="shared" si="33"/>
        <v>98.256</v>
      </c>
      <c r="G39" s="235">
        <f t="shared" si="33"/>
        <v>59.988999999999997</v>
      </c>
      <c r="H39" s="234">
        <f t="shared" si="33"/>
        <v>299.92200000000003</v>
      </c>
      <c r="I39" s="264">
        <f>I33+I35+I36+I37+I38</f>
        <v>103.93599999999998</v>
      </c>
      <c r="J39" s="264">
        <f>J33+J35+J36+J37+J38</f>
        <v>103.28999999999999</v>
      </c>
      <c r="K39" s="264">
        <f>K33+K35+K36+K37+K38</f>
        <v>108.807</v>
      </c>
      <c r="L39" s="264">
        <f>L33+L35+L36+L37+L38</f>
        <v>124.95200000000003</v>
      </c>
      <c r="M39" s="225">
        <f>M33+M35+M36+M37+M38</f>
        <v>440.67099999999982</v>
      </c>
      <c r="N39" s="264">
        <f t="shared" ref="N39:AC39" si="34">N33+N35+N36+N37+N38</f>
        <v>90.835000000000022</v>
      </c>
      <c r="O39" s="264">
        <f t="shared" si="34"/>
        <v>118.51900000000001</v>
      </c>
      <c r="P39" s="264">
        <f t="shared" si="34"/>
        <v>101.17899999999993</v>
      </c>
      <c r="Q39" s="264">
        <f t="shared" si="34"/>
        <v>-31.629999999999956</v>
      </c>
      <c r="R39" s="225">
        <f t="shared" si="34"/>
        <v>278.90300000000002</v>
      </c>
      <c r="S39" s="264">
        <f>S33+S35+S36+S37+S38</f>
        <v>213.21599999999998</v>
      </c>
      <c r="T39" s="264">
        <f>T33+T35+T36+T37+T38</f>
        <v>173.03300000000002</v>
      </c>
      <c r="U39" s="264">
        <f>U33+U35+U36+U37+U38</f>
        <v>-35.833000000000048</v>
      </c>
      <c r="V39" s="779">
        <f>V33+V35+V36+V37+V38</f>
        <v>199.45842678522044</v>
      </c>
      <c r="W39" s="780">
        <f t="shared" si="29"/>
        <v>549.87442678522041</v>
      </c>
      <c r="X39" s="780">
        <f t="shared" si="34"/>
        <v>1199.6485225414867</v>
      </c>
      <c r="Y39" s="780">
        <f t="shared" si="34"/>
        <v>1429.8304089790067</v>
      </c>
      <c r="Z39" s="780">
        <f t="shared" si="34"/>
        <v>1596.4707350115482</v>
      </c>
      <c r="AA39" s="780">
        <f t="shared" si="34"/>
        <v>1200.4018805006854</v>
      </c>
      <c r="AB39" s="780">
        <f t="shared" si="34"/>
        <v>995.17005505729844</v>
      </c>
      <c r="AC39" s="780">
        <f t="shared" si="34"/>
        <v>786.67964654484194</v>
      </c>
    </row>
    <row r="40" spans="1:29" s="232" customFormat="1">
      <c r="A40" s="229" t="s">
        <v>203</v>
      </c>
      <c r="B40" s="230">
        <v>-0.69499999999999995</v>
      </c>
      <c r="C40" s="230">
        <v>-43.945</v>
      </c>
      <c r="D40" s="231">
        <v>12.446</v>
      </c>
      <c r="E40" s="231">
        <v>35.722999999999999</v>
      </c>
      <c r="F40" s="231">
        <v>17.640999999999998</v>
      </c>
      <c r="G40" s="231">
        <v>16.8</v>
      </c>
      <c r="H40" s="230">
        <v>-82.873999999999995</v>
      </c>
      <c r="I40" s="263">
        <v>-33.176000000000002</v>
      </c>
      <c r="J40" s="263">
        <v>-30.974</v>
      </c>
      <c r="K40" s="263">
        <v>-30.382000000000001</v>
      </c>
      <c r="L40" s="263">
        <v>-41.697000000000003</v>
      </c>
      <c r="M40" s="224">
        <v>-136.22900000000001</v>
      </c>
      <c r="N40" s="263">
        <v>-28.51</v>
      </c>
      <c r="O40" s="263">
        <v>-38.655000000000001</v>
      </c>
      <c r="P40" s="263">
        <v>-38.494</v>
      </c>
      <c r="Q40" s="263">
        <v>1.3160000000000001</v>
      </c>
      <c r="R40" s="224">
        <f>SUM(N40:Q40)</f>
        <v>-104.343</v>
      </c>
      <c r="S40" s="263">
        <v>-75.691999999999993</v>
      </c>
      <c r="T40" s="263">
        <v>-61.180999999999997</v>
      </c>
      <c r="U40" s="263">
        <v>10.596</v>
      </c>
      <c r="V40" s="765">
        <f>-V39*V41</f>
        <v>-70.524501159585569</v>
      </c>
      <c r="W40" s="766">
        <f t="shared" si="29"/>
        <v>-196.80150115958554</v>
      </c>
      <c r="X40" s="766">
        <f t="shared" ref="X40:AC40" si="35">-X39*X41</f>
        <v>-419.87698288952032</v>
      </c>
      <c r="Y40" s="766">
        <f t="shared" si="35"/>
        <v>-500.44064314265233</v>
      </c>
      <c r="Z40" s="766">
        <f t="shared" si="35"/>
        <v>-558.7647572540418</v>
      </c>
      <c r="AA40" s="766">
        <f t="shared" si="35"/>
        <v>-420.14065817523988</v>
      </c>
      <c r="AB40" s="766">
        <f t="shared" si="35"/>
        <v>-348.30951927005441</v>
      </c>
      <c r="AC40" s="766">
        <f t="shared" si="35"/>
        <v>-275.33787629069468</v>
      </c>
    </row>
    <row r="41" spans="1:29" s="328" customFormat="1">
      <c r="A41" s="323" t="s">
        <v>191</v>
      </c>
      <c r="B41" s="324">
        <f t="shared" ref="B41:I41" si="36">B40/B39</f>
        <v>-3.7319443698652185E-2</v>
      </c>
      <c r="C41" s="324">
        <f t="shared" si="36"/>
        <v>-0.2832401982584708</v>
      </c>
      <c r="D41" s="325">
        <f t="shared" si="36"/>
        <v>0.38817328384742511</v>
      </c>
      <c r="E41" s="325">
        <f t="shared" si="36"/>
        <v>0.32589815169595127</v>
      </c>
      <c r="F41" s="325">
        <f t="shared" si="36"/>
        <v>0.17954119850187264</v>
      </c>
      <c r="G41" s="325">
        <f t="shared" si="36"/>
        <v>0.28005134274617016</v>
      </c>
      <c r="H41" s="324">
        <f t="shared" si="36"/>
        <v>-0.27631850947913122</v>
      </c>
      <c r="I41" s="326">
        <f t="shared" si="36"/>
        <v>-0.31919642857142866</v>
      </c>
      <c r="J41" s="326">
        <f t="shared" ref="J41:R41" si="37">J40/J39</f>
        <v>-0.2998741407687095</v>
      </c>
      <c r="K41" s="326">
        <f t="shared" si="37"/>
        <v>-0.27922835846958377</v>
      </c>
      <c r="L41" s="326">
        <f t="shared" si="37"/>
        <v>-0.33370414239067797</v>
      </c>
      <c r="M41" s="327">
        <f t="shared" si="37"/>
        <v>-0.30913992525035699</v>
      </c>
      <c r="N41" s="326">
        <f t="shared" si="37"/>
        <v>-0.31386580062751135</v>
      </c>
      <c r="O41" s="326">
        <f t="shared" si="37"/>
        <v>-0.3261502375146601</v>
      </c>
      <c r="P41" s="326">
        <f t="shared" si="37"/>
        <v>-0.38045444212731916</v>
      </c>
      <c r="Q41" s="326">
        <f t="shared" si="37"/>
        <v>-4.1606070186531834E-2</v>
      </c>
      <c r="R41" s="327">
        <f t="shared" si="37"/>
        <v>-0.3741193174687974</v>
      </c>
      <c r="S41" s="326">
        <f>-S40/S39</f>
        <v>0.35500150082545401</v>
      </c>
      <c r="T41" s="326">
        <f>-T40/T39</f>
        <v>0.35357995295695038</v>
      </c>
      <c r="U41" s="326">
        <f>T41</f>
        <v>0.35357995295695038</v>
      </c>
      <c r="V41" s="763">
        <f>U41</f>
        <v>0.35357995295695038</v>
      </c>
      <c r="W41" s="764">
        <f>AVERAGE(S41:V41)</f>
        <v>0.35393533992407628</v>
      </c>
      <c r="X41" s="764">
        <v>0.35</v>
      </c>
      <c r="Y41" s="764">
        <f>X41</f>
        <v>0.35</v>
      </c>
      <c r="Z41" s="764">
        <f>Y41</f>
        <v>0.35</v>
      </c>
      <c r="AA41" s="764">
        <f>Z41</f>
        <v>0.35</v>
      </c>
      <c r="AB41" s="764">
        <f>AA41</f>
        <v>0.35</v>
      </c>
      <c r="AC41" s="764">
        <f>AB41</f>
        <v>0.35</v>
      </c>
    </row>
    <row r="42" spans="1:29" s="228" customFormat="1">
      <c r="A42" s="246" t="s">
        <v>133</v>
      </c>
      <c r="B42" s="247"/>
      <c r="C42" s="247"/>
      <c r="D42" s="248"/>
      <c r="E42" s="248"/>
      <c r="F42" s="248"/>
      <c r="G42" s="248"/>
      <c r="H42" s="247"/>
      <c r="I42" s="267"/>
      <c r="J42" s="267"/>
      <c r="K42" s="267"/>
      <c r="L42" s="267"/>
      <c r="M42" s="268"/>
      <c r="N42" s="267"/>
      <c r="O42" s="267"/>
      <c r="P42" s="267"/>
      <c r="Q42" s="267"/>
      <c r="R42" s="268"/>
      <c r="S42" s="267"/>
      <c r="T42" s="267"/>
      <c r="U42" s="267"/>
      <c r="V42" s="772"/>
      <c r="W42" s="773"/>
      <c r="X42" s="773"/>
      <c r="Y42" s="773"/>
      <c r="Z42" s="774"/>
      <c r="AA42" s="774"/>
      <c r="AB42" s="774"/>
      <c r="AC42" s="774"/>
    </row>
    <row r="43" spans="1:29" s="232" customFormat="1">
      <c r="A43" s="229" t="s">
        <v>37</v>
      </c>
      <c r="B43" s="230">
        <v>0.14399999999999999</v>
      </c>
      <c r="C43" s="230">
        <v>-5.29</v>
      </c>
      <c r="D43" s="231">
        <v>2.9000000000000001E-2</v>
      </c>
      <c r="E43" s="231"/>
      <c r="F43" s="231"/>
      <c r="G43" s="231"/>
      <c r="H43" s="230">
        <f>D43+E43+F43+G43</f>
        <v>2.9000000000000001E-2</v>
      </c>
      <c r="I43" s="263"/>
      <c r="J43" s="263"/>
      <c r="K43" s="263"/>
      <c r="L43" s="263"/>
      <c r="M43" s="224"/>
      <c r="N43" s="263"/>
      <c r="O43" s="263"/>
      <c r="P43" s="263"/>
      <c r="Q43" s="263"/>
      <c r="R43" s="224"/>
      <c r="S43" s="263"/>
      <c r="T43" s="263"/>
      <c r="U43" s="263"/>
      <c r="V43" s="765"/>
      <c r="W43" s="766"/>
      <c r="X43" s="766"/>
      <c r="Y43" s="766"/>
      <c r="Z43" s="783"/>
      <c r="AA43" s="783"/>
      <c r="AB43" s="783"/>
      <c r="AC43" s="783"/>
    </row>
    <row r="44" spans="1:29" s="232" customFormat="1">
      <c r="A44" s="229" t="s">
        <v>134</v>
      </c>
      <c r="B44" s="230"/>
      <c r="C44" s="230"/>
      <c r="D44" s="231">
        <v>-3.2559999999999998</v>
      </c>
      <c r="E44" s="231"/>
      <c r="F44" s="231">
        <v>3.7829999999999999</v>
      </c>
      <c r="G44" s="231"/>
      <c r="H44" s="230">
        <f>D44+E44+F44+G44</f>
        <v>0.52700000000000014</v>
      </c>
      <c r="I44" s="263"/>
      <c r="J44" s="263"/>
      <c r="K44" s="263"/>
      <c r="L44" s="263"/>
      <c r="M44" s="224"/>
      <c r="N44" s="263"/>
      <c r="O44" s="263"/>
      <c r="P44" s="263"/>
      <c r="Q44" s="263"/>
      <c r="R44" s="224"/>
      <c r="S44" s="263"/>
      <c r="T44" s="263"/>
      <c r="U44" s="263"/>
      <c r="V44" s="765"/>
      <c r="W44" s="766"/>
      <c r="X44" s="766"/>
      <c r="Y44" s="766"/>
      <c r="Z44" s="783"/>
      <c r="AA44" s="783"/>
      <c r="AB44" s="783"/>
      <c r="AC44" s="783"/>
    </row>
    <row r="45" spans="1:29" s="236" customFormat="1">
      <c r="A45" s="233" t="s">
        <v>192</v>
      </c>
      <c r="B45" s="234">
        <f t="shared" ref="B45:G45" si="38">B39-B40+B43+B44</f>
        <v>19.462000000000007</v>
      </c>
      <c r="C45" s="234">
        <f>C39+C40+C43+C44</f>
        <v>105.91599999999998</v>
      </c>
      <c r="D45" s="235">
        <f t="shared" si="38"/>
        <v>16.390000000000025</v>
      </c>
      <c r="E45" s="235">
        <f t="shared" si="38"/>
        <v>73.890999999999991</v>
      </c>
      <c r="F45" s="235">
        <f t="shared" si="38"/>
        <v>84.39800000000001</v>
      </c>
      <c r="G45" s="235">
        <f t="shared" si="38"/>
        <v>43.188999999999993</v>
      </c>
      <c r="H45" s="234">
        <f t="shared" ref="H45:Q45" si="39">H39+H40+H43+H44</f>
        <v>217.60400000000001</v>
      </c>
      <c r="I45" s="264">
        <f t="shared" si="39"/>
        <v>70.759999999999977</v>
      </c>
      <c r="J45" s="264">
        <f t="shared" si="39"/>
        <v>72.315999999999988</v>
      </c>
      <c r="K45" s="264">
        <f t="shared" si="39"/>
        <v>78.424999999999997</v>
      </c>
      <c r="L45" s="264">
        <f t="shared" si="39"/>
        <v>83.255000000000024</v>
      </c>
      <c r="M45" s="225">
        <f t="shared" si="39"/>
        <v>304.44199999999978</v>
      </c>
      <c r="N45" s="264">
        <f t="shared" si="39"/>
        <v>62.325000000000017</v>
      </c>
      <c r="O45" s="264">
        <f t="shared" si="39"/>
        <v>79.864000000000004</v>
      </c>
      <c r="P45" s="264">
        <f t="shared" si="39"/>
        <v>62.684999999999931</v>
      </c>
      <c r="Q45" s="264">
        <f t="shared" si="39"/>
        <v>-30.313999999999957</v>
      </c>
      <c r="R45" s="225">
        <f>SUM(N45:Q45)</f>
        <v>174.56</v>
      </c>
      <c r="S45" s="264">
        <f>S39+S40+S43+S44</f>
        <v>137.524</v>
      </c>
      <c r="T45" s="264">
        <f>T39+T40+T43+T44</f>
        <v>111.85200000000002</v>
      </c>
      <c r="U45" s="264">
        <f>U39+U40+U43+U44</f>
        <v>-25.237000000000048</v>
      </c>
      <c r="V45" s="779">
        <f>V39+V40+V43+V44</f>
        <v>128.93392562563486</v>
      </c>
      <c r="W45" s="780">
        <f t="shared" ref="W45:AC45" si="40">W39+W40+W43+W44</f>
        <v>353.07292562563487</v>
      </c>
      <c r="X45" s="780">
        <f t="shared" si="40"/>
        <v>779.77153965196635</v>
      </c>
      <c r="Y45" s="780">
        <f t="shared" si="40"/>
        <v>929.3897658363544</v>
      </c>
      <c r="Z45" s="780">
        <f t="shared" si="40"/>
        <v>1037.7059777575064</v>
      </c>
      <c r="AA45" s="780">
        <f t="shared" si="40"/>
        <v>780.26122232544549</v>
      </c>
      <c r="AB45" s="780">
        <f t="shared" si="40"/>
        <v>646.86053578724409</v>
      </c>
      <c r="AC45" s="780">
        <f t="shared" si="40"/>
        <v>511.34177025414726</v>
      </c>
    </row>
    <row r="46" spans="1:29" s="626" customFormat="1" outlineLevel="1">
      <c r="A46" s="623" t="s">
        <v>197</v>
      </c>
      <c r="B46" s="624">
        <f t="shared" ref="B46:AC46" si="41">B45/B19</f>
        <v>5.4229826125724495E-2</v>
      </c>
      <c r="C46" s="624">
        <f t="shared" si="41"/>
        <v>0.17864088149920979</v>
      </c>
      <c r="D46" s="625">
        <f t="shared" si="41"/>
        <v>0.10085409077483523</v>
      </c>
      <c r="E46" s="625">
        <f t="shared" si="41"/>
        <v>0.40212570271726406</v>
      </c>
      <c r="F46" s="625">
        <f t="shared" si="41"/>
        <v>0.4183462045582973</v>
      </c>
      <c r="G46" s="625">
        <f t="shared" si="41"/>
        <v>0.22128006230210367</v>
      </c>
      <c r="H46" s="624">
        <f t="shared" si="41"/>
        <v>0.29280002368191949</v>
      </c>
      <c r="I46" s="625">
        <f t="shared" si="41"/>
        <v>0.34649926057958802</v>
      </c>
      <c r="J46" s="625">
        <f t="shared" si="41"/>
        <v>0.32058232887218108</v>
      </c>
      <c r="K46" s="625">
        <f t="shared" si="41"/>
        <v>0.32344474322384809</v>
      </c>
      <c r="L46" s="625">
        <f t="shared" si="41"/>
        <v>0.34146511522986511</v>
      </c>
      <c r="M46" s="624">
        <f t="shared" si="41"/>
        <v>0.33233268855422454</v>
      </c>
      <c r="N46" s="625">
        <f t="shared" si="41"/>
        <v>0.25424662228314088</v>
      </c>
      <c r="O46" s="625">
        <f t="shared" si="41"/>
        <v>0.28461258846924159</v>
      </c>
      <c r="P46" s="625">
        <f t="shared" si="41"/>
        <v>0.2074116965836709</v>
      </c>
      <c r="Q46" s="625">
        <f t="shared" si="41"/>
        <v>-0.10488656376614508</v>
      </c>
      <c r="R46" s="624">
        <f t="shared" si="41"/>
        <v>0.15627797712411282</v>
      </c>
      <c r="S46" s="625">
        <f>S45/S19</f>
        <v>0.47519894403306112</v>
      </c>
      <c r="T46" s="333">
        <f>T45/T19</f>
        <v>0.3465034293467823</v>
      </c>
      <c r="U46" s="333">
        <f>U45/U19</f>
        <v>-7.6487346567661915E-2</v>
      </c>
      <c r="V46" s="781">
        <f>V45/V19</f>
        <v>0.36008382232499431</v>
      </c>
      <c r="W46" s="782">
        <f t="shared" si="41"/>
        <v>0.27154830696017701</v>
      </c>
      <c r="X46" s="782">
        <f t="shared" si="41"/>
        <v>0.4257681072358776</v>
      </c>
      <c r="Y46" s="782">
        <f t="shared" si="41"/>
        <v>0.43762074337627654</v>
      </c>
      <c r="Z46" s="782">
        <f t="shared" si="41"/>
        <v>0.44779101978152042</v>
      </c>
      <c r="AA46" s="782">
        <f t="shared" si="41"/>
        <v>0.42705416277111474</v>
      </c>
      <c r="AB46" s="782">
        <f t="shared" si="41"/>
        <v>0.41947375388872349</v>
      </c>
      <c r="AC46" s="782">
        <f t="shared" si="41"/>
        <v>0.41130867047603603</v>
      </c>
    </row>
    <row r="47" spans="1:29" s="630" customFormat="1" outlineLevel="1">
      <c r="A47" s="627" t="s">
        <v>258</v>
      </c>
      <c r="B47" s="628">
        <f>(12875-695+11394+5457+100810-144)/1000</f>
        <v>129.697</v>
      </c>
      <c r="C47" s="628">
        <f>(19714+41923+17919+7688+113942+5290)/1000</f>
        <v>206.476</v>
      </c>
      <c r="D47" s="629">
        <f>(5413+10436+5809+5814+36856-29+3256)/1000</f>
        <v>67.555000000000007</v>
      </c>
      <c r="E47" s="629">
        <f>(5431+35723+4837+609-27037)/1000</f>
        <v>19.562999999999999</v>
      </c>
      <c r="F47" s="629">
        <f>(5416+17641+41332+4991-5366-47609-3783)/1000</f>
        <v>12.622</v>
      </c>
      <c r="G47" s="629">
        <f>(5112+18383-4283+4898-1057+22075)/1000</f>
        <v>45.128</v>
      </c>
      <c r="H47" s="628">
        <f>D47+E47+F47+G47</f>
        <v>144.86799999999999</v>
      </c>
      <c r="I47" s="629">
        <f>(3886+33176+6648-24)/1000</f>
        <v>43.686</v>
      </c>
      <c r="J47" s="629">
        <f>-J36-J40+'Cash Flow'!J11+'Cash Flow'!J14</f>
        <v>50.591999999999999</v>
      </c>
      <c r="K47" s="629">
        <f>-K36-K40+'Cash Flow'!K11+'Cash Flow'!K14</f>
        <v>72.826000000000008</v>
      </c>
      <c r="L47" s="629">
        <f>-L36-L40+'Cash Flow'!L11+'Cash Flow'!L14</f>
        <v>43.024000000000001</v>
      </c>
      <c r="M47" s="628">
        <f>I47+J47+K47+L47</f>
        <v>210.12799999999999</v>
      </c>
      <c r="N47" s="629">
        <f>-N36-N40+'Cash Flow'!N11+'Cash Flow'!N14</f>
        <v>76.323999999999998</v>
      </c>
      <c r="O47" s="629">
        <f>-O36-O40+'Cash Flow'!O11+'Cash Flow'!O14</f>
        <v>83.840999999999994</v>
      </c>
      <c r="P47" s="629">
        <f>-P36-P40+'Cash Flow'!P11+'Cash Flow'!P14</f>
        <v>125.08000000000001</v>
      </c>
      <c r="Q47" s="629">
        <f>-Q36-Q40+'Cash Flow'!Q11+'Cash Flow'!Q14</f>
        <v>85.292000000000016</v>
      </c>
      <c r="R47" s="628">
        <f>-R36-R40+'Cash Flow'!R11+'Cash Flow'!R14</f>
        <v>183.68300000000002</v>
      </c>
      <c r="S47" s="629">
        <f>-S36-S40+'Cash Flow'!S11+'Cash Flow'!S14</f>
        <v>144.70070000000001</v>
      </c>
      <c r="T47" s="263">
        <f>-T36-T40+'Cash Flow'!T11+'Cash Flow'!T14</f>
        <v>133.75407000000001</v>
      </c>
      <c r="U47" s="263">
        <f>-U36-U40+'Cash Flow'!U11+'Cash Flow'!U14</f>
        <v>65.71127700000001</v>
      </c>
      <c r="V47" s="765">
        <f>-V36-V40+'Cash Flow'!V11+'Cash Flow'!V14</f>
        <v>150.98010585958559</v>
      </c>
      <c r="W47" s="766">
        <f>-W36-W40+'Cash Flow'!S11+'Cash Flow'!S14</f>
        <v>279.97420115958556</v>
      </c>
      <c r="X47" s="766">
        <f>-X36-X40+'Cash Flow'!T11+'Cash Flow'!T14</f>
        <v>506.47805288952031</v>
      </c>
      <c r="Y47" s="766">
        <f>-Y36-Y40+'Cash Flow'!U11+'Cash Flow'!U14</f>
        <v>590.81292014265239</v>
      </c>
      <c r="Z47" s="766">
        <f>-Z36-Z40+'Cash Flow'!V11+'Cash Flow'!V14</f>
        <v>653.28536195404183</v>
      </c>
      <c r="AA47" s="766">
        <f>-AA36-AA40+'Cash Flow'!W11+'Cash Flow'!W14</f>
        <v>519.22442334523987</v>
      </c>
      <c r="AB47" s="766">
        <f>-AB36-AB40+'Cash Flow'!X11+'Cash Flow'!X14</f>
        <v>452.41276095705445</v>
      </c>
      <c r="AC47" s="766">
        <f>-AC36-AC40+'Cash Flow'!Y11+'Cash Flow'!Y14</f>
        <v>384.96254214639475</v>
      </c>
    </row>
    <row r="48" spans="1:29" s="634" customFormat="1" outlineLevel="1">
      <c r="A48" s="631" t="s">
        <v>38</v>
      </c>
      <c r="B48" s="632">
        <f t="shared" ref="B48:I48" si="42">B45+B47</f>
        <v>149.15900000000002</v>
      </c>
      <c r="C48" s="632">
        <f t="shared" si="42"/>
        <v>312.392</v>
      </c>
      <c r="D48" s="633">
        <f t="shared" si="42"/>
        <v>83.945000000000036</v>
      </c>
      <c r="E48" s="633">
        <f t="shared" si="42"/>
        <v>93.453999999999994</v>
      </c>
      <c r="F48" s="633">
        <f t="shared" si="42"/>
        <v>97.02000000000001</v>
      </c>
      <c r="G48" s="633">
        <f t="shared" si="42"/>
        <v>88.316999999999993</v>
      </c>
      <c r="H48" s="632">
        <f t="shared" si="42"/>
        <v>362.47199999999998</v>
      </c>
      <c r="I48" s="633">
        <f t="shared" si="42"/>
        <v>114.44599999999997</v>
      </c>
      <c r="J48" s="633">
        <f>J45+J47</f>
        <v>122.90799999999999</v>
      </c>
      <c r="K48" s="633">
        <f>K45+K47</f>
        <v>151.251</v>
      </c>
      <c r="L48" s="633">
        <f>L45+L47</f>
        <v>126.27900000000002</v>
      </c>
      <c r="M48" s="632">
        <f>M45+M47</f>
        <v>514.56999999999971</v>
      </c>
      <c r="N48" s="633">
        <f t="shared" ref="N48:AC48" si="43">N45+N47</f>
        <v>138.649</v>
      </c>
      <c r="O48" s="633">
        <f t="shared" si="43"/>
        <v>163.70499999999998</v>
      </c>
      <c r="P48" s="633">
        <f t="shared" si="43"/>
        <v>187.76499999999993</v>
      </c>
      <c r="Q48" s="633">
        <f t="shared" si="43"/>
        <v>54.978000000000058</v>
      </c>
      <c r="R48" s="632">
        <f t="shared" si="43"/>
        <v>358.24300000000005</v>
      </c>
      <c r="S48" s="633">
        <f>S45+S47</f>
        <v>282.22469999999998</v>
      </c>
      <c r="T48" s="265">
        <f>T45+T47</f>
        <v>245.60607000000005</v>
      </c>
      <c r="U48" s="265">
        <f>U45+U47</f>
        <v>40.474276999999958</v>
      </c>
      <c r="V48" s="769">
        <f>V45+V47</f>
        <v>279.91403148522045</v>
      </c>
      <c r="W48" s="770">
        <f t="shared" si="43"/>
        <v>633.04712678522037</v>
      </c>
      <c r="X48" s="770">
        <f t="shared" si="43"/>
        <v>1286.2495925414867</v>
      </c>
      <c r="Y48" s="770">
        <f t="shared" si="43"/>
        <v>1520.2026859790067</v>
      </c>
      <c r="Z48" s="770">
        <f t="shared" si="43"/>
        <v>1690.9913397115483</v>
      </c>
      <c r="AA48" s="770">
        <f t="shared" si="43"/>
        <v>1299.4856456706852</v>
      </c>
      <c r="AB48" s="770">
        <f t="shared" si="43"/>
        <v>1099.2732967442985</v>
      </c>
      <c r="AC48" s="770">
        <f t="shared" si="43"/>
        <v>896.30431240054202</v>
      </c>
    </row>
    <row r="49" spans="1:29" s="635" customFormat="1" outlineLevel="1">
      <c r="A49" s="623" t="s">
        <v>195</v>
      </c>
      <c r="B49" s="624">
        <f t="shared" ref="B49:AC49" si="44">B48/B19</f>
        <v>0.41562360677663851</v>
      </c>
      <c r="C49" s="624">
        <f t="shared" si="44"/>
        <v>0.52688906542260994</v>
      </c>
      <c r="D49" s="625">
        <f t="shared" si="44"/>
        <v>0.51654647041449264</v>
      </c>
      <c r="E49" s="625">
        <f t="shared" si="44"/>
        <v>0.50859042943983979</v>
      </c>
      <c r="F49" s="625">
        <f t="shared" si="44"/>
        <v>0.48091126290013986</v>
      </c>
      <c r="G49" s="625">
        <f t="shared" si="44"/>
        <v>0.45249464591296146</v>
      </c>
      <c r="H49" s="624">
        <f t="shared" si="44"/>
        <v>0.48772913266315288</v>
      </c>
      <c r="I49" s="625">
        <f t="shared" si="44"/>
        <v>0.56042191034894762</v>
      </c>
      <c r="J49" s="625">
        <f t="shared" si="44"/>
        <v>0.54486051326154705</v>
      </c>
      <c r="K49" s="625">
        <f t="shared" si="44"/>
        <v>0.62379777950080018</v>
      </c>
      <c r="L49" s="625">
        <f t="shared" si="44"/>
        <v>0.51792532924283385</v>
      </c>
      <c r="M49" s="624">
        <f t="shared" si="44"/>
        <v>0.56171103707552628</v>
      </c>
      <c r="N49" s="625">
        <f t="shared" si="44"/>
        <v>0.56560031982246595</v>
      </c>
      <c r="O49" s="625">
        <f t="shared" si="44"/>
        <v>0.58339807416805056</v>
      </c>
      <c r="P49" s="625">
        <f t="shared" si="44"/>
        <v>0.62127553974687721</v>
      </c>
      <c r="Q49" s="625">
        <f t="shared" si="44"/>
        <v>0.19022410446444343</v>
      </c>
      <c r="R49" s="624">
        <f t="shared" si="44"/>
        <v>0.32072348395321693</v>
      </c>
      <c r="S49" s="625">
        <f>S48/S19</f>
        <v>0.9751961797217028</v>
      </c>
      <c r="T49" s="333">
        <f>T48/T19</f>
        <v>0.7608567171207119</v>
      </c>
      <c r="U49" s="333">
        <f>U48/U19</f>
        <v>0.12266791028943767</v>
      </c>
      <c r="V49" s="781">
        <f>V48/V19</f>
        <v>0.78173773031818117</v>
      </c>
      <c r="W49" s="782">
        <f t="shared" si="44"/>
        <v>0.48687640152505113</v>
      </c>
      <c r="X49" s="782">
        <f t="shared" si="44"/>
        <v>0.70231346824191132</v>
      </c>
      <c r="Y49" s="782">
        <f t="shared" si="44"/>
        <v>0.71581617742699066</v>
      </c>
      <c r="Z49" s="782">
        <f t="shared" si="44"/>
        <v>0.72969680495384071</v>
      </c>
      <c r="AA49" s="782">
        <f t="shared" si="44"/>
        <v>0.7112371325990452</v>
      </c>
      <c r="AB49" s="782">
        <f t="shared" si="44"/>
        <v>0.71285272608843642</v>
      </c>
      <c r="AC49" s="782">
        <f t="shared" si="44"/>
        <v>0.72096151052196311</v>
      </c>
    </row>
    <row r="50" spans="1:29" s="639" customFormat="1" ht="13.5" outlineLevel="1" thickBot="1">
      <c r="A50" s="636" t="s">
        <v>196</v>
      </c>
      <c r="B50" s="637">
        <f t="shared" ref="B50:M50" si="45">B48/B54</f>
        <v>2.6572426202055834</v>
      </c>
      <c r="C50" s="637">
        <f t="shared" si="45"/>
        <v>5.2488742523019019</v>
      </c>
      <c r="D50" s="638">
        <f t="shared" si="45"/>
        <v>1.3404819315586931</v>
      </c>
      <c r="E50" s="638">
        <f t="shared" si="45"/>
        <v>1.4891643826885077</v>
      </c>
      <c r="F50" s="638">
        <f t="shared" si="45"/>
        <v>1.5850351249795787</v>
      </c>
      <c r="G50" s="638">
        <f t="shared" si="45"/>
        <v>1.5784422362024593</v>
      </c>
      <c r="H50" s="637">
        <f t="shared" si="45"/>
        <v>6.1027359205320311</v>
      </c>
      <c r="I50" s="638">
        <f t="shared" si="45"/>
        <v>2.0804959188496421</v>
      </c>
      <c r="J50" s="638">
        <f t="shared" si="45"/>
        <v>2.2785213748099808</v>
      </c>
      <c r="K50" s="638">
        <f t="shared" si="45"/>
        <v>2.8223735771599179</v>
      </c>
      <c r="L50" s="638">
        <f t="shared" si="45"/>
        <v>2.42224694531295</v>
      </c>
      <c r="M50" s="637">
        <f t="shared" si="45"/>
        <v>9.6578453453453399</v>
      </c>
      <c r="N50" s="638">
        <f t="shared" ref="N50:AC50" si="46">N48/N54</f>
        <v>2.6471857339239349</v>
      </c>
      <c r="O50" s="638">
        <f t="shared" si="46"/>
        <v>3.1094248594438532</v>
      </c>
      <c r="P50" s="638">
        <f t="shared" si="46"/>
        <v>3.4973364625242125</v>
      </c>
      <c r="Q50" s="638">
        <f t="shared" si="46"/>
        <v>1.0934150076569691</v>
      </c>
      <c r="R50" s="637">
        <f t="shared" si="46"/>
        <v>6.8565550042345924</v>
      </c>
      <c r="S50" s="638">
        <f>S48/S54</f>
        <v>4.9812856310782427</v>
      </c>
      <c r="T50" s="798">
        <f>T48/T54</f>
        <v>4.6121473371892145</v>
      </c>
      <c r="U50" s="798">
        <f>U48/U54</f>
        <v>0.85574723555405119</v>
      </c>
      <c r="V50" s="784">
        <f>V48/V54</f>
        <v>5.9182195802105939</v>
      </c>
      <c r="W50" s="785">
        <f t="shared" si="46"/>
        <v>12.382158242866273</v>
      </c>
      <c r="X50" s="785">
        <f t="shared" si="46"/>
        <v>26.52061015549457</v>
      </c>
      <c r="Y50" s="785">
        <f t="shared" si="46"/>
        <v>30.343366985608913</v>
      </c>
      <c r="Z50" s="785">
        <f t="shared" si="46"/>
        <v>33.887601998227424</v>
      </c>
      <c r="AA50" s="785">
        <f t="shared" si="46"/>
        <v>26.041796506426557</v>
      </c>
      <c r="AB50" s="785">
        <f t="shared" si="46"/>
        <v>22.02952498485568</v>
      </c>
      <c r="AC50" s="785">
        <f t="shared" si="46"/>
        <v>17.962010268547935</v>
      </c>
    </row>
    <row r="51" spans="1:29" s="250" customFormat="1" ht="13.5" thickBot="1">
      <c r="A51" s="599" t="s">
        <v>188</v>
      </c>
      <c r="B51" s="600">
        <f t="shared" ref="B51:M51" si="47">B45/B54</f>
        <v>0.34671227263819865</v>
      </c>
      <c r="C51" s="600">
        <f t="shared" si="47"/>
        <v>1.7796222864439812</v>
      </c>
      <c r="D51" s="601">
        <f t="shared" si="47"/>
        <v>0.26172492534691766</v>
      </c>
      <c r="E51" s="601">
        <f t="shared" si="47"/>
        <v>1.1774332334756834</v>
      </c>
      <c r="F51" s="601">
        <f t="shared" si="47"/>
        <v>1.3788269890540763</v>
      </c>
      <c r="G51" s="601">
        <f t="shared" si="47"/>
        <v>0.77189376608521576</v>
      </c>
      <c r="H51" s="600">
        <f t="shared" si="47"/>
        <v>3.663675393551646</v>
      </c>
      <c r="I51" s="602">
        <f t="shared" si="47"/>
        <v>1.2863349633696299</v>
      </c>
      <c r="J51" s="602">
        <f t="shared" si="47"/>
        <v>1.3406251158651883</v>
      </c>
      <c r="K51" s="602">
        <f t="shared" si="47"/>
        <v>1.4634260123157303</v>
      </c>
      <c r="L51" s="602">
        <f t="shared" si="47"/>
        <v>1.59697312642664</v>
      </c>
      <c r="M51" s="603">
        <f t="shared" si="47"/>
        <v>5.7140015015014969</v>
      </c>
      <c r="N51" s="602">
        <f t="shared" ref="N51:AC51" si="48">N45/N54</f>
        <v>1.1899534137773029</v>
      </c>
      <c r="O51" s="602">
        <f t="shared" si="48"/>
        <v>1.5169427138732716</v>
      </c>
      <c r="P51" s="602">
        <f t="shared" si="48"/>
        <v>1.1675793473401863</v>
      </c>
      <c r="Q51" s="602">
        <f t="shared" si="48"/>
        <v>-0.6028917483741365</v>
      </c>
      <c r="R51" s="603">
        <f>SUM(N51:Q51)</f>
        <v>3.2715837266166243</v>
      </c>
      <c r="S51" s="602">
        <f>S45/S54</f>
        <v>2.4273081878673421</v>
      </c>
      <c r="T51" s="602">
        <f>T45/T54</f>
        <v>2.1004281529332234</v>
      </c>
      <c r="U51" s="602">
        <f>U45/U54</f>
        <v>-0.53358563968116479</v>
      </c>
      <c r="V51" s="786">
        <f>V45/V54</f>
        <v>2.7260487055338576</v>
      </c>
      <c r="W51" s="787">
        <f>SUM(S51:V51)</f>
        <v>6.7201994066532578</v>
      </c>
      <c r="X51" s="787">
        <f t="shared" si="48"/>
        <v>16.077763704164255</v>
      </c>
      <c r="Y51" s="787">
        <f t="shared" si="48"/>
        <v>18.55069392886935</v>
      </c>
      <c r="Z51" s="787">
        <f t="shared" si="48"/>
        <v>20.795710977104338</v>
      </c>
      <c r="AA51" s="787">
        <f t="shared" si="48"/>
        <v>15.636497441391693</v>
      </c>
      <c r="AB51" s="787">
        <f t="shared" si="48"/>
        <v>12.963136989724331</v>
      </c>
      <c r="AC51" s="788">
        <f t="shared" si="48"/>
        <v>10.247330065213372</v>
      </c>
    </row>
    <row r="52" spans="1:29" s="253" customFormat="1">
      <c r="A52" s="227"/>
      <c r="B52" s="251"/>
      <c r="C52" s="251"/>
      <c r="D52" s="252"/>
      <c r="E52" s="252"/>
      <c r="F52" s="252"/>
      <c r="G52" s="252"/>
      <c r="H52" s="251"/>
      <c r="I52" s="269"/>
      <c r="J52" s="269"/>
      <c r="K52" s="269"/>
      <c r="L52" s="269"/>
      <c r="M52" s="270"/>
      <c r="N52" s="269"/>
      <c r="O52" s="269"/>
      <c r="P52" s="269"/>
      <c r="Q52" s="269"/>
      <c r="R52" s="270"/>
      <c r="S52" s="269"/>
      <c r="T52" s="269"/>
      <c r="U52" s="269"/>
      <c r="V52" s="789"/>
      <c r="W52" s="790"/>
      <c r="X52" s="790"/>
      <c r="Y52" s="790"/>
      <c r="Z52" s="791"/>
      <c r="AA52" s="791"/>
      <c r="AB52" s="791"/>
      <c r="AC52" s="791"/>
    </row>
    <row r="53" spans="1:29" s="228" customFormat="1">
      <c r="A53" s="254" t="s">
        <v>155</v>
      </c>
      <c r="B53" s="255">
        <v>53.314</v>
      </c>
      <c r="C53" s="255">
        <v>56.142000000000003</v>
      </c>
      <c r="D53" s="256">
        <v>57.753</v>
      </c>
      <c r="E53" s="256">
        <v>58.18</v>
      </c>
      <c r="F53" s="256">
        <v>58.320999999999998</v>
      </c>
      <c r="G53" s="256">
        <v>54.423999999999999</v>
      </c>
      <c r="H53" s="255">
        <v>57.162999999999997</v>
      </c>
      <c r="I53" s="271">
        <v>53.631</v>
      </c>
      <c r="J53" s="271">
        <v>52.747</v>
      </c>
      <c r="K53" s="271">
        <v>51.514000000000003</v>
      </c>
      <c r="L53" s="271">
        <v>50.503</v>
      </c>
      <c r="M53" s="272">
        <v>52.093000000000004</v>
      </c>
      <c r="N53" s="271">
        <v>50.209000000000003</v>
      </c>
      <c r="O53" s="271">
        <v>49.8</v>
      </c>
      <c r="P53" s="271">
        <v>50.014000000000003</v>
      </c>
      <c r="Q53" s="271">
        <v>50.280999999999999</v>
      </c>
      <c r="R53" s="272">
        <f>Q53</f>
        <v>50.280999999999999</v>
      </c>
      <c r="S53" s="271">
        <v>50.402000000000001</v>
      </c>
      <c r="T53" s="271">
        <v>47.616999999999997</v>
      </c>
      <c r="U53" s="271">
        <v>47.296999999999997</v>
      </c>
      <c r="V53" s="792">
        <f>U53</f>
        <v>47.296999999999997</v>
      </c>
      <c r="W53" s="793">
        <f>AVERAGE(S53:V53)</f>
        <v>48.15325</v>
      </c>
      <c r="X53" s="793">
        <f>V53</f>
        <v>47.296999999999997</v>
      </c>
      <c r="Y53" s="793">
        <f t="shared" ref="Y53:AC54" si="49">X53</f>
        <v>47.296999999999997</v>
      </c>
      <c r="Z53" s="793">
        <f t="shared" si="49"/>
        <v>47.296999999999997</v>
      </c>
      <c r="AA53" s="793">
        <f t="shared" si="49"/>
        <v>47.296999999999997</v>
      </c>
      <c r="AB53" s="793">
        <f t="shared" si="49"/>
        <v>47.296999999999997</v>
      </c>
      <c r="AC53" s="793">
        <f t="shared" si="49"/>
        <v>47.296999999999997</v>
      </c>
    </row>
    <row r="54" spans="1:29" s="228" customFormat="1" ht="13.5" thickBot="1">
      <c r="A54" s="257" t="s">
        <v>156</v>
      </c>
      <c r="B54" s="258">
        <v>56.133000000000003</v>
      </c>
      <c r="C54" s="258">
        <v>59.515999999999998</v>
      </c>
      <c r="D54" s="259">
        <v>62.622999999999998</v>
      </c>
      <c r="E54" s="259">
        <v>62.756</v>
      </c>
      <c r="F54" s="259">
        <v>61.21</v>
      </c>
      <c r="G54" s="259">
        <v>55.951999999999998</v>
      </c>
      <c r="H54" s="258">
        <v>59.395000000000003</v>
      </c>
      <c r="I54" s="273">
        <v>55.009</v>
      </c>
      <c r="J54" s="273">
        <v>53.942</v>
      </c>
      <c r="K54" s="273">
        <v>53.59</v>
      </c>
      <c r="L54" s="273">
        <v>52.133000000000003</v>
      </c>
      <c r="M54" s="274">
        <v>53.28</v>
      </c>
      <c r="N54" s="273">
        <v>52.375999999999998</v>
      </c>
      <c r="O54" s="273">
        <v>52.648000000000003</v>
      </c>
      <c r="P54" s="273">
        <v>53.688000000000002</v>
      </c>
      <c r="Q54" s="273">
        <v>50.280999999999999</v>
      </c>
      <c r="R54" s="274">
        <f>AVERAGE(N54:Q54)</f>
        <v>52.248249999999999</v>
      </c>
      <c r="S54" s="273">
        <v>56.656999999999996</v>
      </c>
      <c r="T54" s="273">
        <v>53.252000000000002</v>
      </c>
      <c r="U54" s="273">
        <f>U53</f>
        <v>47.296999999999997</v>
      </c>
      <c r="V54" s="794">
        <f>U54</f>
        <v>47.296999999999997</v>
      </c>
      <c r="W54" s="795">
        <f>AVERAGE(S54:V54)</f>
        <v>51.125749999999996</v>
      </c>
      <c r="X54" s="795">
        <v>48.5</v>
      </c>
      <c r="Y54" s="795">
        <v>50.1</v>
      </c>
      <c r="Z54" s="795">
        <v>49.9</v>
      </c>
      <c r="AA54" s="795">
        <f>Z54</f>
        <v>49.9</v>
      </c>
      <c r="AB54" s="795">
        <f t="shared" si="49"/>
        <v>49.9</v>
      </c>
      <c r="AC54" s="795">
        <f t="shared" si="49"/>
        <v>49.9</v>
      </c>
    </row>
    <row r="55" spans="1:29" s="262" customFormat="1">
      <c r="A55" s="410" t="s">
        <v>394</v>
      </c>
      <c r="B55" s="260"/>
      <c r="C55" s="260"/>
      <c r="D55" s="260"/>
      <c r="E55" s="261"/>
      <c r="F55" s="260"/>
      <c r="G55" s="260"/>
      <c r="H55" s="260"/>
      <c r="I55" s="275"/>
      <c r="J55" s="275"/>
      <c r="K55" s="275"/>
      <c r="L55" s="275"/>
      <c r="M55" s="275"/>
      <c r="N55" s="397"/>
      <c r="O55" s="397"/>
      <c r="P55" s="397"/>
      <c r="Q55" s="397"/>
      <c r="R55" s="275"/>
      <c r="S55" s="275"/>
      <c r="T55" s="275"/>
      <c r="U55" s="275"/>
      <c r="V55" s="796"/>
      <c r="W55" s="796"/>
      <c r="X55" s="796"/>
      <c r="Y55" s="796"/>
      <c r="Z55" s="797"/>
      <c r="AA55" s="797"/>
      <c r="AB55" s="797"/>
      <c r="AC55" s="797"/>
    </row>
    <row r="56" spans="1:29">
      <c r="B56" s="105"/>
      <c r="C56" s="105"/>
      <c r="D56" s="105"/>
      <c r="E56" s="105"/>
      <c r="F56" s="105"/>
      <c r="G56" s="105"/>
      <c r="H56" s="105"/>
      <c r="I56" s="276"/>
      <c r="J56" s="276"/>
      <c r="K56" s="276"/>
      <c r="L56" s="276"/>
      <c r="M56" s="276"/>
      <c r="R56" s="655"/>
      <c r="S56" s="655"/>
      <c r="T56" s="655"/>
      <c r="U56" s="655"/>
      <c r="V56" s="622"/>
      <c r="W56" s="119"/>
      <c r="X56" s="119"/>
      <c r="Y56" s="119"/>
    </row>
    <row r="57" spans="1:29">
      <c r="V57" s="28"/>
      <c r="W57" s="28"/>
      <c r="X57" s="28"/>
      <c r="Y57" s="28"/>
    </row>
    <row r="58" spans="1:29">
      <c r="V58" s="28"/>
      <c r="W58" s="28"/>
      <c r="X58" s="28"/>
      <c r="Y58" s="28"/>
    </row>
    <row r="59" spans="1:29">
      <c r="V59" s="28"/>
      <c r="W59" s="28"/>
      <c r="X59" s="28"/>
      <c r="Y59" s="28"/>
    </row>
    <row r="60" spans="1:29">
      <c r="A60" s="27" t="s">
        <v>140</v>
      </c>
      <c r="V60" s="28"/>
      <c r="W60" s="28"/>
      <c r="X60" s="28"/>
      <c r="Y60" s="28"/>
    </row>
    <row r="61" spans="1:29">
      <c r="A61" s="120" t="s">
        <v>141</v>
      </c>
      <c r="B61" s="121"/>
      <c r="C61" s="121"/>
      <c r="D61" s="121"/>
      <c r="E61" s="121"/>
      <c r="F61" s="121"/>
      <c r="G61" s="121"/>
      <c r="H61" s="122">
        <f>D19</f>
        <v>162.51200000000003</v>
      </c>
      <c r="I61" s="277"/>
      <c r="J61" s="277"/>
      <c r="K61" s="277"/>
      <c r="L61" s="277"/>
      <c r="M61" s="278">
        <f>I19</f>
        <v>204.21399999999997</v>
      </c>
      <c r="N61" s="398"/>
      <c r="O61" s="277"/>
      <c r="P61" s="277"/>
      <c r="Q61" s="656"/>
      <c r="R61" s="657">
        <f>N19</f>
        <v>245.136</v>
      </c>
      <c r="S61" s="692"/>
      <c r="T61" s="692"/>
      <c r="U61" s="692"/>
      <c r="V61" s="649"/>
      <c r="W61" s="123"/>
      <c r="X61" s="123"/>
      <c r="Y61" s="124"/>
    </row>
    <row r="62" spans="1:29">
      <c r="A62" s="115" t="s">
        <v>142</v>
      </c>
      <c r="B62" s="24"/>
      <c r="C62" s="24"/>
      <c r="D62" s="24"/>
      <c r="E62" s="24"/>
      <c r="F62" s="24"/>
      <c r="G62" s="24"/>
      <c r="H62" s="125">
        <f>E19</f>
        <v>183.751</v>
      </c>
      <c r="I62" s="25"/>
      <c r="J62" s="25"/>
      <c r="K62" s="25"/>
      <c r="L62" s="25"/>
      <c r="M62" s="279">
        <f>J19</f>
        <v>225.577</v>
      </c>
      <c r="N62" s="399"/>
      <c r="O62" s="25"/>
      <c r="P62" s="25"/>
      <c r="Q62" s="658"/>
      <c r="R62" s="659">
        <f>O19</f>
        <v>280.60599999999999</v>
      </c>
      <c r="S62" s="693"/>
      <c r="T62" s="693"/>
      <c r="U62" s="693"/>
      <c r="V62" s="650"/>
      <c r="W62" s="26"/>
      <c r="X62" s="26"/>
      <c r="Y62" s="126"/>
    </row>
    <row r="63" spans="1:29">
      <c r="A63" s="115" t="s">
        <v>143</v>
      </c>
      <c r="B63" s="24"/>
      <c r="C63" s="24"/>
      <c r="D63" s="24"/>
      <c r="E63" s="24"/>
      <c r="F63" s="24"/>
      <c r="G63" s="24"/>
      <c r="H63" s="125">
        <f>F19</f>
        <v>201.74199999999999</v>
      </c>
      <c r="I63" s="25"/>
      <c r="J63" s="25"/>
      <c r="K63" s="25"/>
      <c r="L63" s="25"/>
      <c r="M63" s="279">
        <f>K19</f>
        <v>242.46799999999999</v>
      </c>
      <c r="N63" s="399"/>
      <c r="O63" s="25"/>
      <c r="P63" s="25"/>
      <c r="Q63" s="658"/>
      <c r="R63" s="659">
        <f>P19</f>
        <v>302.22499999999997</v>
      </c>
      <c r="S63" s="693"/>
      <c r="T63" s="693"/>
      <c r="U63" s="693"/>
      <c r="V63" s="650"/>
      <c r="W63" s="26"/>
      <c r="X63" s="26"/>
      <c r="Y63" s="126"/>
    </row>
    <row r="64" spans="1:29">
      <c r="A64" s="115" t="s">
        <v>144</v>
      </c>
      <c r="B64" s="24"/>
      <c r="C64" s="24"/>
      <c r="D64" s="24"/>
      <c r="E64" s="24"/>
      <c r="F64" s="24"/>
      <c r="G64" s="24"/>
      <c r="H64" s="125">
        <f>G19</f>
        <v>195.178</v>
      </c>
      <c r="I64" s="25"/>
      <c r="J64" s="25"/>
      <c r="K64" s="25"/>
      <c r="L64" s="25"/>
      <c r="M64" s="279">
        <f>L19</f>
        <v>243.81700000000001</v>
      </c>
      <c r="N64" s="399"/>
      <c r="O64" s="25"/>
      <c r="P64" s="25"/>
      <c r="Q64" s="658"/>
      <c r="R64" s="659">
        <f>Q19</f>
        <v>289.01700000000005</v>
      </c>
      <c r="S64" s="693"/>
      <c r="T64" s="693"/>
      <c r="U64" s="693"/>
      <c r="V64" s="650"/>
      <c r="W64" s="26"/>
      <c r="X64" s="26"/>
      <c r="Y64" s="126"/>
    </row>
    <row r="65" spans="1:25">
      <c r="A65" s="127" t="s">
        <v>145</v>
      </c>
      <c r="B65" s="128"/>
      <c r="C65" s="128"/>
      <c r="D65" s="128"/>
      <c r="E65" s="128"/>
      <c r="F65" s="128"/>
      <c r="G65" s="128"/>
      <c r="H65" s="129">
        <f>H19</f>
        <v>743.18300000000011</v>
      </c>
      <c r="I65" s="280"/>
      <c r="J65" s="280"/>
      <c r="K65" s="280"/>
      <c r="L65" s="280"/>
      <c r="M65" s="281">
        <f>M19</f>
        <v>916.07599999999991</v>
      </c>
      <c r="N65" s="400"/>
      <c r="O65" s="280"/>
      <c r="P65" s="280"/>
      <c r="Q65" s="660"/>
      <c r="R65" s="661">
        <f>R19</f>
        <v>1116.9839999999999</v>
      </c>
      <c r="S65" s="663"/>
      <c r="T65" s="663"/>
      <c r="U65" s="663"/>
      <c r="V65" s="337"/>
      <c r="W65" s="130"/>
      <c r="X65" s="130"/>
      <c r="Y65" s="131"/>
    </row>
    <row r="66" spans="1:25">
      <c r="R66" s="662"/>
      <c r="S66" s="662"/>
      <c r="T66" s="662"/>
      <c r="U66" s="662"/>
      <c r="V66" s="336"/>
      <c r="W66" s="28"/>
      <c r="X66" s="28"/>
      <c r="Y66" s="28"/>
    </row>
    <row r="67" spans="1:25">
      <c r="A67" s="27" t="s">
        <v>146</v>
      </c>
      <c r="R67" s="662"/>
      <c r="S67" s="662"/>
      <c r="T67" s="662"/>
      <c r="U67" s="662"/>
      <c r="V67" s="336"/>
      <c r="W67" s="28"/>
      <c r="X67" s="28"/>
      <c r="Y67" s="28"/>
    </row>
    <row r="68" spans="1:25">
      <c r="A68" s="120" t="s">
        <v>141</v>
      </c>
      <c r="B68" s="121"/>
      <c r="C68" s="121"/>
      <c r="D68" s="121"/>
      <c r="E68" s="121"/>
      <c r="F68" s="121"/>
      <c r="G68" s="121"/>
      <c r="H68" s="122">
        <f>D33</f>
        <v>36.803000000000026</v>
      </c>
      <c r="I68" s="277"/>
      <c r="J68" s="277"/>
      <c r="K68" s="277"/>
      <c r="L68" s="277"/>
      <c r="M68" s="278">
        <f>I33</f>
        <v>106.73699999999997</v>
      </c>
      <c r="N68" s="398"/>
      <c r="O68" s="277"/>
      <c r="P68" s="277"/>
      <c r="Q68" s="656"/>
      <c r="R68" s="657">
        <f>N33</f>
        <v>94.037000000000006</v>
      </c>
      <c r="S68" s="692"/>
      <c r="T68" s="692"/>
      <c r="U68" s="692"/>
      <c r="V68" s="649"/>
      <c r="W68" s="123"/>
      <c r="X68" s="123"/>
      <c r="Y68" s="124"/>
    </row>
    <row r="69" spans="1:25">
      <c r="A69" s="115" t="s">
        <v>142</v>
      </c>
      <c r="B69" s="24"/>
      <c r="C69" s="24"/>
      <c r="D69" s="24"/>
      <c r="E69" s="24"/>
      <c r="F69" s="24"/>
      <c r="G69" s="24"/>
      <c r="H69" s="125">
        <f>E33</f>
        <v>114.49299999999999</v>
      </c>
      <c r="I69" s="25"/>
      <c r="J69" s="25"/>
      <c r="K69" s="25"/>
      <c r="L69" s="25"/>
      <c r="M69" s="279">
        <f>J33</f>
        <v>105.58699999999999</v>
      </c>
      <c r="N69" s="399"/>
      <c r="O69" s="25"/>
      <c r="P69" s="25"/>
      <c r="Q69" s="658"/>
      <c r="R69" s="659">
        <f>O33</f>
        <v>122.304</v>
      </c>
      <c r="S69" s="693"/>
      <c r="T69" s="693"/>
      <c r="U69" s="693"/>
      <c r="V69" s="650"/>
      <c r="W69" s="26"/>
      <c r="X69" s="26"/>
      <c r="Y69" s="126"/>
    </row>
    <row r="70" spans="1:25">
      <c r="A70" s="115" t="s">
        <v>143</v>
      </c>
      <c r="B70" s="24"/>
      <c r="C70" s="24"/>
      <c r="D70" s="24"/>
      <c r="E70" s="24"/>
      <c r="F70" s="24"/>
      <c r="G70" s="24"/>
      <c r="H70" s="125">
        <f>F33</f>
        <v>102.977</v>
      </c>
      <c r="I70" s="25"/>
      <c r="J70" s="25"/>
      <c r="K70" s="25"/>
      <c r="L70" s="25"/>
      <c r="M70" s="279">
        <f>K33</f>
        <v>80.718999999999994</v>
      </c>
      <c r="N70" s="399"/>
      <c r="O70" s="25"/>
      <c r="P70" s="25"/>
      <c r="Q70" s="658"/>
      <c r="R70" s="659">
        <f>O33</f>
        <v>122.304</v>
      </c>
      <c r="S70" s="693"/>
      <c r="T70" s="693"/>
      <c r="U70" s="693"/>
      <c r="V70" s="650"/>
      <c r="W70" s="26"/>
      <c r="X70" s="26"/>
      <c r="Y70" s="126"/>
    </row>
    <row r="71" spans="1:25">
      <c r="A71" s="115" t="s">
        <v>144</v>
      </c>
      <c r="B71" s="24"/>
      <c r="C71" s="24"/>
      <c r="D71" s="24"/>
      <c r="E71" s="24"/>
      <c r="F71" s="24"/>
      <c r="G71" s="24"/>
      <c r="H71" s="125">
        <f>G33</f>
        <v>63.507999999999996</v>
      </c>
      <c r="I71" s="25"/>
      <c r="J71" s="25"/>
      <c r="K71" s="25"/>
      <c r="L71" s="25"/>
      <c r="M71" s="279">
        <f>L33</f>
        <v>128.60300000000001</v>
      </c>
      <c r="N71" s="399"/>
      <c r="O71" s="25"/>
      <c r="P71" s="25"/>
      <c r="Q71" s="658"/>
      <c r="R71" s="659">
        <f>Q33</f>
        <v>-28.490999999999957</v>
      </c>
      <c r="S71" s="693"/>
      <c r="T71" s="693"/>
      <c r="U71" s="693"/>
      <c r="V71" s="650"/>
      <c r="W71" s="26"/>
      <c r="X71" s="26"/>
      <c r="Y71" s="126"/>
    </row>
    <row r="72" spans="1:25">
      <c r="A72" s="127" t="s">
        <v>145</v>
      </c>
      <c r="B72" s="128"/>
      <c r="C72" s="128"/>
      <c r="D72" s="128"/>
      <c r="E72" s="128"/>
      <c r="F72" s="128"/>
      <c r="G72" s="128"/>
      <c r="H72" s="129">
        <f>H33</f>
        <v>317.78100000000012</v>
      </c>
      <c r="I72" s="280"/>
      <c r="J72" s="280"/>
      <c r="K72" s="280"/>
      <c r="L72" s="280"/>
      <c r="M72" s="281">
        <f>M33</f>
        <v>421.64599999999984</v>
      </c>
      <c r="N72" s="400"/>
      <c r="O72" s="280"/>
      <c r="P72" s="280"/>
      <c r="Q72" s="660"/>
      <c r="R72" s="661">
        <f>R33</f>
        <v>292.49900000000002</v>
      </c>
      <c r="S72" s="663"/>
      <c r="T72" s="663"/>
      <c r="U72" s="663"/>
      <c r="V72" s="337"/>
      <c r="W72" s="130"/>
      <c r="X72" s="130"/>
      <c r="Y72" s="131"/>
    </row>
    <row r="73" spans="1:25">
      <c r="R73" s="662"/>
      <c r="S73" s="662"/>
      <c r="T73" s="662"/>
      <c r="U73" s="662"/>
      <c r="V73" s="336"/>
      <c r="W73" s="28"/>
      <c r="X73" s="28"/>
      <c r="Y73" s="28"/>
    </row>
    <row r="74" spans="1:25">
      <c r="A74" s="128" t="s">
        <v>148</v>
      </c>
      <c r="B74" s="128"/>
      <c r="C74" s="128"/>
      <c r="D74" s="128"/>
      <c r="E74" s="128"/>
      <c r="F74" s="128"/>
      <c r="G74" s="128"/>
      <c r="H74" s="128"/>
      <c r="I74" s="280"/>
      <c r="J74" s="280"/>
      <c r="K74" s="280"/>
      <c r="L74" s="280"/>
      <c r="M74" s="280"/>
      <c r="R74" s="663"/>
      <c r="S74" s="663"/>
      <c r="T74" s="663"/>
      <c r="U74" s="663"/>
      <c r="V74" s="337"/>
      <c r="W74" s="130"/>
      <c r="X74" s="130"/>
      <c r="Y74" s="130"/>
    </row>
    <row r="75" spans="1:25">
      <c r="A75" s="120" t="s">
        <v>141</v>
      </c>
      <c r="B75" s="121"/>
      <c r="C75" s="121"/>
      <c r="D75" s="121"/>
      <c r="E75" s="121"/>
      <c r="F75" s="121"/>
      <c r="G75" s="121"/>
      <c r="H75" s="132">
        <f>D51</f>
        <v>0.26172492534691766</v>
      </c>
      <c r="I75" s="277"/>
      <c r="J75" s="277"/>
      <c r="K75" s="277"/>
      <c r="L75" s="277"/>
      <c r="M75" s="282">
        <f>I51</f>
        <v>1.2863349633696299</v>
      </c>
      <c r="N75" s="398"/>
      <c r="O75" s="277"/>
      <c r="P75" s="277"/>
      <c r="Q75" s="656"/>
      <c r="R75" s="664">
        <f>N51</f>
        <v>1.1899534137773029</v>
      </c>
      <c r="S75" s="694"/>
      <c r="T75" s="694"/>
      <c r="U75" s="694"/>
      <c r="V75" s="651"/>
      <c r="W75" s="123"/>
      <c r="X75" s="123"/>
      <c r="Y75" s="124"/>
    </row>
    <row r="76" spans="1:25">
      <c r="A76" s="115" t="s">
        <v>142</v>
      </c>
      <c r="B76" s="24"/>
      <c r="C76" s="24"/>
      <c r="D76" s="24"/>
      <c r="E76" s="24"/>
      <c r="F76" s="24"/>
      <c r="G76" s="24"/>
      <c r="H76" s="133">
        <f>E51</f>
        <v>1.1774332334756834</v>
      </c>
      <c r="I76" s="25"/>
      <c r="J76" s="25"/>
      <c r="K76" s="25"/>
      <c r="L76" s="25"/>
      <c r="M76" s="283">
        <f>J51</f>
        <v>1.3406251158651883</v>
      </c>
      <c r="N76" s="399"/>
      <c r="O76" s="25"/>
      <c r="P76" s="25"/>
      <c r="Q76" s="658"/>
      <c r="R76" s="665">
        <f>O51</f>
        <v>1.5169427138732716</v>
      </c>
      <c r="S76" s="695"/>
      <c r="T76" s="695"/>
      <c r="U76" s="695"/>
      <c r="V76" s="652"/>
      <c r="W76" s="26"/>
      <c r="X76" s="26"/>
      <c r="Y76" s="126"/>
    </row>
    <row r="77" spans="1:25">
      <c r="A77" s="115" t="s">
        <v>143</v>
      </c>
      <c r="B77" s="24"/>
      <c r="C77" s="24"/>
      <c r="D77" s="24"/>
      <c r="E77" s="24"/>
      <c r="F77" s="24"/>
      <c r="G77" s="24"/>
      <c r="H77" s="133">
        <f>F51</f>
        <v>1.3788269890540763</v>
      </c>
      <c r="I77" s="25"/>
      <c r="J77" s="25"/>
      <c r="K77" s="25"/>
      <c r="L77" s="25"/>
      <c r="M77" s="283">
        <f>K51</f>
        <v>1.4634260123157303</v>
      </c>
      <c r="N77" s="399"/>
      <c r="O77" s="25"/>
      <c r="P77" s="25"/>
      <c r="Q77" s="658"/>
      <c r="R77" s="665">
        <f>P51</f>
        <v>1.1675793473401863</v>
      </c>
      <c r="S77" s="695"/>
      <c r="T77" s="695"/>
      <c r="U77" s="695"/>
      <c r="V77" s="652"/>
      <c r="W77" s="26"/>
      <c r="X77" s="26"/>
      <c r="Y77" s="126"/>
    </row>
    <row r="78" spans="1:25">
      <c r="A78" s="115" t="s">
        <v>144</v>
      </c>
      <c r="B78" s="24"/>
      <c r="C78" s="24"/>
      <c r="D78" s="24"/>
      <c r="E78" s="24"/>
      <c r="F78" s="24"/>
      <c r="G78" s="24"/>
      <c r="H78" s="133">
        <f>G51</f>
        <v>0.77189376608521576</v>
      </c>
      <c r="I78" s="25"/>
      <c r="J78" s="25"/>
      <c r="K78" s="25"/>
      <c r="L78" s="25"/>
      <c r="M78" s="283">
        <f>L51</f>
        <v>1.59697312642664</v>
      </c>
      <c r="N78" s="399"/>
      <c r="O78" s="25"/>
      <c r="P78" s="25"/>
      <c r="Q78" s="658"/>
      <c r="R78" s="665">
        <f>Q51</f>
        <v>-0.6028917483741365</v>
      </c>
      <c r="S78" s="695"/>
      <c r="T78" s="695"/>
      <c r="U78" s="695"/>
      <c r="V78" s="652"/>
      <c r="W78" s="26"/>
      <c r="X78" s="26"/>
      <c r="Y78" s="126"/>
    </row>
    <row r="79" spans="1:25">
      <c r="A79" s="127" t="s">
        <v>145</v>
      </c>
      <c r="B79" s="128"/>
      <c r="C79" s="128"/>
      <c r="D79" s="128"/>
      <c r="E79" s="128"/>
      <c r="F79" s="128"/>
      <c r="G79" s="128"/>
      <c r="H79" s="134">
        <f>H51</f>
        <v>3.663675393551646</v>
      </c>
      <c r="I79" s="280"/>
      <c r="J79" s="280"/>
      <c r="K79" s="280"/>
      <c r="L79" s="280"/>
      <c r="M79" s="284">
        <f>M51</f>
        <v>5.7140015015014969</v>
      </c>
      <c r="N79" s="400"/>
      <c r="O79" s="280"/>
      <c r="P79" s="280"/>
      <c r="Q79" s="660"/>
      <c r="R79" s="666">
        <f>R51</f>
        <v>3.2715837266166243</v>
      </c>
      <c r="S79" s="696"/>
      <c r="T79" s="696"/>
      <c r="U79" s="696"/>
      <c r="V79" s="653"/>
      <c r="W79" s="130"/>
      <c r="X79" s="130"/>
      <c r="Y79" s="131"/>
    </row>
    <row r="80" spans="1:25">
      <c r="R80" s="662"/>
      <c r="S80" s="662"/>
      <c r="T80" s="662"/>
      <c r="U80" s="662"/>
      <c r="V80" s="336"/>
      <c r="W80" s="28"/>
      <c r="X80" s="28"/>
      <c r="Y80" s="28"/>
    </row>
    <row r="81" spans="1:25">
      <c r="A81" s="27" t="s">
        <v>147</v>
      </c>
      <c r="R81" s="662"/>
      <c r="S81" s="662"/>
      <c r="T81" s="662"/>
      <c r="U81" s="662"/>
      <c r="V81" s="336"/>
      <c r="W81" s="28"/>
      <c r="X81" s="28"/>
      <c r="Y81" s="28"/>
    </row>
    <row r="82" spans="1:25">
      <c r="A82" s="120" t="s">
        <v>141</v>
      </c>
      <c r="B82" s="121"/>
      <c r="C82" s="121"/>
      <c r="D82" s="121"/>
      <c r="E82" s="121"/>
      <c r="F82" s="121"/>
      <c r="G82" s="121"/>
      <c r="H82" s="122">
        <f>H68+'Cash Flow'!D11</f>
        <v>42.612000000000023</v>
      </c>
      <c r="I82" s="277"/>
      <c r="J82" s="277"/>
      <c r="K82" s="277"/>
      <c r="L82" s="277"/>
      <c r="M82" s="278">
        <f>M68+'Cash Flow'!I11</f>
        <v>113.38499999999996</v>
      </c>
      <c r="N82" s="398"/>
      <c r="O82" s="277"/>
      <c r="P82" s="277"/>
      <c r="Q82" s="656"/>
      <c r="R82" s="657"/>
      <c r="S82" s="692"/>
      <c r="T82" s="692"/>
      <c r="U82" s="692"/>
      <c r="V82" s="649"/>
      <c r="W82" s="123"/>
      <c r="X82" s="123"/>
      <c r="Y82" s="124"/>
    </row>
    <row r="83" spans="1:25">
      <c r="A83" s="115" t="s">
        <v>142</v>
      </c>
      <c r="B83" s="24"/>
      <c r="C83" s="24"/>
      <c r="D83" s="24"/>
      <c r="E83" s="24"/>
      <c r="F83" s="24"/>
      <c r="G83" s="24"/>
      <c r="H83" s="125">
        <f>H69+'Cash Flow'!E11</f>
        <v>119.33</v>
      </c>
      <c r="I83" s="25"/>
      <c r="J83" s="25"/>
      <c r="K83" s="25"/>
      <c r="L83" s="25"/>
      <c r="M83" s="279">
        <f>M69+'Cash Flow'!J11</f>
        <v>111.87899999999999</v>
      </c>
      <c r="N83" s="399"/>
      <c r="O83" s="25"/>
      <c r="P83" s="25"/>
      <c r="Q83" s="658"/>
      <c r="R83" s="659"/>
      <c r="S83" s="693"/>
      <c r="T83" s="693"/>
      <c r="U83" s="693"/>
      <c r="V83" s="650"/>
      <c r="W83" s="26"/>
      <c r="X83" s="26"/>
      <c r="Y83" s="126"/>
    </row>
    <row r="84" spans="1:25">
      <c r="A84" s="115" t="s">
        <v>143</v>
      </c>
      <c r="B84" s="24"/>
      <c r="C84" s="24"/>
      <c r="D84" s="24"/>
      <c r="E84" s="24"/>
      <c r="F84" s="24"/>
      <c r="G84" s="24"/>
      <c r="H84" s="125">
        <f>H70+'Cash Flow'!F11</f>
        <v>107.968</v>
      </c>
      <c r="I84" s="25"/>
      <c r="J84" s="25"/>
      <c r="K84" s="25"/>
      <c r="L84" s="25"/>
      <c r="M84" s="279">
        <f>M70+'Cash Flow'!K11</f>
        <v>87.634</v>
      </c>
      <c r="N84" s="399"/>
      <c r="O84" s="25"/>
      <c r="P84" s="25"/>
      <c r="Q84" s="658"/>
      <c r="R84" s="659"/>
      <c r="S84" s="693"/>
      <c r="T84" s="693"/>
      <c r="U84" s="693"/>
      <c r="V84" s="650"/>
      <c r="W84" s="26"/>
      <c r="X84" s="26"/>
      <c r="Y84" s="126"/>
    </row>
    <row r="85" spans="1:25">
      <c r="A85" s="115" t="s">
        <v>144</v>
      </c>
      <c r="B85" s="24"/>
      <c r="C85" s="24"/>
      <c r="D85" s="24"/>
      <c r="E85" s="24"/>
      <c r="F85" s="24"/>
      <c r="G85" s="24"/>
      <c r="H85" s="125">
        <f>H71+'Cash Flow'!G11</f>
        <v>68.405999999999992</v>
      </c>
      <c r="I85" s="25"/>
      <c r="J85" s="25"/>
      <c r="K85" s="25"/>
      <c r="L85" s="25"/>
      <c r="M85" s="279">
        <f>M71+'Cash Flow'!L11</f>
        <v>135.893</v>
      </c>
      <c r="N85" s="399"/>
      <c r="O85" s="25"/>
      <c r="P85" s="25"/>
      <c r="Q85" s="658"/>
      <c r="R85" s="659"/>
      <c r="S85" s="693"/>
      <c r="T85" s="693"/>
      <c r="U85" s="693"/>
      <c r="V85" s="650"/>
      <c r="W85" s="26"/>
      <c r="X85" s="26"/>
      <c r="Y85" s="126"/>
    </row>
    <row r="86" spans="1:25">
      <c r="A86" s="127" t="s">
        <v>145</v>
      </c>
      <c r="B86" s="128"/>
      <c r="C86" s="128"/>
      <c r="D86" s="128"/>
      <c r="E86" s="128"/>
      <c r="F86" s="128"/>
      <c r="G86" s="128"/>
      <c r="H86" s="129">
        <f>H72+'Cash Flow'!H11</f>
        <v>338.31600000000014</v>
      </c>
      <c r="I86" s="280"/>
      <c r="J86" s="280"/>
      <c r="K86" s="280"/>
      <c r="L86" s="280"/>
      <c r="M86" s="281">
        <f>M72+'Cash Flow'!M11</f>
        <v>448.79099999999983</v>
      </c>
      <c r="N86" s="400"/>
      <c r="O86" s="280"/>
      <c r="P86" s="280"/>
      <c r="Q86" s="660"/>
      <c r="R86" s="661">
        <f>R72+'Cash Flow'!R11</f>
        <v>323.66600000000005</v>
      </c>
      <c r="S86" s="663"/>
      <c r="T86" s="663"/>
      <c r="U86" s="663"/>
      <c r="V86" s="337"/>
      <c r="W86" s="130"/>
      <c r="X86" s="130"/>
      <c r="Y86" s="131"/>
    </row>
    <row r="87" spans="1:25">
      <c r="V87" s="28"/>
      <c r="W87" s="28"/>
      <c r="X87" s="28"/>
      <c r="Y87" s="28"/>
    </row>
    <row r="88" spans="1:25">
      <c r="V88" s="28"/>
      <c r="W88" s="28"/>
      <c r="X88" s="28"/>
      <c r="Y88" s="28"/>
    </row>
    <row r="89" spans="1:25">
      <c r="V89" s="28"/>
      <c r="W89" s="28"/>
      <c r="X89" s="28"/>
      <c r="Y89" s="28"/>
    </row>
    <row r="90" spans="1:25">
      <c r="V90" s="28"/>
      <c r="W90" s="28"/>
      <c r="X90" s="28"/>
      <c r="Y90" s="28"/>
    </row>
    <row r="91" spans="1:25">
      <c r="V91" s="28"/>
      <c r="W91" s="28"/>
      <c r="X91" s="28"/>
      <c r="Y91" s="28"/>
    </row>
    <row r="92" spans="1:25">
      <c r="V92" s="28"/>
      <c r="W92" s="28"/>
      <c r="X92" s="28"/>
      <c r="Y92" s="28"/>
    </row>
    <row r="93" spans="1:25">
      <c r="V93" s="28"/>
      <c r="W93" s="28"/>
      <c r="X93" s="28"/>
      <c r="Y93" s="28"/>
    </row>
    <row r="94" spans="1:25">
      <c r="V94" s="28"/>
      <c r="W94" s="28"/>
      <c r="X94" s="28"/>
      <c r="Y94" s="28"/>
    </row>
    <row r="95" spans="1:25">
      <c r="V95" s="28"/>
      <c r="W95" s="28"/>
      <c r="X95" s="28"/>
      <c r="Y95" s="28"/>
    </row>
    <row r="96" spans="1:25">
      <c r="V96" s="28"/>
      <c r="W96" s="28"/>
      <c r="X96" s="28"/>
      <c r="Y96" s="28"/>
    </row>
    <row r="97" spans="22:25">
      <c r="V97" s="28"/>
      <c r="W97" s="28"/>
      <c r="X97" s="28"/>
      <c r="Y97" s="28"/>
    </row>
    <row r="98" spans="22:25">
      <c r="V98" s="28"/>
      <c r="W98" s="28"/>
      <c r="X98" s="28"/>
      <c r="Y98" s="28"/>
    </row>
    <row r="99" spans="22:25">
      <c r="V99" s="28"/>
      <c r="W99" s="28"/>
      <c r="X99" s="28"/>
      <c r="Y99" s="28"/>
    </row>
    <row r="100" spans="22:25">
      <c r="V100" s="28"/>
      <c r="W100" s="28"/>
      <c r="X100" s="28"/>
      <c r="Y100" s="28"/>
    </row>
    <row r="101" spans="22:25">
      <c r="V101" s="28"/>
      <c r="W101" s="28"/>
      <c r="X101" s="28"/>
      <c r="Y101" s="28"/>
    </row>
    <row r="102" spans="22:25">
      <c r="V102" s="28"/>
      <c r="W102" s="28"/>
      <c r="X102" s="28"/>
      <c r="Y102" s="28"/>
    </row>
    <row r="103" spans="22:25">
      <c r="V103" s="28"/>
      <c r="W103" s="28"/>
      <c r="X103" s="28"/>
      <c r="Y103" s="28"/>
    </row>
    <row r="104" spans="22:25">
      <c r="V104" s="28"/>
      <c r="W104" s="28"/>
      <c r="X104" s="28"/>
      <c r="Y104" s="28"/>
    </row>
    <row r="105" spans="22:25">
      <c r="V105" s="28"/>
      <c r="W105" s="28"/>
      <c r="X105" s="28"/>
      <c r="Y105" s="28"/>
    </row>
    <row r="106" spans="22:25">
      <c r="V106" s="28"/>
      <c r="W106" s="28"/>
      <c r="X106" s="28"/>
      <c r="Y106" s="28"/>
    </row>
    <row r="107" spans="22:25">
      <c r="V107" s="28"/>
      <c r="W107" s="28"/>
      <c r="X107" s="28"/>
      <c r="Y107" s="28"/>
    </row>
    <row r="108" spans="22:25">
      <c r="V108" s="28"/>
      <c r="W108" s="28"/>
      <c r="X108" s="28"/>
      <c r="Y108" s="28"/>
    </row>
    <row r="109" spans="22:25">
      <c r="V109" s="28"/>
      <c r="W109" s="28"/>
      <c r="X109" s="28"/>
      <c r="Y109" s="28"/>
    </row>
    <row r="110" spans="22:25">
      <c r="V110" s="28"/>
      <c r="W110" s="28"/>
      <c r="X110" s="28"/>
      <c r="Y110" s="28"/>
    </row>
    <row r="111" spans="22:25">
      <c r="V111" s="28"/>
      <c r="W111" s="28"/>
      <c r="X111" s="28"/>
      <c r="Y111" s="28"/>
    </row>
    <row r="112" spans="22:25">
      <c r="V112" s="28"/>
      <c r="W112" s="28"/>
      <c r="X112" s="28"/>
      <c r="Y112" s="28"/>
    </row>
    <row r="113" spans="22:25">
      <c r="V113" s="28"/>
      <c r="W113" s="28"/>
      <c r="X113" s="28"/>
      <c r="Y113" s="28"/>
    </row>
    <row r="114" spans="22:25">
      <c r="V114" s="28"/>
      <c r="W114" s="28"/>
      <c r="X114" s="28"/>
      <c r="Y114" s="28"/>
    </row>
    <row r="115" spans="22:25">
      <c r="V115" s="28"/>
      <c r="W115" s="28"/>
      <c r="X115" s="28"/>
      <c r="Y115" s="28"/>
    </row>
    <row r="116" spans="22:25">
      <c r="V116" s="28"/>
      <c r="W116" s="28"/>
      <c r="X116" s="28"/>
      <c r="Y116" s="28"/>
    </row>
    <row r="117" spans="22:25">
      <c r="V117" s="28"/>
      <c r="W117" s="28"/>
      <c r="X117" s="28"/>
      <c r="Y117" s="28"/>
    </row>
    <row r="118" spans="22:25">
      <c r="V118" s="28"/>
      <c r="W118" s="28"/>
      <c r="X118" s="28"/>
      <c r="Y118" s="28"/>
    </row>
    <row r="119" spans="22:25">
      <c r="V119" s="28"/>
      <c r="W119" s="28"/>
      <c r="X119" s="28"/>
      <c r="Y119" s="28"/>
    </row>
    <row r="120" spans="22:25">
      <c r="V120" s="28"/>
      <c r="W120" s="28"/>
      <c r="X120" s="28"/>
      <c r="Y120" s="28"/>
    </row>
    <row r="121" spans="22:25">
      <c r="V121" s="28"/>
      <c r="W121" s="28"/>
      <c r="X121" s="28"/>
      <c r="Y121" s="28"/>
    </row>
    <row r="122" spans="22:25">
      <c r="V122" s="28"/>
      <c r="W122" s="28"/>
      <c r="X122" s="28"/>
      <c r="Y122" s="28"/>
    </row>
    <row r="123" spans="22:25">
      <c r="V123" s="28"/>
      <c r="W123" s="28"/>
      <c r="X123" s="28"/>
      <c r="Y123" s="28"/>
    </row>
    <row r="124" spans="22:25">
      <c r="V124" s="28"/>
      <c r="W124" s="28"/>
      <c r="X124" s="28"/>
      <c r="Y124" s="28"/>
    </row>
    <row r="125" spans="22:25">
      <c r="V125" s="28"/>
      <c r="W125" s="28"/>
      <c r="X125" s="28"/>
      <c r="Y125" s="28"/>
    </row>
    <row r="126" spans="22:25">
      <c r="V126" s="28"/>
      <c r="W126" s="28"/>
      <c r="X126" s="28"/>
      <c r="Y126" s="28"/>
    </row>
    <row r="127" spans="22:25">
      <c r="V127" s="28"/>
      <c r="W127" s="28"/>
      <c r="X127" s="28"/>
      <c r="Y127" s="28"/>
    </row>
    <row r="128" spans="22:25">
      <c r="V128" s="28"/>
      <c r="W128" s="28"/>
      <c r="X128" s="28"/>
      <c r="Y128" s="28"/>
    </row>
    <row r="129" spans="22:25">
      <c r="V129" s="28"/>
      <c r="W129" s="28"/>
      <c r="X129" s="28"/>
      <c r="Y129" s="28"/>
    </row>
    <row r="130" spans="22:25">
      <c r="V130" s="28"/>
      <c r="W130" s="28"/>
      <c r="X130" s="28"/>
      <c r="Y130" s="28"/>
    </row>
    <row r="131" spans="22:25">
      <c r="V131" s="28"/>
      <c r="W131" s="28"/>
      <c r="X131" s="28"/>
      <c r="Y131" s="28"/>
    </row>
    <row r="132" spans="22:25">
      <c r="V132" s="28"/>
      <c r="W132" s="28"/>
      <c r="X132" s="28"/>
      <c r="Y132" s="28"/>
    </row>
    <row r="133" spans="22:25">
      <c r="V133" s="28"/>
      <c r="W133" s="28"/>
      <c r="X133" s="28"/>
      <c r="Y133" s="28"/>
    </row>
    <row r="134" spans="22:25">
      <c r="V134" s="28"/>
      <c r="W134" s="28"/>
      <c r="X134" s="28"/>
      <c r="Y134" s="28"/>
    </row>
    <row r="135" spans="22:25">
      <c r="V135" s="28"/>
      <c r="W135" s="28"/>
      <c r="X135" s="28"/>
      <c r="Y135" s="28"/>
    </row>
    <row r="136" spans="22:25">
      <c r="V136" s="28"/>
      <c r="W136" s="28"/>
      <c r="X136" s="28"/>
      <c r="Y136" s="28"/>
    </row>
    <row r="137" spans="22:25">
      <c r="V137" s="28"/>
      <c r="W137" s="28"/>
      <c r="X137" s="28"/>
      <c r="Y137" s="28"/>
    </row>
    <row r="138" spans="22:25">
      <c r="V138" s="28"/>
      <c r="W138" s="28"/>
      <c r="X138" s="28"/>
      <c r="Y138" s="28"/>
    </row>
    <row r="139" spans="22:25">
      <c r="V139" s="28"/>
      <c r="W139" s="28"/>
      <c r="X139" s="28"/>
      <c r="Y139" s="28"/>
    </row>
    <row r="140" spans="22:25">
      <c r="V140" s="28"/>
      <c r="W140" s="28"/>
      <c r="X140" s="28"/>
      <c r="Y140" s="28"/>
    </row>
    <row r="141" spans="22:25">
      <c r="V141" s="28"/>
      <c r="W141" s="28"/>
      <c r="X141" s="28"/>
      <c r="Y141" s="28"/>
    </row>
    <row r="142" spans="22:25">
      <c r="V142" s="28"/>
      <c r="W142" s="28"/>
      <c r="X142" s="28"/>
      <c r="Y142" s="28"/>
    </row>
    <row r="143" spans="22:25">
      <c r="V143" s="28"/>
      <c r="W143" s="28"/>
      <c r="X143" s="28"/>
      <c r="Y143" s="28"/>
    </row>
    <row r="144" spans="22:25">
      <c r="V144" s="28"/>
      <c r="W144" s="28"/>
      <c r="X144" s="28"/>
      <c r="Y144" s="28"/>
    </row>
    <row r="145" spans="22:25">
      <c r="V145" s="28"/>
      <c r="W145" s="28"/>
      <c r="X145" s="28"/>
      <c r="Y145" s="28"/>
    </row>
    <row r="146" spans="22:25">
      <c r="V146" s="28"/>
      <c r="W146" s="28"/>
      <c r="X146" s="28"/>
      <c r="Y146" s="28"/>
    </row>
    <row r="147" spans="22:25">
      <c r="V147" s="28"/>
      <c r="W147" s="28"/>
      <c r="X147" s="28"/>
      <c r="Y147" s="28"/>
    </row>
    <row r="148" spans="22:25">
      <c r="V148" s="28"/>
      <c r="W148" s="28"/>
      <c r="X148" s="28"/>
      <c r="Y148" s="28"/>
    </row>
    <row r="149" spans="22:25">
      <c r="V149" s="28"/>
      <c r="W149" s="28"/>
      <c r="X149" s="28"/>
      <c r="Y149" s="28"/>
    </row>
    <row r="150" spans="22:25">
      <c r="V150" s="28"/>
      <c r="W150" s="28"/>
      <c r="X150" s="28"/>
      <c r="Y150" s="28"/>
    </row>
    <row r="151" spans="22:25">
      <c r="V151" s="28"/>
      <c r="W151" s="28"/>
      <c r="X151" s="28"/>
      <c r="Y151" s="28"/>
    </row>
    <row r="152" spans="22:25">
      <c r="V152" s="28"/>
      <c r="W152" s="28"/>
      <c r="X152" s="28"/>
      <c r="Y152" s="28"/>
    </row>
    <row r="153" spans="22:25">
      <c r="V153" s="28"/>
      <c r="W153" s="28"/>
      <c r="X153" s="28"/>
      <c r="Y153" s="28"/>
    </row>
    <row r="154" spans="22:25">
      <c r="V154" s="28"/>
      <c r="W154" s="28"/>
      <c r="X154" s="28"/>
      <c r="Y154" s="28"/>
    </row>
    <row r="155" spans="22:25">
      <c r="V155" s="28"/>
      <c r="W155" s="28"/>
      <c r="X155" s="28"/>
      <c r="Y155" s="28"/>
    </row>
    <row r="156" spans="22:25">
      <c r="V156" s="28"/>
      <c r="W156" s="28"/>
      <c r="X156" s="28"/>
      <c r="Y156" s="28"/>
    </row>
    <row r="157" spans="22:25">
      <c r="V157" s="28"/>
      <c r="W157" s="28"/>
      <c r="X157" s="28"/>
      <c r="Y157" s="28"/>
    </row>
    <row r="158" spans="22:25">
      <c r="V158" s="28"/>
      <c r="W158" s="28"/>
      <c r="X158" s="28"/>
      <c r="Y158" s="28"/>
    </row>
    <row r="159" spans="22:25">
      <c r="V159" s="28"/>
      <c r="W159" s="28"/>
      <c r="X159" s="28"/>
      <c r="Y159" s="28"/>
    </row>
    <row r="160" spans="22:25">
      <c r="V160" s="28"/>
      <c r="W160" s="28"/>
      <c r="X160" s="28"/>
      <c r="Y160" s="28"/>
    </row>
    <row r="161" spans="22:25">
      <c r="V161" s="28"/>
      <c r="W161" s="28"/>
      <c r="X161" s="28"/>
      <c r="Y161" s="28"/>
    </row>
    <row r="162" spans="22:25">
      <c r="V162" s="28"/>
      <c r="W162" s="28"/>
      <c r="X162" s="28"/>
      <c r="Y162" s="28"/>
    </row>
    <row r="163" spans="22:25">
      <c r="V163" s="28"/>
      <c r="W163" s="28"/>
      <c r="X163" s="28"/>
      <c r="Y163" s="28"/>
    </row>
    <row r="164" spans="22:25">
      <c r="V164" s="28"/>
      <c r="W164" s="28"/>
      <c r="X164" s="28"/>
      <c r="Y164" s="28"/>
    </row>
    <row r="165" spans="22:25">
      <c r="V165" s="28"/>
      <c r="W165" s="28"/>
      <c r="X165" s="28"/>
      <c r="Y165" s="28"/>
    </row>
    <row r="166" spans="22:25">
      <c r="V166" s="28"/>
      <c r="W166" s="28"/>
      <c r="X166" s="28"/>
      <c r="Y166" s="28"/>
    </row>
    <row r="167" spans="22:25">
      <c r="V167" s="28"/>
      <c r="W167" s="28"/>
      <c r="X167" s="28"/>
      <c r="Y167" s="28"/>
    </row>
    <row r="168" spans="22:25">
      <c r="V168" s="28"/>
      <c r="W168" s="28"/>
      <c r="X168" s="28"/>
      <c r="Y168" s="28"/>
    </row>
    <row r="169" spans="22:25">
      <c r="V169" s="28"/>
      <c r="W169" s="28"/>
      <c r="X169" s="28"/>
      <c r="Y169" s="28"/>
    </row>
    <row r="170" spans="22:25">
      <c r="V170" s="28"/>
      <c r="W170" s="28"/>
      <c r="X170" s="28"/>
      <c r="Y170" s="28"/>
    </row>
    <row r="171" spans="22:25">
      <c r="V171" s="28"/>
      <c r="W171" s="28"/>
      <c r="X171" s="28"/>
      <c r="Y171" s="28"/>
    </row>
    <row r="172" spans="22:25">
      <c r="V172" s="28"/>
      <c r="W172" s="28"/>
      <c r="X172" s="28"/>
      <c r="Y172" s="28"/>
    </row>
    <row r="173" spans="22:25">
      <c r="V173" s="28"/>
      <c r="W173" s="28"/>
      <c r="X173" s="28"/>
      <c r="Y173" s="28"/>
    </row>
    <row r="174" spans="22:25">
      <c r="V174" s="28"/>
      <c r="W174" s="28"/>
      <c r="X174" s="28"/>
      <c r="Y174" s="28"/>
    </row>
    <row r="175" spans="22:25">
      <c r="V175" s="28"/>
      <c r="W175" s="28"/>
      <c r="X175" s="28"/>
      <c r="Y175" s="28"/>
    </row>
    <row r="176" spans="22:25">
      <c r="V176" s="28"/>
      <c r="W176" s="28"/>
      <c r="X176" s="28"/>
      <c r="Y176" s="28"/>
    </row>
    <row r="177" spans="22:25">
      <c r="V177" s="28"/>
      <c r="W177" s="28"/>
      <c r="X177" s="28"/>
      <c r="Y177" s="28"/>
    </row>
    <row r="178" spans="22:25">
      <c r="V178" s="28"/>
      <c r="W178" s="28"/>
      <c r="X178" s="28"/>
      <c r="Y178" s="28"/>
    </row>
    <row r="179" spans="22:25">
      <c r="V179" s="28"/>
      <c r="W179" s="28"/>
      <c r="X179" s="28"/>
      <c r="Y179" s="28"/>
    </row>
    <row r="180" spans="22:25">
      <c r="V180" s="28"/>
      <c r="W180" s="28"/>
      <c r="X180" s="28"/>
      <c r="Y180" s="28"/>
    </row>
    <row r="181" spans="22:25">
      <c r="V181" s="28"/>
      <c r="W181" s="28"/>
      <c r="X181" s="28"/>
      <c r="Y181" s="28"/>
    </row>
    <row r="182" spans="22:25">
      <c r="V182" s="28"/>
      <c r="W182" s="28"/>
      <c r="X182" s="28"/>
      <c r="Y182" s="28"/>
    </row>
    <row r="183" spans="22:25">
      <c r="V183" s="28"/>
      <c r="W183" s="28"/>
      <c r="X183" s="28"/>
      <c r="Y183" s="28"/>
    </row>
    <row r="184" spans="22:25">
      <c r="V184" s="28"/>
      <c r="W184" s="28"/>
      <c r="X184" s="28"/>
      <c r="Y184" s="28"/>
    </row>
    <row r="185" spans="22:25">
      <c r="V185" s="28"/>
      <c r="W185" s="28"/>
      <c r="X185" s="28"/>
      <c r="Y185" s="28"/>
    </row>
    <row r="186" spans="22:25">
      <c r="V186" s="28"/>
      <c r="W186" s="28"/>
      <c r="X186" s="28"/>
      <c r="Y186" s="28"/>
    </row>
    <row r="187" spans="22:25">
      <c r="V187" s="28"/>
      <c r="W187" s="28"/>
      <c r="X187" s="28"/>
      <c r="Y187" s="28"/>
    </row>
    <row r="188" spans="22:25">
      <c r="V188" s="28"/>
      <c r="W188" s="28"/>
      <c r="X188" s="28"/>
      <c r="Y188" s="28"/>
    </row>
  </sheetData>
  <phoneticPr fontId="97"/>
  <pageMargins left="0.7" right="0.7" top="0.75" bottom="0.75" header="0.3" footer="0.3"/>
  <pageSetup scale="61" orientation="landscape"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J31"/>
  <sheetViews>
    <sheetView workbookViewId="0">
      <selection activeCell="C7" sqref="C7"/>
    </sheetView>
  </sheetViews>
  <sheetFormatPr defaultColWidth="10.5546875" defaultRowHeight="13.15"/>
  <cols>
    <col min="1" max="1" width="10.5546875" style="1020"/>
    <col min="2" max="6" width="20.71875" style="1046" customWidth="1"/>
    <col min="7" max="16384" width="10.5546875" style="1020"/>
  </cols>
  <sheetData>
    <row r="1" spans="2:10">
      <c r="B1" s="976" t="s">
        <v>112</v>
      </c>
      <c r="C1" s="976"/>
      <c r="D1" s="370"/>
      <c r="F1" s="980"/>
      <c r="G1" s="12"/>
      <c r="H1" s="12"/>
      <c r="I1" s="12"/>
      <c r="J1" s="12"/>
    </row>
    <row r="2" spans="2:10">
      <c r="B2" s="371"/>
      <c r="C2" s="370"/>
      <c r="D2" s="370"/>
      <c r="F2" s="980"/>
      <c r="G2" s="12"/>
      <c r="H2" s="12"/>
      <c r="I2" s="12"/>
      <c r="J2" s="12"/>
    </row>
    <row r="3" spans="2:10">
      <c r="B3" s="371"/>
      <c r="C3" s="370"/>
      <c r="D3" s="370"/>
      <c r="F3" s="983"/>
      <c r="G3" s="12"/>
      <c r="H3" s="12"/>
      <c r="I3" s="12"/>
      <c r="J3" s="12"/>
    </row>
    <row r="5" spans="2:10">
      <c r="B5" s="1047"/>
      <c r="C5" s="1047"/>
      <c r="D5" s="1047"/>
      <c r="E5" s="1047"/>
      <c r="F5" s="1047"/>
      <c r="G5" s="1022"/>
    </row>
    <row r="6" spans="2:10" s="1052" customFormat="1" ht="26" customHeight="1">
      <c r="B6" s="1048"/>
      <c r="C6" s="1049" t="s">
        <v>181</v>
      </c>
      <c r="D6" s="1049" t="s">
        <v>178</v>
      </c>
      <c r="E6" s="1049" t="s">
        <v>179</v>
      </c>
      <c r="F6" s="1050" t="s">
        <v>180</v>
      </c>
      <c r="G6" s="1051"/>
    </row>
    <row r="7" spans="2:10" s="1052" customFormat="1" ht="26" customHeight="1">
      <c r="B7" s="1053" t="s">
        <v>65</v>
      </c>
      <c r="C7" s="1054" t="s">
        <v>219</v>
      </c>
      <c r="D7" s="1054" t="s">
        <v>220</v>
      </c>
      <c r="E7" s="1054" t="s">
        <v>221</v>
      </c>
      <c r="F7" s="1055" t="s">
        <v>222</v>
      </c>
      <c r="G7" s="1051"/>
    </row>
    <row r="8" spans="2:10" s="1052" customFormat="1" ht="30" customHeight="1">
      <c r="B8" s="1053" t="s">
        <v>68</v>
      </c>
      <c r="C8" s="1054" t="s">
        <v>71</v>
      </c>
      <c r="D8" s="1054" t="s">
        <v>71</v>
      </c>
      <c r="E8" s="1054" t="s">
        <v>67</v>
      </c>
      <c r="F8" s="1055" t="s">
        <v>398</v>
      </c>
      <c r="G8" s="1051"/>
    </row>
    <row r="9" spans="2:10" s="1052" customFormat="1" ht="26" customHeight="1">
      <c r="B9" s="1053" t="s">
        <v>213</v>
      </c>
      <c r="C9" s="1054" t="s">
        <v>211</v>
      </c>
      <c r="D9" s="1054" t="s">
        <v>75</v>
      </c>
      <c r="E9" s="1054" t="s">
        <v>76</v>
      </c>
      <c r="F9" s="1055"/>
      <c r="G9" s="1051"/>
    </row>
    <row r="10" spans="2:10" s="1052" customFormat="1" ht="26" customHeight="1">
      <c r="B10" s="1053" t="s">
        <v>214</v>
      </c>
      <c r="C10" s="1056">
        <v>0.65</v>
      </c>
      <c r="D10" s="1056">
        <v>0.65</v>
      </c>
      <c r="E10" s="1056">
        <v>0.75</v>
      </c>
      <c r="F10" s="1057"/>
      <c r="G10" s="1051"/>
    </row>
    <row r="11" spans="2:10" s="1052" customFormat="1" ht="26" customHeight="1">
      <c r="B11" s="1053" t="s">
        <v>215</v>
      </c>
      <c r="C11" s="1056">
        <v>0.75</v>
      </c>
      <c r="D11" s="1056">
        <v>0.73</v>
      </c>
      <c r="E11" s="1056">
        <v>0.66</v>
      </c>
      <c r="F11" s="1057"/>
      <c r="G11" s="1051"/>
    </row>
    <row r="12" spans="2:10" s="1052" customFormat="1" ht="26" customHeight="1">
      <c r="B12" s="1053" t="s">
        <v>69</v>
      </c>
      <c r="C12" s="1054" t="s">
        <v>212</v>
      </c>
      <c r="D12" s="1054" t="s">
        <v>212</v>
      </c>
      <c r="E12" s="1054" t="s">
        <v>70</v>
      </c>
      <c r="F12" s="1055" t="s">
        <v>396</v>
      </c>
      <c r="G12" s="1051"/>
    </row>
    <row r="13" spans="2:10" s="1052" customFormat="1" ht="26" customHeight="1">
      <c r="B13" s="1053" t="s">
        <v>182</v>
      </c>
      <c r="C13" s="1058">
        <v>2008</v>
      </c>
      <c r="D13" s="1058">
        <v>2011</v>
      </c>
      <c r="E13" s="1058">
        <v>2011</v>
      </c>
      <c r="F13" s="1059">
        <v>2016</v>
      </c>
      <c r="G13" s="1051"/>
    </row>
    <row r="14" spans="2:10" s="1052" customFormat="1" ht="54" customHeight="1">
      <c r="B14" s="1053" t="s">
        <v>3</v>
      </c>
      <c r="C14" s="1054" t="s">
        <v>72</v>
      </c>
      <c r="D14" s="1054" t="s">
        <v>72</v>
      </c>
      <c r="E14" s="1054" t="s">
        <v>66</v>
      </c>
      <c r="F14" s="1055" t="s">
        <v>397</v>
      </c>
      <c r="G14" s="1051"/>
    </row>
    <row r="15" spans="2:10" s="1052" customFormat="1" ht="26" customHeight="1">
      <c r="B15" s="1053" t="s">
        <v>216</v>
      </c>
      <c r="C15" s="1060" t="s">
        <v>217</v>
      </c>
      <c r="D15" s="1060" t="s">
        <v>218</v>
      </c>
      <c r="E15" s="1061" t="s">
        <v>4</v>
      </c>
      <c r="F15" s="1055"/>
      <c r="G15" s="1051"/>
    </row>
    <row r="16" spans="2:10" s="1052" customFormat="1" ht="26" customHeight="1">
      <c r="B16" s="1062" t="s">
        <v>73</v>
      </c>
      <c r="C16" s="1063" t="s">
        <v>113</v>
      </c>
      <c r="D16" s="1063" t="s">
        <v>74</v>
      </c>
      <c r="E16" s="1063"/>
      <c r="F16" s="1064"/>
      <c r="G16" s="1051"/>
    </row>
    <row r="17" spans="2:7">
      <c r="B17" s="1047"/>
      <c r="C17" s="1065"/>
      <c r="D17" s="1065"/>
      <c r="E17" s="1065"/>
      <c r="F17" s="1065"/>
      <c r="G17" s="1022"/>
    </row>
    <row r="18" spans="2:7">
      <c r="B18" s="200" t="s">
        <v>392</v>
      </c>
      <c r="D18" s="372"/>
      <c r="E18" s="372"/>
    </row>
    <row r="19" spans="2:7">
      <c r="B19" s="1047"/>
      <c r="C19" s="1065"/>
      <c r="D19" s="1065"/>
      <c r="E19" s="1065"/>
      <c r="F19" s="1065"/>
      <c r="G19" s="1022"/>
    </row>
    <row r="20" spans="2:7">
      <c r="B20" s="1047"/>
      <c r="C20" s="1065"/>
      <c r="D20" s="1065"/>
      <c r="E20" s="1065"/>
      <c r="F20" s="1065"/>
      <c r="G20" s="1022"/>
    </row>
    <row r="21" spans="2:7">
      <c r="B21" s="1047"/>
      <c r="C21" s="1065"/>
      <c r="D21" s="1065"/>
      <c r="E21" s="1065"/>
      <c r="F21" s="1065"/>
      <c r="G21" s="1022"/>
    </row>
    <row r="22" spans="2:7">
      <c r="B22" s="1047"/>
      <c r="C22" s="1065"/>
      <c r="D22" s="1065"/>
      <c r="E22" s="1065"/>
      <c r="F22" s="1065"/>
      <c r="G22" s="1022"/>
    </row>
    <row r="23" spans="2:7">
      <c r="B23" s="1047"/>
      <c r="C23" s="1065"/>
      <c r="D23" s="1065"/>
      <c r="E23" s="1065"/>
      <c r="F23" s="1065"/>
      <c r="G23" s="1022"/>
    </row>
    <row r="24" spans="2:7">
      <c r="B24" s="1047"/>
      <c r="C24" s="1065"/>
      <c r="D24" s="1065"/>
      <c r="E24" s="1065"/>
      <c r="F24" s="1065"/>
      <c r="G24" s="1022"/>
    </row>
    <row r="25" spans="2:7">
      <c r="B25" s="1047"/>
      <c r="C25" s="1065"/>
      <c r="D25" s="1065"/>
      <c r="E25" s="1065"/>
      <c r="F25" s="1065"/>
      <c r="G25" s="1022"/>
    </row>
    <row r="26" spans="2:7">
      <c r="B26" s="1047"/>
      <c r="C26" s="1065"/>
      <c r="D26" s="1065"/>
      <c r="E26" s="1065"/>
      <c r="F26" s="1065"/>
      <c r="G26" s="1022"/>
    </row>
    <row r="27" spans="2:7">
      <c r="B27" s="1047"/>
      <c r="C27" s="1065"/>
      <c r="D27" s="1065"/>
      <c r="E27" s="1065"/>
      <c r="F27" s="1065"/>
      <c r="G27" s="1022"/>
    </row>
    <row r="28" spans="2:7">
      <c r="B28" s="1047"/>
      <c r="C28" s="1065"/>
      <c r="D28" s="1065"/>
      <c r="E28" s="1065"/>
      <c r="F28" s="1065"/>
      <c r="G28" s="1022"/>
    </row>
    <row r="29" spans="2:7">
      <c r="B29" s="1047"/>
      <c r="C29" s="1065"/>
      <c r="D29" s="1065"/>
      <c r="E29" s="1065"/>
      <c r="F29" s="1065"/>
      <c r="G29" s="1022"/>
    </row>
    <row r="30" spans="2:7">
      <c r="B30" s="1047"/>
      <c r="C30" s="1065"/>
      <c r="D30" s="1065"/>
      <c r="E30" s="1065"/>
      <c r="F30" s="1065"/>
      <c r="G30" s="1022"/>
    </row>
    <row r="31" spans="2:7">
      <c r="C31" s="1066"/>
      <c r="D31" s="1066"/>
      <c r="E31" s="1066"/>
      <c r="F31" s="1066"/>
    </row>
  </sheetData>
  <mergeCells count="1">
    <mergeCell ref="B1:C1"/>
  </mergeCells>
  <phoneticPr fontId="97"/>
  <pageMargins left="0.75" right="0.75" top="1" bottom="1" header="0.5" footer="0.5"/>
  <pageSetup scale="90" orientation="portrait"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H49"/>
  <sheetViews>
    <sheetView showGridLines="0" zoomScaleNormal="85" workbookViewId="0">
      <selection activeCell="J15" sqref="J15"/>
    </sheetView>
  </sheetViews>
  <sheetFormatPr defaultColWidth="8.5546875" defaultRowHeight="13.15"/>
  <cols>
    <col min="1" max="2" width="1.27734375" style="1" customWidth="1"/>
    <col min="3" max="3" width="8.5546875" style="1" customWidth="1"/>
    <col min="4" max="6" width="6.71875" style="1" customWidth="1"/>
    <col min="7" max="16384" width="8.5546875" style="1"/>
  </cols>
  <sheetData>
    <row r="1" spans="3:8" s="153" customFormat="1">
      <c r="C1" s="112" t="s">
        <v>317</v>
      </c>
    </row>
    <row r="2" spans="3:8">
      <c r="C2" s="154"/>
    </row>
    <row r="3" spans="3:8" s="153" customFormat="1" ht="15" customHeight="1">
      <c r="C3" s="3" t="s">
        <v>152</v>
      </c>
      <c r="D3" s="155"/>
      <c r="E3" s="977"/>
      <c r="F3" s="978"/>
      <c r="G3" s="156"/>
      <c r="H3" s="156"/>
    </row>
    <row r="4" spans="3:8">
      <c r="C4" s="799" t="s">
        <v>40</v>
      </c>
      <c r="D4" s="800"/>
      <c r="E4" s="800"/>
      <c r="F4" s="801">
        <v>95</v>
      </c>
      <c r="G4" s="156"/>
      <c r="H4" s="156"/>
    </row>
    <row r="5" spans="3:8" s="153" customFormat="1">
      <c r="C5" s="799" t="s">
        <v>339</v>
      </c>
      <c r="D5" s="800"/>
      <c r="E5" s="802"/>
      <c r="F5" s="803"/>
      <c r="G5" s="1"/>
      <c r="H5" s="1"/>
    </row>
    <row r="6" spans="3:8">
      <c r="C6" s="799" t="s">
        <v>342</v>
      </c>
      <c r="D6" s="800"/>
      <c r="E6" s="800"/>
      <c r="F6" s="804">
        <f>DCF!K26</f>
        <v>150.12820342257336</v>
      </c>
    </row>
    <row r="7" spans="3:8">
      <c r="C7" s="799" t="s">
        <v>343</v>
      </c>
      <c r="D7" s="800"/>
      <c r="E7" s="800"/>
      <c r="F7" s="805">
        <f>F4*F8</f>
        <v>5001.5600000000004</v>
      </c>
    </row>
    <row r="8" spans="3:8">
      <c r="C8" s="799" t="s">
        <v>344</v>
      </c>
      <c r="D8" s="800"/>
      <c r="E8" s="800"/>
      <c r="F8" s="805">
        <f>'Income Statement'!O54</f>
        <v>52.648000000000003</v>
      </c>
    </row>
    <row r="9" spans="3:8">
      <c r="C9" s="799" t="s">
        <v>345</v>
      </c>
      <c r="D9" s="800"/>
      <c r="E9" s="800"/>
      <c r="F9" s="805">
        <f>F7+'Balance Sheet'!I32+'Balance Sheet'!I33-'Balance Sheet'!I9-'Balance Sheet'!I10</f>
        <v>4860.7579999999998</v>
      </c>
    </row>
    <row r="10" spans="3:8">
      <c r="C10" s="799" t="s">
        <v>347</v>
      </c>
      <c r="D10" s="800"/>
      <c r="E10" s="800"/>
      <c r="F10" s="806"/>
    </row>
    <row r="11" spans="3:8">
      <c r="C11" s="799" t="s">
        <v>348</v>
      </c>
      <c r="D11" s="800"/>
      <c r="E11" s="800"/>
      <c r="F11" s="803">
        <f>784.9/F8</f>
        <v>14.908448564048015</v>
      </c>
      <c r="H11" s="8"/>
    </row>
    <row r="12" spans="3:8">
      <c r="C12" s="799" t="s">
        <v>349</v>
      </c>
      <c r="D12" s="800"/>
      <c r="E12" s="800"/>
      <c r="F12" s="806">
        <f>'Balance Sheet'!I32+'Balance Sheet'!I33</f>
        <v>268.16399999999999</v>
      </c>
      <c r="H12" s="8"/>
    </row>
    <row r="13" spans="3:8">
      <c r="C13" s="807" t="s">
        <v>350</v>
      </c>
      <c r="D13" s="808"/>
      <c r="E13" s="808"/>
      <c r="F13" s="809">
        <f>F12/'Balance Sheet'!I48</f>
        <v>0.26171303539065571</v>
      </c>
      <c r="H13" s="8"/>
    </row>
    <row r="14" spans="3:8">
      <c r="H14" s="8"/>
    </row>
    <row r="15" spans="3:8" s="7" customFormat="1">
      <c r="C15" s="3" t="s">
        <v>149</v>
      </c>
      <c r="D15" s="9"/>
      <c r="E15" s="9"/>
      <c r="F15" s="5"/>
      <c r="H15" s="159"/>
    </row>
    <row r="16" spans="3:8" s="162" customFormat="1">
      <c r="C16" s="160" t="s">
        <v>351</v>
      </c>
      <c r="D16" s="161">
        <v>2011</v>
      </c>
      <c r="E16" s="161" t="s">
        <v>332</v>
      </c>
      <c r="F16" s="161" t="s">
        <v>333</v>
      </c>
      <c r="H16" s="163"/>
    </row>
    <row r="17" spans="3:8" s="153" customFormat="1">
      <c r="C17" s="10" t="s">
        <v>44</v>
      </c>
      <c r="D17" s="164">
        <f>'Income Statement'!H75</f>
        <v>0.26172492534691766</v>
      </c>
      <c r="E17" s="164">
        <f>'Income Statement'!M75</f>
        <v>1.2863349633696299</v>
      </c>
      <c r="F17" s="165">
        <f>'Income Statement'!R75</f>
        <v>1.1899534137773029</v>
      </c>
      <c r="G17" s="166"/>
      <c r="H17" s="6"/>
    </row>
    <row r="18" spans="3:8" s="153" customFormat="1">
      <c r="C18" s="10" t="s">
        <v>45</v>
      </c>
      <c r="D18" s="164">
        <f>'Income Statement'!H76</f>
        <v>1.1774332334756834</v>
      </c>
      <c r="E18" s="164">
        <f>'Income Statement'!M76</f>
        <v>1.3406251158651883</v>
      </c>
      <c r="F18" s="165">
        <f>'Income Statement'!R76</f>
        <v>1.5169427138732716</v>
      </c>
      <c r="G18" s="166"/>
      <c r="H18" s="6"/>
    </row>
    <row r="19" spans="3:8" s="153" customFormat="1">
      <c r="C19" s="10" t="s">
        <v>46</v>
      </c>
      <c r="D19" s="164">
        <f>'Income Statement'!H77</f>
        <v>1.3788269890540763</v>
      </c>
      <c r="E19" s="164">
        <f>'Income Statement'!M77</f>
        <v>1.4634260123157303</v>
      </c>
      <c r="F19" s="165">
        <f>'Income Statement'!R77</f>
        <v>1.1675793473401863</v>
      </c>
      <c r="G19" s="166"/>
      <c r="H19" s="6"/>
    </row>
    <row r="20" spans="3:8" s="153" customFormat="1">
      <c r="C20" s="10" t="s">
        <v>47</v>
      </c>
      <c r="D20" s="164">
        <f>'Income Statement'!H78</f>
        <v>0.77189376608521576</v>
      </c>
      <c r="E20" s="164">
        <f>'Income Statement'!M78</f>
        <v>1.59697312642664</v>
      </c>
      <c r="F20" s="165">
        <f>'Income Statement'!R78</f>
        <v>-0.6028917483741365</v>
      </c>
      <c r="H20" s="157"/>
    </row>
    <row r="21" spans="3:8" s="153" customFormat="1">
      <c r="C21" s="167" t="s">
        <v>352</v>
      </c>
      <c r="D21" s="168">
        <f>'Income Statement'!H79</f>
        <v>3.663675393551646</v>
      </c>
      <c r="E21" s="168">
        <f>'Income Statement'!M79</f>
        <v>5.7140015015014969</v>
      </c>
      <c r="F21" s="168">
        <f>'Income Statement'!R79</f>
        <v>3.2715837266166243</v>
      </c>
      <c r="G21" s="169"/>
      <c r="H21" s="169"/>
    </row>
    <row r="22" spans="3:8">
      <c r="C22" s="170" t="s">
        <v>340</v>
      </c>
      <c r="D22" s="171">
        <f>$F$4/D21</f>
        <v>25.930244848440285</v>
      </c>
      <c r="E22" s="171">
        <f>$F$4/E21</f>
        <v>16.625826922697932</v>
      </c>
      <c r="F22" s="171">
        <f>$F$4/F21</f>
        <v>29.0379241182515</v>
      </c>
      <c r="G22" s="153"/>
      <c r="H22" s="172"/>
    </row>
    <row r="23" spans="3:8">
      <c r="D23" s="2"/>
      <c r="E23" s="2"/>
      <c r="F23" s="2"/>
      <c r="H23" s="8"/>
    </row>
    <row r="24" spans="3:8" s="153" customFormat="1">
      <c r="C24" s="3" t="s">
        <v>136</v>
      </c>
      <c r="D24" s="4"/>
      <c r="E24" s="4"/>
      <c r="F24" s="173"/>
      <c r="H24" s="157"/>
    </row>
    <row r="25" spans="3:8" s="176" customFormat="1">
      <c r="C25" s="174" t="str">
        <f>C16</f>
        <v>Yr Dec</v>
      </c>
      <c r="D25" s="175">
        <f>D16</f>
        <v>2011</v>
      </c>
      <c r="E25" s="175" t="str">
        <f>E16</f>
        <v>2012E</v>
      </c>
      <c r="F25" s="175" t="str">
        <f>F16</f>
        <v>2013E</v>
      </c>
      <c r="H25" s="177"/>
    </row>
    <row r="26" spans="3:8" s="153" customFormat="1">
      <c r="C26" s="158" t="s">
        <v>44</v>
      </c>
      <c r="D26" s="178">
        <f>'Income Statement'!H61</f>
        <v>162.51200000000003</v>
      </c>
      <c r="E26" s="178">
        <f>'Income Statement'!M61</f>
        <v>204.21399999999997</v>
      </c>
      <c r="F26" s="178">
        <f>'Income Statement'!R61</f>
        <v>245.136</v>
      </c>
      <c r="G26" s="1"/>
      <c r="H26" s="159"/>
    </row>
    <row r="27" spans="3:8">
      <c r="C27" s="10" t="s">
        <v>45</v>
      </c>
      <c r="D27" s="179">
        <f>'Income Statement'!H62</f>
        <v>183.751</v>
      </c>
      <c r="E27" s="179">
        <f>'Income Statement'!M62</f>
        <v>225.577</v>
      </c>
      <c r="F27" s="178">
        <f>'Income Statement'!R62</f>
        <v>280.60599999999999</v>
      </c>
      <c r="G27" s="153"/>
      <c r="H27" s="180"/>
    </row>
    <row r="28" spans="3:8" s="153" customFormat="1">
      <c r="C28" s="158" t="s">
        <v>46</v>
      </c>
      <c r="D28" s="178">
        <f>'Income Statement'!H63</f>
        <v>201.74199999999999</v>
      </c>
      <c r="E28" s="178">
        <f>'Income Statement'!M63</f>
        <v>242.46799999999999</v>
      </c>
      <c r="F28" s="178">
        <f>'Income Statement'!R63</f>
        <v>302.22499999999997</v>
      </c>
      <c r="G28" s="1"/>
      <c r="H28" s="159"/>
    </row>
    <row r="29" spans="3:8">
      <c r="C29" s="10" t="s">
        <v>47</v>
      </c>
      <c r="D29" s="179">
        <f>'Income Statement'!H64</f>
        <v>195.178</v>
      </c>
      <c r="E29" s="179">
        <f>'Income Statement'!M64</f>
        <v>243.81700000000001</v>
      </c>
      <c r="F29" s="178">
        <f>'Income Statement'!R64</f>
        <v>289.01700000000005</v>
      </c>
      <c r="G29" s="153"/>
      <c r="H29" s="180"/>
    </row>
    <row r="30" spans="3:8" s="153" customFormat="1">
      <c r="C30" s="181" t="s">
        <v>352</v>
      </c>
      <c r="D30" s="182">
        <f>'Income Statement'!H65</f>
        <v>743.18300000000011</v>
      </c>
      <c r="E30" s="182">
        <f>'Income Statement'!M65</f>
        <v>916.07599999999991</v>
      </c>
      <c r="F30" s="182">
        <f>'Income Statement'!R65</f>
        <v>1116.9839999999999</v>
      </c>
      <c r="G30" s="1"/>
      <c r="H30" s="6"/>
    </row>
    <row r="31" spans="3:8" s="153" customFormat="1">
      <c r="C31" s="170" t="s">
        <v>341</v>
      </c>
      <c r="D31" s="171">
        <f>$F$9/D30</f>
        <v>6.5404590793922885</v>
      </c>
      <c r="E31" s="171">
        <f>$F$9/E30</f>
        <v>5.3060641256838954</v>
      </c>
      <c r="F31" s="171">
        <f>$F$9/F30</f>
        <v>4.3516809551434941</v>
      </c>
      <c r="H31" s="157"/>
    </row>
    <row r="32" spans="3:8" s="153" customFormat="1">
      <c r="D32" s="183"/>
      <c r="E32" s="183"/>
      <c r="F32" s="183"/>
      <c r="H32" s="157"/>
    </row>
    <row r="33" spans="3:8">
      <c r="C33" s="184" t="s">
        <v>137</v>
      </c>
      <c r="D33" s="185"/>
      <c r="E33" s="185"/>
      <c r="F33" s="186"/>
    </row>
    <row r="34" spans="3:8" s="176" customFormat="1">
      <c r="C34" s="160" t="str">
        <f>C25</f>
        <v>Yr Dec</v>
      </c>
      <c r="D34" s="161">
        <f>D25</f>
        <v>2011</v>
      </c>
      <c r="E34" s="161" t="str">
        <f>E25</f>
        <v>2012E</v>
      </c>
      <c r="F34" s="161" t="str">
        <f>F25</f>
        <v>2013E</v>
      </c>
      <c r="G34" s="187"/>
      <c r="H34" s="188"/>
    </row>
    <row r="35" spans="3:8">
      <c r="C35" s="158" t="s">
        <v>44</v>
      </c>
      <c r="D35" s="178">
        <f>'Income Statement'!H68</f>
        <v>36.803000000000026</v>
      </c>
      <c r="E35" s="178">
        <f>'Income Statement'!M68</f>
        <v>106.73699999999997</v>
      </c>
      <c r="F35" s="178">
        <f>'Income Statement'!R68</f>
        <v>94.037000000000006</v>
      </c>
      <c r="G35" s="166"/>
    </row>
    <row r="36" spans="3:8">
      <c r="C36" s="158" t="s">
        <v>45</v>
      </c>
      <c r="D36" s="178">
        <f>'Income Statement'!H69</f>
        <v>114.49299999999999</v>
      </c>
      <c r="E36" s="178">
        <f>'Income Statement'!M69</f>
        <v>105.58699999999999</v>
      </c>
      <c r="F36" s="178">
        <f>'Income Statement'!R69</f>
        <v>122.304</v>
      </c>
      <c r="G36" s="166"/>
    </row>
    <row r="37" spans="3:8">
      <c r="C37" s="158" t="s">
        <v>46</v>
      </c>
      <c r="D37" s="178">
        <f>'Income Statement'!H70</f>
        <v>102.977</v>
      </c>
      <c r="E37" s="178">
        <f>'Income Statement'!M70</f>
        <v>80.718999999999994</v>
      </c>
      <c r="F37" s="178">
        <f>'Income Statement'!R70</f>
        <v>122.304</v>
      </c>
      <c r="G37" s="166"/>
    </row>
    <row r="38" spans="3:8">
      <c r="C38" s="158" t="s">
        <v>47</v>
      </c>
      <c r="D38" s="178">
        <f>'Income Statement'!H71</f>
        <v>63.507999999999996</v>
      </c>
      <c r="E38" s="178">
        <f>'Income Statement'!M71</f>
        <v>128.60300000000001</v>
      </c>
      <c r="F38" s="178">
        <f>'Income Statement'!R71</f>
        <v>-28.490999999999957</v>
      </c>
    </row>
    <row r="39" spans="3:8">
      <c r="C39" s="181" t="s">
        <v>352</v>
      </c>
      <c r="D39" s="182">
        <f>'Income Statement'!H72</f>
        <v>317.78100000000012</v>
      </c>
      <c r="E39" s="182">
        <f>'Income Statement'!M72</f>
        <v>421.64599999999984</v>
      </c>
      <c r="F39" s="182">
        <f>'Income Statement'!R72</f>
        <v>292.49900000000002</v>
      </c>
    </row>
    <row r="40" spans="3:8">
      <c r="C40" s="11" t="s">
        <v>138</v>
      </c>
      <c r="D40" s="189">
        <f>$F$9/D39</f>
        <v>15.295936509734686</v>
      </c>
      <c r="E40" s="189">
        <f>$F$9/E39</f>
        <v>11.528054339422173</v>
      </c>
      <c r="F40" s="189">
        <f>$F$9/F39</f>
        <v>16.618032882163696</v>
      </c>
    </row>
    <row r="42" spans="3:8" s="153" customFormat="1">
      <c r="C42" s="3" t="s">
        <v>139</v>
      </c>
      <c r="D42" s="4"/>
      <c r="E42" s="4"/>
      <c r="F42" s="173"/>
    </row>
    <row r="43" spans="3:8">
      <c r="C43" s="174" t="str">
        <f>C34</f>
        <v>Yr Dec</v>
      </c>
      <c r="D43" s="175">
        <f>D34</f>
        <v>2011</v>
      </c>
      <c r="E43" s="175" t="str">
        <f>E34</f>
        <v>2012E</v>
      </c>
      <c r="F43" s="175" t="str">
        <f>F34</f>
        <v>2013E</v>
      </c>
    </row>
    <row r="44" spans="3:8">
      <c r="C44" s="158" t="s">
        <v>44</v>
      </c>
      <c r="D44" s="178">
        <f>'Income Statement'!H82</f>
        <v>42.612000000000023</v>
      </c>
      <c r="E44" s="178">
        <f>'Income Statement'!M82</f>
        <v>113.38499999999996</v>
      </c>
      <c r="F44" s="178">
        <v>0</v>
      </c>
    </row>
    <row r="45" spans="3:8">
      <c r="C45" s="158" t="s">
        <v>45</v>
      </c>
      <c r="D45" s="178">
        <f>'Income Statement'!H83</f>
        <v>119.33</v>
      </c>
      <c r="E45" s="178">
        <f>'Income Statement'!M83</f>
        <v>111.87899999999999</v>
      </c>
      <c r="F45" s="178">
        <v>0</v>
      </c>
    </row>
    <row r="46" spans="3:8">
      <c r="C46" s="158" t="s">
        <v>46</v>
      </c>
      <c r="D46" s="178">
        <f>'Income Statement'!H84</f>
        <v>107.968</v>
      </c>
      <c r="E46" s="178">
        <f>'Income Statement'!M84</f>
        <v>87.634</v>
      </c>
      <c r="F46" s="178">
        <v>0</v>
      </c>
    </row>
    <row r="47" spans="3:8">
      <c r="C47" s="158" t="s">
        <v>47</v>
      </c>
      <c r="D47" s="178">
        <f>'Income Statement'!H85</f>
        <v>68.405999999999992</v>
      </c>
      <c r="E47" s="178">
        <f>'Income Statement'!M85</f>
        <v>135.893</v>
      </c>
      <c r="F47" s="178">
        <v>0</v>
      </c>
    </row>
    <row r="48" spans="3:8">
      <c r="C48" s="181" t="s">
        <v>352</v>
      </c>
      <c r="D48" s="182">
        <f>'Income Statement'!H86</f>
        <v>338.31600000000014</v>
      </c>
      <c r="E48" s="182">
        <f>'Income Statement'!M86</f>
        <v>448.79099999999983</v>
      </c>
      <c r="F48" s="182">
        <f>'Income Statement'!R86</f>
        <v>323.66600000000005</v>
      </c>
    </row>
    <row r="49" spans="3:6">
      <c r="C49" s="11" t="s">
        <v>138</v>
      </c>
      <c r="D49" s="189">
        <f>IF(ISERROR($F$9/D48),"NA",($F$9/D48))</f>
        <v>14.367508483193221</v>
      </c>
      <c r="E49" s="189">
        <f>$F$9/E48</f>
        <v>10.830783148503427</v>
      </c>
      <c r="F49" s="189">
        <f>$F$9/F48</f>
        <v>15.017820840001727</v>
      </c>
    </row>
  </sheetData>
  <mergeCells count="1">
    <mergeCell ref="E3:F3"/>
  </mergeCells>
  <phoneticPr fontId="97"/>
  <dataValidations disablePrompts="1" count="1">
    <dataValidation type="list" allowBlank="1" showInputMessage="1" showErrorMessage="1" sqref="G3" xr:uid="{00000000-0002-0000-0A00-000000000000}">
      <formula1>$H$3:$H$4</formula1>
    </dataValidation>
  </dataValidations>
  <pageMargins left="0.7" right="0.7" top="0.75" bottom="0.75" header="0.3" footer="0.3"/>
  <pageSetup orientation="portrait"/>
  <headerFooter alignWithMargins="0"/>
  <ignoredErrors>
    <ignoredError sqref="C52:G53" evalError="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Y138"/>
  <sheetViews>
    <sheetView showGridLines="0" zoomScaleNormal="100" zoomScaleSheetLayoutView="90" workbookViewId="0">
      <pane xSplit="1" ySplit="7" topLeftCell="B80" activePane="bottomRight" state="frozen"/>
      <selection activeCell="AB70" sqref="AB70"/>
      <selection pane="topRight" activeCell="AB70" sqref="AB70"/>
      <selection pane="bottomLeft" activeCell="AB70" sqref="AB70"/>
      <selection pane="bottomRight" activeCell="A91" sqref="A91"/>
    </sheetView>
  </sheetViews>
  <sheetFormatPr defaultColWidth="11.5546875" defaultRowHeight="15.4" outlineLevelRow="1" outlineLevelCol="1"/>
  <cols>
    <col min="1" max="1" width="32.5546875" style="16" customWidth="1"/>
    <col min="2" max="5" width="8.44140625" style="698" customWidth="1" outlineLevel="1"/>
    <col min="6" max="6" width="9.83203125" style="698" bestFit="1" customWidth="1"/>
    <col min="7" max="9" width="9.83203125" style="698" customWidth="1" outlineLevel="1"/>
    <col min="10" max="10" width="9.83203125" style="16" customWidth="1" outlineLevel="1"/>
    <col min="11" max="11" width="9.27734375" style="417" customWidth="1"/>
    <col min="12" max="12" width="9.44140625" style="17" customWidth="1"/>
    <col min="13" max="13" width="10" style="17" customWidth="1"/>
    <col min="14" max="14" width="9.5546875" style="17" customWidth="1"/>
    <col min="15" max="15" width="10.27734375" style="17" customWidth="1"/>
    <col min="16" max="18" width="9.5546875" style="17" customWidth="1"/>
    <col min="19" max="23" width="11.44140625" style="419" customWidth="1"/>
    <col min="24" max="25" width="9.5546875" style="17" customWidth="1"/>
    <col min="26" max="16384" width="11.5546875" style="16"/>
  </cols>
  <sheetData>
    <row r="1" spans="1:25">
      <c r="A1" s="416" t="str">
        <f>DCF!B1</f>
        <v>United Therapeutics Corporation</v>
      </c>
      <c r="B1" s="697"/>
      <c r="C1" s="697"/>
      <c r="D1" s="697"/>
      <c r="E1" s="697"/>
      <c r="Q1" s="418"/>
      <c r="Y1" s="16"/>
    </row>
    <row r="2" spans="1:25">
      <c r="A2" s="15" t="s">
        <v>13</v>
      </c>
      <c r="B2" s="697"/>
      <c r="C2" s="697"/>
      <c r="Q2" s="418"/>
      <c r="Y2" s="16"/>
    </row>
    <row r="3" spans="1:25">
      <c r="A3" s="18" t="s">
        <v>354</v>
      </c>
      <c r="B3" s="697"/>
      <c r="C3" s="697"/>
      <c r="F3" s="699"/>
      <c r="G3" s="699"/>
      <c r="H3" s="699"/>
      <c r="I3" s="699"/>
      <c r="J3" s="365"/>
      <c r="Q3" s="411"/>
      <c r="Y3" s="16"/>
    </row>
    <row r="4" spans="1:25">
      <c r="A4" s="18"/>
      <c r="B4" s="697"/>
      <c r="C4" s="697"/>
      <c r="Q4" s="23"/>
      <c r="Y4" s="16"/>
    </row>
    <row r="6" spans="1:25" s="420" customFormat="1" ht="13.15">
      <c r="B6" s="700" t="s">
        <v>44</v>
      </c>
      <c r="C6" s="700" t="s">
        <v>45</v>
      </c>
      <c r="D6" s="700" t="s">
        <v>46</v>
      </c>
      <c r="E6" s="700" t="s">
        <v>47</v>
      </c>
      <c r="F6" s="700" t="s">
        <v>145</v>
      </c>
      <c r="G6" s="700" t="s">
        <v>44</v>
      </c>
      <c r="H6" s="700" t="s">
        <v>45</v>
      </c>
      <c r="I6" s="700" t="s">
        <v>46</v>
      </c>
      <c r="J6" s="19" t="s">
        <v>47</v>
      </c>
      <c r="K6" s="19" t="s">
        <v>145</v>
      </c>
      <c r="L6" s="19" t="s">
        <v>145</v>
      </c>
      <c r="M6" s="19" t="s">
        <v>145</v>
      </c>
      <c r="N6" s="19" t="s">
        <v>145</v>
      </c>
      <c r="O6" s="19" t="s">
        <v>145</v>
      </c>
      <c r="P6" s="19" t="s">
        <v>145</v>
      </c>
      <c r="Q6" s="19" t="s">
        <v>145</v>
      </c>
    </row>
    <row r="7" spans="1:25" s="420" customFormat="1" ht="13.15">
      <c r="B7" s="700" t="s">
        <v>14</v>
      </c>
      <c r="C7" s="700" t="s">
        <v>15</v>
      </c>
      <c r="D7" s="700" t="s">
        <v>16</v>
      </c>
      <c r="E7" s="700" t="s">
        <v>17</v>
      </c>
      <c r="F7" s="700" t="s">
        <v>333</v>
      </c>
      <c r="G7" s="700" t="s">
        <v>379</v>
      </c>
      <c r="H7" s="700" t="s">
        <v>380</v>
      </c>
      <c r="I7" s="700" t="s">
        <v>381</v>
      </c>
      <c r="J7" s="19" t="s">
        <v>382</v>
      </c>
      <c r="K7" s="19" t="s">
        <v>41</v>
      </c>
      <c r="L7" s="19" t="s">
        <v>42</v>
      </c>
      <c r="M7" s="19" t="s">
        <v>43</v>
      </c>
      <c r="N7" s="19" t="s">
        <v>18</v>
      </c>
      <c r="O7" s="19" t="s">
        <v>19</v>
      </c>
      <c r="P7" s="19" t="s">
        <v>20</v>
      </c>
      <c r="Q7" s="19" t="s">
        <v>21</v>
      </c>
    </row>
    <row r="8" spans="1:25" ht="15.75" thickBot="1"/>
    <row r="9" spans="1:25" s="422" customFormat="1" ht="14.65" thickBot="1">
      <c r="A9" s="466" t="s">
        <v>115</v>
      </c>
      <c r="B9" s="701">
        <f t="shared" ref="B9:Q9" si="0">B17+B57+B82</f>
        <v>244.29220667885622</v>
      </c>
      <c r="C9" s="701">
        <f t="shared" si="0"/>
        <v>278.19583837219687</v>
      </c>
      <c r="D9" s="701">
        <f t="shared" si="0"/>
        <v>299.06956570289105</v>
      </c>
      <c r="E9" s="701">
        <f t="shared" si="0"/>
        <v>304.88896695921915</v>
      </c>
      <c r="F9" s="701">
        <f t="shared" si="0"/>
        <v>1126.4465777131632</v>
      </c>
      <c r="G9" s="701">
        <f t="shared" si="0"/>
        <v>298.77738637403991</v>
      </c>
      <c r="H9" s="701">
        <f t="shared" si="0"/>
        <v>324.9824552338514</v>
      </c>
      <c r="I9" s="701">
        <f t="shared" si="0"/>
        <v>328.95726740303041</v>
      </c>
      <c r="J9" s="469">
        <f t="shared" si="0"/>
        <v>356.38542129361014</v>
      </c>
      <c r="K9" s="469">
        <f t="shared" si="0"/>
        <v>1345.0362674012754</v>
      </c>
      <c r="L9" s="469">
        <f t="shared" si="0"/>
        <v>1821.7615700925999</v>
      </c>
      <c r="M9" s="469">
        <f t="shared" si="0"/>
        <v>2114.0483465183647</v>
      </c>
      <c r="N9" s="469">
        <f t="shared" si="0"/>
        <v>2307.7039870855574</v>
      </c>
      <c r="O9" s="469">
        <f t="shared" si="0"/>
        <v>1817.3928986496771</v>
      </c>
      <c r="P9" s="469">
        <f t="shared" si="0"/>
        <v>1532.3913034410039</v>
      </c>
      <c r="Q9" s="470">
        <f t="shared" si="0"/>
        <v>1233.5218831963498</v>
      </c>
    </row>
    <row r="10" spans="1:25" s="422" customFormat="1" ht="13.15">
      <c r="A10" s="445" t="s">
        <v>119</v>
      </c>
      <c r="B10" s="702">
        <f t="shared" ref="B10:Q10" si="1">B26+B66+B98</f>
        <v>114.9054273535078</v>
      </c>
      <c r="C10" s="702">
        <f t="shared" si="1"/>
        <v>124.44056631850781</v>
      </c>
      <c r="D10" s="702">
        <f t="shared" si="1"/>
        <v>131.59192054225781</v>
      </c>
      <c r="E10" s="702">
        <f t="shared" si="1"/>
        <v>136.35949002475783</v>
      </c>
      <c r="F10" s="702">
        <f t="shared" si="1"/>
        <v>507.29740423903132</v>
      </c>
      <c r="G10" s="702">
        <f t="shared" si="1"/>
        <v>137.3025362768721</v>
      </c>
      <c r="H10" s="702">
        <f t="shared" si="1"/>
        <v>142.10347874574958</v>
      </c>
      <c r="I10" s="702">
        <f t="shared" si="1"/>
        <v>142.77781985790466</v>
      </c>
      <c r="J10" s="363">
        <f t="shared" si="1"/>
        <v>148.66697595306104</v>
      </c>
      <c r="K10" s="363">
        <f t="shared" si="1"/>
        <v>624.54043472970409</v>
      </c>
      <c r="L10" s="363">
        <f t="shared" si="1"/>
        <v>841.35906396579151</v>
      </c>
      <c r="M10" s="363">
        <f t="shared" si="1"/>
        <v>898.03471066414102</v>
      </c>
      <c r="N10" s="363">
        <f t="shared" si="1"/>
        <v>950.22869584205046</v>
      </c>
      <c r="O10" s="363">
        <f t="shared" si="1"/>
        <v>545.67552043426372</v>
      </c>
      <c r="P10" s="363">
        <f t="shared" si="1"/>
        <v>460.97821413423412</v>
      </c>
      <c r="Q10" s="446">
        <f t="shared" si="1"/>
        <v>386.19349329304958</v>
      </c>
    </row>
    <row r="11" spans="1:25" s="422" customFormat="1" ht="13.15">
      <c r="A11" s="445" t="s">
        <v>120</v>
      </c>
      <c r="B11" s="702">
        <f t="shared" ref="B11:Q11" si="2">B32+B72</f>
        <v>95.19850042578507</v>
      </c>
      <c r="C11" s="702">
        <f t="shared" si="2"/>
        <v>109.92414525937708</v>
      </c>
      <c r="D11" s="702">
        <f t="shared" si="2"/>
        <v>120.44246299765707</v>
      </c>
      <c r="E11" s="702">
        <f t="shared" si="2"/>
        <v>121.49429477148507</v>
      </c>
      <c r="F11" s="702">
        <f t="shared" si="2"/>
        <v>447.05940345430423</v>
      </c>
      <c r="G11" s="702">
        <f t="shared" si="2"/>
        <v>111.21055869345174</v>
      </c>
      <c r="H11" s="702">
        <f t="shared" si="2"/>
        <v>124.98008844463411</v>
      </c>
      <c r="I11" s="702">
        <f t="shared" si="2"/>
        <v>120.74574701578082</v>
      </c>
      <c r="J11" s="363">
        <f t="shared" si="2"/>
        <v>124.98252540076001</v>
      </c>
      <c r="K11" s="363">
        <f t="shared" si="2"/>
        <v>478.74620967814411</v>
      </c>
      <c r="L11" s="363">
        <f t="shared" si="2"/>
        <v>593.85267030913894</v>
      </c>
      <c r="M11" s="363">
        <f t="shared" si="2"/>
        <v>676.86426541685296</v>
      </c>
      <c r="N11" s="363">
        <f t="shared" si="2"/>
        <v>740.99210020954854</v>
      </c>
      <c r="O11" s="363">
        <f t="shared" si="2"/>
        <v>760.94806463055011</v>
      </c>
      <c r="P11" s="363">
        <f t="shared" si="2"/>
        <v>582.7988178164627</v>
      </c>
      <c r="Q11" s="446">
        <f t="shared" si="2"/>
        <v>349.23226646866158</v>
      </c>
    </row>
    <row r="12" spans="1:25" s="422" customFormat="1" ht="13.15">
      <c r="A12" s="445" t="s">
        <v>121</v>
      </c>
      <c r="B12" s="702">
        <f>B39</f>
        <v>34.188278899563365</v>
      </c>
      <c r="C12" s="702">
        <f t="shared" ref="C12:Q12" si="3">C39</f>
        <v>43.831126794312013</v>
      </c>
      <c r="D12" s="702">
        <f t="shared" si="3"/>
        <v>47.035182162976213</v>
      </c>
      <c r="E12" s="702">
        <f t="shared" si="3"/>
        <v>47.035182162976213</v>
      </c>
      <c r="F12" s="702">
        <f t="shared" si="3"/>
        <v>172.0897700198278</v>
      </c>
      <c r="G12" s="702">
        <f t="shared" si="3"/>
        <v>50.264291403716044</v>
      </c>
      <c r="H12" s="702">
        <f t="shared" si="3"/>
        <v>51.230912392249031</v>
      </c>
      <c r="I12" s="702">
        <f t="shared" si="3"/>
        <v>51.230912392249031</v>
      </c>
      <c r="J12" s="363">
        <f t="shared" si="3"/>
        <v>56.064017334914041</v>
      </c>
      <c r="K12" s="363">
        <f t="shared" si="3"/>
        <v>194.20695660023762</v>
      </c>
      <c r="L12" s="363">
        <f t="shared" si="3"/>
        <v>206.73146916245412</v>
      </c>
      <c r="M12" s="363">
        <f t="shared" si="3"/>
        <v>223.51806445844542</v>
      </c>
      <c r="N12" s="363">
        <f t="shared" si="3"/>
        <v>229.58434472784759</v>
      </c>
      <c r="O12" s="363">
        <f t="shared" si="3"/>
        <v>78.605087947920453</v>
      </c>
      <c r="P12" s="363">
        <f t="shared" si="3"/>
        <v>40.369215017413509</v>
      </c>
      <c r="Q12" s="446">
        <f t="shared" si="3"/>
        <v>33.171868410388889</v>
      </c>
    </row>
    <row r="13" spans="1:25" s="641" customFormat="1" ht="13.15">
      <c r="A13" s="640" t="s">
        <v>371</v>
      </c>
      <c r="B13" s="702">
        <f>B46</f>
        <v>0</v>
      </c>
      <c r="C13" s="702">
        <f t="shared" ref="C13:Q13" si="4">C46</f>
        <v>0</v>
      </c>
      <c r="D13" s="702">
        <f t="shared" si="4"/>
        <v>0</v>
      </c>
      <c r="E13" s="702">
        <f t="shared" si="4"/>
        <v>0</v>
      </c>
      <c r="F13" s="702">
        <f t="shared" si="4"/>
        <v>0</v>
      </c>
      <c r="G13" s="702">
        <f t="shared" si="4"/>
        <v>0</v>
      </c>
      <c r="H13" s="702">
        <f t="shared" si="4"/>
        <v>6.6679756512187502</v>
      </c>
      <c r="I13" s="702">
        <f t="shared" si="4"/>
        <v>14.202788137095936</v>
      </c>
      <c r="J13" s="363">
        <f t="shared" si="4"/>
        <v>26.671902604875001</v>
      </c>
      <c r="K13" s="363">
        <f t="shared" si="4"/>
        <v>47.542666393189691</v>
      </c>
      <c r="L13" s="363">
        <f t="shared" si="4"/>
        <v>179.81836665521556</v>
      </c>
      <c r="M13" s="363">
        <f t="shared" si="4"/>
        <v>315.63130597892581</v>
      </c>
      <c r="N13" s="363">
        <f t="shared" si="4"/>
        <v>386.8988463061109</v>
      </c>
      <c r="O13" s="363">
        <f t="shared" si="4"/>
        <v>432.16422563694289</v>
      </c>
      <c r="P13" s="363">
        <f t="shared" si="4"/>
        <v>448.24505647289357</v>
      </c>
      <c r="Q13" s="446">
        <f t="shared" si="4"/>
        <v>464.92425502424982</v>
      </c>
    </row>
    <row r="14" spans="1:25" s="422" customFormat="1" ht="13.15" outlineLevel="1">
      <c r="A14" s="447" t="s">
        <v>389</v>
      </c>
      <c r="B14" s="703">
        <f t="shared" ref="B14:Q14" si="5">B52+B78</f>
        <v>0</v>
      </c>
      <c r="C14" s="703">
        <f t="shared" si="5"/>
        <v>0</v>
      </c>
      <c r="D14" s="703">
        <f t="shared" si="5"/>
        <v>0</v>
      </c>
      <c r="E14" s="703">
        <f t="shared" si="5"/>
        <v>0</v>
      </c>
      <c r="F14" s="703">
        <f t="shared" si="5"/>
        <v>0</v>
      </c>
      <c r="G14" s="703">
        <f t="shared" si="5"/>
        <v>0</v>
      </c>
      <c r="H14" s="703">
        <f t="shared" si="5"/>
        <v>0</v>
      </c>
      <c r="I14" s="703">
        <f t="shared" si="5"/>
        <v>0</v>
      </c>
      <c r="J14" s="448">
        <f t="shared" si="5"/>
        <v>0</v>
      </c>
      <c r="K14" s="448">
        <f t="shared" si="5"/>
        <v>0</v>
      </c>
      <c r="L14" s="448">
        <f t="shared" si="5"/>
        <v>0</v>
      </c>
      <c r="M14" s="448">
        <f t="shared" si="5"/>
        <v>0</v>
      </c>
      <c r="N14" s="448">
        <f t="shared" si="5"/>
        <v>0</v>
      </c>
      <c r="O14" s="448">
        <f t="shared" si="5"/>
        <v>0</v>
      </c>
      <c r="P14" s="448">
        <f t="shared" si="5"/>
        <v>0</v>
      </c>
      <c r="Q14" s="449">
        <f t="shared" si="5"/>
        <v>0</v>
      </c>
    </row>
    <row r="15" spans="1:25" s="422" customFormat="1" ht="13.15">
      <c r="B15" s="702"/>
      <c r="C15" s="702"/>
      <c r="D15" s="702"/>
      <c r="E15" s="702"/>
      <c r="F15" s="702"/>
      <c r="G15" s="702"/>
      <c r="H15" s="702"/>
      <c r="I15" s="702"/>
      <c r="J15" s="363"/>
      <c r="K15" s="363"/>
      <c r="L15" s="363"/>
      <c r="M15" s="363"/>
      <c r="N15" s="363"/>
      <c r="O15" s="363"/>
      <c r="P15" s="363"/>
      <c r="Q15" s="363"/>
    </row>
    <row r="16" spans="1:25" ht="15.75" thickBot="1"/>
    <row r="17" spans="1:18" s="645" customFormat="1" ht="14.65" thickBot="1">
      <c r="A17" s="642" t="s">
        <v>205</v>
      </c>
      <c r="B17" s="704">
        <f>B26+B32+B39+B52+B46</f>
        <v>238.26144194826335</v>
      </c>
      <c r="C17" s="704">
        <f t="shared" ref="C17:Q17" si="6">C26+C32+C39+C52+C46</f>
        <v>272.16507364160401</v>
      </c>
      <c r="D17" s="704">
        <f t="shared" si="6"/>
        <v>293.03880097229819</v>
      </c>
      <c r="E17" s="704">
        <f t="shared" si="6"/>
        <v>298.85820222862628</v>
      </c>
      <c r="F17" s="704">
        <f t="shared" si="6"/>
        <v>1102.3235187907917</v>
      </c>
      <c r="G17" s="704">
        <f t="shared" si="6"/>
        <v>292.72852934925527</v>
      </c>
      <c r="H17" s="704">
        <f t="shared" si="6"/>
        <v>318.93359820906676</v>
      </c>
      <c r="I17" s="704">
        <f t="shared" si="6"/>
        <v>325.9328388906381</v>
      </c>
      <c r="J17" s="643">
        <f t="shared" si="6"/>
        <v>353.36099278121782</v>
      </c>
      <c r="K17" s="643">
        <f t="shared" si="6"/>
        <v>1332.9385533517061</v>
      </c>
      <c r="L17" s="643">
        <f t="shared" si="6"/>
        <v>1795.553276616082</v>
      </c>
      <c r="M17" s="643">
        <f t="shared" si="6"/>
        <v>2080.6609507307357</v>
      </c>
      <c r="N17" s="643">
        <f t="shared" si="6"/>
        <v>2245.7432331278064</v>
      </c>
      <c r="O17" s="643">
        <f t="shared" si="6"/>
        <v>1748.0035258081048</v>
      </c>
      <c r="P17" s="643">
        <f t="shared" si="6"/>
        <v>1443.3559492590116</v>
      </c>
      <c r="Q17" s="644">
        <f t="shared" si="6"/>
        <v>1144.1045598302167</v>
      </c>
    </row>
    <row r="18" spans="1:18" s="20" customFormat="1" ht="13.15">
      <c r="A18" s="450" t="s">
        <v>277</v>
      </c>
      <c r="B18" s="705">
        <v>313.91404</v>
      </c>
      <c r="C18" s="705">
        <f>B18</f>
        <v>313.91404</v>
      </c>
      <c r="D18" s="705">
        <f>C18</f>
        <v>313.91404</v>
      </c>
      <c r="E18" s="705">
        <f>D18</f>
        <v>313.91404</v>
      </c>
      <c r="F18" s="705">
        <f>E18</f>
        <v>313.91404</v>
      </c>
      <c r="G18" s="705">
        <f>K18</f>
        <v>316.11143827999996</v>
      </c>
      <c r="H18" s="705">
        <f t="shared" ref="H18:J19" si="7">G18</f>
        <v>316.11143827999996</v>
      </c>
      <c r="I18" s="705">
        <f t="shared" si="7"/>
        <v>316.11143827999996</v>
      </c>
      <c r="J18" s="423">
        <f t="shared" si="7"/>
        <v>316.11143827999996</v>
      </c>
      <c r="K18" s="423">
        <f>F18*1.007</f>
        <v>316.11143827999996</v>
      </c>
      <c r="L18" s="423">
        <f t="shared" ref="L18:Q18" si="8">K18*1.007</f>
        <v>318.32421834795991</v>
      </c>
      <c r="M18" s="423">
        <f t="shared" si="8"/>
        <v>320.55248787639562</v>
      </c>
      <c r="N18" s="423">
        <f t="shared" si="8"/>
        <v>322.79635529153035</v>
      </c>
      <c r="O18" s="423">
        <f t="shared" si="8"/>
        <v>325.055929778571</v>
      </c>
      <c r="P18" s="423">
        <f t="shared" si="8"/>
        <v>327.33132128702096</v>
      </c>
      <c r="Q18" s="451">
        <f t="shared" si="8"/>
        <v>329.62264053603008</v>
      </c>
    </row>
    <row r="19" spans="1:18" s="21" customFormat="1" ht="13.15">
      <c r="A19" s="452" t="s">
        <v>273</v>
      </c>
      <c r="B19" s="706">
        <f>45/1000000</f>
        <v>4.5000000000000003E-5</v>
      </c>
      <c r="C19" s="706">
        <f>B19</f>
        <v>4.5000000000000003E-5</v>
      </c>
      <c r="D19" s="706">
        <f t="shared" ref="D19:Q19" si="9">C19</f>
        <v>4.5000000000000003E-5</v>
      </c>
      <c r="E19" s="706">
        <f t="shared" si="9"/>
        <v>4.5000000000000003E-5</v>
      </c>
      <c r="F19" s="706">
        <f t="shared" si="9"/>
        <v>4.5000000000000003E-5</v>
      </c>
      <c r="G19" s="706">
        <f>F19</f>
        <v>4.5000000000000003E-5</v>
      </c>
      <c r="H19" s="706">
        <f t="shared" si="7"/>
        <v>4.5000000000000003E-5</v>
      </c>
      <c r="I19" s="706">
        <f t="shared" si="7"/>
        <v>4.5000000000000003E-5</v>
      </c>
      <c r="J19" s="424">
        <f t="shared" si="7"/>
        <v>4.5000000000000003E-5</v>
      </c>
      <c r="K19" s="424">
        <f>F19</f>
        <v>4.5000000000000003E-5</v>
      </c>
      <c r="L19" s="424">
        <f t="shared" si="9"/>
        <v>4.5000000000000003E-5</v>
      </c>
      <c r="M19" s="424">
        <f t="shared" si="9"/>
        <v>4.5000000000000003E-5</v>
      </c>
      <c r="N19" s="424">
        <f t="shared" si="9"/>
        <v>4.5000000000000003E-5</v>
      </c>
      <c r="O19" s="424">
        <f t="shared" si="9"/>
        <v>4.5000000000000003E-5</v>
      </c>
      <c r="P19" s="424">
        <f t="shared" si="9"/>
        <v>4.5000000000000003E-5</v>
      </c>
      <c r="Q19" s="453">
        <f t="shared" si="9"/>
        <v>4.5000000000000003E-5</v>
      </c>
    </row>
    <row r="20" spans="1:18" s="20" customFormat="1" ht="13.15">
      <c r="A20" s="450" t="s">
        <v>278</v>
      </c>
      <c r="B20" s="707">
        <f>B18*B19*1000000</f>
        <v>14126.131800000001</v>
      </c>
      <c r="C20" s="707">
        <f t="shared" ref="C20:Q20" si="10">C18*C19*1000000</f>
        <v>14126.131800000001</v>
      </c>
      <c r="D20" s="707">
        <f t="shared" si="10"/>
        <v>14126.131800000001</v>
      </c>
      <c r="E20" s="707">
        <f t="shared" si="10"/>
        <v>14126.131800000001</v>
      </c>
      <c r="F20" s="707">
        <f t="shared" si="10"/>
        <v>14126.131800000001</v>
      </c>
      <c r="G20" s="707">
        <f t="shared" si="10"/>
        <v>14225.014722599999</v>
      </c>
      <c r="H20" s="707">
        <f t="shared" si="10"/>
        <v>14225.014722599999</v>
      </c>
      <c r="I20" s="707">
        <f t="shared" si="10"/>
        <v>14225.014722599999</v>
      </c>
      <c r="J20" s="425">
        <f t="shared" si="10"/>
        <v>14225.014722599999</v>
      </c>
      <c r="K20" s="425">
        <f t="shared" si="10"/>
        <v>14225.014722599999</v>
      </c>
      <c r="L20" s="425">
        <f t="shared" si="10"/>
        <v>14324.589825658197</v>
      </c>
      <c r="M20" s="425">
        <f t="shared" si="10"/>
        <v>14424.861954437803</v>
      </c>
      <c r="N20" s="425">
        <f t="shared" si="10"/>
        <v>14525.835988118866</v>
      </c>
      <c r="O20" s="425">
        <f t="shared" si="10"/>
        <v>14627.516840035696</v>
      </c>
      <c r="P20" s="425">
        <f t="shared" si="10"/>
        <v>14729.909457915945</v>
      </c>
      <c r="Q20" s="454">
        <f t="shared" si="10"/>
        <v>14833.018824121355</v>
      </c>
    </row>
    <row r="21" spans="1:18" s="20" customFormat="1" ht="12.75" customHeight="1">
      <c r="A21" s="452"/>
      <c r="B21" s="708"/>
      <c r="C21" s="708"/>
      <c r="D21" s="708"/>
      <c r="E21" s="708"/>
      <c r="F21" s="709"/>
      <c r="G21" s="709"/>
      <c r="H21" s="709"/>
      <c r="I21" s="709"/>
      <c r="Q21" s="455"/>
    </row>
    <row r="22" spans="1:18" s="374" customFormat="1" ht="13.15">
      <c r="A22" s="456" t="s">
        <v>126</v>
      </c>
      <c r="B22" s="710">
        <v>0.23499999999999999</v>
      </c>
      <c r="C22" s="710">
        <v>0.255</v>
      </c>
      <c r="D22" s="710">
        <v>0.27</v>
      </c>
      <c r="E22" s="710">
        <v>0.28000000000000003</v>
      </c>
      <c r="F22" s="710">
        <f>AVERAGE(B22:E22)</f>
        <v>0.26</v>
      </c>
      <c r="G22" s="710">
        <v>0.28000000000000003</v>
      </c>
      <c r="H22" s="710">
        <v>0.28999999999999998</v>
      </c>
      <c r="I22" s="710">
        <v>0.27600000000000002</v>
      </c>
      <c r="J22" s="426">
        <v>0.27600000000000002</v>
      </c>
      <c r="K22" s="426">
        <v>0.28999999999999998</v>
      </c>
      <c r="L22" s="426">
        <v>0.31</v>
      </c>
      <c r="M22" s="426">
        <v>0.32</v>
      </c>
      <c r="N22" s="426">
        <v>0.32</v>
      </c>
      <c r="O22" s="426">
        <v>0.22</v>
      </c>
      <c r="P22" s="426">
        <v>0.18</v>
      </c>
      <c r="Q22" s="457">
        <v>0.14499999999999999</v>
      </c>
    </row>
    <row r="23" spans="1:18" s="20" customFormat="1" ht="13.15">
      <c r="A23" s="450" t="s">
        <v>224</v>
      </c>
      <c r="B23" s="711">
        <f>B22*B20</f>
        <v>3319.640973</v>
      </c>
      <c r="C23" s="711">
        <f t="shared" ref="C23:Q23" si="11">C22*C20</f>
        <v>3602.1636090000002</v>
      </c>
      <c r="D23" s="711">
        <f t="shared" si="11"/>
        <v>3814.0555860000004</v>
      </c>
      <c r="E23" s="711">
        <f t="shared" si="11"/>
        <v>3955.3169040000007</v>
      </c>
      <c r="F23" s="711">
        <f t="shared" si="11"/>
        <v>3672.7942680000006</v>
      </c>
      <c r="G23" s="711">
        <f t="shared" si="11"/>
        <v>3983.004122328</v>
      </c>
      <c r="H23" s="711">
        <f t="shared" si="11"/>
        <v>4125.2542695539996</v>
      </c>
      <c r="I23" s="711">
        <f t="shared" si="11"/>
        <v>3926.1040634376</v>
      </c>
      <c r="J23" s="427">
        <f t="shared" si="11"/>
        <v>3926.1040634376</v>
      </c>
      <c r="K23" s="427">
        <f t="shared" si="11"/>
        <v>4125.2542695539996</v>
      </c>
      <c r="L23" s="427">
        <f t="shared" si="11"/>
        <v>4440.6228459540407</v>
      </c>
      <c r="M23" s="427">
        <f t="shared" si="11"/>
        <v>4615.9558254200974</v>
      </c>
      <c r="N23" s="427">
        <f t="shared" si="11"/>
        <v>4648.2675161980369</v>
      </c>
      <c r="O23" s="427">
        <f t="shared" si="11"/>
        <v>3218.0537048078531</v>
      </c>
      <c r="P23" s="427">
        <f t="shared" si="11"/>
        <v>2651.3837024248701</v>
      </c>
      <c r="Q23" s="458">
        <f t="shared" si="11"/>
        <v>2150.787729497596</v>
      </c>
    </row>
    <row r="24" spans="1:18" s="20" customFormat="1" ht="13.15">
      <c r="A24" s="450" t="s">
        <v>276</v>
      </c>
      <c r="B24" s="712">
        <f>F24/4</f>
        <v>33.75</v>
      </c>
      <c r="C24" s="712">
        <f>B24</f>
        <v>33.75</v>
      </c>
      <c r="D24" s="712">
        <f>C24</f>
        <v>33.75</v>
      </c>
      <c r="E24" s="712">
        <f>D24</f>
        <v>33.75</v>
      </c>
      <c r="F24" s="713">
        <v>135</v>
      </c>
      <c r="G24" s="713">
        <f>E24</f>
        <v>33.75</v>
      </c>
      <c r="H24" s="713">
        <f>G24</f>
        <v>33.75</v>
      </c>
      <c r="I24" s="713">
        <v>36</v>
      </c>
      <c r="J24" s="428">
        <f>K24/4</f>
        <v>37.5</v>
      </c>
      <c r="K24" s="364">
        <v>150</v>
      </c>
      <c r="L24" s="364">
        <v>185</v>
      </c>
      <c r="M24" s="364">
        <f>L24*(1+M25)</f>
        <v>188.70000000000002</v>
      </c>
      <c r="N24" s="364">
        <f>M24*(1+N25)</f>
        <v>192.47400000000002</v>
      </c>
      <c r="O24" s="364">
        <v>150</v>
      </c>
      <c r="P24" s="364">
        <f>O24*(1+P25)</f>
        <v>150</v>
      </c>
      <c r="Q24" s="459">
        <f>P24*(1+Q25)</f>
        <v>150</v>
      </c>
    </row>
    <row r="25" spans="1:18" s="21" customFormat="1" ht="13.15">
      <c r="A25" s="460" t="s">
        <v>187</v>
      </c>
      <c r="B25" s="714"/>
      <c r="C25" s="714"/>
      <c r="D25" s="714"/>
      <c r="E25" s="714"/>
      <c r="F25" s="714"/>
      <c r="G25" s="714"/>
      <c r="H25" s="714"/>
      <c r="I25" s="714"/>
      <c r="J25" s="429"/>
      <c r="K25" s="430">
        <v>0</v>
      </c>
      <c r="L25" s="430">
        <v>0</v>
      </c>
      <c r="M25" s="430">
        <v>0.02</v>
      </c>
      <c r="N25" s="430">
        <v>0.02</v>
      </c>
      <c r="O25" s="430">
        <v>0</v>
      </c>
      <c r="P25" s="430">
        <f>O25</f>
        <v>0</v>
      </c>
      <c r="Q25" s="461">
        <f>P25</f>
        <v>0</v>
      </c>
      <c r="R25" s="430"/>
    </row>
    <row r="26" spans="1:18" s="362" customFormat="1" ht="13.15">
      <c r="A26" s="471" t="s">
        <v>225</v>
      </c>
      <c r="B26" s="715">
        <f>B24*B23/1000</f>
        <v>112.03788283874999</v>
      </c>
      <c r="C26" s="715">
        <f t="shared" ref="C26:Q26" si="12">C24*C23/1000</f>
        <v>121.57302180375</v>
      </c>
      <c r="D26" s="715">
        <f t="shared" si="12"/>
        <v>128.7243760275</v>
      </c>
      <c r="E26" s="715">
        <f t="shared" si="12"/>
        <v>133.49194551000002</v>
      </c>
      <c r="F26" s="715">
        <f t="shared" si="12"/>
        <v>495.82722618000008</v>
      </c>
      <c r="G26" s="715">
        <f t="shared" si="12"/>
        <v>134.42638912857001</v>
      </c>
      <c r="H26" s="715">
        <f t="shared" si="12"/>
        <v>139.22733159744749</v>
      </c>
      <c r="I26" s="715">
        <f t="shared" si="12"/>
        <v>141.33974628375361</v>
      </c>
      <c r="J26" s="472">
        <f t="shared" si="12"/>
        <v>147.22890237890999</v>
      </c>
      <c r="K26" s="472">
        <f t="shared" si="12"/>
        <v>618.7881404330999</v>
      </c>
      <c r="L26" s="472">
        <f t="shared" si="12"/>
        <v>821.51522650149752</v>
      </c>
      <c r="M26" s="472">
        <f t="shared" si="12"/>
        <v>871.03086425677247</v>
      </c>
      <c r="N26" s="472">
        <f t="shared" si="12"/>
        <v>894.67064191270106</v>
      </c>
      <c r="O26" s="472">
        <f t="shared" si="12"/>
        <v>482.70805572117797</v>
      </c>
      <c r="P26" s="472">
        <f t="shared" si="12"/>
        <v>397.70755536373053</v>
      </c>
      <c r="Q26" s="473">
        <f t="shared" si="12"/>
        <v>322.61815942463943</v>
      </c>
    </row>
    <row r="27" spans="1:18" s="20" customFormat="1" ht="13.15">
      <c r="A27" s="464"/>
      <c r="B27" s="716"/>
      <c r="C27" s="716"/>
      <c r="D27" s="716"/>
      <c r="E27" s="716"/>
      <c r="F27" s="709"/>
      <c r="G27" s="709"/>
      <c r="H27" s="709"/>
      <c r="I27" s="709"/>
      <c r="Q27" s="455"/>
    </row>
    <row r="28" spans="1:18" s="374" customFormat="1" ht="13.15">
      <c r="A28" s="456" t="s">
        <v>23</v>
      </c>
      <c r="B28" s="710">
        <v>0.17499999999999999</v>
      </c>
      <c r="C28" s="710">
        <v>0.20300000000000001</v>
      </c>
      <c r="D28" s="710">
        <v>0.223</v>
      </c>
      <c r="E28" s="710">
        <v>0.22500000000000001</v>
      </c>
      <c r="F28" s="710">
        <f>AVERAGE(B28:E28)</f>
        <v>0.20649999999999999</v>
      </c>
      <c r="G28" s="710">
        <v>0.20399999999999999</v>
      </c>
      <c r="H28" s="710">
        <v>0.23</v>
      </c>
      <c r="I28" s="710">
        <v>0.22500000000000001</v>
      </c>
      <c r="J28" s="426">
        <v>0.23300000000000001</v>
      </c>
      <c r="K28" s="426">
        <f>AVERAGE(G28:J28)</f>
        <v>0.223</v>
      </c>
      <c r="L28" s="426">
        <v>0.27</v>
      </c>
      <c r="M28" s="426">
        <v>0.3</v>
      </c>
      <c r="N28" s="426">
        <v>0.32</v>
      </c>
      <c r="O28" s="426">
        <v>0.32</v>
      </c>
      <c r="P28" s="426">
        <v>0.23</v>
      </c>
      <c r="Q28" s="457">
        <v>0.13</v>
      </c>
    </row>
    <row r="29" spans="1:18" s="20" customFormat="1" ht="13.15">
      <c r="A29" s="450" t="s">
        <v>227</v>
      </c>
      <c r="B29" s="711">
        <f>B28*B20</f>
        <v>2472.073065</v>
      </c>
      <c r="C29" s="711">
        <f t="shared" ref="C29:Q29" si="13">C28*C20</f>
        <v>2867.6047554000006</v>
      </c>
      <c r="D29" s="711">
        <f t="shared" si="13"/>
        <v>3150.1273914000003</v>
      </c>
      <c r="E29" s="711">
        <f t="shared" si="13"/>
        <v>3178.3796550000002</v>
      </c>
      <c r="F29" s="711">
        <f t="shared" si="13"/>
        <v>2917.0462167000001</v>
      </c>
      <c r="G29" s="711">
        <f t="shared" si="13"/>
        <v>2901.9030034103998</v>
      </c>
      <c r="H29" s="711">
        <f t="shared" si="13"/>
        <v>3271.753386198</v>
      </c>
      <c r="I29" s="711">
        <f t="shared" si="13"/>
        <v>3200.628312585</v>
      </c>
      <c r="J29" s="427">
        <f t="shared" si="13"/>
        <v>3314.4284303658001</v>
      </c>
      <c r="K29" s="427">
        <f t="shared" si="13"/>
        <v>3172.1782831398</v>
      </c>
      <c r="L29" s="427">
        <f t="shared" si="13"/>
        <v>3867.6392529277132</v>
      </c>
      <c r="M29" s="427">
        <f t="shared" si="13"/>
        <v>4327.4585863313405</v>
      </c>
      <c r="N29" s="427">
        <f t="shared" si="13"/>
        <v>4648.2675161980369</v>
      </c>
      <c r="O29" s="427">
        <f t="shared" si="13"/>
        <v>4680.8053888114227</v>
      </c>
      <c r="P29" s="427">
        <f t="shared" si="13"/>
        <v>3387.8791753206674</v>
      </c>
      <c r="Q29" s="458">
        <f t="shared" si="13"/>
        <v>1928.2924471357762</v>
      </c>
    </row>
    <row r="30" spans="1:18" s="20" customFormat="1" ht="13.15">
      <c r="A30" s="450" t="s">
        <v>228</v>
      </c>
      <c r="B30" s="712">
        <f>F30/4</f>
        <v>37.229999999999997</v>
      </c>
      <c r="C30" s="712">
        <f>B30</f>
        <v>37.229999999999997</v>
      </c>
      <c r="D30" s="712">
        <f>C30</f>
        <v>37.229999999999997</v>
      </c>
      <c r="E30" s="712">
        <f>D30</f>
        <v>37.229999999999997</v>
      </c>
      <c r="F30" s="713">
        <v>148.91999999999999</v>
      </c>
      <c r="G30" s="713">
        <f>E30</f>
        <v>37.229999999999997</v>
      </c>
      <c r="H30" s="713">
        <f>G30</f>
        <v>37.229999999999997</v>
      </c>
      <c r="I30" s="713">
        <f>H30</f>
        <v>37.229999999999997</v>
      </c>
      <c r="J30" s="428">
        <f>I30</f>
        <v>37.229999999999997</v>
      </c>
      <c r="K30" s="364">
        <f>F30*(1+K31)</f>
        <v>148.91999999999999</v>
      </c>
      <c r="L30" s="364">
        <f t="shared" ref="L30:Q30" si="14">K30*(1+L31)</f>
        <v>151.89839999999998</v>
      </c>
      <c r="M30" s="364">
        <f t="shared" si="14"/>
        <v>154.93636799999999</v>
      </c>
      <c r="N30" s="364">
        <f t="shared" si="14"/>
        <v>158.03509535999999</v>
      </c>
      <c r="O30" s="364">
        <f t="shared" si="14"/>
        <v>161.19579726719999</v>
      </c>
      <c r="P30" s="364">
        <f t="shared" si="14"/>
        <v>164.419713212544</v>
      </c>
      <c r="Q30" s="459">
        <f t="shared" si="14"/>
        <v>167.70810747679488</v>
      </c>
    </row>
    <row r="31" spans="1:18" s="21" customFormat="1" ht="13.15">
      <c r="A31" s="460" t="s">
        <v>187</v>
      </c>
      <c r="B31" s="714"/>
      <c r="C31" s="714"/>
      <c r="D31" s="714"/>
      <c r="E31" s="714"/>
      <c r="F31" s="714"/>
      <c r="G31" s="714"/>
      <c r="H31" s="714"/>
      <c r="I31" s="714"/>
      <c r="J31" s="429"/>
      <c r="K31" s="430">
        <v>0</v>
      </c>
      <c r="L31" s="430">
        <v>0.02</v>
      </c>
      <c r="M31" s="430">
        <f>L31</f>
        <v>0.02</v>
      </c>
      <c r="N31" s="430">
        <f>M31</f>
        <v>0.02</v>
      </c>
      <c r="O31" s="430">
        <f>N31</f>
        <v>0.02</v>
      </c>
      <c r="P31" s="430">
        <f>O31</f>
        <v>0.02</v>
      </c>
      <c r="Q31" s="461">
        <f>P31</f>
        <v>0.02</v>
      </c>
      <c r="R31" s="430"/>
    </row>
    <row r="32" spans="1:18" s="362" customFormat="1" ht="13.15">
      <c r="A32" s="471" t="s">
        <v>116</v>
      </c>
      <c r="B32" s="715">
        <f>B30*B29/1000</f>
        <v>92.035280209950002</v>
      </c>
      <c r="C32" s="715">
        <f t="shared" ref="C32:Q32" si="15">C30*C29/1000</f>
        <v>106.76092504354202</v>
      </c>
      <c r="D32" s="715">
        <f t="shared" si="15"/>
        <v>117.27924278182201</v>
      </c>
      <c r="E32" s="715">
        <f t="shared" si="15"/>
        <v>118.33107455565001</v>
      </c>
      <c r="F32" s="715">
        <f t="shared" si="15"/>
        <v>434.40652259096396</v>
      </c>
      <c r="G32" s="715">
        <f t="shared" si="15"/>
        <v>108.03784881696917</v>
      </c>
      <c r="H32" s="715">
        <f t="shared" si="15"/>
        <v>121.80737856815153</v>
      </c>
      <c r="I32" s="715">
        <f t="shared" si="15"/>
        <v>119.15939207753954</v>
      </c>
      <c r="J32" s="472">
        <f t="shared" si="15"/>
        <v>123.39617046251873</v>
      </c>
      <c r="K32" s="472">
        <f t="shared" si="15"/>
        <v>472.40078992517897</v>
      </c>
      <c r="L32" s="472">
        <f t="shared" si="15"/>
        <v>587.48821429691486</v>
      </c>
      <c r="M32" s="472">
        <f t="shared" si="15"/>
        <v>670.4807160365923</v>
      </c>
      <c r="N32" s="472">
        <f t="shared" si="15"/>
        <v>734.58940018114708</v>
      </c>
      <c r="O32" s="472">
        <f t="shared" si="15"/>
        <v>754.52615650206337</v>
      </c>
      <c r="P32" s="472">
        <f t="shared" si="15"/>
        <v>557.03412240497414</v>
      </c>
      <c r="Q32" s="473">
        <f t="shared" si="15"/>
        <v>323.39027697093854</v>
      </c>
    </row>
    <row r="33" spans="1:18" s="362" customFormat="1" ht="13.15">
      <c r="A33" s="462"/>
      <c r="B33" s="717"/>
      <c r="C33" s="717"/>
      <c r="D33" s="717"/>
      <c r="E33" s="717"/>
      <c r="F33" s="717"/>
      <c r="G33" s="717"/>
      <c r="H33" s="717"/>
      <c r="I33" s="717"/>
      <c r="Q33" s="463"/>
    </row>
    <row r="34" spans="1:18" s="364" customFormat="1" ht="13.15">
      <c r="A34" s="465" t="s">
        <v>56</v>
      </c>
      <c r="B34" s="712">
        <f>B20*1.3</f>
        <v>18363.971340000004</v>
      </c>
      <c r="C34" s="712">
        <f t="shared" ref="C34:Q34" si="16">C20*1.3</f>
        <v>18363.971340000004</v>
      </c>
      <c r="D34" s="712">
        <f t="shared" si="16"/>
        <v>18363.971340000004</v>
      </c>
      <c r="E34" s="712">
        <f t="shared" si="16"/>
        <v>18363.971340000004</v>
      </c>
      <c r="F34" s="712">
        <f t="shared" si="16"/>
        <v>18363.971340000004</v>
      </c>
      <c r="G34" s="712">
        <f t="shared" si="16"/>
        <v>18492.519139379998</v>
      </c>
      <c r="H34" s="712">
        <f t="shared" si="16"/>
        <v>18492.519139379998</v>
      </c>
      <c r="I34" s="712">
        <f t="shared" si="16"/>
        <v>18492.519139379998</v>
      </c>
      <c r="J34" s="364">
        <f t="shared" si="16"/>
        <v>18492.519139379998</v>
      </c>
      <c r="K34" s="364">
        <f t="shared" si="16"/>
        <v>18492.519139379998</v>
      </c>
      <c r="L34" s="364">
        <f t="shared" si="16"/>
        <v>18621.966773355656</v>
      </c>
      <c r="M34" s="364">
        <f t="shared" si="16"/>
        <v>18752.320540769146</v>
      </c>
      <c r="N34" s="364">
        <f t="shared" si="16"/>
        <v>18883.586784554525</v>
      </c>
      <c r="O34" s="364">
        <f t="shared" si="16"/>
        <v>19015.771892046407</v>
      </c>
      <c r="P34" s="364">
        <f t="shared" si="16"/>
        <v>19148.882295290729</v>
      </c>
      <c r="Q34" s="459">
        <f t="shared" si="16"/>
        <v>19282.924471357761</v>
      </c>
    </row>
    <row r="35" spans="1:18" s="374" customFormat="1" ht="13.15">
      <c r="A35" s="456" t="s">
        <v>229</v>
      </c>
      <c r="B35" s="710">
        <v>0.39</v>
      </c>
      <c r="C35" s="710">
        <v>0.5</v>
      </c>
      <c r="D35" s="710">
        <v>0.49</v>
      </c>
      <c r="E35" s="710">
        <v>0.49</v>
      </c>
      <c r="F35" s="710">
        <f>AVERAGE(B35:E35)</f>
        <v>0.46749999999999997</v>
      </c>
      <c r="G35" s="710">
        <v>0.52</v>
      </c>
      <c r="H35" s="710">
        <v>0.53</v>
      </c>
      <c r="I35" s="710">
        <v>0.53</v>
      </c>
      <c r="J35" s="426">
        <v>0.57999999999999996</v>
      </c>
      <c r="K35" s="426">
        <v>0.55000000000000004</v>
      </c>
      <c r="L35" s="426">
        <v>0.56999999999999995</v>
      </c>
      <c r="M35" s="426">
        <v>0.6</v>
      </c>
      <c r="N35" s="426">
        <f>M35</f>
        <v>0.6</v>
      </c>
      <c r="O35" s="426">
        <v>0.2</v>
      </c>
      <c r="P35" s="426">
        <v>0.1</v>
      </c>
      <c r="Q35" s="457">
        <v>0.08</v>
      </c>
    </row>
    <row r="36" spans="1:18" s="20" customFormat="1" ht="13.15">
      <c r="A36" s="450" t="s">
        <v>230</v>
      </c>
      <c r="B36" s="711">
        <f>B35*B34</f>
        <v>7161.9488226000021</v>
      </c>
      <c r="C36" s="711">
        <f t="shared" ref="C36:Q36" si="17">C35*C34</f>
        <v>9181.9856700000018</v>
      </c>
      <c r="D36" s="711">
        <f t="shared" si="17"/>
        <v>8998.345956600002</v>
      </c>
      <c r="E36" s="711">
        <f t="shared" si="17"/>
        <v>8998.345956600002</v>
      </c>
      <c r="F36" s="711">
        <f t="shared" si="17"/>
        <v>8585.1566014500004</v>
      </c>
      <c r="G36" s="711">
        <f t="shared" si="17"/>
        <v>9616.1099524776</v>
      </c>
      <c r="H36" s="711">
        <f t="shared" si="17"/>
        <v>9801.0351438713988</v>
      </c>
      <c r="I36" s="711">
        <f t="shared" si="17"/>
        <v>9801.0351438713988</v>
      </c>
      <c r="J36" s="427">
        <f t="shared" si="17"/>
        <v>10725.661100840398</v>
      </c>
      <c r="K36" s="427">
        <f t="shared" si="17"/>
        <v>10170.885526659</v>
      </c>
      <c r="L36" s="427">
        <f t="shared" si="17"/>
        <v>10614.521060812724</v>
      </c>
      <c r="M36" s="427">
        <f t="shared" si="17"/>
        <v>11251.392324461487</v>
      </c>
      <c r="N36" s="427">
        <f t="shared" si="17"/>
        <v>11330.152070732714</v>
      </c>
      <c r="O36" s="427">
        <f t="shared" si="17"/>
        <v>3803.1543784092814</v>
      </c>
      <c r="P36" s="427">
        <f t="shared" si="17"/>
        <v>1914.888229529073</v>
      </c>
      <c r="Q36" s="458">
        <f t="shared" si="17"/>
        <v>1542.633957708621</v>
      </c>
    </row>
    <row r="37" spans="1:18" s="20" customFormat="1" ht="13.15">
      <c r="A37" s="450" t="s">
        <v>114</v>
      </c>
      <c r="B37" s="712">
        <f>F37/4</f>
        <v>4.7736000000000001</v>
      </c>
      <c r="C37" s="712">
        <f>B37</f>
        <v>4.7736000000000001</v>
      </c>
      <c r="D37" s="712">
        <f>C37*1.095</f>
        <v>5.2270919999999998</v>
      </c>
      <c r="E37" s="712">
        <f>D37</f>
        <v>5.2270919999999998</v>
      </c>
      <c r="F37" s="713">
        <f>1.5912*12</f>
        <v>19.0944</v>
      </c>
      <c r="G37" s="713">
        <f>E37</f>
        <v>5.2270919999999998</v>
      </c>
      <c r="H37" s="713">
        <f>G37</f>
        <v>5.2270919999999998</v>
      </c>
      <c r="I37" s="713">
        <f>H37</f>
        <v>5.2270919999999998</v>
      </c>
      <c r="J37" s="428">
        <f>I37</f>
        <v>5.2270919999999998</v>
      </c>
      <c r="K37" s="364">
        <f>F37</f>
        <v>19.0944</v>
      </c>
      <c r="L37" s="364">
        <f t="shared" ref="L37:Q37" si="18">K37*(1+L38)</f>
        <v>19.476288</v>
      </c>
      <c r="M37" s="364">
        <f t="shared" si="18"/>
        <v>19.865813760000002</v>
      </c>
      <c r="N37" s="364">
        <f t="shared" si="18"/>
        <v>20.263130035200003</v>
      </c>
      <c r="O37" s="364">
        <f t="shared" si="18"/>
        <v>20.668392635904002</v>
      </c>
      <c r="P37" s="364">
        <f t="shared" si="18"/>
        <v>21.081760488622084</v>
      </c>
      <c r="Q37" s="459">
        <f t="shared" si="18"/>
        <v>21.503395698394527</v>
      </c>
    </row>
    <row r="38" spans="1:18" s="21" customFormat="1" ht="13.15">
      <c r="A38" s="460" t="s">
        <v>187</v>
      </c>
      <c r="B38" s="714"/>
      <c r="C38" s="714"/>
      <c r="D38" s="714"/>
      <c r="E38" s="714"/>
      <c r="F38" s="714"/>
      <c r="G38" s="714"/>
      <c r="H38" s="714"/>
      <c r="I38" s="714"/>
      <c r="J38" s="429"/>
      <c r="K38" s="430">
        <v>0</v>
      </c>
      <c r="L38" s="430">
        <v>0.02</v>
      </c>
      <c r="M38" s="430">
        <f>L38</f>
        <v>0.02</v>
      </c>
      <c r="N38" s="430">
        <f>M38</f>
        <v>0.02</v>
      </c>
      <c r="O38" s="430">
        <f>N38</f>
        <v>0.02</v>
      </c>
      <c r="P38" s="430">
        <f>O38</f>
        <v>0.02</v>
      </c>
      <c r="Q38" s="461">
        <f>P38</f>
        <v>0.02</v>
      </c>
      <c r="R38" s="430"/>
    </row>
    <row r="39" spans="1:18" s="362" customFormat="1" ht="13.15">
      <c r="A39" s="471" t="s">
        <v>117</v>
      </c>
      <c r="B39" s="715">
        <f>B37*B36/1000</f>
        <v>34.188278899563365</v>
      </c>
      <c r="C39" s="715">
        <f t="shared" ref="C39:Q39" si="19">C37*C36/1000</f>
        <v>43.831126794312013</v>
      </c>
      <c r="D39" s="715">
        <f t="shared" si="19"/>
        <v>47.035182162976213</v>
      </c>
      <c r="E39" s="715">
        <f t="shared" si="19"/>
        <v>47.035182162976213</v>
      </c>
      <c r="F39" s="715">
        <f>SUM(B39:E39)</f>
        <v>172.0897700198278</v>
      </c>
      <c r="G39" s="715">
        <f t="shared" si="19"/>
        <v>50.264291403716044</v>
      </c>
      <c r="H39" s="715">
        <f t="shared" si="19"/>
        <v>51.230912392249031</v>
      </c>
      <c r="I39" s="715">
        <f t="shared" si="19"/>
        <v>51.230912392249031</v>
      </c>
      <c r="J39" s="472">
        <f t="shared" si="19"/>
        <v>56.064017334914041</v>
      </c>
      <c r="K39" s="472">
        <f t="shared" si="19"/>
        <v>194.20695660023762</v>
      </c>
      <c r="L39" s="472">
        <f t="shared" si="19"/>
        <v>206.73146916245412</v>
      </c>
      <c r="M39" s="472">
        <f t="shared" si="19"/>
        <v>223.51806445844542</v>
      </c>
      <c r="N39" s="472">
        <f t="shared" si="19"/>
        <v>229.58434472784759</v>
      </c>
      <c r="O39" s="472">
        <f t="shared" si="19"/>
        <v>78.605087947920453</v>
      </c>
      <c r="P39" s="472">
        <f t="shared" si="19"/>
        <v>40.369215017413509</v>
      </c>
      <c r="Q39" s="473">
        <f t="shared" si="19"/>
        <v>33.171868410388889</v>
      </c>
    </row>
    <row r="40" spans="1:18" s="362" customFormat="1" ht="13.15">
      <c r="A40" s="462"/>
      <c r="B40" s="717"/>
      <c r="C40" s="717"/>
      <c r="D40" s="717"/>
      <c r="E40" s="717"/>
      <c r="F40" s="717"/>
      <c r="G40" s="717"/>
      <c r="H40" s="717"/>
      <c r="I40" s="717"/>
      <c r="Q40" s="463"/>
    </row>
    <row r="41" spans="1:18" s="648" customFormat="1" ht="13.15">
      <c r="A41" s="647" t="s">
        <v>376</v>
      </c>
      <c r="B41" s="712">
        <f>B20*0.75</f>
        <v>10594.59885</v>
      </c>
      <c r="C41" s="712">
        <f t="shared" ref="C41:Q41" si="20">C20*0.75</f>
        <v>10594.59885</v>
      </c>
      <c r="D41" s="712">
        <f t="shared" si="20"/>
        <v>10594.59885</v>
      </c>
      <c r="E41" s="712">
        <f t="shared" si="20"/>
        <v>10594.59885</v>
      </c>
      <c r="F41" s="712">
        <f t="shared" si="20"/>
        <v>10594.59885</v>
      </c>
      <c r="G41" s="712">
        <f t="shared" si="20"/>
        <v>10668.76104195</v>
      </c>
      <c r="H41" s="712">
        <f t="shared" si="20"/>
        <v>10668.76104195</v>
      </c>
      <c r="I41" s="712">
        <f t="shared" si="20"/>
        <v>10668.76104195</v>
      </c>
      <c r="J41" s="648">
        <f t="shared" si="20"/>
        <v>10668.76104195</v>
      </c>
      <c r="K41" s="648">
        <f t="shared" si="20"/>
        <v>10668.76104195</v>
      </c>
      <c r="L41" s="648">
        <f t="shared" si="20"/>
        <v>10743.442369243647</v>
      </c>
      <c r="M41" s="648">
        <f t="shared" si="20"/>
        <v>10818.646465828353</v>
      </c>
      <c r="N41" s="648">
        <f t="shared" si="20"/>
        <v>10894.37699108915</v>
      </c>
      <c r="O41" s="648">
        <f t="shared" si="20"/>
        <v>10970.637630026773</v>
      </c>
      <c r="P41" s="648">
        <f t="shared" si="20"/>
        <v>11047.432093436959</v>
      </c>
      <c r="Q41" s="970">
        <f t="shared" si="20"/>
        <v>11124.764118091016</v>
      </c>
    </row>
    <row r="42" spans="1:18" s="374" customFormat="1" ht="13.15">
      <c r="A42" s="456" t="s">
        <v>367</v>
      </c>
      <c r="B42" s="710"/>
      <c r="C42" s="710"/>
      <c r="D42" s="710"/>
      <c r="E42" s="710"/>
      <c r="F42" s="710"/>
      <c r="G42" s="710"/>
      <c r="H42" s="710">
        <v>0.01</v>
      </c>
      <c r="I42" s="710">
        <v>2.1299999999999999E-2</v>
      </c>
      <c r="J42" s="426">
        <v>0.04</v>
      </c>
      <c r="K42" s="426">
        <f>AVERAGE(H42:J42)</f>
        <v>2.3766666666666669E-2</v>
      </c>
      <c r="L42" s="426">
        <v>6.5000000000000002E-2</v>
      </c>
      <c r="M42" s="426">
        <v>0.11</v>
      </c>
      <c r="N42" s="426">
        <v>0.13</v>
      </c>
      <c r="O42" s="426">
        <v>0.14000000000000001</v>
      </c>
      <c r="P42" s="426">
        <f>O42</f>
        <v>0.14000000000000001</v>
      </c>
      <c r="Q42" s="971">
        <f>P42</f>
        <v>0.14000000000000001</v>
      </c>
    </row>
    <row r="43" spans="1:18" s="20" customFormat="1" ht="13.15">
      <c r="A43" s="450" t="s">
        <v>368</v>
      </c>
      <c r="B43" s="711">
        <f>B42*B41</f>
        <v>0</v>
      </c>
      <c r="C43" s="711">
        <f t="shared" ref="C43:Q43" si="21">C42*C41</f>
        <v>0</v>
      </c>
      <c r="D43" s="711">
        <f t="shared" si="21"/>
        <v>0</v>
      </c>
      <c r="E43" s="711">
        <f t="shared" si="21"/>
        <v>0</v>
      </c>
      <c r="F43" s="711">
        <f t="shared" si="21"/>
        <v>0</v>
      </c>
      <c r="G43" s="711"/>
      <c r="H43" s="711">
        <f t="shared" si="21"/>
        <v>106.6876104195</v>
      </c>
      <c r="I43" s="711">
        <f t="shared" si="21"/>
        <v>227.24461019353498</v>
      </c>
      <c r="J43" s="427">
        <f t="shared" si="21"/>
        <v>426.75044167800002</v>
      </c>
      <c r="K43" s="427">
        <f t="shared" si="21"/>
        <v>253.56088743034502</v>
      </c>
      <c r="L43" s="427">
        <f t="shared" si="21"/>
        <v>698.32375400083708</v>
      </c>
      <c r="M43" s="427">
        <f t="shared" si="21"/>
        <v>1190.0511112411189</v>
      </c>
      <c r="N43" s="427">
        <f t="shared" si="21"/>
        <v>1416.2690088415895</v>
      </c>
      <c r="O43" s="427">
        <f t="shared" si="21"/>
        <v>1535.8892682037483</v>
      </c>
      <c r="P43" s="427">
        <f t="shared" si="21"/>
        <v>1546.6404930811743</v>
      </c>
      <c r="Q43" s="972">
        <f t="shared" si="21"/>
        <v>1557.4669765327424</v>
      </c>
    </row>
    <row r="44" spans="1:18" s="20" customFormat="1" ht="13.15">
      <c r="A44" s="450" t="s">
        <v>369</v>
      </c>
      <c r="B44" s="712"/>
      <c r="C44" s="712"/>
      <c r="D44" s="712"/>
      <c r="E44" s="712"/>
      <c r="F44" s="713"/>
      <c r="G44" s="713"/>
      <c r="H44" s="713">
        <f>I44</f>
        <v>62.5</v>
      </c>
      <c r="I44" s="713">
        <f>K44/4</f>
        <v>62.5</v>
      </c>
      <c r="J44" s="428">
        <f>I44</f>
        <v>62.5</v>
      </c>
      <c r="K44" s="364">
        <v>250</v>
      </c>
      <c r="L44" s="364">
        <f t="shared" ref="L44:Q44" si="22">K44*(1+L45)</f>
        <v>257.5</v>
      </c>
      <c r="M44" s="364">
        <f t="shared" si="22"/>
        <v>265.22500000000002</v>
      </c>
      <c r="N44" s="364">
        <f t="shared" si="22"/>
        <v>273.18175000000002</v>
      </c>
      <c r="O44" s="364">
        <f t="shared" si="22"/>
        <v>281.37720250000001</v>
      </c>
      <c r="P44" s="364">
        <f t="shared" si="22"/>
        <v>289.81851857500004</v>
      </c>
      <c r="Q44" s="459">
        <f t="shared" si="22"/>
        <v>298.51307413225004</v>
      </c>
    </row>
    <row r="45" spans="1:18" s="21" customFormat="1" ht="13.15">
      <c r="A45" s="460" t="s">
        <v>187</v>
      </c>
      <c r="B45" s="714"/>
      <c r="C45" s="714"/>
      <c r="D45" s="714"/>
      <c r="E45" s="714"/>
      <c r="F45" s="714"/>
      <c r="G45" s="714"/>
      <c r="H45" s="714"/>
      <c r="I45" s="714"/>
      <c r="J45" s="429"/>
      <c r="K45" s="430">
        <v>0</v>
      </c>
      <c r="L45" s="430">
        <v>0.03</v>
      </c>
      <c r="M45" s="430">
        <f>L45</f>
        <v>0.03</v>
      </c>
      <c r="N45" s="430">
        <f>M45</f>
        <v>0.03</v>
      </c>
      <c r="O45" s="430">
        <f>N45</f>
        <v>0.03</v>
      </c>
      <c r="P45" s="430">
        <f>O45</f>
        <v>0.03</v>
      </c>
      <c r="Q45" s="461">
        <f>P45</f>
        <v>0.03</v>
      </c>
      <c r="R45" s="430"/>
    </row>
    <row r="46" spans="1:18" s="362" customFormat="1" ht="13.15">
      <c r="A46" s="474" t="s">
        <v>370</v>
      </c>
      <c r="B46" s="718">
        <f>B44*B43/1000</f>
        <v>0</v>
      </c>
      <c r="C46" s="718">
        <f>C44*C43/1000</f>
        <v>0</v>
      </c>
      <c r="D46" s="718">
        <f>D44*D43/1000</f>
        <v>0</v>
      </c>
      <c r="E46" s="718">
        <f>E44*E43/1000</f>
        <v>0</v>
      </c>
      <c r="F46" s="718">
        <f>SUM(B46:E46)</f>
        <v>0</v>
      </c>
      <c r="G46" s="718"/>
      <c r="H46" s="718">
        <f t="shared" ref="H46:Q46" si="23">H44*H43/1000</f>
        <v>6.6679756512187502</v>
      </c>
      <c r="I46" s="718">
        <f t="shared" si="23"/>
        <v>14.202788137095936</v>
      </c>
      <c r="J46" s="475">
        <f t="shared" si="23"/>
        <v>26.671902604875001</v>
      </c>
      <c r="K46" s="475">
        <f>SUM(H46:J46)</f>
        <v>47.542666393189691</v>
      </c>
      <c r="L46" s="475">
        <f t="shared" si="23"/>
        <v>179.81836665521556</v>
      </c>
      <c r="M46" s="475">
        <f t="shared" si="23"/>
        <v>315.63130597892581</v>
      </c>
      <c r="N46" s="475">
        <f t="shared" si="23"/>
        <v>386.8988463061109</v>
      </c>
      <c r="O46" s="475">
        <f t="shared" si="23"/>
        <v>432.16422563694289</v>
      </c>
      <c r="P46" s="475">
        <f t="shared" si="23"/>
        <v>448.24505647289357</v>
      </c>
      <c r="Q46" s="476">
        <f t="shared" si="23"/>
        <v>464.92425502424982</v>
      </c>
    </row>
    <row r="47" spans="1:18" s="362" customFormat="1" ht="13.15">
      <c r="B47" s="717"/>
      <c r="C47" s="717"/>
      <c r="D47" s="717"/>
      <c r="E47" s="717"/>
      <c r="F47" s="717"/>
      <c r="G47" s="717"/>
      <c r="H47" s="717"/>
      <c r="I47" s="717"/>
    </row>
    <row r="48" spans="1:18" s="374" customFormat="1" ht="13.15" outlineLevel="1">
      <c r="A48" s="479" t="s">
        <v>390</v>
      </c>
      <c r="B48" s="719">
        <v>0</v>
      </c>
      <c r="C48" s="719">
        <v>0</v>
      </c>
      <c r="D48" s="719">
        <v>0</v>
      </c>
      <c r="E48" s="719">
        <v>0</v>
      </c>
      <c r="F48" s="719">
        <f>AVERAGE(B48:E48)</f>
        <v>0</v>
      </c>
      <c r="G48" s="719">
        <f>AVERAGE(C48:F48)</f>
        <v>0</v>
      </c>
      <c r="H48" s="719">
        <f>AVERAGE(D48:G48)</f>
        <v>0</v>
      </c>
      <c r="I48" s="719">
        <f>AVERAGE(E48:H48)</f>
        <v>0</v>
      </c>
      <c r="J48" s="480">
        <f>AVERAGE(F48:I48)</f>
        <v>0</v>
      </c>
      <c r="K48" s="480">
        <v>0</v>
      </c>
      <c r="L48" s="480">
        <v>0</v>
      </c>
      <c r="M48" s="480">
        <v>0</v>
      </c>
      <c r="N48" s="480">
        <v>0.03</v>
      </c>
      <c r="O48" s="480">
        <v>0.09</v>
      </c>
      <c r="P48" s="480">
        <v>0.18</v>
      </c>
      <c r="Q48" s="481">
        <v>0.21</v>
      </c>
    </row>
    <row r="49" spans="1:18" s="374" customFormat="1" ht="13.15" outlineLevel="1">
      <c r="A49" s="482" t="s">
        <v>372</v>
      </c>
      <c r="B49" s="720">
        <f t="shared" ref="B49:M49" si="24">B48*B39</f>
        <v>0</v>
      </c>
      <c r="C49" s="720">
        <f t="shared" si="24"/>
        <v>0</v>
      </c>
      <c r="D49" s="720">
        <f t="shared" si="24"/>
        <v>0</v>
      </c>
      <c r="E49" s="720">
        <f t="shared" si="24"/>
        <v>0</v>
      </c>
      <c r="F49" s="720">
        <f t="shared" si="24"/>
        <v>0</v>
      </c>
      <c r="G49" s="720">
        <f t="shared" si="24"/>
        <v>0</v>
      </c>
      <c r="H49" s="720">
        <f t="shared" si="24"/>
        <v>0</v>
      </c>
      <c r="I49" s="720">
        <f t="shared" si="24"/>
        <v>0</v>
      </c>
      <c r="J49" s="431">
        <f t="shared" si="24"/>
        <v>0</v>
      </c>
      <c r="K49" s="431">
        <f t="shared" si="24"/>
        <v>0</v>
      </c>
      <c r="L49" s="431">
        <f t="shared" si="24"/>
        <v>0</v>
      </c>
      <c r="M49" s="431">
        <f t="shared" si="24"/>
        <v>0</v>
      </c>
      <c r="N49" s="431">
        <f>N48*N20</f>
        <v>435.77507964356596</v>
      </c>
      <c r="O49" s="431">
        <f>O48*O20</f>
        <v>1316.4765156032126</v>
      </c>
      <c r="P49" s="431">
        <f>P48*P20</f>
        <v>2651.3837024248701</v>
      </c>
      <c r="Q49" s="483">
        <f>Q48*Q20</f>
        <v>3114.9339530654843</v>
      </c>
    </row>
    <row r="50" spans="1:18" s="374" customFormat="1" ht="13.15" outlineLevel="1">
      <c r="A50" s="482" t="s">
        <v>100</v>
      </c>
      <c r="B50" s="721"/>
      <c r="C50" s="721"/>
      <c r="D50" s="721"/>
      <c r="E50" s="721"/>
      <c r="F50" s="721"/>
      <c r="G50" s="721"/>
      <c r="H50" s="721"/>
      <c r="I50" s="721"/>
      <c r="J50" s="432"/>
      <c r="K50" s="432"/>
      <c r="L50" s="432"/>
      <c r="M50" s="432"/>
      <c r="N50" s="432">
        <v>200</v>
      </c>
      <c r="O50" s="432">
        <f>N50*(1+O51)</f>
        <v>204</v>
      </c>
      <c r="P50" s="432">
        <f>O50*(1+P51)</f>
        <v>208.08</v>
      </c>
      <c r="Q50" s="484">
        <f>P50*(1+Q51)</f>
        <v>212.24160000000001</v>
      </c>
    </row>
    <row r="51" spans="1:18" s="393" customFormat="1" ht="13.15" outlineLevel="1">
      <c r="A51" s="485" t="s">
        <v>187</v>
      </c>
      <c r="B51" s="722"/>
      <c r="C51" s="722"/>
      <c r="D51" s="722"/>
      <c r="E51" s="722"/>
      <c r="F51" s="722"/>
      <c r="G51" s="722"/>
      <c r="H51" s="722"/>
      <c r="I51" s="722"/>
      <c r="J51" s="433"/>
      <c r="K51" s="434"/>
      <c r="L51" s="434"/>
      <c r="M51" s="434"/>
      <c r="N51" s="434"/>
      <c r="O51" s="434">
        <v>0.02</v>
      </c>
      <c r="P51" s="434">
        <f>O51</f>
        <v>0.02</v>
      </c>
      <c r="Q51" s="486">
        <f>P51</f>
        <v>0.02</v>
      </c>
      <c r="R51" s="434"/>
    </row>
    <row r="52" spans="1:18" s="435" customFormat="1" ht="13.15" outlineLevel="1">
      <c r="A52" s="501" t="s">
        <v>99</v>
      </c>
      <c r="B52" s="723">
        <f>B50*B49/1000</f>
        <v>0</v>
      </c>
      <c r="C52" s="723">
        <f t="shared" ref="C52:M52" si="25">C50*C49/1000</f>
        <v>0</v>
      </c>
      <c r="D52" s="723">
        <f t="shared" si="25"/>
        <v>0</v>
      </c>
      <c r="E52" s="723">
        <f t="shared" si="25"/>
        <v>0</v>
      </c>
      <c r="F52" s="723">
        <f t="shared" si="25"/>
        <v>0</v>
      </c>
      <c r="G52" s="723">
        <f t="shared" si="25"/>
        <v>0</v>
      </c>
      <c r="H52" s="723">
        <f t="shared" si="25"/>
        <v>0</v>
      </c>
      <c r="I52" s="723">
        <f t="shared" si="25"/>
        <v>0</v>
      </c>
      <c r="J52" s="502">
        <f t="shared" si="25"/>
        <v>0</v>
      </c>
      <c r="K52" s="502">
        <f t="shared" si="25"/>
        <v>0</v>
      </c>
      <c r="L52" s="502">
        <f t="shared" si="25"/>
        <v>0</v>
      </c>
      <c r="M52" s="502">
        <f t="shared" si="25"/>
        <v>0</v>
      </c>
      <c r="N52" s="502">
        <f>N53*N50*N49/1000</f>
        <v>0</v>
      </c>
      <c r="O52" s="502">
        <f>O53*O50*O49/1000</f>
        <v>0</v>
      </c>
      <c r="P52" s="502">
        <f>P53*P50*P49/1000</f>
        <v>0</v>
      </c>
      <c r="Q52" s="503">
        <f>Q53*Q50*Q49/1000</f>
        <v>0</v>
      </c>
    </row>
    <row r="53" spans="1:18" s="436" customFormat="1" ht="13.15" outlineLevel="1">
      <c r="A53" s="487" t="s">
        <v>98</v>
      </c>
      <c r="B53" s="724"/>
      <c r="C53" s="724"/>
      <c r="D53" s="724"/>
      <c r="E53" s="724"/>
      <c r="F53" s="724"/>
      <c r="G53" s="724"/>
      <c r="H53" s="724"/>
      <c r="I53" s="724"/>
      <c r="J53" s="488"/>
      <c r="K53" s="488"/>
      <c r="L53" s="488"/>
      <c r="M53" s="488"/>
      <c r="N53" s="488">
        <v>0</v>
      </c>
      <c r="O53" s="488">
        <f>N53</f>
        <v>0</v>
      </c>
      <c r="P53" s="488">
        <f>O53</f>
        <v>0</v>
      </c>
      <c r="Q53" s="489">
        <f>P53</f>
        <v>0</v>
      </c>
    </row>
    <row r="54" spans="1:18" s="437" customFormat="1" ht="13.15">
      <c r="A54" s="373"/>
      <c r="B54" s="725"/>
      <c r="C54" s="725"/>
      <c r="D54" s="725"/>
      <c r="E54" s="725"/>
      <c r="F54" s="725"/>
      <c r="G54" s="725"/>
      <c r="H54" s="725"/>
      <c r="I54" s="725"/>
      <c r="J54" s="373"/>
      <c r="K54" s="373"/>
      <c r="L54" s="373"/>
      <c r="M54" s="373"/>
      <c r="N54" s="373"/>
      <c r="O54" s="373"/>
      <c r="P54" s="373"/>
      <c r="Q54" s="373"/>
    </row>
    <row r="55" spans="1:18">
      <c r="A55" s="22"/>
      <c r="B55" s="726"/>
      <c r="C55" s="727"/>
      <c r="D55" s="727"/>
      <c r="E55" s="727"/>
      <c r="F55" s="727"/>
      <c r="G55" s="727"/>
      <c r="H55" s="727"/>
      <c r="I55" s="727"/>
      <c r="J55" s="438"/>
      <c r="K55" s="438"/>
      <c r="L55" s="438"/>
      <c r="M55" s="438"/>
      <c r="N55" s="438"/>
      <c r="O55" s="438"/>
      <c r="P55" s="438"/>
      <c r="Q55" s="438"/>
    </row>
    <row r="56" spans="1:18" ht="15.75" thickBot="1"/>
    <row r="57" spans="1:18" s="421" customFormat="1" ht="14.65" thickBot="1">
      <c r="A57" s="466" t="s">
        <v>275</v>
      </c>
      <c r="B57" s="704">
        <f>B66+B72+B78</f>
        <v>6.0307647305928747</v>
      </c>
      <c r="C57" s="704">
        <f t="shared" ref="C57:Q57" si="26">C66+C72+C78</f>
        <v>6.0307647305928747</v>
      </c>
      <c r="D57" s="704">
        <f t="shared" si="26"/>
        <v>6.0307647305928747</v>
      </c>
      <c r="E57" s="704">
        <f t="shared" si="26"/>
        <v>6.0307647305928747</v>
      </c>
      <c r="F57" s="704">
        <f t="shared" si="26"/>
        <v>24.123058922371499</v>
      </c>
      <c r="G57" s="704">
        <f t="shared" si="26"/>
        <v>6.0488570247846525</v>
      </c>
      <c r="H57" s="704">
        <f t="shared" si="26"/>
        <v>6.0488570247846525</v>
      </c>
      <c r="I57" s="704">
        <f t="shared" si="26"/>
        <v>3.0244285123923262</v>
      </c>
      <c r="J57" s="643">
        <f t="shared" si="26"/>
        <v>3.0244285123923262</v>
      </c>
      <c r="K57" s="467">
        <f t="shared" si="26"/>
        <v>12.097714049569305</v>
      </c>
      <c r="L57" s="467">
        <f t="shared" si="26"/>
        <v>12.134007191718014</v>
      </c>
      <c r="M57" s="467">
        <f t="shared" si="26"/>
        <v>12.170409213293166</v>
      </c>
      <c r="N57" s="467">
        <f t="shared" si="26"/>
        <v>12.206920440933045</v>
      </c>
      <c r="O57" s="467">
        <f t="shared" si="26"/>
        <v>12.243541202255841</v>
      </c>
      <c r="P57" s="467">
        <f t="shared" si="26"/>
        <v>31.603793384479044</v>
      </c>
      <c r="Q57" s="468">
        <f t="shared" si="26"/>
        <v>31.698604764632474</v>
      </c>
    </row>
    <row r="58" spans="1:18" s="20" customFormat="1" ht="13.15">
      <c r="A58" s="450" t="s">
        <v>118</v>
      </c>
      <c r="B58" s="705">
        <v>503.49204099999997</v>
      </c>
      <c r="C58" s="705">
        <f>B58</f>
        <v>503.49204099999997</v>
      </c>
      <c r="D58" s="705">
        <f>C58</f>
        <v>503.49204099999997</v>
      </c>
      <c r="E58" s="705">
        <f>D58</f>
        <v>503.49204099999997</v>
      </c>
      <c r="F58" s="705">
        <f>E58</f>
        <v>503.49204099999997</v>
      </c>
      <c r="G58" s="705">
        <f>K58</f>
        <v>505.0025171229999</v>
      </c>
      <c r="H58" s="705">
        <f t="shared" ref="H58:J59" si="27">G58</f>
        <v>505.0025171229999</v>
      </c>
      <c r="I58" s="705">
        <f t="shared" si="27"/>
        <v>505.0025171229999</v>
      </c>
      <c r="J58" s="423">
        <f t="shared" si="27"/>
        <v>505.0025171229999</v>
      </c>
      <c r="K58" s="423">
        <f>F58*1.003</f>
        <v>505.0025171229999</v>
      </c>
      <c r="L58" s="423">
        <f t="shared" ref="L58:Q58" si="28">K58*1.003</f>
        <v>506.51752467436887</v>
      </c>
      <c r="M58" s="423">
        <f t="shared" si="28"/>
        <v>508.03707724839194</v>
      </c>
      <c r="N58" s="423">
        <f t="shared" si="28"/>
        <v>509.56118848013705</v>
      </c>
      <c r="O58" s="423">
        <f t="shared" si="28"/>
        <v>511.08987204557741</v>
      </c>
      <c r="P58" s="423">
        <f t="shared" si="28"/>
        <v>512.62314166171404</v>
      </c>
      <c r="Q58" s="451">
        <f t="shared" si="28"/>
        <v>514.16101108669909</v>
      </c>
    </row>
    <row r="59" spans="1:18" s="21" customFormat="1" ht="13.15">
      <c r="A59" s="452" t="s">
        <v>273</v>
      </c>
      <c r="B59" s="706">
        <f>B19</f>
        <v>4.5000000000000003E-5</v>
      </c>
      <c r="C59" s="706">
        <f>B59</f>
        <v>4.5000000000000003E-5</v>
      </c>
      <c r="D59" s="706">
        <f t="shared" ref="D59:Q59" si="29">C59</f>
        <v>4.5000000000000003E-5</v>
      </c>
      <c r="E59" s="706">
        <f t="shared" si="29"/>
        <v>4.5000000000000003E-5</v>
      </c>
      <c r="F59" s="706">
        <f t="shared" si="29"/>
        <v>4.5000000000000003E-5</v>
      </c>
      <c r="G59" s="706">
        <f>F59</f>
        <v>4.5000000000000003E-5</v>
      </c>
      <c r="H59" s="706">
        <f t="shared" si="27"/>
        <v>4.5000000000000003E-5</v>
      </c>
      <c r="I59" s="706">
        <f t="shared" si="27"/>
        <v>4.5000000000000003E-5</v>
      </c>
      <c r="J59" s="667">
        <f t="shared" si="27"/>
        <v>4.5000000000000003E-5</v>
      </c>
      <c r="K59" s="424">
        <f>F59</f>
        <v>4.5000000000000003E-5</v>
      </c>
      <c r="L59" s="424">
        <f t="shared" si="29"/>
        <v>4.5000000000000003E-5</v>
      </c>
      <c r="M59" s="424">
        <f t="shared" si="29"/>
        <v>4.5000000000000003E-5</v>
      </c>
      <c r="N59" s="424">
        <f t="shared" si="29"/>
        <v>4.5000000000000003E-5</v>
      </c>
      <c r="O59" s="424">
        <f t="shared" si="29"/>
        <v>4.5000000000000003E-5</v>
      </c>
      <c r="P59" s="424">
        <f t="shared" si="29"/>
        <v>4.5000000000000003E-5</v>
      </c>
      <c r="Q59" s="453">
        <f t="shared" si="29"/>
        <v>4.5000000000000003E-5</v>
      </c>
    </row>
    <row r="60" spans="1:18" s="20" customFormat="1" ht="13.15">
      <c r="A60" s="450" t="s">
        <v>278</v>
      </c>
      <c r="B60" s="707">
        <f t="shared" ref="B60:Q60" si="30">B58*B59*1000000</f>
        <v>22657.141844999998</v>
      </c>
      <c r="C60" s="707">
        <f t="shared" si="30"/>
        <v>22657.141844999998</v>
      </c>
      <c r="D60" s="707">
        <f t="shared" si="30"/>
        <v>22657.141844999998</v>
      </c>
      <c r="E60" s="707">
        <f t="shared" si="30"/>
        <v>22657.141844999998</v>
      </c>
      <c r="F60" s="707">
        <f t="shared" si="30"/>
        <v>22657.141844999998</v>
      </c>
      <c r="G60" s="707">
        <f t="shared" si="30"/>
        <v>22725.113270534999</v>
      </c>
      <c r="H60" s="707">
        <f t="shared" si="30"/>
        <v>22725.113270534999</v>
      </c>
      <c r="I60" s="707">
        <f t="shared" si="30"/>
        <v>22725.113270534999</v>
      </c>
      <c r="J60" s="668">
        <f t="shared" si="30"/>
        <v>22725.113270534999</v>
      </c>
      <c r="K60" s="425">
        <f t="shared" si="30"/>
        <v>22725.113270534999</v>
      </c>
      <c r="L60" s="425">
        <f t="shared" si="30"/>
        <v>22793.288610346601</v>
      </c>
      <c r="M60" s="425">
        <f t="shared" si="30"/>
        <v>22861.668476177638</v>
      </c>
      <c r="N60" s="425">
        <f t="shared" si="30"/>
        <v>22930.253481606171</v>
      </c>
      <c r="O60" s="425">
        <f t="shared" si="30"/>
        <v>22999.044242050983</v>
      </c>
      <c r="P60" s="425">
        <f t="shared" si="30"/>
        <v>23068.041374777134</v>
      </c>
      <c r="Q60" s="454">
        <f t="shared" si="30"/>
        <v>23137.245498901459</v>
      </c>
    </row>
    <row r="61" spans="1:18" s="20" customFormat="1" ht="12.75" customHeight="1">
      <c r="A61" s="452"/>
      <c r="B61" s="708"/>
      <c r="C61" s="708"/>
      <c r="D61" s="708"/>
      <c r="E61" s="708"/>
      <c r="F61" s="709"/>
      <c r="G61" s="709"/>
      <c r="H61" s="709"/>
      <c r="I61" s="709"/>
      <c r="Q61" s="455"/>
    </row>
    <row r="62" spans="1:18" s="374" customFormat="1" ht="13.15">
      <c r="A62" s="456" t="s">
        <v>223</v>
      </c>
      <c r="B62" s="710">
        <v>5.0000000000000001E-3</v>
      </c>
      <c r="C62" s="710">
        <f>B62</f>
        <v>5.0000000000000001E-3</v>
      </c>
      <c r="D62" s="710">
        <f t="shared" ref="D62:Q62" si="31">C62</f>
        <v>5.0000000000000001E-3</v>
      </c>
      <c r="E62" s="710">
        <f t="shared" si="31"/>
        <v>5.0000000000000001E-3</v>
      </c>
      <c r="F62" s="710">
        <f t="shared" si="31"/>
        <v>5.0000000000000001E-3</v>
      </c>
      <c r="G62" s="710">
        <f>F62</f>
        <v>5.0000000000000001E-3</v>
      </c>
      <c r="H62" s="710">
        <f>G62</f>
        <v>5.0000000000000001E-3</v>
      </c>
      <c r="I62" s="969">
        <v>2.5000000000000001E-3</v>
      </c>
      <c r="J62" s="816">
        <f>I62</f>
        <v>2.5000000000000001E-3</v>
      </c>
      <c r="K62" s="817">
        <v>2.5000000000000001E-3</v>
      </c>
      <c r="L62" s="817">
        <f t="shared" si="31"/>
        <v>2.5000000000000001E-3</v>
      </c>
      <c r="M62" s="817">
        <f t="shared" si="31"/>
        <v>2.5000000000000001E-3</v>
      </c>
      <c r="N62" s="817">
        <f t="shared" si="31"/>
        <v>2.5000000000000001E-3</v>
      </c>
      <c r="O62" s="817">
        <f t="shared" si="31"/>
        <v>2.5000000000000001E-3</v>
      </c>
      <c r="P62" s="817">
        <f t="shared" si="31"/>
        <v>2.5000000000000001E-3</v>
      </c>
      <c r="Q62" s="818">
        <f t="shared" si="31"/>
        <v>2.5000000000000001E-3</v>
      </c>
    </row>
    <row r="63" spans="1:18" s="20" customFormat="1" ht="13.15">
      <c r="A63" s="450" t="s">
        <v>224</v>
      </c>
      <c r="B63" s="711">
        <f t="shared" ref="B63:Q63" si="32">B62*B60</f>
        <v>113.28570922499999</v>
      </c>
      <c r="C63" s="711">
        <f t="shared" si="32"/>
        <v>113.28570922499999</v>
      </c>
      <c r="D63" s="711">
        <f t="shared" si="32"/>
        <v>113.28570922499999</v>
      </c>
      <c r="E63" s="711">
        <f t="shared" si="32"/>
        <v>113.28570922499999</v>
      </c>
      <c r="F63" s="711">
        <f t="shared" si="32"/>
        <v>113.28570922499999</v>
      </c>
      <c r="G63" s="711">
        <f t="shared" si="32"/>
        <v>113.62556635267499</v>
      </c>
      <c r="H63" s="711">
        <f t="shared" si="32"/>
        <v>113.62556635267499</v>
      </c>
      <c r="I63" s="711">
        <f t="shared" si="32"/>
        <v>56.812783176337497</v>
      </c>
      <c r="J63" s="669">
        <f t="shared" si="32"/>
        <v>56.812783176337497</v>
      </c>
      <c r="K63" s="427">
        <f t="shared" si="32"/>
        <v>56.812783176337497</v>
      </c>
      <c r="L63" s="427">
        <f t="shared" si="32"/>
        <v>56.983221525866504</v>
      </c>
      <c r="M63" s="427">
        <f t="shared" si="32"/>
        <v>57.154171190444096</v>
      </c>
      <c r="N63" s="427">
        <f t="shared" si="32"/>
        <v>57.325633704015431</v>
      </c>
      <c r="O63" s="427">
        <f t="shared" si="32"/>
        <v>57.497610605127456</v>
      </c>
      <c r="P63" s="427">
        <f t="shared" si="32"/>
        <v>57.670103436942838</v>
      </c>
      <c r="Q63" s="458">
        <f t="shared" si="32"/>
        <v>57.843113747253646</v>
      </c>
    </row>
    <row r="64" spans="1:18" s="20" customFormat="1" ht="13.15">
      <c r="A64" s="450" t="s">
        <v>276</v>
      </c>
      <c r="B64" s="712">
        <f>F64/4</f>
        <v>25.3125</v>
      </c>
      <c r="C64" s="712">
        <f>B64</f>
        <v>25.3125</v>
      </c>
      <c r="D64" s="712">
        <f>C64</f>
        <v>25.3125</v>
      </c>
      <c r="E64" s="712">
        <f>D64</f>
        <v>25.3125</v>
      </c>
      <c r="F64" s="713">
        <f>F24*0.75</f>
        <v>101.25</v>
      </c>
      <c r="G64" s="713">
        <f>E64</f>
        <v>25.3125</v>
      </c>
      <c r="H64" s="713">
        <f>G64</f>
        <v>25.3125</v>
      </c>
      <c r="I64" s="713">
        <f>H64</f>
        <v>25.3125</v>
      </c>
      <c r="J64" s="428">
        <f>I64</f>
        <v>25.3125</v>
      </c>
      <c r="K64" s="364">
        <f>F64*(1+K65)</f>
        <v>101.25</v>
      </c>
      <c r="L64" s="364">
        <f t="shared" ref="L64:Q64" si="33">K64*(1+L65)</f>
        <v>101.25</v>
      </c>
      <c r="M64" s="364">
        <f t="shared" si="33"/>
        <v>101.25</v>
      </c>
      <c r="N64" s="364">
        <f t="shared" si="33"/>
        <v>101.25</v>
      </c>
      <c r="O64" s="364">
        <f t="shared" si="33"/>
        <v>101.25</v>
      </c>
      <c r="P64" s="364">
        <f t="shared" si="33"/>
        <v>101.25</v>
      </c>
      <c r="Q64" s="459">
        <f t="shared" si="33"/>
        <v>101.25</v>
      </c>
    </row>
    <row r="65" spans="1:18" s="21" customFormat="1" ht="13.15">
      <c r="A65" s="460" t="s">
        <v>187</v>
      </c>
      <c r="B65" s="714"/>
      <c r="C65" s="714"/>
      <c r="D65" s="714"/>
      <c r="E65" s="714"/>
      <c r="F65" s="714"/>
      <c r="G65" s="714"/>
      <c r="H65" s="714"/>
      <c r="I65" s="714"/>
      <c r="J65" s="429"/>
      <c r="K65" s="430">
        <v>0</v>
      </c>
      <c r="L65" s="430">
        <f t="shared" ref="L65:Q65" si="34">K65</f>
        <v>0</v>
      </c>
      <c r="M65" s="430">
        <f t="shared" si="34"/>
        <v>0</v>
      </c>
      <c r="N65" s="430">
        <f t="shared" si="34"/>
        <v>0</v>
      </c>
      <c r="O65" s="430">
        <f t="shared" si="34"/>
        <v>0</v>
      </c>
      <c r="P65" s="430">
        <f t="shared" si="34"/>
        <v>0</v>
      </c>
      <c r="Q65" s="461">
        <f t="shared" si="34"/>
        <v>0</v>
      </c>
      <c r="R65" s="430"/>
    </row>
    <row r="66" spans="1:18" s="362" customFormat="1" ht="13.15">
      <c r="A66" s="471" t="s">
        <v>105</v>
      </c>
      <c r="B66" s="715">
        <f>B64*B63/1000</f>
        <v>2.867544514757812</v>
      </c>
      <c r="C66" s="715">
        <f t="shared" ref="C66:Q66" si="35">C64*C63/1000</f>
        <v>2.867544514757812</v>
      </c>
      <c r="D66" s="715">
        <f t="shared" si="35"/>
        <v>2.867544514757812</v>
      </c>
      <c r="E66" s="715">
        <f t="shared" si="35"/>
        <v>2.867544514757812</v>
      </c>
      <c r="F66" s="715">
        <f t="shared" si="35"/>
        <v>11.470178059031248</v>
      </c>
      <c r="G66" s="715">
        <f t="shared" si="35"/>
        <v>2.8761471483020857</v>
      </c>
      <c r="H66" s="715">
        <f t="shared" si="35"/>
        <v>2.8761471483020857</v>
      </c>
      <c r="I66" s="715">
        <f t="shared" si="35"/>
        <v>1.4380735741510429</v>
      </c>
      <c r="J66" s="671">
        <f t="shared" si="35"/>
        <v>1.4380735741510429</v>
      </c>
      <c r="K66" s="472">
        <f t="shared" si="35"/>
        <v>5.7522942966041715</v>
      </c>
      <c r="L66" s="472">
        <f t="shared" si="35"/>
        <v>5.769551179493984</v>
      </c>
      <c r="M66" s="472">
        <f t="shared" si="35"/>
        <v>5.786859833032465</v>
      </c>
      <c r="N66" s="472">
        <f t="shared" si="35"/>
        <v>5.8042204125315617</v>
      </c>
      <c r="O66" s="472">
        <f t="shared" si="35"/>
        <v>5.8216330737691555</v>
      </c>
      <c r="P66" s="472">
        <f t="shared" si="35"/>
        <v>5.8390979729904622</v>
      </c>
      <c r="Q66" s="473">
        <f t="shared" si="35"/>
        <v>5.856615266909432</v>
      </c>
    </row>
    <row r="67" spans="1:18" s="20" customFormat="1" ht="13.15">
      <c r="A67" s="464"/>
      <c r="B67" s="716"/>
      <c r="C67" s="716"/>
      <c r="D67" s="716"/>
      <c r="E67" s="716"/>
      <c r="F67" s="709"/>
      <c r="G67" s="709"/>
      <c r="H67" s="709"/>
      <c r="I67" s="709"/>
      <c r="Q67" s="455"/>
    </row>
    <row r="68" spans="1:18" s="374" customFormat="1" ht="13.15">
      <c r="A68" s="456" t="s">
        <v>226</v>
      </c>
      <c r="B68" s="710">
        <v>5.0000000000000001E-3</v>
      </c>
      <c r="C68" s="710">
        <f>B68</f>
        <v>5.0000000000000001E-3</v>
      </c>
      <c r="D68" s="710">
        <f>C68</f>
        <v>5.0000000000000001E-3</v>
      </c>
      <c r="E68" s="710">
        <f>D68</f>
        <v>5.0000000000000001E-3</v>
      </c>
      <c r="F68" s="710">
        <f>E68</f>
        <v>5.0000000000000001E-3</v>
      </c>
      <c r="G68" s="710">
        <f>E68</f>
        <v>5.0000000000000001E-3</v>
      </c>
      <c r="H68" s="710">
        <f t="shared" ref="H68:O68" si="36">G68</f>
        <v>5.0000000000000001E-3</v>
      </c>
      <c r="I68" s="969">
        <v>2.5000000000000001E-3</v>
      </c>
      <c r="J68" s="816">
        <f t="shared" si="36"/>
        <v>2.5000000000000001E-3</v>
      </c>
      <c r="K68" s="817">
        <f t="shared" si="36"/>
        <v>2.5000000000000001E-3</v>
      </c>
      <c r="L68" s="817">
        <f t="shared" si="36"/>
        <v>2.5000000000000001E-3</v>
      </c>
      <c r="M68" s="817">
        <f t="shared" si="36"/>
        <v>2.5000000000000001E-3</v>
      </c>
      <c r="N68" s="817">
        <f t="shared" si="36"/>
        <v>2.5000000000000001E-3</v>
      </c>
      <c r="O68" s="817">
        <f t="shared" si="36"/>
        <v>2.5000000000000001E-3</v>
      </c>
      <c r="P68" s="817">
        <v>0.01</v>
      </c>
      <c r="Q68" s="818">
        <f>P68</f>
        <v>0.01</v>
      </c>
    </row>
    <row r="69" spans="1:18" s="20" customFormat="1" ht="13.15">
      <c r="A69" s="450" t="s">
        <v>227</v>
      </c>
      <c r="B69" s="711">
        <f t="shared" ref="B69:Q69" si="37">B68*B60</f>
        <v>113.28570922499999</v>
      </c>
      <c r="C69" s="711">
        <f t="shared" si="37"/>
        <v>113.28570922499999</v>
      </c>
      <c r="D69" s="711">
        <f t="shared" si="37"/>
        <v>113.28570922499999</v>
      </c>
      <c r="E69" s="711">
        <f t="shared" si="37"/>
        <v>113.28570922499999</v>
      </c>
      <c r="F69" s="711">
        <f t="shared" si="37"/>
        <v>113.28570922499999</v>
      </c>
      <c r="G69" s="711">
        <f t="shared" si="37"/>
        <v>113.62556635267499</v>
      </c>
      <c r="H69" s="711">
        <f t="shared" si="37"/>
        <v>113.62556635267499</v>
      </c>
      <c r="I69" s="711">
        <f t="shared" si="37"/>
        <v>56.812783176337497</v>
      </c>
      <c r="J69" s="669">
        <f t="shared" si="37"/>
        <v>56.812783176337497</v>
      </c>
      <c r="K69" s="427">
        <f t="shared" si="37"/>
        <v>56.812783176337497</v>
      </c>
      <c r="L69" s="427">
        <f t="shared" si="37"/>
        <v>56.983221525866504</v>
      </c>
      <c r="M69" s="427">
        <f t="shared" si="37"/>
        <v>57.154171190444096</v>
      </c>
      <c r="N69" s="427">
        <f t="shared" si="37"/>
        <v>57.325633704015431</v>
      </c>
      <c r="O69" s="427">
        <f t="shared" si="37"/>
        <v>57.497610605127456</v>
      </c>
      <c r="P69" s="427">
        <f t="shared" si="37"/>
        <v>230.68041374777135</v>
      </c>
      <c r="Q69" s="458">
        <f t="shared" si="37"/>
        <v>231.37245498901459</v>
      </c>
    </row>
    <row r="70" spans="1:18" s="20" customFormat="1" ht="13.15">
      <c r="A70" s="450" t="s">
        <v>228</v>
      </c>
      <c r="B70" s="712">
        <f>F70/4</f>
        <v>27.922499999999999</v>
      </c>
      <c r="C70" s="712">
        <f>B70</f>
        <v>27.922499999999999</v>
      </c>
      <c r="D70" s="712">
        <f>C70</f>
        <v>27.922499999999999</v>
      </c>
      <c r="E70" s="712">
        <f>D70</f>
        <v>27.922499999999999</v>
      </c>
      <c r="F70" s="713">
        <f>F30*0.75</f>
        <v>111.69</v>
      </c>
      <c r="G70" s="713">
        <f>G30*0.75</f>
        <v>27.922499999999999</v>
      </c>
      <c r="H70" s="713">
        <f>H30*0.75</f>
        <v>27.922499999999999</v>
      </c>
      <c r="I70" s="713">
        <f>I30*0.75</f>
        <v>27.922499999999999</v>
      </c>
      <c r="J70" s="670">
        <f>J30*0.75</f>
        <v>27.922499999999999</v>
      </c>
      <c r="K70" s="364">
        <f>F70*(1+K71)</f>
        <v>111.69</v>
      </c>
      <c r="L70" s="364">
        <f t="shared" ref="L70:Q70" si="38">K70*(1+L71)</f>
        <v>111.69</v>
      </c>
      <c r="M70" s="364">
        <f t="shared" si="38"/>
        <v>111.69</v>
      </c>
      <c r="N70" s="364">
        <f t="shared" si="38"/>
        <v>111.69</v>
      </c>
      <c r="O70" s="364">
        <f t="shared" si="38"/>
        <v>111.69</v>
      </c>
      <c r="P70" s="364">
        <f t="shared" si="38"/>
        <v>111.69</v>
      </c>
      <c r="Q70" s="459">
        <f t="shared" si="38"/>
        <v>111.69</v>
      </c>
    </row>
    <row r="71" spans="1:18" s="21" customFormat="1" ht="13.15">
      <c r="A71" s="460" t="s">
        <v>187</v>
      </c>
      <c r="B71" s="714"/>
      <c r="C71" s="714"/>
      <c r="D71" s="714"/>
      <c r="E71" s="714"/>
      <c r="F71" s="714"/>
      <c r="G71" s="714"/>
      <c r="H71" s="714"/>
      <c r="I71" s="714"/>
      <c r="J71" s="429"/>
      <c r="K71" s="430">
        <v>0</v>
      </c>
      <c r="L71" s="430">
        <f t="shared" ref="L71:Q71" si="39">K71</f>
        <v>0</v>
      </c>
      <c r="M71" s="430">
        <f t="shared" si="39"/>
        <v>0</v>
      </c>
      <c r="N71" s="430">
        <f t="shared" si="39"/>
        <v>0</v>
      </c>
      <c r="O71" s="430">
        <f t="shared" si="39"/>
        <v>0</v>
      </c>
      <c r="P71" s="430">
        <f t="shared" si="39"/>
        <v>0</v>
      </c>
      <c r="Q71" s="461">
        <f t="shared" si="39"/>
        <v>0</v>
      </c>
      <c r="R71" s="430"/>
    </row>
    <row r="72" spans="1:18" s="362" customFormat="1" ht="13.15">
      <c r="A72" s="474" t="s">
        <v>104</v>
      </c>
      <c r="B72" s="718">
        <f>B70*B69/1000</f>
        <v>3.1632202158350622</v>
      </c>
      <c r="C72" s="718">
        <f t="shared" ref="C72:Q72" si="40">C70*C69/1000</f>
        <v>3.1632202158350622</v>
      </c>
      <c r="D72" s="718">
        <f t="shared" si="40"/>
        <v>3.1632202158350622</v>
      </c>
      <c r="E72" s="718">
        <f t="shared" si="40"/>
        <v>3.1632202158350622</v>
      </c>
      <c r="F72" s="718">
        <f t="shared" si="40"/>
        <v>12.652880863340249</v>
      </c>
      <c r="G72" s="718">
        <f t="shared" si="40"/>
        <v>3.1727098764825672</v>
      </c>
      <c r="H72" s="718">
        <f t="shared" si="40"/>
        <v>3.1727098764825672</v>
      </c>
      <c r="I72" s="718">
        <f t="shared" si="40"/>
        <v>1.5863549382412836</v>
      </c>
      <c r="J72" s="672">
        <f t="shared" si="40"/>
        <v>1.5863549382412836</v>
      </c>
      <c r="K72" s="475">
        <f t="shared" si="40"/>
        <v>6.3454197529651344</v>
      </c>
      <c r="L72" s="475">
        <f t="shared" si="40"/>
        <v>6.3644560122240303</v>
      </c>
      <c r="M72" s="475">
        <f t="shared" si="40"/>
        <v>6.3835493802607006</v>
      </c>
      <c r="N72" s="475">
        <f t="shared" si="40"/>
        <v>6.4027000284014832</v>
      </c>
      <c r="O72" s="475">
        <f t="shared" si="40"/>
        <v>6.4219081284866855</v>
      </c>
      <c r="P72" s="475">
        <f t="shared" si="40"/>
        <v>25.764695411488582</v>
      </c>
      <c r="Q72" s="476">
        <f t="shared" si="40"/>
        <v>25.841989497723041</v>
      </c>
    </row>
    <row r="73" spans="1:18">
      <c r="A73" s="973" t="s">
        <v>63</v>
      </c>
      <c r="Q73" s="504"/>
    </row>
    <row r="74" spans="1:18" s="374" customFormat="1" ht="13.15" outlineLevel="1">
      <c r="A74" s="490" t="s">
        <v>97</v>
      </c>
      <c r="B74" s="728">
        <v>0</v>
      </c>
      <c r="C74" s="728">
        <v>0</v>
      </c>
      <c r="D74" s="728">
        <v>0</v>
      </c>
      <c r="E74" s="728">
        <v>0</v>
      </c>
      <c r="F74" s="728">
        <f>AVERAGE(B74:E74)</f>
        <v>0</v>
      </c>
      <c r="G74" s="728">
        <f>AVERAGE(C74:F74)</f>
        <v>0</v>
      </c>
      <c r="H74" s="728">
        <f>AVERAGE(D74:G74)</f>
        <v>0</v>
      </c>
      <c r="I74" s="728">
        <f>AVERAGE(E74:H74)</f>
        <v>0</v>
      </c>
      <c r="J74" s="491">
        <f>AVERAGE(F74:I74)</f>
        <v>0</v>
      </c>
      <c r="K74" s="491">
        <v>0</v>
      </c>
      <c r="L74" s="491">
        <v>0</v>
      </c>
      <c r="M74" s="491">
        <v>0</v>
      </c>
      <c r="N74" s="491">
        <f>N48</f>
        <v>0.03</v>
      </c>
      <c r="O74" s="491">
        <f>O48</f>
        <v>0.09</v>
      </c>
      <c r="P74" s="491">
        <f>P48</f>
        <v>0.18</v>
      </c>
      <c r="Q74" s="492">
        <f>Q48</f>
        <v>0.21</v>
      </c>
    </row>
    <row r="75" spans="1:18" s="374" customFormat="1" ht="13.15" outlineLevel="1">
      <c r="A75" s="493" t="s">
        <v>101</v>
      </c>
      <c r="B75" s="720">
        <f t="shared" ref="B75:M75" si="41">B74*B72</f>
        <v>0</v>
      </c>
      <c r="C75" s="720">
        <f t="shared" si="41"/>
        <v>0</v>
      </c>
      <c r="D75" s="720">
        <f t="shared" si="41"/>
        <v>0</v>
      </c>
      <c r="E75" s="720">
        <f t="shared" si="41"/>
        <v>0</v>
      </c>
      <c r="F75" s="720">
        <f t="shared" si="41"/>
        <v>0</v>
      </c>
      <c r="G75" s="720">
        <f t="shared" si="41"/>
        <v>0</v>
      </c>
      <c r="H75" s="720">
        <f t="shared" si="41"/>
        <v>0</v>
      </c>
      <c r="I75" s="720">
        <f t="shared" si="41"/>
        <v>0</v>
      </c>
      <c r="J75" s="431">
        <f t="shared" si="41"/>
        <v>0</v>
      </c>
      <c r="K75" s="431">
        <f t="shared" si="41"/>
        <v>0</v>
      </c>
      <c r="L75" s="431">
        <f t="shared" si="41"/>
        <v>0</v>
      </c>
      <c r="M75" s="431">
        <f t="shared" si="41"/>
        <v>0</v>
      </c>
      <c r="N75" s="431">
        <f>N74*N60</f>
        <v>687.90760444818511</v>
      </c>
      <c r="O75" s="431">
        <f>O74*O60</f>
        <v>2069.9139817845885</v>
      </c>
      <c r="P75" s="431">
        <f>P74*P60</f>
        <v>4152.2474474598839</v>
      </c>
      <c r="Q75" s="494">
        <f>Q74*Q60</f>
        <v>4858.8215547693062</v>
      </c>
    </row>
    <row r="76" spans="1:18" s="374" customFormat="1" ht="13.15" outlineLevel="1">
      <c r="A76" s="493" t="s">
        <v>100</v>
      </c>
      <c r="B76" s="721"/>
      <c r="C76" s="721"/>
      <c r="D76" s="721"/>
      <c r="E76" s="721"/>
      <c r="F76" s="721"/>
      <c r="G76" s="721"/>
      <c r="H76" s="721"/>
      <c r="I76" s="721"/>
      <c r="J76" s="432"/>
      <c r="K76" s="432"/>
      <c r="L76" s="432"/>
      <c r="M76" s="432"/>
      <c r="N76" s="432">
        <f>N50*0.75</f>
        <v>150</v>
      </c>
      <c r="O76" s="432">
        <f>N76*(1+O77)</f>
        <v>150</v>
      </c>
      <c r="P76" s="432">
        <f>O76*(1+P77)</f>
        <v>150</v>
      </c>
      <c r="Q76" s="495">
        <f>P76*(1+Q77)</f>
        <v>150</v>
      </c>
    </row>
    <row r="77" spans="1:18" s="393" customFormat="1" ht="13.15" outlineLevel="1">
      <c r="A77" s="496" t="s">
        <v>187</v>
      </c>
      <c r="B77" s="722"/>
      <c r="C77" s="722"/>
      <c r="D77" s="722"/>
      <c r="E77" s="722"/>
      <c r="F77" s="722"/>
      <c r="G77" s="722"/>
      <c r="H77" s="722"/>
      <c r="I77" s="722"/>
      <c r="J77" s="433"/>
      <c r="K77" s="434"/>
      <c r="L77" s="434"/>
      <c r="M77" s="434"/>
      <c r="N77" s="434"/>
      <c r="O77" s="434">
        <v>0</v>
      </c>
      <c r="P77" s="434">
        <f>O77</f>
        <v>0</v>
      </c>
      <c r="Q77" s="497">
        <f>P77</f>
        <v>0</v>
      </c>
      <c r="R77" s="434"/>
    </row>
    <row r="78" spans="1:18" s="435" customFormat="1" ht="13.15" outlineLevel="1">
      <c r="A78" s="498" t="s">
        <v>103</v>
      </c>
      <c r="B78" s="729">
        <f>B76*B75/1000</f>
        <v>0</v>
      </c>
      <c r="C78" s="729">
        <f t="shared" ref="C78:M78" si="42">C76*C75/1000</f>
        <v>0</v>
      </c>
      <c r="D78" s="729">
        <f t="shared" si="42"/>
        <v>0</v>
      </c>
      <c r="E78" s="729">
        <f t="shared" si="42"/>
        <v>0</v>
      </c>
      <c r="F78" s="729">
        <f t="shared" si="42"/>
        <v>0</v>
      </c>
      <c r="G78" s="729">
        <f t="shared" si="42"/>
        <v>0</v>
      </c>
      <c r="H78" s="729">
        <f t="shared" si="42"/>
        <v>0</v>
      </c>
      <c r="I78" s="729">
        <f t="shared" si="42"/>
        <v>0</v>
      </c>
      <c r="J78" s="499">
        <f t="shared" si="42"/>
        <v>0</v>
      </c>
      <c r="K78" s="499">
        <f t="shared" si="42"/>
        <v>0</v>
      </c>
      <c r="L78" s="499">
        <f t="shared" si="42"/>
        <v>0</v>
      </c>
      <c r="M78" s="499">
        <f t="shared" si="42"/>
        <v>0</v>
      </c>
      <c r="N78" s="499">
        <f>N53*N76*N75/1000</f>
        <v>0</v>
      </c>
      <c r="O78" s="499">
        <f>O53*O76*O75/1000</f>
        <v>0</v>
      </c>
      <c r="P78" s="499">
        <f>P53*P76*P75/1000</f>
        <v>0</v>
      </c>
      <c r="Q78" s="500">
        <f>Q53*Q76*Q75/1000</f>
        <v>0</v>
      </c>
    </row>
    <row r="81" spans="1:18" ht="15.75" thickBot="1"/>
    <row r="82" spans="1:18" s="421" customFormat="1" ht="14.65" thickBot="1">
      <c r="A82" s="466" t="s">
        <v>102</v>
      </c>
      <c r="B82" s="704">
        <f>B98</f>
        <v>0</v>
      </c>
      <c r="C82" s="704">
        <f t="shared" ref="C82:Q82" si="43">C98</f>
        <v>0</v>
      </c>
      <c r="D82" s="704">
        <f t="shared" si="43"/>
        <v>0</v>
      </c>
      <c r="E82" s="704">
        <f t="shared" si="43"/>
        <v>0</v>
      </c>
      <c r="F82" s="704">
        <f t="shared" si="43"/>
        <v>0</v>
      </c>
      <c r="G82" s="730"/>
      <c r="H82" s="730"/>
      <c r="I82" s="730"/>
      <c r="J82" s="673"/>
      <c r="K82" s="467">
        <f t="shared" si="43"/>
        <v>0</v>
      </c>
      <c r="L82" s="467">
        <f t="shared" si="43"/>
        <v>14.074286284799996</v>
      </c>
      <c r="M82" s="467">
        <f t="shared" si="43"/>
        <v>21.216986574335991</v>
      </c>
      <c r="N82" s="467">
        <f t="shared" si="43"/>
        <v>49.753833516817892</v>
      </c>
      <c r="O82" s="467">
        <f t="shared" si="43"/>
        <v>57.145831639316555</v>
      </c>
      <c r="P82" s="467">
        <f t="shared" si="43"/>
        <v>57.431560797513114</v>
      </c>
      <c r="Q82" s="468">
        <f t="shared" si="43"/>
        <v>57.71871860150069</v>
      </c>
    </row>
    <row r="83" spans="1:18" s="20" customFormat="1" ht="13.15">
      <c r="A83" s="456" t="s">
        <v>93</v>
      </c>
      <c r="B83" s="731">
        <v>1344</v>
      </c>
      <c r="C83" s="731">
        <f>B83</f>
        <v>1344</v>
      </c>
      <c r="D83" s="731">
        <f>C83</f>
        <v>1344</v>
      </c>
      <c r="E83" s="731">
        <f>D83</f>
        <v>1344</v>
      </c>
      <c r="F83" s="731">
        <f>E83</f>
        <v>1344</v>
      </c>
      <c r="G83" s="732"/>
      <c r="H83" s="732"/>
      <c r="I83" s="732"/>
      <c r="J83" s="674"/>
      <c r="K83" s="439">
        <f>F83*1.005</f>
        <v>1350.7199999999998</v>
      </c>
      <c r="L83" s="439">
        <f t="shared" ref="L83:Q83" si="44">K83*1.005</f>
        <v>1357.4735999999996</v>
      </c>
      <c r="M83" s="439">
        <f t="shared" si="44"/>
        <v>1364.2609679999994</v>
      </c>
      <c r="N83" s="439">
        <f t="shared" si="44"/>
        <v>1371.0822728399992</v>
      </c>
      <c r="O83" s="439">
        <f t="shared" si="44"/>
        <v>1377.9376842041991</v>
      </c>
      <c r="P83" s="439">
        <f t="shared" si="44"/>
        <v>1384.8273726252198</v>
      </c>
      <c r="Q83" s="505">
        <f t="shared" si="44"/>
        <v>1391.7515094883458</v>
      </c>
    </row>
    <row r="84" spans="1:18" s="21" customFormat="1" ht="13.15">
      <c r="A84" s="506" t="s">
        <v>273</v>
      </c>
      <c r="B84" s="733">
        <f>45*0.75/1000000</f>
        <v>3.375E-5</v>
      </c>
      <c r="C84" s="733">
        <f>B84</f>
        <v>3.375E-5</v>
      </c>
      <c r="D84" s="733">
        <f t="shared" ref="D84:Q84" si="45">C84</f>
        <v>3.375E-5</v>
      </c>
      <c r="E84" s="733">
        <f t="shared" si="45"/>
        <v>3.375E-5</v>
      </c>
      <c r="F84" s="733">
        <f t="shared" si="45"/>
        <v>3.375E-5</v>
      </c>
      <c r="G84" s="734"/>
      <c r="H84" s="734"/>
      <c r="I84" s="734"/>
      <c r="J84" s="675"/>
      <c r="K84" s="440">
        <f>F84</f>
        <v>3.375E-5</v>
      </c>
      <c r="L84" s="440">
        <f t="shared" si="45"/>
        <v>3.375E-5</v>
      </c>
      <c r="M84" s="440">
        <f t="shared" si="45"/>
        <v>3.375E-5</v>
      </c>
      <c r="N84" s="440">
        <f t="shared" si="45"/>
        <v>3.375E-5</v>
      </c>
      <c r="O84" s="440">
        <f t="shared" si="45"/>
        <v>3.375E-5</v>
      </c>
      <c r="P84" s="440">
        <f t="shared" si="45"/>
        <v>3.375E-5</v>
      </c>
      <c r="Q84" s="507">
        <f t="shared" si="45"/>
        <v>3.375E-5</v>
      </c>
    </row>
    <row r="85" spans="1:18" s="20" customFormat="1" ht="13.15">
      <c r="A85" s="456" t="s">
        <v>278</v>
      </c>
      <c r="B85" s="735">
        <f t="shared" ref="B85:Q85" si="46">B83*B84*1000000</f>
        <v>45360</v>
      </c>
      <c r="C85" s="735">
        <f t="shared" si="46"/>
        <v>45360</v>
      </c>
      <c r="D85" s="735">
        <f t="shared" si="46"/>
        <v>45360</v>
      </c>
      <c r="E85" s="735">
        <f t="shared" si="46"/>
        <v>45360</v>
      </c>
      <c r="F85" s="735">
        <f t="shared" si="46"/>
        <v>45360</v>
      </c>
      <c r="G85" s="736"/>
      <c r="H85" s="736"/>
      <c r="I85" s="736"/>
      <c r="J85" s="676"/>
      <c r="K85" s="441">
        <f t="shared" si="46"/>
        <v>45586.799999999996</v>
      </c>
      <c r="L85" s="441">
        <f t="shared" si="46"/>
        <v>45814.733999999989</v>
      </c>
      <c r="M85" s="441">
        <f t="shared" si="46"/>
        <v>46043.80766999998</v>
      </c>
      <c r="N85" s="441">
        <f t="shared" si="46"/>
        <v>46274.026708349971</v>
      </c>
      <c r="O85" s="441">
        <f t="shared" si="46"/>
        <v>46505.396841891721</v>
      </c>
      <c r="P85" s="441">
        <f t="shared" si="46"/>
        <v>46737.923826101171</v>
      </c>
      <c r="Q85" s="508">
        <f t="shared" si="46"/>
        <v>46971.613445231676</v>
      </c>
    </row>
    <row r="86" spans="1:18" s="374" customFormat="1" ht="13.15">
      <c r="A86" s="509" t="s">
        <v>126</v>
      </c>
      <c r="B86" s="737">
        <v>0</v>
      </c>
      <c r="C86" s="737">
        <v>0</v>
      </c>
      <c r="D86" s="737">
        <v>0</v>
      </c>
      <c r="E86" s="737">
        <v>0</v>
      </c>
      <c r="F86" s="737">
        <v>0</v>
      </c>
      <c r="G86" s="738"/>
      <c r="H86" s="738"/>
      <c r="I86" s="738"/>
      <c r="J86" s="677"/>
      <c r="K86" s="442">
        <v>0</v>
      </c>
      <c r="L86" s="442">
        <v>0.02</v>
      </c>
      <c r="M86" s="442">
        <v>0.03</v>
      </c>
      <c r="N86" s="442">
        <v>7.0000000000000007E-2</v>
      </c>
      <c r="O86" s="442">
        <v>0.08</v>
      </c>
      <c r="P86" s="442">
        <v>0.08</v>
      </c>
      <c r="Q86" s="510">
        <v>0.08</v>
      </c>
    </row>
    <row r="87" spans="1:18" s="20" customFormat="1" ht="13.15">
      <c r="A87" s="509" t="s">
        <v>233</v>
      </c>
      <c r="B87" s="720">
        <f>B86*B85</f>
        <v>0</v>
      </c>
      <c r="C87" s="720">
        <f t="shared" ref="C87:Q87" si="47">C86*C85</f>
        <v>0</v>
      </c>
      <c r="D87" s="720">
        <f t="shared" si="47"/>
        <v>0</v>
      </c>
      <c r="E87" s="720">
        <f t="shared" si="47"/>
        <v>0</v>
      </c>
      <c r="F87" s="720">
        <f t="shared" si="47"/>
        <v>0</v>
      </c>
      <c r="G87" s="739"/>
      <c r="H87" s="739"/>
      <c r="I87" s="739"/>
      <c r="J87" s="678"/>
      <c r="K87" s="431">
        <f t="shared" si="47"/>
        <v>0</v>
      </c>
      <c r="L87" s="431">
        <f t="shared" si="47"/>
        <v>916.29467999999986</v>
      </c>
      <c r="M87" s="431">
        <f t="shared" si="47"/>
        <v>1381.3142300999993</v>
      </c>
      <c r="N87" s="431">
        <f t="shared" si="47"/>
        <v>3239.1818695844981</v>
      </c>
      <c r="O87" s="431">
        <f t="shared" si="47"/>
        <v>3720.4317473513379</v>
      </c>
      <c r="P87" s="431">
        <f t="shared" si="47"/>
        <v>3739.0339060880938</v>
      </c>
      <c r="Q87" s="477">
        <f t="shared" si="47"/>
        <v>3757.7290756185344</v>
      </c>
    </row>
    <row r="88" spans="1:18" s="20" customFormat="1" ht="13.15">
      <c r="A88" s="456"/>
      <c r="B88" s="735"/>
      <c r="C88" s="735"/>
      <c r="D88" s="735"/>
      <c r="E88" s="735"/>
      <c r="F88" s="735"/>
      <c r="G88" s="736"/>
      <c r="H88" s="736"/>
      <c r="I88" s="736"/>
      <c r="J88" s="676"/>
      <c r="K88" s="441"/>
      <c r="L88" s="441"/>
      <c r="M88" s="441"/>
      <c r="N88" s="441"/>
      <c r="O88" s="441"/>
      <c r="P88" s="441"/>
      <c r="Q88" s="508"/>
    </row>
    <row r="89" spans="1:18" s="20" customFormat="1" ht="13.15">
      <c r="A89" s="456" t="s">
        <v>61</v>
      </c>
      <c r="B89" s="731">
        <v>155</v>
      </c>
      <c r="C89" s="731">
        <f>B89</f>
        <v>155</v>
      </c>
      <c r="D89" s="731">
        <f>C89</f>
        <v>155</v>
      </c>
      <c r="E89" s="731">
        <f>D89</f>
        <v>155</v>
      </c>
      <c r="F89" s="731">
        <f>E89</f>
        <v>155</v>
      </c>
      <c r="G89" s="732"/>
      <c r="H89" s="732"/>
      <c r="I89" s="732"/>
      <c r="J89" s="674"/>
      <c r="K89" s="439">
        <f>F89*1.005</f>
        <v>155.77499999999998</v>
      </c>
      <c r="L89" s="439">
        <f t="shared" ref="L89:Q89" si="48">K89*1.005</f>
        <v>156.55387499999995</v>
      </c>
      <c r="M89" s="439">
        <f t="shared" si="48"/>
        <v>157.33664437499993</v>
      </c>
      <c r="N89" s="439">
        <f t="shared" si="48"/>
        <v>158.12332759687493</v>
      </c>
      <c r="O89" s="439">
        <f t="shared" si="48"/>
        <v>158.91394423485929</v>
      </c>
      <c r="P89" s="439">
        <f t="shared" si="48"/>
        <v>159.70851395603356</v>
      </c>
      <c r="Q89" s="505">
        <f t="shared" si="48"/>
        <v>160.50705652581371</v>
      </c>
    </row>
    <row r="90" spans="1:18" s="21" customFormat="1" ht="13.15">
      <c r="A90" s="506" t="s">
        <v>273</v>
      </c>
      <c r="B90" s="733">
        <f>B84</f>
        <v>3.375E-5</v>
      </c>
      <c r="C90" s="733">
        <f>B90</f>
        <v>3.375E-5</v>
      </c>
      <c r="D90" s="733">
        <f t="shared" ref="D90:Q90" si="49">C90</f>
        <v>3.375E-5</v>
      </c>
      <c r="E90" s="733">
        <f t="shared" si="49"/>
        <v>3.375E-5</v>
      </c>
      <c r="F90" s="733">
        <f t="shared" si="49"/>
        <v>3.375E-5</v>
      </c>
      <c r="G90" s="734"/>
      <c r="H90" s="734"/>
      <c r="I90" s="734"/>
      <c r="J90" s="675"/>
      <c r="K90" s="440">
        <f>F90</f>
        <v>3.375E-5</v>
      </c>
      <c r="L90" s="440">
        <f t="shared" si="49"/>
        <v>3.375E-5</v>
      </c>
      <c r="M90" s="440">
        <f t="shared" si="49"/>
        <v>3.375E-5</v>
      </c>
      <c r="N90" s="440">
        <f t="shared" si="49"/>
        <v>3.375E-5</v>
      </c>
      <c r="O90" s="440">
        <f t="shared" si="49"/>
        <v>3.375E-5</v>
      </c>
      <c r="P90" s="440">
        <f t="shared" si="49"/>
        <v>3.375E-5</v>
      </c>
      <c r="Q90" s="507">
        <f t="shared" si="49"/>
        <v>3.375E-5</v>
      </c>
    </row>
    <row r="91" spans="1:18" s="20" customFormat="1" ht="13.15">
      <c r="A91" s="456" t="s">
        <v>278</v>
      </c>
      <c r="B91" s="735">
        <f t="shared" ref="B91:Q91" si="50">B89*B90*1000000</f>
        <v>5231.25</v>
      </c>
      <c r="C91" s="735">
        <f t="shared" si="50"/>
        <v>5231.25</v>
      </c>
      <c r="D91" s="735">
        <f t="shared" si="50"/>
        <v>5231.25</v>
      </c>
      <c r="E91" s="735">
        <f t="shared" si="50"/>
        <v>5231.25</v>
      </c>
      <c r="F91" s="735">
        <f t="shared" si="50"/>
        <v>5231.25</v>
      </c>
      <c r="G91" s="736"/>
      <c r="H91" s="736"/>
      <c r="I91" s="736"/>
      <c r="J91" s="676"/>
      <c r="K91" s="441">
        <f t="shared" si="50"/>
        <v>5257.4062499999991</v>
      </c>
      <c r="L91" s="441">
        <f t="shared" si="50"/>
        <v>5283.6932812499981</v>
      </c>
      <c r="M91" s="441">
        <f t="shared" si="50"/>
        <v>5310.1117476562476</v>
      </c>
      <c r="N91" s="441">
        <f t="shared" si="50"/>
        <v>5336.662306394529</v>
      </c>
      <c r="O91" s="441">
        <f t="shared" si="50"/>
        <v>5363.3456179265013</v>
      </c>
      <c r="P91" s="441">
        <f t="shared" si="50"/>
        <v>5390.1623460161327</v>
      </c>
      <c r="Q91" s="508">
        <f t="shared" si="50"/>
        <v>5417.1131577462129</v>
      </c>
    </row>
    <row r="92" spans="1:18" s="374" customFormat="1" ht="13.15">
      <c r="A92" s="509" t="s">
        <v>126</v>
      </c>
      <c r="B92" s="737">
        <f>B86</f>
        <v>0</v>
      </c>
      <c r="C92" s="737">
        <f t="shared" ref="C92:Q92" si="51">C86</f>
        <v>0</v>
      </c>
      <c r="D92" s="737">
        <f t="shared" si="51"/>
        <v>0</v>
      </c>
      <c r="E92" s="737">
        <v>0</v>
      </c>
      <c r="F92" s="737">
        <f t="shared" si="51"/>
        <v>0</v>
      </c>
      <c r="G92" s="738"/>
      <c r="H92" s="738"/>
      <c r="I92" s="738"/>
      <c r="J92" s="677"/>
      <c r="K92" s="442">
        <f t="shared" si="51"/>
        <v>0</v>
      </c>
      <c r="L92" s="442">
        <f t="shared" si="51"/>
        <v>0.02</v>
      </c>
      <c r="M92" s="442">
        <f t="shared" si="51"/>
        <v>0.03</v>
      </c>
      <c r="N92" s="442">
        <f t="shared" si="51"/>
        <v>7.0000000000000007E-2</v>
      </c>
      <c r="O92" s="442">
        <v>0.16</v>
      </c>
      <c r="P92" s="442">
        <f t="shared" si="51"/>
        <v>0.08</v>
      </c>
      <c r="Q92" s="510">
        <f t="shared" si="51"/>
        <v>0.08</v>
      </c>
    </row>
    <row r="93" spans="1:18" s="20" customFormat="1" ht="13.15">
      <c r="A93" s="509" t="s">
        <v>233</v>
      </c>
      <c r="B93" s="720">
        <f>B92*B91</f>
        <v>0</v>
      </c>
      <c r="C93" s="720">
        <f t="shared" ref="C93:Q93" si="52">C92*C91</f>
        <v>0</v>
      </c>
      <c r="D93" s="720">
        <f t="shared" si="52"/>
        <v>0</v>
      </c>
      <c r="E93" s="720">
        <f t="shared" si="52"/>
        <v>0</v>
      </c>
      <c r="F93" s="720">
        <f t="shared" si="52"/>
        <v>0</v>
      </c>
      <c r="G93" s="739"/>
      <c r="H93" s="739"/>
      <c r="I93" s="739"/>
      <c r="J93" s="678"/>
      <c r="K93" s="431">
        <f t="shared" si="52"/>
        <v>0</v>
      </c>
      <c r="L93" s="431">
        <f t="shared" si="52"/>
        <v>105.67386562499996</v>
      </c>
      <c r="M93" s="431">
        <f t="shared" si="52"/>
        <v>159.30335242968744</v>
      </c>
      <c r="N93" s="431">
        <f t="shared" si="52"/>
        <v>373.56636144761706</v>
      </c>
      <c r="O93" s="431">
        <f t="shared" si="52"/>
        <v>858.13529886824017</v>
      </c>
      <c r="P93" s="431">
        <f t="shared" si="52"/>
        <v>431.2129876812906</v>
      </c>
      <c r="Q93" s="477">
        <f t="shared" si="52"/>
        <v>433.36905261969702</v>
      </c>
    </row>
    <row r="94" spans="1:18" s="20" customFormat="1" ht="13.15">
      <c r="A94" s="456"/>
      <c r="B94" s="720"/>
      <c r="C94" s="720"/>
      <c r="D94" s="720"/>
      <c r="E94" s="720"/>
      <c r="F94" s="720"/>
      <c r="G94" s="739"/>
      <c r="H94" s="739"/>
      <c r="I94" s="739"/>
      <c r="J94" s="678"/>
      <c r="K94" s="431"/>
      <c r="L94" s="431"/>
      <c r="M94" s="431"/>
      <c r="N94" s="431"/>
      <c r="O94" s="431"/>
      <c r="P94" s="431"/>
      <c r="Q94" s="687"/>
    </row>
    <row r="95" spans="1:18" s="20" customFormat="1" ht="13.15">
      <c r="A95" s="456" t="s">
        <v>276</v>
      </c>
      <c r="B95" s="721">
        <f>F95/4</f>
        <v>4.8</v>
      </c>
      <c r="C95" s="721">
        <f>B95</f>
        <v>4.8</v>
      </c>
      <c r="D95" s="721">
        <f>C95</f>
        <v>4.8</v>
      </c>
      <c r="E95" s="721">
        <f>D95</f>
        <v>4.8</v>
      </c>
      <c r="F95" s="721">
        <v>19.2</v>
      </c>
      <c r="G95" s="740"/>
      <c r="H95" s="740"/>
      <c r="I95" s="740"/>
      <c r="J95" s="679"/>
      <c r="K95" s="432">
        <f>F95</f>
        <v>19.2</v>
      </c>
      <c r="L95" s="432">
        <f t="shared" ref="L95:Q95" si="53">K95</f>
        <v>19.2</v>
      </c>
      <c r="M95" s="432">
        <f t="shared" si="53"/>
        <v>19.2</v>
      </c>
      <c r="N95" s="432">
        <f t="shared" si="53"/>
        <v>19.2</v>
      </c>
      <c r="O95" s="432">
        <f t="shared" si="53"/>
        <v>19.2</v>
      </c>
      <c r="P95" s="432">
        <f t="shared" si="53"/>
        <v>19.2</v>
      </c>
      <c r="Q95" s="688">
        <f t="shared" si="53"/>
        <v>19.2</v>
      </c>
    </row>
    <row r="96" spans="1:18" s="21" customFormat="1" ht="13.15">
      <c r="A96" s="478" t="s">
        <v>187</v>
      </c>
      <c r="B96" s="722"/>
      <c r="C96" s="722"/>
      <c r="D96" s="722"/>
      <c r="E96" s="722"/>
      <c r="F96" s="722"/>
      <c r="G96" s="741"/>
      <c r="H96" s="741"/>
      <c r="I96" s="741"/>
      <c r="J96" s="680"/>
      <c r="K96" s="434">
        <v>0</v>
      </c>
      <c r="L96" s="434">
        <f t="shared" ref="L96:Q96" si="54">K96</f>
        <v>0</v>
      </c>
      <c r="M96" s="434">
        <f t="shared" si="54"/>
        <v>0</v>
      </c>
      <c r="N96" s="434">
        <f t="shared" si="54"/>
        <v>0</v>
      </c>
      <c r="O96" s="434">
        <f t="shared" si="54"/>
        <v>0</v>
      </c>
      <c r="P96" s="434">
        <f t="shared" si="54"/>
        <v>0</v>
      </c>
      <c r="Q96" s="689">
        <f t="shared" si="54"/>
        <v>0</v>
      </c>
      <c r="R96" s="430"/>
    </row>
    <row r="97" spans="1:17" s="443" customFormat="1" ht="13.15">
      <c r="A97" s="681" t="s">
        <v>318</v>
      </c>
      <c r="B97" s="742">
        <f>B95*B87/1000</f>
        <v>0</v>
      </c>
      <c r="C97" s="742">
        <f t="shared" ref="C97:Q97" si="55">C95*C87/1000</f>
        <v>0</v>
      </c>
      <c r="D97" s="742">
        <f t="shared" si="55"/>
        <v>0</v>
      </c>
      <c r="E97" s="742">
        <f t="shared" si="55"/>
        <v>0</v>
      </c>
      <c r="F97" s="742">
        <f t="shared" si="55"/>
        <v>0</v>
      </c>
      <c r="G97" s="742"/>
      <c r="H97" s="742"/>
      <c r="I97" s="742"/>
      <c r="J97" s="682"/>
      <c r="K97" s="682">
        <f t="shared" si="55"/>
        <v>0</v>
      </c>
      <c r="L97" s="682">
        <f t="shared" si="55"/>
        <v>17.592857855999995</v>
      </c>
      <c r="M97" s="682">
        <f t="shared" si="55"/>
        <v>26.521233217919988</v>
      </c>
      <c r="N97" s="682">
        <f t="shared" si="55"/>
        <v>62.192291896022361</v>
      </c>
      <c r="O97" s="682">
        <f t="shared" si="55"/>
        <v>71.432289549145693</v>
      </c>
      <c r="P97" s="682">
        <f t="shared" si="55"/>
        <v>71.789450996891389</v>
      </c>
      <c r="Q97" s="683">
        <f t="shared" si="55"/>
        <v>72.148398251875861</v>
      </c>
    </row>
    <row r="98" spans="1:17" s="362" customFormat="1" ht="13.15">
      <c r="A98" s="684" t="s">
        <v>319</v>
      </c>
      <c r="B98" s="743">
        <f t="shared" ref="B98:Q98" si="56">B97*(1-$Q$106)</f>
        <v>0</v>
      </c>
      <c r="C98" s="743">
        <f t="shared" si="56"/>
        <v>0</v>
      </c>
      <c r="D98" s="743">
        <f t="shared" si="56"/>
        <v>0</v>
      </c>
      <c r="E98" s="743">
        <f t="shared" si="56"/>
        <v>0</v>
      </c>
      <c r="F98" s="743">
        <f t="shared" si="56"/>
        <v>0</v>
      </c>
      <c r="G98" s="743"/>
      <c r="H98" s="743"/>
      <c r="I98" s="743"/>
      <c r="J98" s="685"/>
      <c r="K98" s="685">
        <f t="shared" si="56"/>
        <v>0</v>
      </c>
      <c r="L98" s="685">
        <f t="shared" si="56"/>
        <v>14.074286284799996</v>
      </c>
      <c r="M98" s="685">
        <f t="shared" si="56"/>
        <v>21.216986574335991</v>
      </c>
      <c r="N98" s="685">
        <f t="shared" si="56"/>
        <v>49.753833516817892</v>
      </c>
      <c r="O98" s="685">
        <f t="shared" si="56"/>
        <v>57.145831639316555</v>
      </c>
      <c r="P98" s="685">
        <f t="shared" si="56"/>
        <v>57.431560797513114</v>
      </c>
      <c r="Q98" s="686">
        <f t="shared" si="56"/>
        <v>57.71871860150069</v>
      </c>
    </row>
    <row r="102" spans="1:17">
      <c r="D102" s="744"/>
      <c r="K102" s="604"/>
      <c r="O102" s="556"/>
      <c r="P102" s="557" t="s">
        <v>231</v>
      </c>
      <c r="Q102" s="558">
        <f>Q89</f>
        <v>160.50705652581371</v>
      </c>
    </row>
    <row r="103" spans="1:17">
      <c r="O103" s="559"/>
      <c r="P103" s="560" t="s">
        <v>274</v>
      </c>
      <c r="Q103" s="561">
        <f>Q83</f>
        <v>1391.7515094883458</v>
      </c>
    </row>
    <row r="104" spans="1:17">
      <c r="O104" s="559"/>
      <c r="P104" s="560" t="s">
        <v>232</v>
      </c>
      <c r="Q104" s="562">
        <f>45/1000000</f>
        <v>4.5000000000000003E-5</v>
      </c>
    </row>
    <row r="105" spans="1:17">
      <c r="O105" s="559"/>
      <c r="P105" s="560" t="s">
        <v>92</v>
      </c>
      <c r="Q105" s="563">
        <v>0.15</v>
      </c>
    </row>
    <row r="106" spans="1:17">
      <c r="O106" s="564"/>
      <c r="P106" s="565" t="s">
        <v>327</v>
      </c>
      <c r="Q106" s="566">
        <v>0.2</v>
      </c>
    </row>
    <row r="108" spans="1:17">
      <c r="K108" s="514" t="s">
        <v>246</v>
      </c>
      <c r="L108" s="511"/>
      <c r="M108" s="511"/>
      <c r="N108" s="16"/>
      <c r="O108" s="16"/>
      <c r="P108" s="417"/>
    </row>
    <row r="109" spans="1:17">
      <c r="K109" s="519"/>
      <c r="L109" s="520"/>
      <c r="M109" s="548"/>
      <c r="N109" s="551"/>
      <c r="O109" s="552" t="s">
        <v>248</v>
      </c>
      <c r="P109" s="552"/>
      <c r="Q109" s="553"/>
    </row>
    <row r="110" spans="1:17">
      <c r="K110" s="521"/>
      <c r="L110" s="511"/>
      <c r="M110" s="549" t="s">
        <v>325</v>
      </c>
      <c r="N110" s="444" t="s">
        <v>320</v>
      </c>
      <c r="O110" s="444" t="s">
        <v>321</v>
      </c>
      <c r="P110" s="554" t="s">
        <v>322</v>
      </c>
      <c r="Q110" s="555" t="s">
        <v>323</v>
      </c>
    </row>
    <row r="111" spans="1:17">
      <c r="K111" s="542"/>
      <c r="L111" s="520"/>
      <c r="M111" s="543">
        <v>0.05</v>
      </c>
      <c r="N111" s="532">
        <f>$Q$102*1000000*M111*$Q$104*0.25</f>
        <v>90.285219295770219</v>
      </c>
      <c r="O111" s="533">
        <f>$Q$102*1000000*M111*$Q$104*0.5</f>
        <v>180.57043859154044</v>
      </c>
      <c r="P111" s="533">
        <f>$Q$102*1000000*M111*$Q$104*0.75</f>
        <v>270.85565788731066</v>
      </c>
      <c r="Q111" s="534">
        <f>$Q$102*1000000*M111*$Q$104*1</f>
        <v>361.14087718308087</v>
      </c>
    </row>
    <row r="112" spans="1:17">
      <c r="K112" s="523"/>
      <c r="L112" s="516" t="s">
        <v>326</v>
      </c>
      <c r="M112" s="544">
        <v>0.1</v>
      </c>
      <c r="N112" s="535">
        <f>$Q$102*1000000*M112*$Q$104*0.25</f>
        <v>180.57043859154044</v>
      </c>
      <c r="O112" s="515">
        <f>$Q$102*1000000*M112*$Q$104*0.5</f>
        <v>361.14087718308087</v>
      </c>
      <c r="P112" s="515">
        <f>$Q$102*1000000*M112*$Q$104*0.75</f>
        <v>541.71131577462131</v>
      </c>
      <c r="Q112" s="529">
        <f>$Q$102*1000000*M112*$Q$104*1</f>
        <v>722.28175436616175</v>
      </c>
    </row>
    <row r="113" spans="11:17">
      <c r="K113" s="523"/>
      <c r="L113" s="516"/>
      <c r="M113" s="544">
        <v>0.15</v>
      </c>
      <c r="N113" s="535">
        <f>$Q$102*1000000*M113*$Q$104*0.25</f>
        <v>270.8556578873106</v>
      </c>
      <c r="O113" s="515">
        <f>$Q$102*1000000*M113*$Q$104*0.5</f>
        <v>541.7113157746212</v>
      </c>
      <c r="P113" s="515">
        <f>$Q$102*1000000*M113*$Q$104*0.75</f>
        <v>812.5669736619318</v>
      </c>
      <c r="Q113" s="529">
        <f>$Q$102*1000000*M113*$Q$104*1</f>
        <v>1083.4226315492424</v>
      </c>
    </row>
    <row r="114" spans="11:17">
      <c r="K114" s="545"/>
      <c r="L114" s="546"/>
      <c r="M114" s="547">
        <v>0.2</v>
      </c>
      <c r="N114" s="535">
        <f>$Q$102*1000000*M114*$Q$104*0.25</f>
        <v>361.14087718308087</v>
      </c>
      <c r="O114" s="515">
        <f>$Q$102*1000000*M114*$Q$104*0.5</f>
        <v>722.28175436616175</v>
      </c>
      <c r="P114" s="515">
        <f>$Q$102*1000000*M114*$Q$104*0.75</f>
        <v>1083.4226315492426</v>
      </c>
      <c r="Q114" s="529">
        <f>$Q$102*1000000*M114*$Q$104*1</f>
        <v>1444.5635087323235</v>
      </c>
    </row>
    <row r="115" spans="11:17">
      <c r="K115" s="523"/>
      <c r="L115" s="516"/>
      <c r="M115" s="517">
        <v>0.05</v>
      </c>
      <c r="N115" s="535">
        <f>$Q$103*1000000*M115*$Q$104*0.25</f>
        <v>782.86022408719464</v>
      </c>
      <c r="O115" s="515">
        <f>$Q$103*1000000*M115*$Q$104*0.5</f>
        <v>1565.7204481743893</v>
      </c>
      <c r="P115" s="515">
        <f>$Q$103*1000000*M115*$Q$104*0.75</f>
        <v>2348.5806722615839</v>
      </c>
      <c r="Q115" s="529">
        <f>$Q$103*1000000*M115*$Q$104*1</f>
        <v>3131.4408963487786</v>
      </c>
    </row>
    <row r="116" spans="11:17">
      <c r="K116" s="523"/>
      <c r="L116" s="516" t="s">
        <v>324</v>
      </c>
      <c r="M116" s="517">
        <v>0.1</v>
      </c>
      <c r="N116" s="535">
        <f>$Q$103*1000000*M116*$Q$104*0.25</f>
        <v>1565.7204481743893</v>
      </c>
      <c r="O116" s="515">
        <f>$Q$103*1000000*M116*$Q$104*0.5</f>
        <v>3131.4408963487786</v>
      </c>
      <c r="P116" s="515">
        <f>$Q$103*1000000*M116*$Q$104*0.75</f>
        <v>4697.1613445231678</v>
      </c>
      <c r="Q116" s="529">
        <f>$Q$103*1000000*M116*$Q$104*1</f>
        <v>6262.8817926975571</v>
      </c>
    </row>
    <row r="117" spans="11:17">
      <c r="K117" s="523"/>
      <c r="L117" s="516"/>
      <c r="M117" s="517">
        <v>0.15</v>
      </c>
      <c r="N117" s="535">
        <f>$Q$103*1000000*M117*$Q$104*0.25</f>
        <v>2348.5806722615835</v>
      </c>
      <c r="O117" s="515">
        <f>$Q$103*1000000*M117*$Q$104*0.5</f>
        <v>4697.1613445231669</v>
      </c>
      <c r="P117" s="515">
        <f>$Q$103*1000000*M117*$Q$104*0.75</f>
        <v>7045.7420167847504</v>
      </c>
      <c r="Q117" s="529">
        <f>$Q$103*1000000*M117*$Q$104*1</f>
        <v>9394.3226890463338</v>
      </c>
    </row>
    <row r="118" spans="11:17">
      <c r="K118" s="524"/>
      <c r="L118" s="525"/>
      <c r="M118" s="526">
        <v>0.2</v>
      </c>
      <c r="N118" s="536">
        <f>$Q$103*1000000*M118*$Q$104*0.25</f>
        <v>3131.4408963487786</v>
      </c>
      <c r="O118" s="530">
        <f>$Q$103*1000000*M118*$Q$104*0.5</f>
        <v>6262.8817926975571</v>
      </c>
      <c r="P118" s="530">
        <f>$Q$103*1000000*M118*$Q$104*0.75</f>
        <v>9394.3226890463357</v>
      </c>
      <c r="Q118" s="531">
        <f>$Q$103*1000000*M118*$Q$104*1</f>
        <v>12525.763585395114</v>
      </c>
    </row>
    <row r="119" spans="11:17">
      <c r="K119" s="511"/>
      <c r="L119" s="511"/>
      <c r="M119" s="511"/>
      <c r="N119" s="511"/>
      <c r="O119" s="511"/>
      <c r="P119" s="512"/>
      <c r="Q119" s="513"/>
    </row>
    <row r="120" spans="11:17">
      <c r="K120" s="514" t="s">
        <v>247</v>
      </c>
      <c r="L120" s="511"/>
      <c r="M120" s="511"/>
      <c r="N120" s="511"/>
      <c r="O120" s="511"/>
      <c r="P120" s="512"/>
      <c r="Q120" s="513"/>
    </row>
    <row r="121" spans="11:17">
      <c r="K121" s="519"/>
      <c r="L121" s="520"/>
      <c r="M121" s="548"/>
      <c r="N121" s="551"/>
      <c r="O121" s="552" t="s">
        <v>248</v>
      </c>
      <c r="P121" s="552"/>
      <c r="Q121" s="553"/>
    </row>
    <row r="122" spans="11:17">
      <c r="K122" s="521"/>
      <c r="L122" s="511"/>
      <c r="M122" s="550" t="s">
        <v>325</v>
      </c>
      <c r="N122" s="444" t="s">
        <v>320</v>
      </c>
      <c r="O122" s="444" t="s">
        <v>321</v>
      </c>
      <c r="P122" s="554" t="s">
        <v>322</v>
      </c>
      <c r="Q122" s="555" t="s">
        <v>323</v>
      </c>
    </row>
    <row r="123" spans="11:17">
      <c r="K123" s="542"/>
      <c r="L123" s="520"/>
      <c r="M123" s="543">
        <v>0.05</v>
      </c>
      <c r="N123" s="537">
        <f t="shared" ref="N123:Q130" si="57">N111*$F$24*$Q$105*(1-$Q$106)/1000</f>
        <v>1.4626205525914775</v>
      </c>
      <c r="O123" s="538">
        <f t="shared" si="57"/>
        <v>2.925241105182955</v>
      </c>
      <c r="P123" s="538">
        <f t="shared" si="57"/>
        <v>4.3878616577744323</v>
      </c>
      <c r="Q123" s="539">
        <f t="shared" si="57"/>
        <v>5.85048221036591</v>
      </c>
    </row>
    <row r="124" spans="11:17">
      <c r="K124" s="523"/>
      <c r="L124" s="516" t="s">
        <v>326</v>
      </c>
      <c r="M124" s="544">
        <v>0.1</v>
      </c>
      <c r="N124" s="540">
        <f t="shared" si="57"/>
        <v>2.925241105182955</v>
      </c>
      <c r="O124" s="518">
        <f t="shared" si="57"/>
        <v>5.85048221036591</v>
      </c>
      <c r="P124" s="518">
        <f t="shared" si="57"/>
        <v>8.7757233155488645</v>
      </c>
      <c r="Q124" s="522">
        <f t="shared" si="57"/>
        <v>11.70096442073182</v>
      </c>
    </row>
    <row r="125" spans="11:17">
      <c r="K125" s="523"/>
      <c r="L125" s="516"/>
      <c r="M125" s="544">
        <v>0.15</v>
      </c>
      <c r="N125" s="540">
        <f t="shared" si="57"/>
        <v>4.3878616577744314</v>
      </c>
      <c r="O125" s="518">
        <f t="shared" si="57"/>
        <v>8.7757233155488628</v>
      </c>
      <c r="P125" s="518">
        <f t="shared" si="57"/>
        <v>13.163584973323294</v>
      </c>
      <c r="Q125" s="522">
        <f t="shared" si="57"/>
        <v>17.551446631097726</v>
      </c>
    </row>
    <row r="126" spans="11:17">
      <c r="K126" s="545"/>
      <c r="L126" s="546"/>
      <c r="M126" s="547">
        <v>0.2</v>
      </c>
      <c r="N126" s="540">
        <f t="shared" si="57"/>
        <v>5.85048221036591</v>
      </c>
      <c r="O126" s="518">
        <f t="shared" si="57"/>
        <v>11.70096442073182</v>
      </c>
      <c r="P126" s="518">
        <f t="shared" si="57"/>
        <v>17.551446631097729</v>
      </c>
      <c r="Q126" s="522">
        <f t="shared" si="57"/>
        <v>23.40192884146364</v>
      </c>
    </row>
    <row r="127" spans="11:17">
      <c r="K127" s="523"/>
      <c r="L127" s="516"/>
      <c r="M127" s="517">
        <v>0.05</v>
      </c>
      <c r="N127" s="540">
        <f t="shared" si="57"/>
        <v>12.682335630212554</v>
      </c>
      <c r="O127" s="518">
        <f t="shared" si="57"/>
        <v>25.364671260425109</v>
      </c>
      <c r="P127" s="518">
        <f t="shared" si="57"/>
        <v>38.047006890637661</v>
      </c>
      <c r="Q127" s="522">
        <f t="shared" si="57"/>
        <v>50.729342520850217</v>
      </c>
    </row>
    <row r="128" spans="11:17">
      <c r="K128" s="523"/>
      <c r="L128" s="516" t="s">
        <v>324</v>
      </c>
      <c r="M128" s="517">
        <v>0.1</v>
      </c>
      <c r="N128" s="540">
        <f t="shared" si="57"/>
        <v>25.364671260425109</v>
      </c>
      <c r="O128" s="518">
        <f t="shared" si="57"/>
        <v>50.729342520850217</v>
      </c>
      <c r="P128" s="518">
        <f t="shared" si="57"/>
        <v>76.094013781275322</v>
      </c>
      <c r="Q128" s="522">
        <f t="shared" si="57"/>
        <v>101.45868504170043</v>
      </c>
    </row>
    <row r="129" spans="1:17">
      <c r="J129" s="17"/>
      <c r="K129" s="523"/>
      <c r="L129" s="516"/>
      <c r="M129" s="517">
        <v>0.15</v>
      </c>
      <c r="N129" s="540">
        <f t="shared" si="57"/>
        <v>38.047006890637647</v>
      </c>
      <c r="O129" s="518">
        <f t="shared" si="57"/>
        <v>76.094013781275294</v>
      </c>
      <c r="P129" s="518">
        <f t="shared" si="57"/>
        <v>114.14102067191297</v>
      </c>
      <c r="Q129" s="522">
        <f t="shared" si="57"/>
        <v>152.18802756255059</v>
      </c>
    </row>
    <row r="130" spans="1:17">
      <c r="K130" s="524"/>
      <c r="L130" s="525"/>
      <c r="M130" s="526">
        <v>0.2</v>
      </c>
      <c r="N130" s="541">
        <f t="shared" si="57"/>
        <v>50.729342520850217</v>
      </c>
      <c r="O130" s="527">
        <f t="shared" si="57"/>
        <v>101.45868504170043</v>
      </c>
      <c r="P130" s="527">
        <f t="shared" si="57"/>
        <v>152.18802756255064</v>
      </c>
      <c r="Q130" s="528">
        <f t="shared" si="57"/>
        <v>202.91737008340087</v>
      </c>
    </row>
    <row r="131" spans="1:17">
      <c r="K131" s="511"/>
      <c r="L131" s="511"/>
      <c r="M131" s="511"/>
      <c r="N131" s="511"/>
      <c r="O131" s="511"/>
      <c r="P131" s="512"/>
      <c r="Q131" s="513"/>
    </row>
    <row r="132" spans="1:17">
      <c r="A132" s="16" t="s">
        <v>393</v>
      </c>
      <c r="K132" s="16"/>
      <c r="L132" s="16"/>
      <c r="M132" s="16"/>
      <c r="N132" s="16"/>
      <c r="O132" s="16"/>
      <c r="P132" s="417"/>
    </row>
    <row r="133" spans="1:17">
      <c r="K133" s="16"/>
      <c r="L133" s="16"/>
      <c r="M133" s="16"/>
      <c r="N133" s="16"/>
    </row>
    <row r="134" spans="1:17">
      <c r="K134" s="16"/>
      <c r="L134" s="16"/>
      <c r="M134" s="16"/>
      <c r="N134" s="16"/>
    </row>
    <row r="135" spans="1:17">
      <c r="K135" s="16"/>
      <c r="L135" s="16"/>
      <c r="M135" s="16"/>
      <c r="N135" s="16"/>
    </row>
    <row r="136" spans="1:17">
      <c r="K136" s="16"/>
      <c r="L136" s="16"/>
      <c r="M136" s="16"/>
      <c r="N136" s="16"/>
    </row>
    <row r="137" spans="1:17">
      <c r="K137" s="16"/>
      <c r="L137" s="16"/>
      <c r="M137" s="16"/>
      <c r="N137" s="16"/>
    </row>
    <row r="138" spans="1:17">
      <c r="K138" s="17"/>
    </row>
  </sheetData>
  <phoneticPr fontId="97"/>
  <pageMargins left="0.7" right="0.7" top="0.75" bottom="0.75" header="0.3" footer="0.3"/>
  <pageSetup scale="48" fitToHeight="0"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57" r:id="rId4" name="Scroll Bar 1">
              <controlPr defaultSize="0" autoPict="0">
                <anchor moveWithCells="1">
                  <from>
                    <xdr:col>23</xdr:col>
                    <xdr:colOff>0</xdr:colOff>
                    <xdr:row>57</xdr:row>
                    <xdr:rowOff>0</xdr:rowOff>
                  </from>
                  <to>
                    <xdr:col>24</xdr:col>
                    <xdr:colOff>61913</xdr:colOff>
                    <xdr:row>58</xdr:row>
                    <xdr:rowOff>23813</xdr:rowOff>
                  </to>
                </anchor>
              </controlPr>
            </control>
          </mc:Choice>
        </mc:AlternateContent>
        <mc:AlternateContent xmlns:mc="http://schemas.openxmlformats.org/markup-compatibility/2006">
          <mc:Choice Requires="x14">
            <control shapeId="19458" r:id="rId5" name="Scroll Bar 2">
              <controlPr defaultSize="0" autoPict="0">
                <anchor moveWithCells="1">
                  <from>
                    <xdr:col>23</xdr:col>
                    <xdr:colOff>0</xdr:colOff>
                    <xdr:row>57</xdr:row>
                    <xdr:rowOff>0</xdr:rowOff>
                  </from>
                  <to>
                    <xdr:col>24</xdr:col>
                    <xdr:colOff>61913</xdr:colOff>
                    <xdr:row>58</xdr:row>
                    <xdr:rowOff>23813</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3"/>
  <sheetViews>
    <sheetView showGridLines="0" zoomScaleNormal="85" workbookViewId="0">
      <selection activeCell="A11" sqref="A11"/>
    </sheetView>
  </sheetViews>
  <sheetFormatPr defaultColWidth="11.5546875" defaultRowHeight="13.15"/>
  <cols>
    <col min="1" max="1" width="16.83203125" style="36" customWidth="1"/>
    <col min="2" max="2" width="10.44140625" style="979" customWidth="1"/>
    <col min="3" max="7" width="10.44140625" style="36" customWidth="1"/>
    <col min="8" max="16384" width="11.5546875" style="36"/>
  </cols>
  <sheetData>
    <row r="1" spans="1:10">
      <c r="A1" s="112" t="s">
        <v>317</v>
      </c>
      <c r="G1" s="980"/>
    </row>
    <row r="2" spans="1:10">
      <c r="A2" s="981" t="s">
        <v>304</v>
      </c>
      <c r="G2" s="980"/>
    </row>
    <row r="3" spans="1:10">
      <c r="A3" s="982"/>
      <c r="G3" s="983"/>
    </row>
    <row r="4" spans="1:10">
      <c r="A4" s="982"/>
    </row>
    <row r="5" spans="1:10">
      <c r="A5" s="982"/>
    </row>
    <row r="7" spans="1:10">
      <c r="A7" s="203" t="s">
        <v>268</v>
      </c>
      <c r="B7" s="984"/>
      <c r="C7" s="985"/>
      <c r="D7" s="985"/>
      <c r="E7" s="986"/>
      <c r="F7" s="986"/>
    </row>
    <row r="8" spans="1:10">
      <c r="A8" s="987"/>
      <c r="B8" s="988" t="s">
        <v>47</v>
      </c>
      <c r="C8" s="989"/>
      <c r="D8" s="989"/>
      <c r="E8" s="990"/>
      <c r="F8" s="990"/>
      <c r="G8" s="991"/>
    </row>
    <row r="9" spans="1:10">
      <c r="A9" s="992"/>
      <c r="B9" s="993" t="s">
        <v>388</v>
      </c>
      <c r="C9" s="994" t="s">
        <v>41</v>
      </c>
      <c r="D9" s="994" t="s">
        <v>42</v>
      </c>
      <c r="E9" s="994" t="s">
        <v>43</v>
      </c>
      <c r="F9" s="994" t="s">
        <v>18</v>
      </c>
      <c r="G9" s="995" t="s">
        <v>19</v>
      </c>
      <c r="H9" s="135"/>
      <c r="I9" s="135"/>
      <c r="J9" s="135"/>
    </row>
    <row r="10" spans="1:10">
      <c r="A10" s="996" t="s">
        <v>395</v>
      </c>
      <c r="B10" s="997">
        <f>'Income Statement'!V19</f>
        <v>358.06642129361012</v>
      </c>
      <c r="C10" s="997">
        <f>'Income Statement'!W19</f>
        <v>1300.2214212936101</v>
      </c>
      <c r="D10" s="997">
        <f>'Income Statement'!X19</f>
        <v>1831.4465700926</v>
      </c>
      <c r="E10" s="997">
        <f>'Income Statement'!Y19</f>
        <v>2123.7333465183651</v>
      </c>
      <c r="F10" s="997">
        <f>'Income Statement'!Z19</f>
        <v>2317.3889870855573</v>
      </c>
      <c r="G10" s="998">
        <f>'Income Statement'!AA19</f>
        <v>1827.0778986496771</v>
      </c>
      <c r="H10" s="135"/>
      <c r="I10" s="135"/>
      <c r="J10" s="135"/>
    </row>
    <row r="11" spans="1:10" s="1004" customFormat="1">
      <c r="A11" s="999" t="s">
        <v>303</v>
      </c>
      <c r="B11" s="1000">
        <v>330</v>
      </c>
      <c r="C11" s="1000">
        <v>1258</v>
      </c>
      <c r="D11" s="1000">
        <v>1403</v>
      </c>
      <c r="E11" s="1000">
        <v>1515</v>
      </c>
      <c r="F11" s="1000">
        <v>1668</v>
      </c>
      <c r="G11" s="1001">
        <v>1672</v>
      </c>
      <c r="H11" s="1002"/>
      <c r="I11" s="1002"/>
      <c r="J11" s="1003"/>
    </row>
    <row r="12" spans="1:10">
      <c r="A12" s="986"/>
      <c r="B12" s="1005"/>
      <c r="C12" s="986"/>
      <c r="D12" s="986"/>
      <c r="E12" s="1006"/>
      <c r="F12" s="1006"/>
      <c r="H12" s="135"/>
      <c r="I12" s="135"/>
      <c r="J12" s="135"/>
    </row>
    <row r="13" spans="1:10">
      <c r="A13" s="986"/>
      <c r="B13" s="1005"/>
      <c r="C13" s="986"/>
      <c r="D13" s="986"/>
      <c r="E13" s="1006"/>
      <c r="F13" s="1006"/>
      <c r="H13" s="135"/>
      <c r="I13" s="135"/>
      <c r="J13" s="135"/>
    </row>
    <row r="14" spans="1:10">
      <c r="A14" s="203" t="s">
        <v>269</v>
      </c>
      <c r="B14" s="1007"/>
      <c r="C14" s="1007"/>
      <c r="D14" s="1007"/>
      <c r="E14" s="1006"/>
      <c r="F14" s="1006"/>
      <c r="H14" s="135"/>
      <c r="I14" s="135"/>
      <c r="J14" s="135"/>
    </row>
    <row r="15" spans="1:10">
      <c r="A15" s="987"/>
      <c r="B15" s="988" t="s">
        <v>47</v>
      </c>
      <c r="C15" s="1008"/>
      <c r="D15" s="1008"/>
      <c r="E15" s="990"/>
      <c r="F15" s="990"/>
      <c r="G15" s="991"/>
    </row>
    <row r="16" spans="1:10">
      <c r="A16" s="992"/>
      <c r="B16" s="993" t="s">
        <v>388</v>
      </c>
      <c r="C16" s="1009" t="s">
        <v>41</v>
      </c>
      <c r="D16" s="1009" t="s">
        <v>42</v>
      </c>
      <c r="E16" s="1009" t="s">
        <v>43</v>
      </c>
      <c r="F16" s="1009" t="s">
        <v>18</v>
      </c>
      <c r="G16" s="1010" t="s">
        <v>19</v>
      </c>
    </row>
    <row r="17" spans="1:7">
      <c r="A17" s="996" t="s">
        <v>395</v>
      </c>
      <c r="B17" s="1011">
        <f>'Income Statement'!V51</f>
        <v>2.7260487055338576</v>
      </c>
      <c r="C17" s="1011">
        <f>'Income Statement'!W51</f>
        <v>6.7201994066532578</v>
      </c>
      <c r="D17" s="1011">
        <f>'Income Statement'!X51</f>
        <v>16.077763704164255</v>
      </c>
      <c r="E17" s="1011">
        <f>'Income Statement'!Y51</f>
        <v>18.55069392886935</v>
      </c>
      <c r="F17" s="1011">
        <f>'Income Statement'!Z51</f>
        <v>20.795710977104338</v>
      </c>
      <c r="G17" s="1012">
        <f>'Income Statement'!AA51</f>
        <v>15.636497441391693</v>
      </c>
    </row>
    <row r="18" spans="1:7" s="1004" customFormat="1">
      <c r="A18" s="999" t="s">
        <v>303</v>
      </c>
      <c r="B18" s="1013">
        <v>1.73</v>
      </c>
      <c r="C18" s="1013">
        <v>7.67</v>
      </c>
      <c r="D18" s="1013">
        <v>8.36</v>
      </c>
      <c r="E18" s="1014">
        <v>9.3800000000000008</v>
      </c>
      <c r="F18" s="1014">
        <v>11.16</v>
      </c>
      <c r="G18" s="1015">
        <v>11.28</v>
      </c>
    </row>
    <row r="19" spans="1:7">
      <c r="B19" s="1016"/>
      <c r="C19" s="314"/>
      <c r="D19" s="314"/>
      <c r="E19" s="107"/>
      <c r="F19" s="1017"/>
    </row>
    <row r="20" spans="1:7">
      <c r="A20" s="1018" t="s">
        <v>392</v>
      </c>
      <c r="F20" s="1019"/>
    </row>
    <row r="21" spans="1:7">
      <c r="F21" s="1019"/>
    </row>
    <row r="22" spans="1:7">
      <c r="F22" s="1019"/>
    </row>
    <row r="23" spans="1:7">
      <c r="F23" s="1019"/>
    </row>
  </sheetData>
  <mergeCells count="1">
    <mergeCell ref="B14:D14"/>
  </mergeCells>
  <phoneticPr fontId="97"/>
  <pageMargins left="0.7" right="0.7" top="0.75" bottom="0.75" header="0.3" footer="0.3"/>
  <pageSetup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1"/>
  <sheetViews>
    <sheetView showGridLines="0" zoomScaleNormal="85" zoomScaleSheetLayoutView="85" workbookViewId="0">
      <pane xSplit="1" ySplit="6" topLeftCell="B7" activePane="bottomRight" state="frozen"/>
      <selection pane="topRight" activeCell="C1" sqref="C1"/>
      <selection pane="bottomLeft" activeCell="A7" sqref="A7"/>
      <selection pane="bottomRight" activeCell="A60" sqref="A60"/>
    </sheetView>
  </sheetViews>
  <sheetFormatPr defaultColWidth="8.5546875" defaultRowHeight="13.15" outlineLevelCol="1"/>
  <cols>
    <col min="1" max="1" width="31.71875" style="36" customWidth="1"/>
    <col min="2" max="3" width="9.44140625" style="107" customWidth="1"/>
    <col min="4" max="7" width="9.44140625" style="107" customWidth="1" outlineLevel="1"/>
    <col min="8" max="8" width="9.44140625" style="107" customWidth="1"/>
    <col min="9" max="12" width="9.44140625" style="305" customWidth="1" outlineLevel="1"/>
    <col min="13" max="13" width="9.44140625" style="305" customWidth="1"/>
    <col min="14" max="17" width="9.44140625" style="108" customWidth="1"/>
    <col min="18" max="20" width="9.44140625" style="36" customWidth="1"/>
    <col min="21" max="16384" width="8.5546875" style="36"/>
  </cols>
  <sheetData>
    <row r="1" spans="1:27" s="32" customFormat="1">
      <c r="A1" s="29" t="str">
        <f>DCF!B1</f>
        <v>United Therapeutics Corporation</v>
      </c>
      <c r="B1" s="30"/>
      <c r="C1" s="30"/>
      <c r="D1" s="30"/>
      <c r="E1" s="30"/>
      <c r="F1" s="30"/>
      <c r="G1" s="30"/>
      <c r="H1" s="30"/>
      <c r="I1" s="25"/>
      <c r="J1" s="25"/>
      <c r="K1" s="25"/>
      <c r="L1" s="25"/>
      <c r="S1" s="408"/>
      <c r="T1" s="408"/>
      <c r="U1" s="24"/>
      <c r="V1" s="24"/>
      <c r="W1" s="24"/>
      <c r="X1" s="24"/>
    </row>
    <row r="2" spans="1:27" s="35" customFormat="1">
      <c r="A2" s="33" t="s">
        <v>357</v>
      </c>
      <c r="B2" s="34"/>
      <c r="C2" s="34"/>
      <c r="D2" s="34"/>
      <c r="E2" s="34"/>
      <c r="F2" s="34"/>
      <c r="G2" s="34"/>
      <c r="H2" s="34"/>
      <c r="I2" s="25"/>
      <c r="J2" s="25"/>
      <c r="K2" s="25"/>
      <c r="L2" s="25"/>
      <c r="S2" s="408"/>
      <c r="T2" s="408"/>
      <c r="U2" s="27"/>
      <c r="V2" s="27"/>
      <c r="W2" s="27"/>
      <c r="X2" s="27"/>
    </row>
    <row r="3" spans="1:27">
      <c r="A3" s="219" t="s">
        <v>356</v>
      </c>
      <c r="B3" s="34"/>
      <c r="C3" s="34"/>
      <c r="D3" s="34"/>
      <c r="E3" s="34"/>
      <c r="F3" s="34"/>
      <c r="G3" s="34"/>
      <c r="H3" s="34"/>
      <c r="I3" s="25"/>
      <c r="J3" s="25"/>
      <c r="K3" s="25"/>
      <c r="L3" s="25"/>
      <c r="S3" s="409"/>
      <c r="T3" s="409"/>
      <c r="U3" s="28"/>
      <c r="V3" s="27"/>
      <c r="W3" s="27"/>
      <c r="X3" s="27"/>
    </row>
    <row r="4" spans="1:27" ht="13.5" thickBot="1">
      <c r="A4" s="29"/>
      <c r="B4" s="30"/>
      <c r="C4" s="30"/>
      <c r="D4" s="30"/>
      <c r="E4" s="30"/>
      <c r="F4" s="30"/>
      <c r="G4" s="30"/>
      <c r="H4" s="30"/>
      <c r="I4" s="25"/>
      <c r="J4" s="25"/>
      <c r="K4" s="25"/>
      <c r="L4" s="25"/>
      <c r="M4" s="25"/>
      <c r="N4" s="26"/>
      <c r="O4" s="26"/>
      <c r="P4" s="26"/>
      <c r="Q4" s="26"/>
      <c r="R4" s="26"/>
      <c r="S4" s="26"/>
      <c r="T4" s="26"/>
      <c r="U4" s="26"/>
      <c r="V4" s="27"/>
      <c r="W4" s="27"/>
      <c r="X4" s="27"/>
      <c r="Y4" s="27"/>
    </row>
    <row r="5" spans="1:27" s="38" customFormat="1">
      <c r="A5" s="37"/>
      <c r="B5" s="567"/>
      <c r="C5" s="567"/>
      <c r="D5" s="568" t="s">
        <v>44</v>
      </c>
      <c r="E5" s="568" t="s">
        <v>45</v>
      </c>
      <c r="F5" s="568" t="s">
        <v>46</v>
      </c>
      <c r="G5" s="568" t="s">
        <v>47</v>
      </c>
      <c r="H5" s="567"/>
      <c r="I5" s="569" t="s">
        <v>44</v>
      </c>
      <c r="J5" s="569" t="s">
        <v>45</v>
      </c>
      <c r="K5" s="569" t="s">
        <v>46</v>
      </c>
      <c r="L5" s="569" t="s">
        <v>47</v>
      </c>
      <c r="M5" s="570"/>
      <c r="N5" s="570" t="s">
        <v>44</v>
      </c>
      <c r="O5" s="570" t="s">
        <v>45</v>
      </c>
      <c r="P5" s="570" t="s">
        <v>46</v>
      </c>
      <c r="Q5" s="570" t="s">
        <v>47</v>
      </c>
      <c r="R5" s="570" t="s">
        <v>44</v>
      </c>
      <c r="S5" s="570" t="s">
        <v>45</v>
      </c>
      <c r="T5" s="570" t="s">
        <v>46</v>
      </c>
      <c r="U5" s="44"/>
      <c r="V5" s="44"/>
      <c r="W5" s="44"/>
      <c r="X5" s="44"/>
      <c r="Y5" s="44"/>
      <c r="Z5" s="201"/>
      <c r="AA5" s="202"/>
    </row>
    <row r="6" spans="1:27" s="38" customFormat="1" ht="13.5" thickBot="1">
      <c r="A6" s="39"/>
      <c r="B6" s="571">
        <v>2009</v>
      </c>
      <c r="C6" s="571">
        <v>2010</v>
      </c>
      <c r="D6" s="572" t="s">
        <v>48</v>
      </c>
      <c r="E6" s="572" t="s">
        <v>49</v>
      </c>
      <c r="F6" s="572" t="s">
        <v>50</v>
      </c>
      <c r="G6" s="572" t="s">
        <v>51</v>
      </c>
      <c r="H6" s="571">
        <v>2011</v>
      </c>
      <c r="I6" s="573" t="s">
        <v>52</v>
      </c>
      <c r="J6" s="574" t="s">
        <v>270</v>
      </c>
      <c r="K6" s="574" t="s">
        <v>315</v>
      </c>
      <c r="L6" s="575" t="s">
        <v>316</v>
      </c>
      <c r="M6" s="576">
        <v>2012</v>
      </c>
      <c r="N6" s="576" t="s">
        <v>58</v>
      </c>
      <c r="O6" s="576" t="s">
        <v>64</v>
      </c>
      <c r="P6" s="576" t="s">
        <v>366</v>
      </c>
      <c r="Q6" s="576" t="s">
        <v>378</v>
      </c>
      <c r="R6" s="576" t="s">
        <v>385</v>
      </c>
      <c r="S6" s="576" t="s">
        <v>386</v>
      </c>
      <c r="T6" s="576" t="s">
        <v>387</v>
      </c>
      <c r="U6" s="44"/>
      <c r="V6" s="44"/>
      <c r="W6" s="44"/>
      <c r="X6" s="44"/>
      <c r="Y6" s="44"/>
      <c r="Z6" s="201"/>
      <c r="AA6" s="202"/>
    </row>
    <row r="7" spans="1:27" s="46" customFormat="1">
      <c r="A7" s="41"/>
      <c r="B7" s="42"/>
      <c r="C7" s="42"/>
      <c r="D7" s="43"/>
      <c r="E7" s="43"/>
      <c r="F7" s="43"/>
      <c r="G7" s="43"/>
      <c r="H7" s="42"/>
      <c r="I7" s="221"/>
      <c r="J7" s="221"/>
      <c r="K7" s="221"/>
      <c r="L7" s="221"/>
      <c r="M7" s="220"/>
      <c r="N7" s="220"/>
      <c r="O7" s="220"/>
      <c r="P7" s="220"/>
      <c r="Q7" s="220"/>
      <c r="R7" s="220"/>
      <c r="S7" s="220"/>
      <c r="T7" s="220"/>
      <c r="U7" s="44"/>
      <c r="V7" s="43"/>
      <c r="W7" s="43"/>
      <c r="X7" s="43"/>
      <c r="Y7" s="43"/>
      <c r="Z7" s="43"/>
      <c r="AA7" s="203"/>
    </row>
    <row r="8" spans="1:27" s="51" customFormat="1">
      <c r="A8" s="47" t="s">
        <v>167</v>
      </c>
      <c r="B8" s="48"/>
      <c r="C8" s="48"/>
      <c r="D8" s="49"/>
      <c r="E8" s="49"/>
      <c r="F8" s="49"/>
      <c r="G8" s="49"/>
      <c r="H8" s="48"/>
      <c r="I8" s="285"/>
      <c r="J8" s="285"/>
      <c r="K8" s="285"/>
      <c r="L8" s="285"/>
      <c r="M8" s="286"/>
      <c r="N8" s="286"/>
      <c r="O8" s="286"/>
      <c r="P8" s="286"/>
      <c r="Q8" s="286"/>
      <c r="R8" s="286"/>
      <c r="S8" s="286"/>
      <c r="T8" s="286"/>
      <c r="U8" s="50"/>
      <c r="V8" s="204"/>
      <c r="W8" s="204"/>
      <c r="X8" s="204"/>
      <c r="Y8" s="204"/>
      <c r="Z8" s="204"/>
      <c r="AA8" s="204"/>
    </row>
    <row r="9" spans="1:27" s="58" customFormat="1">
      <c r="A9" s="52" t="s">
        <v>168</v>
      </c>
      <c r="B9" s="53">
        <v>100.352</v>
      </c>
      <c r="C9" s="53">
        <v>252.16200000000001</v>
      </c>
      <c r="D9" s="54">
        <v>288.96300000000002</v>
      </c>
      <c r="E9" s="54">
        <v>321.12099999999998</v>
      </c>
      <c r="F9" s="54">
        <v>343.98399999999998</v>
      </c>
      <c r="G9" s="54">
        <f t="shared" ref="G9:G15" si="0">H9</f>
        <v>162.67599999999999</v>
      </c>
      <c r="H9" s="53">
        <v>162.67599999999999</v>
      </c>
      <c r="I9" s="287">
        <v>156.666</v>
      </c>
      <c r="J9" s="287">
        <v>157.01300000000001</v>
      </c>
      <c r="K9" s="287">
        <v>263.42500000000001</v>
      </c>
      <c r="L9" s="338">
        <v>154.03</v>
      </c>
      <c r="M9" s="288">
        <v>154.03</v>
      </c>
      <c r="N9" s="288">
        <v>262.12599999999998</v>
      </c>
      <c r="O9" s="288">
        <v>343.55</v>
      </c>
      <c r="P9" s="288">
        <v>322.23</v>
      </c>
      <c r="Q9" s="288">
        <v>278.88900000000001</v>
      </c>
      <c r="R9" s="288">
        <v>413.79399999999998</v>
      </c>
      <c r="S9" s="288">
        <v>259.04599999999999</v>
      </c>
      <c r="T9" s="288">
        <v>497.291</v>
      </c>
      <c r="U9" s="56"/>
      <c r="V9" s="206"/>
      <c r="W9" s="206"/>
      <c r="X9" s="206"/>
      <c r="Y9" s="206"/>
      <c r="Z9" s="206"/>
      <c r="AA9" s="205"/>
    </row>
    <row r="10" spans="1:27" s="58" customFormat="1">
      <c r="A10" s="52" t="s">
        <v>198</v>
      </c>
      <c r="B10" s="53">
        <v>129.13999999999999</v>
      </c>
      <c r="C10" s="53">
        <v>374.92099999999999</v>
      </c>
      <c r="D10" s="54">
        <v>394.447</v>
      </c>
      <c r="E10" s="54">
        <v>409.09800000000001</v>
      </c>
      <c r="F10" s="54">
        <v>350.61399999999998</v>
      </c>
      <c r="G10" s="54">
        <f t="shared" si="0"/>
        <v>240.803</v>
      </c>
      <c r="H10" s="53">
        <v>240.803</v>
      </c>
      <c r="I10" s="287">
        <v>252.3</v>
      </c>
      <c r="J10" s="287">
        <v>235.35499999999999</v>
      </c>
      <c r="K10" s="287">
        <v>240.03200000000001</v>
      </c>
      <c r="L10" s="338">
        <v>325.17500000000001</v>
      </c>
      <c r="M10" s="288">
        <v>325.17500000000001</v>
      </c>
      <c r="N10" s="288">
        <v>408.51600000000002</v>
      </c>
      <c r="O10" s="288">
        <v>353.041</v>
      </c>
      <c r="P10" s="288">
        <v>394.61200000000002</v>
      </c>
      <c r="Q10" s="288">
        <v>409.64499999999998</v>
      </c>
      <c r="R10" s="288">
        <v>346.69799999999998</v>
      </c>
      <c r="S10" s="288">
        <v>308.53399999999999</v>
      </c>
      <c r="T10" s="288">
        <v>270.37200000000001</v>
      </c>
      <c r="U10" s="207"/>
      <c r="V10" s="206"/>
      <c r="W10" s="206"/>
      <c r="X10" s="206"/>
      <c r="Y10" s="206"/>
      <c r="Z10" s="206"/>
      <c r="AA10" s="205"/>
    </row>
    <row r="11" spans="1:27" s="58" customFormat="1">
      <c r="A11" s="52" t="s">
        <v>169</v>
      </c>
      <c r="B11" s="53">
        <v>50.625999999999998</v>
      </c>
      <c r="C11" s="53">
        <v>73.706999999999994</v>
      </c>
      <c r="D11" s="54">
        <v>65.415000000000006</v>
      </c>
      <c r="E11" s="54">
        <v>82.527000000000001</v>
      </c>
      <c r="F11" s="54">
        <v>87.39</v>
      </c>
      <c r="G11" s="54">
        <f t="shared" si="0"/>
        <v>88.68</v>
      </c>
      <c r="H11" s="53">
        <v>88.68</v>
      </c>
      <c r="I11" s="287">
        <v>89.15</v>
      </c>
      <c r="J11" s="287">
        <v>98.584000000000003</v>
      </c>
      <c r="K11" s="287">
        <v>108.949</v>
      </c>
      <c r="L11" s="338">
        <v>116.626</v>
      </c>
      <c r="M11" s="288">
        <v>116.626</v>
      </c>
      <c r="N11" s="288">
        <v>101.34699999999999</v>
      </c>
      <c r="O11" s="288">
        <v>131.565</v>
      </c>
      <c r="P11" s="288">
        <v>130.642</v>
      </c>
      <c r="Q11" s="288">
        <v>126.297</v>
      </c>
      <c r="R11" s="288">
        <v>131.77099999999999</v>
      </c>
      <c r="S11" s="288">
        <v>212.90199999999999</v>
      </c>
      <c r="T11" s="288">
        <v>139.90299999999999</v>
      </c>
      <c r="U11" s="207"/>
      <c r="V11" s="206"/>
      <c r="W11" s="206"/>
      <c r="X11" s="206"/>
      <c r="Y11" s="206"/>
      <c r="Z11" s="206"/>
      <c r="AA11" s="205"/>
    </row>
    <row r="12" spans="1:27" s="58" customFormat="1">
      <c r="A12" s="52" t="s">
        <v>170</v>
      </c>
      <c r="B12" s="53">
        <v>2.6379999999999999</v>
      </c>
      <c r="C12" s="53">
        <v>6.84</v>
      </c>
      <c r="D12" s="54">
        <v>9.3580000000000005</v>
      </c>
      <c r="E12" s="54">
        <v>11.037000000000001</v>
      </c>
      <c r="F12" s="54">
        <v>6.2770000000000001</v>
      </c>
      <c r="G12" s="54">
        <f t="shared" si="0"/>
        <v>6.1879999999999997</v>
      </c>
      <c r="H12" s="53">
        <v>6.1879999999999997</v>
      </c>
      <c r="I12" s="287">
        <v>21.844000000000001</v>
      </c>
      <c r="J12" s="287">
        <v>24.824999999999999</v>
      </c>
      <c r="K12" s="287">
        <v>37.39</v>
      </c>
      <c r="L12" s="338">
        <v>3.778</v>
      </c>
      <c r="M12" s="288">
        <v>3.778</v>
      </c>
      <c r="N12" s="288">
        <v>5.8380000000000001</v>
      </c>
      <c r="O12" s="288">
        <v>5.0129999999999999</v>
      </c>
      <c r="P12" s="288">
        <v>35.640999999999998</v>
      </c>
      <c r="Q12" s="288">
        <v>46.423999999999999</v>
      </c>
      <c r="R12" s="288">
        <v>46.287999999999997</v>
      </c>
      <c r="S12" s="288">
        <v>43.093000000000004</v>
      </c>
      <c r="T12" s="288">
        <v>107.25</v>
      </c>
      <c r="U12" s="207"/>
      <c r="V12" s="206"/>
      <c r="W12" s="206"/>
      <c r="X12" s="206"/>
      <c r="Y12" s="206"/>
      <c r="Z12" s="206"/>
      <c r="AA12" s="205"/>
    </row>
    <row r="13" spans="1:27" s="58" customFormat="1">
      <c r="A13" s="52" t="s">
        <v>309</v>
      </c>
      <c r="B13" s="53">
        <v>8.1989999999999998</v>
      </c>
      <c r="C13" s="53">
        <v>8.7520000000000007</v>
      </c>
      <c r="D13" s="54">
        <v>12.276</v>
      </c>
      <c r="E13" s="54">
        <v>10.157</v>
      </c>
      <c r="F13" s="54">
        <v>9.7620000000000005</v>
      </c>
      <c r="G13" s="54">
        <f t="shared" si="0"/>
        <v>9.9280000000000008</v>
      </c>
      <c r="H13" s="53">
        <v>9.9280000000000008</v>
      </c>
      <c r="I13" s="287"/>
      <c r="J13" s="287"/>
      <c r="K13" s="287">
        <v>13.342000000000001</v>
      </c>
      <c r="L13" s="338">
        <v>17.053000000000001</v>
      </c>
      <c r="M13" s="288">
        <v>17.053000000000001</v>
      </c>
      <c r="N13" s="288">
        <v>12.443</v>
      </c>
      <c r="O13" s="288">
        <v>11.147</v>
      </c>
      <c r="P13" s="288"/>
      <c r="Q13" s="288"/>
      <c r="R13" s="288"/>
      <c r="S13" s="288"/>
      <c r="T13" s="288"/>
      <c r="U13" s="56"/>
      <c r="V13" s="206"/>
      <c r="W13" s="206"/>
      <c r="X13" s="206"/>
      <c r="Y13" s="206"/>
      <c r="Z13" s="206"/>
      <c r="AA13" s="205"/>
    </row>
    <row r="14" spans="1:27" s="58" customFormat="1">
      <c r="A14" s="52" t="s">
        <v>338</v>
      </c>
      <c r="B14" s="53">
        <v>26.36</v>
      </c>
      <c r="C14" s="53">
        <v>35.520000000000003</v>
      </c>
      <c r="D14" s="54">
        <v>38.076000000000001</v>
      </c>
      <c r="E14" s="54">
        <v>41.26</v>
      </c>
      <c r="F14" s="54">
        <v>45.796999999999997</v>
      </c>
      <c r="G14" s="54">
        <f t="shared" si="0"/>
        <v>45.981000000000002</v>
      </c>
      <c r="H14" s="53">
        <v>45.981000000000002</v>
      </c>
      <c r="I14" s="287">
        <v>45.76</v>
      </c>
      <c r="J14" s="287">
        <v>46.631</v>
      </c>
      <c r="K14" s="287">
        <v>46.847999999999999</v>
      </c>
      <c r="L14" s="338">
        <v>37.253999999999998</v>
      </c>
      <c r="M14" s="288">
        <v>37.253999999999998</v>
      </c>
      <c r="N14" s="288">
        <v>39.743000000000002</v>
      </c>
      <c r="O14" s="288">
        <v>44.713000000000001</v>
      </c>
      <c r="P14" s="288">
        <v>49.616999999999997</v>
      </c>
      <c r="Q14" s="288">
        <v>47.758000000000003</v>
      </c>
      <c r="R14" s="288">
        <v>51.716999999999999</v>
      </c>
      <c r="S14" s="288">
        <v>58.033000000000001</v>
      </c>
      <c r="T14" s="288">
        <v>63.668999999999997</v>
      </c>
      <c r="U14" s="207"/>
      <c r="V14" s="206"/>
      <c r="W14" s="206"/>
      <c r="X14" s="206"/>
      <c r="Y14" s="206"/>
      <c r="Z14" s="206"/>
      <c r="AA14" s="205"/>
    </row>
    <row r="15" spans="1:27" s="58" customFormat="1">
      <c r="A15" s="59" t="s">
        <v>199</v>
      </c>
      <c r="B15" s="60">
        <v>7.1920000000000002</v>
      </c>
      <c r="C15" s="60">
        <v>12.585000000000001</v>
      </c>
      <c r="D15" s="61">
        <v>2.3090000000000002</v>
      </c>
      <c r="E15" s="61">
        <v>2.3090000000000002</v>
      </c>
      <c r="F15" s="61">
        <v>2.3090000000000002</v>
      </c>
      <c r="G15" s="61">
        <f t="shared" si="0"/>
        <v>8.1989999999999998</v>
      </c>
      <c r="H15" s="60">
        <v>8.1989999999999998</v>
      </c>
      <c r="I15" s="289">
        <v>8.1989999999999998</v>
      </c>
      <c r="J15" s="289">
        <v>8.1989999999999998</v>
      </c>
      <c r="K15" s="289">
        <v>8.1989999999999998</v>
      </c>
      <c r="L15" s="339">
        <v>14.554</v>
      </c>
      <c r="M15" s="290">
        <v>14.554</v>
      </c>
      <c r="N15" s="290">
        <v>14.554</v>
      </c>
      <c r="O15" s="290">
        <v>14.554</v>
      </c>
      <c r="P15" s="290"/>
      <c r="Q15" s="290"/>
      <c r="R15" s="290"/>
      <c r="S15" s="290"/>
      <c r="T15" s="290"/>
      <c r="U15" s="207"/>
      <c r="V15" s="206"/>
      <c r="W15" s="206"/>
      <c r="X15" s="206"/>
      <c r="Y15" s="206"/>
      <c r="Z15" s="206"/>
      <c r="AA15" s="205"/>
    </row>
    <row r="16" spans="1:27" s="66" customFormat="1">
      <c r="A16" s="62" t="s">
        <v>171</v>
      </c>
      <c r="B16" s="63">
        <f t="shared" ref="B16:K16" si="1">SUM(B9:B15)</f>
        <v>324.50700000000001</v>
      </c>
      <c r="C16" s="63">
        <f t="shared" si="1"/>
        <v>764.48699999999997</v>
      </c>
      <c r="D16" s="64">
        <f t="shared" si="1"/>
        <v>810.84399999999994</v>
      </c>
      <c r="E16" s="64">
        <f t="shared" si="1"/>
        <v>877.50900000000013</v>
      </c>
      <c r="F16" s="64">
        <f t="shared" si="1"/>
        <v>846.13300000000004</v>
      </c>
      <c r="G16" s="64">
        <f t="shared" si="1"/>
        <v>562.45499999999993</v>
      </c>
      <c r="H16" s="63">
        <f t="shared" si="1"/>
        <v>562.45499999999993</v>
      </c>
      <c r="I16" s="291">
        <f t="shared" si="1"/>
        <v>573.91899999999998</v>
      </c>
      <c r="J16" s="291">
        <f t="shared" si="1"/>
        <v>570.60699999999997</v>
      </c>
      <c r="K16" s="291">
        <f t="shared" si="1"/>
        <v>718.18499999999983</v>
      </c>
      <c r="L16" s="340">
        <f t="shared" ref="L16:Q16" si="2">SUM(L9:L15)</f>
        <v>668.47</v>
      </c>
      <c r="M16" s="292">
        <f t="shared" si="2"/>
        <v>668.47</v>
      </c>
      <c r="N16" s="292">
        <f t="shared" si="2"/>
        <v>844.56700000000001</v>
      </c>
      <c r="O16" s="292">
        <f t="shared" si="2"/>
        <v>903.58299999999997</v>
      </c>
      <c r="P16" s="292">
        <f t="shared" si="2"/>
        <v>932.74200000000008</v>
      </c>
      <c r="Q16" s="292">
        <f t="shared" si="2"/>
        <v>909.01300000000003</v>
      </c>
      <c r="R16" s="292">
        <f>SUM(R9:R15)</f>
        <v>990.26799999999992</v>
      </c>
      <c r="S16" s="292">
        <f>SUM(S9:S15)</f>
        <v>881.60799999999995</v>
      </c>
      <c r="T16" s="292">
        <f>SUM(T9:T15)</f>
        <v>1078.4850000000001</v>
      </c>
      <c r="U16" s="65"/>
      <c r="V16" s="78"/>
      <c r="W16" s="78"/>
      <c r="X16" s="78"/>
      <c r="Y16" s="78"/>
      <c r="Z16" s="78"/>
      <c r="AA16" s="79"/>
    </row>
    <row r="17" spans="1:27" s="58" customFormat="1">
      <c r="A17" s="67" t="s">
        <v>198</v>
      </c>
      <c r="B17" s="68">
        <v>148.62799999999999</v>
      </c>
      <c r="C17" s="68">
        <v>132.84899999999999</v>
      </c>
      <c r="D17" s="69">
        <v>141.21199999999999</v>
      </c>
      <c r="E17" s="69">
        <v>157.19800000000001</v>
      </c>
      <c r="F17" s="69">
        <v>249.995</v>
      </c>
      <c r="G17" s="69">
        <f t="shared" ref="G17:G22" si="3">H17</f>
        <v>343.899</v>
      </c>
      <c r="H17" s="68">
        <v>343.899</v>
      </c>
      <c r="I17" s="287">
        <v>336.96100000000001</v>
      </c>
      <c r="J17" s="287">
        <v>308.94400000000002</v>
      </c>
      <c r="K17" s="287">
        <v>248.88399999999999</v>
      </c>
      <c r="L17" s="338">
        <v>305.726</v>
      </c>
      <c r="M17" s="288">
        <v>305.726</v>
      </c>
      <c r="N17" s="288">
        <v>206.12299999999999</v>
      </c>
      <c r="O17" s="288">
        <v>198.077</v>
      </c>
      <c r="P17" s="288">
        <v>321.94</v>
      </c>
      <c r="Q17" s="288">
        <v>448.13400000000001</v>
      </c>
      <c r="R17" s="288">
        <v>384.14</v>
      </c>
      <c r="S17" s="288">
        <v>280.887</v>
      </c>
      <c r="T17" s="288">
        <v>205.953</v>
      </c>
      <c r="U17" s="207"/>
      <c r="V17" s="206"/>
      <c r="W17" s="206"/>
      <c r="X17" s="206"/>
      <c r="Y17" s="206"/>
      <c r="Z17" s="206"/>
      <c r="AA17" s="205"/>
    </row>
    <row r="18" spans="1:27" s="58" customFormat="1">
      <c r="A18" s="71" t="s">
        <v>279</v>
      </c>
      <c r="B18" s="53">
        <v>39.975999999999999</v>
      </c>
      <c r="C18" s="53">
        <v>5.1219999999999999</v>
      </c>
      <c r="D18" s="54">
        <v>5.1219999999999999</v>
      </c>
      <c r="E18" s="54">
        <v>5.1219999999999999</v>
      </c>
      <c r="F18" s="54">
        <v>5.1230000000000002</v>
      </c>
      <c r="G18" s="54">
        <f t="shared" si="3"/>
        <v>5.1230000000000002</v>
      </c>
      <c r="H18" s="53">
        <v>5.1230000000000002</v>
      </c>
      <c r="I18" s="287">
        <v>5.3689999999999998</v>
      </c>
      <c r="J18" s="287">
        <v>5.3929999999999998</v>
      </c>
      <c r="K18" s="287">
        <v>5.3479999999999999</v>
      </c>
      <c r="L18" s="338">
        <v>5.3769999999999998</v>
      </c>
      <c r="M18" s="288">
        <v>5.3769999999999998</v>
      </c>
      <c r="N18" s="288">
        <v>5.3849999999999998</v>
      </c>
      <c r="O18" s="288">
        <v>5.407</v>
      </c>
      <c r="P18" s="288">
        <v>5.3550000000000004</v>
      </c>
      <c r="Q18" s="288">
        <v>5.3689999999999998</v>
      </c>
      <c r="R18" s="288">
        <v>5.3929999999999998</v>
      </c>
      <c r="S18" s="288">
        <v>0</v>
      </c>
      <c r="T18" s="288">
        <v>0</v>
      </c>
      <c r="U18" s="207"/>
      <c r="V18" s="206"/>
      <c r="W18" s="206"/>
      <c r="X18" s="206"/>
      <c r="Y18" s="206"/>
      <c r="Z18" s="206"/>
      <c r="AA18" s="205"/>
    </row>
    <row r="19" spans="1:27" s="58" customFormat="1">
      <c r="A19" s="71" t="s">
        <v>94</v>
      </c>
      <c r="B19" s="53">
        <v>18.417999999999999</v>
      </c>
      <c r="C19" s="53">
        <v>9.8610000000000007</v>
      </c>
      <c r="D19" s="54">
        <v>9.9920000000000009</v>
      </c>
      <c r="E19" s="54">
        <v>9.7509999999999994</v>
      </c>
      <c r="F19" s="54">
        <v>19.402000000000001</v>
      </c>
      <c r="G19" s="54">
        <f t="shared" si="3"/>
        <v>22.087</v>
      </c>
      <c r="H19" s="53">
        <v>22.087</v>
      </c>
      <c r="I19" s="287">
        <v>24.914999999999999</v>
      </c>
      <c r="J19" s="287">
        <v>17.064</v>
      </c>
      <c r="K19" s="287">
        <v>16.661999999999999</v>
      </c>
      <c r="L19" s="338">
        <v>16.408000000000001</v>
      </c>
      <c r="M19" s="288">
        <v>16.408000000000001</v>
      </c>
      <c r="N19" s="288">
        <v>15.657</v>
      </c>
      <c r="O19" s="288">
        <v>14.939</v>
      </c>
      <c r="P19" s="288">
        <v>14.614000000000001</v>
      </c>
      <c r="Q19" s="288">
        <v>14.115</v>
      </c>
      <c r="R19" s="288">
        <v>13.737</v>
      </c>
      <c r="S19" s="288">
        <v>15.336</v>
      </c>
      <c r="T19" s="288">
        <v>14.499000000000001</v>
      </c>
      <c r="U19" s="207"/>
      <c r="V19" s="206"/>
      <c r="W19" s="206"/>
      <c r="X19" s="206"/>
      <c r="Y19" s="206"/>
      <c r="Z19" s="206"/>
      <c r="AA19" s="205"/>
    </row>
    <row r="20" spans="1:27" s="58" customFormat="1">
      <c r="A20" s="71" t="s">
        <v>95</v>
      </c>
      <c r="B20" s="53">
        <v>303.85899999999998</v>
      </c>
      <c r="C20" s="53">
        <v>306.04399999999998</v>
      </c>
      <c r="D20" s="54">
        <v>304.76600000000002</v>
      </c>
      <c r="E20" s="54">
        <v>314.94499999999999</v>
      </c>
      <c r="F20" s="54">
        <v>333.22500000000002</v>
      </c>
      <c r="G20" s="54">
        <f t="shared" si="3"/>
        <v>366.04599999999999</v>
      </c>
      <c r="H20" s="53">
        <v>366.04599999999999</v>
      </c>
      <c r="I20" s="287">
        <v>401.58699999999999</v>
      </c>
      <c r="J20" s="287">
        <v>435.75099999999998</v>
      </c>
      <c r="K20" s="287">
        <v>439.89400000000001</v>
      </c>
      <c r="L20" s="338">
        <v>453.685</v>
      </c>
      <c r="M20" s="288">
        <v>453.685</v>
      </c>
      <c r="N20" s="288">
        <v>449.07600000000002</v>
      </c>
      <c r="O20" s="288">
        <v>447.89299999999997</v>
      </c>
      <c r="P20" s="288">
        <v>449.94200000000001</v>
      </c>
      <c r="Q20" s="288">
        <v>464.95</v>
      </c>
      <c r="R20" s="288">
        <v>474.41</v>
      </c>
      <c r="S20" s="288">
        <v>477.53399999999999</v>
      </c>
      <c r="T20" s="288">
        <v>481.04899999999998</v>
      </c>
      <c r="U20" s="207"/>
      <c r="V20" s="206"/>
      <c r="W20" s="206"/>
      <c r="X20" s="206"/>
      <c r="Y20" s="206"/>
      <c r="Z20" s="206"/>
      <c r="AA20" s="205"/>
    </row>
    <row r="21" spans="1:27" s="58" customFormat="1">
      <c r="A21" s="71" t="s">
        <v>96</v>
      </c>
      <c r="B21" s="53">
        <v>200.96899999999999</v>
      </c>
      <c r="C21" s="53">
        <v>202.13499999999999</v>
      </c>
      <c r="D21" s="54">
        <v>192.56299999999999</v>
      </c>
      <c r="E21" s="54">
        <v>193.15</v>
      </c>
      <c r="F21" s="54">
        <v>191</v>
      </c>
      <c r="G21" s="54">
        <f t="shared" si="3"/>
        <v>190.745</v>
      </c>
      <c r="H21" s="53">
        <v>190.745</v>
      </c>
      <c r="I21" s="287">
        <v>190.63399999999999</v>
      </c>
      <c r="J21" s="287">
        <v>190.529</v>
      </c>
      <c r="K21" s="287">
        <v>190.44800000000001</v>
      </c>
      <c r="L21" s="338">
        <v>150.14699999999999</v>
      </c>
      <c r="M21" s="288">
        <v>150.14699999999999</v>
      </c>
      <c r="N21" s="288">
        <v>149.95099999999999</v>
      </c>
      <c r="O21" s="288">
        <v>149.81299999999999</v>
      </c>
      <c r="P21" s="288">
        <v>149.648</v>
      </c>
      <c r="Q21" s="288">
        <v>192.71799999999999</v>
      </c>
      <c r="R21" s="288">
        <v>193.91</v>
      </c>
      <c r="S21" s="288">
        <v>193.80799999999999</v>
      </c>
      <c r="T21" s="288">
        <v>193.65299999999999</v>
      </c>
      <c r="U21" s="207"/>
      <c r="V21" s="206"/>
      <c r="W21" s="206"/>
      <c r="X21" s="206"/>
      <c r="Y21" s="206"/>
      <c r="Z21" s="206"/>
      <c r="AA21" s="205"/>
    </row>
    <row r="22" spans="1:27" s="58" customFormat="1">
      <c r="A22" s="71" t="s">
        <v>172</v>
      </c>
      <c r="B22" s="53">
        <v>15.186999999999999</v>
      </c>
      <c r="C22" s="53">
        <v>11.137</v>
      </c>
      <c r="D22" s="54">
        <v>20.905000000000001</v>
      </c>
      <c r="E22" s="54">
        <v>21.065000000000001</v>
      </c>
      <c r="F22" s="54">
        <v>22.175000000000001</v>
      </c>
      <c r="G22" s="54">
        <f t="shared" si="3"/>
        <v>27.724</v>
      </c>
      <c r="H22" s="53">
        <v>27.724</v>
      </c>
      <c r="I22" s="287">
        <v>28.05</v>
      </c>
      <c r="J22" s="287">
        <v>28.113</v>
      </c>
      <c r="K22" s="287">
        <v>28.071000000000002</v>
      </c>
      <c r="L22" s="338">
        <v>26.782</v>
      </c>
      <c r="M22" s="288">
        <v>26.782</v>
      </c>
      <c r="N22" s="288">
        <v>26.596</v>
      </c>
      <c r="O22" s="288">
        <v>57.960999999999999</v>
      </c>
      <c r="P22" s="288">
        <v>53.415999999999997</v>
      </c>
      <c r="Q22" s="288">
        <v>53.268000000000001</v>
      </c>
      <c r="R22" s="288">
        <v>53.076000000000001</v>
      </c>
      <c r="S22" s="288">
        <v>103.699</v>
      </c>
      <c r="T22" s="288">
        <v>98.411000000000001</v>
      </c>
      <c r="U22" s="207"/>
      <c r="V22" s="206"/>
      <c r="W22" s="206"/>
      <c r="X22" s="206"/>
      <c r="Y22" s="206"/>
      <c r="Z22" s="206"/>
      <c r="AA22" s="205"/>
    </row>
    <row r="23" spans="1:27" s="66" customFormat="1" ht="13.5" thickBot="1">
      <c r="A23" s="72" t="s">
        <v>173</v>
      </c>
      <c r="B23" s="73">
        <f t="shared" ref="B23:J23" si="4">SUM(B16:B22)</f>
        <v>1051.5439999999999</v>
      </c>
      <c r="C23" s="73">
        <f t="shared" si="4"/>
        <v>1431.6349999999998</v>
      </c>
      <c r="D23" s="74">
        <f t="shared" si="4"/>
        <v>1485.4039999999998</v>
      </c>
      <c r="E23" s="74">
        <f t="shared" si="4"/>
        <v>1578.7400000000002</v>
      </c>
      <c r="F23" s="74">
        <f t="shared" si="4"/>
        <v>1667.0530000000001</v>
      </c>
      <c r="G23" s="74">
        <f t="shared" si="4"/>
        <v>1518.079</v>
      </c>
      <c r="H23" s="73">
        <f t="shared" si="4"/>
        <v>1518.079</v>
      </c>
      <c r="I23" s="293">
        <f t="shared" si="4"/>
        <v>1561.4349999999999</v>
      </c>
      <c r="J23" s="293">
        <f t="shared" si="4"/>
        <v>1556.4010000000001</v>
      </c>
      <c r="K23" s="293">
        <f t="shared" ref="K23:P23" si="5">SUM(K16:K22)</f>
        <v>1647.492</v>
      </c>
      <c r="L23" s="341">
        <f t="shared" si="5"/>
        <v>1626.5949999999998</v>
      </c>
      <c r="M23" s="294">
        <f t="shared" si="5"/>
        <v>1626.5949999999998</v>
      </c>
      <c r="N23" s="294">
        <f t="shared" si="5"/>
        <v>1697.355</v>
      </c>
      <c r="O23" s="294">
        <f t="shared" si="5"/>
        <v>1777.673</v>
      </c>
      <c r="P23" s="294">
        <f t="shared" si="5"/>
        <v>1927.6569999999999</v>
      </c>
      <c r="Q23" s="294">
        <f>SUM(Q16:Q22)</f>
        <v>2087.567</v>
      </c>
      <c r="R23" s="294">
        <f>SUM(R16:R22)</f>
        <v>2114.9340000000002</v>
      </c>
      <c r="S23" s="294">
        <f>SUM(S16:S22)</f>
        <v>1952.8719999999998</v>
      </c>
      <c r="T23" s="294">
        <f>SUM(T16:T22)</f>
        <v>2072.0500000000002</v>
      </c>
      <c r="U23" s="65"/>
      <c r="V23" s="78"/>
      <c r="W23" s="78"/>
      <c r="X23" s="78"/>
      <c r="Y23" s="78"/>
      <c r="Z23" s="78"/>
      <c r="AA23" s="79"/>
    </row>
    <row r="24" spans="1:27" s="58" customFormat="1" ht="13.5" thickTop="1">
      <c r="A24" s="67"/>
      <c r="B24" s="68"/>
      <c r="C24" s="68"/>
      <c r="D24" s="69"/>
      <c r="E24" s="69"/>
      <c r="F24" s="69"/>
      <c r="G24" s="69"/>
      <c r="H24" s="68"/>
      <c r="I24" s="287"/>
      <c r="J24" s="287"/>
      <c r="K24" s="287"/>
      <c r="L24" s="338"/>
      <c r="M24" s="288"/>
      <c r="N24" s="288"/>
      <c r="O24" s="288"/>
      <c r="P24" s="288"/>
      <c r="Q24" s="288"/>
      <c r="R24" s="288"/>
      <c r="S24" s="288"/>
      <c r="T24" s="288"/>
      <c r="U24" s="56"/>
      <c r="V24" s="206"/>
      <c r="W24" s="206"/>
      <c r="X24" s="206"/>
      <c r="Y24" s="206"/>
      <c r="Z24" s="206"/>
      <c r="AA24" s="205"/>
    </row>
    <row r="25" spans="1:27" s="58" customFormat="1">
      <c r="A25" s="71" t="s">
        <v>174</v>
      </c>
      <c r="B25" s="53"/>
      <c r="C25" s="53"/>
      <c r="D25" s="54"/>
      <c r="E25" s="54"/>
      <c r="F25" s="54"/>
      <c r="G25" s="54"/>
      <c r="H25" s="53"/>
      <c r="I25" s="287"/>
      <c r="J25" s="287"/>
      <c r="K25" s="287"/>
      <c r="L25" s="338"/>
      <c r="M25" s="288"/>
      <c r="N25" s="288"/>
      <c r="O25" s="288"/>
      <c r="P25" s="288"/>
      <c r="Q25" s="288"/>
      <c r="R25" s="288"/>
      <c r="S25" s="288"/>
      <c r="T25" s="288"/>
      <c r="U25" s="56"/>
      <c r="V25" s="206"/>
      <c r="W25" s="206"/>
      <c r="X25" s="206"/>
      <c r="Y25" s="206"/>
      <c r="Z25" s="206"/>
      <c r="AA25" s="205"/>
    </row>
    <row r="26" spans="1:27" s="58" customFormat="1">
      <c r="A26" s="52" t="s">
        <v>253</v>
      </c>
      <c r="B26" s="53">
        <v>18.75</v>
      </c>
      <c r="C26" s="53">
        <v>16.146000000000001</v>
      </c>
      <c r="D26" s="54">
        <v>10.038</v>
      </c>
      <c r="E26" s="54">
        <v>17.082000000000001</v>
      </c>
      <c r="F26" s="54">
        <v>17.244</v>
      </c>
      <c r="G26" s="54">
        <f>H26</f>
        <v>47.256999999999998</v>
      </c>
      <c r="H26" s="53">
        <v>47.256999999999998</v>
      </c>
      <c r="I26" s="287">
        <v>8.3350000000000009</v>
      </c>
      <c r="J26" s="287">
        <v>8.6950000000000003</v>
      </c>
      <c r="K26" s="287">
        <v>10.130000000000001</v>
      </c>
      <c r="L26" s="338">
        <v>10.202999999999999</v>
      </c>
      <c r="M26" s="288">
        <v>10.202999999999999</v>
      </c>
      <c r="N26" s="288">
        <v>10.194000000000001</v>
      </c>
      <c r="O26" s="288">
        <v>9.3770000000000007</v>
      </c>
      <c r="P26" s="288"/>
      <c r="Q26" s="288"/>
      <c r="R26" s="288"/>
      <c r="S26" s="288"/>
      <c r="T26" s="288"/>
      <c r="U26" s="207"/>
      <c r="V26" s="206"/>
      <c r="W26" s="206"/>
      <c r="X26" s="206"/>
      <c r="Y26" s="206"/>
      <c r="Z26" s="206"/>
      <c r="AA26" s="205"/>
    </row>
    <row r="27" spans="1:27" s="58" customFormat="1">
      <c r="A27" s="52" t="s">
        <v>280</v>
      </c>
      <c r="B27" s="53">
        <v>29.763999999999999</v>
      </c>
      <c r="C27" s="53">
        <v>50.28</v>
      </c>
      <c r="D27" s="54">
        <v>52.817999999999998</v>
      </c>
      <c r="E27" s="54">
        <v>61.954999999999998</v>
      </c>
      <c r="F27" s="54">
        <v>69.628</v>
      </c>
      <c r="G27" s="54">
        <f>H27</f>
        <v>57.226999999999997</v>
      </c>
      <c r="H27" s="53">
        <v>57.226999999999997</v>
      </c>
      <c r="I27" s="287">
        <v>58.59</v>
      </c>
      <c r="J27" s="287">
        <v>67.210999999999999</v>
      </c>
      <c r="K27" s="287">
        <v>87.635000000000005</v>
      </c>
      <c r="L27" s="338">
        <v>72.984999999999999</v>
      </c>
      <c r="M27" s="288">
        <v>72.984999999999999</v>
      </c>
      <c r="N27" s="288">
        <v>67.337999999999994</v>
      </c>
      <c r="O27" s="288">
        <v>81.727000000000004</v>
      </c>
      <c r="P27" s="288">
        <v>97.51</v>
      </c>
      <c r="Q27" s="288">
        <v>92.244</v>
      </c>
      <c r="R27" s="288">
        <v>104.015</v>
      </c>
      <c r="S27" s="288">
        <v>112.246</v>
      </c>
      <c r="T27" s="288">
        <v>127.961</v>
      </c>
      <c r="U27" s="207"/>
      <c r="V27" s="206"/>
      <c r="W27" s="206"/>
      <c r="X27" s="206"/>
      <c r="Y27" s="206"/>
      <c r="Z27" s="206"/>
      <c r="AA27" s="205"/>
    </row>
    <row r="28" spans="1:27" s="58" customFormat="1">
      <c r="A28" s="52" t="s">
        <v>383</v>
      </c>
      <c r="B28" s="53"/>
      <c r="C28" s="53"/>
      <c r="D28" s="54"/>
      <c r="E28" s="54"/>
      <c r="F28" s="54"/>
      <c r="G28" s="54"/>
      <c r="H28" s="53"/>
      <c r="I28" s="287"/>
      <c r="J28" s="287"/>
      <c r="K28" s="287"/>
      <c r="L28" s="338"/>
      <c r="M28" s="288"/>
      <c r="N28" s="288"/>
      <c r="O28" s="288"/>
      <c r="P28" s="288"/>
      <c r="Q28" s="288">
        <v>287.95600000000002</v>
      </c>
      <c r="R28" s="288">
        <v>207.786</v>
      </c>
      <c r="S28" s="288">
        <v>164.42699999999999</v>
      </c>
      <c r="T28" s="288">
        <v>301.85300000000001</v>
      </c>
      <c r="U28" s="207"/>
      <c r="V28" s="206"/>
      <c r="W28" s="206"/>
      <c r="X28" s="206"/>
      <c r="Y28" s="206"/>
      <c r="Z28" s="206"/>
      <c r="AA28" s="205"/>
    </row>
    <row r="29" spans="1:27" s="58" customFormat="1">
      <c r="A29" s="52" t="s">
        <v>384</v>
      </c>
      <c r="B29" s="53"/>
      <c r="C29" s="53"/>
      <c r="D29" s="54"/>
      <c r="E29" s="54"/>
      <c r="F29" s="54"/>
      <c r="G29" s="54"/>
      <c r="H29" s="53"/>
      <c r="I29" s="287"/>
      <c r="J29" s="287"/>
      <c r="K29" s="287"/>
      <c r="L29" s="338"/>
      <c r="M29" s="288"/>
      <c r="N29" s="288"/>
      <c r="O29" s="288"/>
      <c r="P29" s="288"/>
      <c r="Q29" s="288">
        <v>66.613</v>
      </c>
      <c r="R29" s="288">
        <v>66.614000000000004</v>
      </c>
      <c r="S29" s="288">
        <v>141.614</v>
      </c>
      <c r="T29" s="288">
        <v>66.614000000000004</v>
      </c>
      <c r="U29" s="207"/>
      <c r="V29" s="206"/>
      <c r="W29" s="206"/>
      <c r="X29" s="206"/>
      <c r="Y29" s="206"/>
      <c r="Z29" s="206"/>
      <c r="AA29" s="205"/>
    </row>
    <row r="30" spans="1:27" s="58" customFormat="1">
      <c r="A30" s="59" t="s">
        <v>175</v>
      </c>
      <c r="B30" s="60">
        <v>61.401000000000003</v>
      </c>
      <c r="C30" s="60">
        <v>126.292</v>
      </c>
      <c r="D30" s="61">
        <v>139.018</v>
      </c>
      <c r="E30" s="61">
        <v>130.23500000000001</v>
      </c>
      <c r="F30" s="61">
        <v>89.542000000000002</v>
      </c>
      <c r="G30" s="61">
        <f>H30</f>
        <v>108.093</v>
      </c>
      <c r="H30" s="60">
        <v>108.093</v>
      </c>
      <c r="I30" s="289">
        <v>108.617</v>
      </c>
      <c r="J30" s="289">
        <v>111.756</v>
      </c>
      <c r="K30" s="289">
        <v>129.85</v>
      </c>
      <c r="L30" s="339">
        <v>93.566999999999993</v>
      </c>
      <c r="M30" s="290">
        <v>93.566999999999993</v>
      </c>
      <c r="N30" s="290">
        <v>99.072000000000003</v>
      </c>
      <c r="O30" s="290">
        <v>110.955</v>
      </c>
      <c r="P30" s="290">
        <v>158.43199999999999</v>
      </c>
      <c r="Q30" s="290">
        <v>25.015999999999998</v>
      </c>
      <c r="R30" s="290">
        <v>61.381</v>
      </c>
      <c r="S30" s="290">
        <v>19.074000000000002</v>
      </c>
      <c r="T30" s="290">
        <v>39.518999999999998</v>
      </c>
      <c r="U30" s="207"/>
      <c r="V30" s="206"/>
      <c r="W30" s="206"/>
      <c r="X30" s="206"/>
      <c r="Y30" s="206"/>
      <c r="Z30" s="206"/>
      <c r="AA30" s="205"/>
    </row>
    <row r="31" spans="1:27" s="66" customFormat="1">
      <c r="A31" s="62" t="s">
        <v>335</v>
      </c>
      <c r="B31" s="63">
        <f t="shared" ref="B31:O31" si="6">SUM(B26:B30)</f>
        <v>109.91499999999999</v>
      </c>
      <c r="C31" s="63">
        <f t="shared" si="6"/>
        <v>192.71800000000002</v>
      </c>
      <c r="D31" s="64">
        <f t="shared" si="6"/>
        <v>201.874</v>
      </c>
      <c r="E31" s="64">
        <f t="shared" si="6"/>
        <v>209.27200000000002</v>
      </c>
      <c r="F31" s="64">
        <f t="shared" si="6"/>
        <v>176.41399999999999</v>
      </c>
      <c r="G31" s="64">
        <f t="shared" si="6"/>
        <v>212.577</v>
      </c>
      <c r="H31" s="63">
        <f t="shared" si="6"/>
        <v>212.577</v>
      </c>
      <c r="I31" s="291">
        <f t="shared" si="6"/>
        <v>175.54200000000003</v>
      </c>
      <c r="J31" s="291">
        <f t="shared" si="6"/>
        <v>187.66200000000001</v>
      </c>
      <c r="K31" s="291">
        <f t="shared" si="6"/>
        <v>227.61500000000001</v>
      </c>
      <c r="L31" s="340">
        <f t="shared" si="6"/>
        <v>176.755</v>
      </c>
      <c r="M31" s="292">
        <f t="shared" si="6"/>
        <v>176.755</v>
      </c>
      <c r="N31" s="292">
        <f t="shared" si="6"/>
        <v>176.60399999999998</v>
      </c>
      <c r="O31" s="292">
        <f t="shared" si="6"/>
        <v>202.059</v>
      </c>
      <c r="P31" s="292">
        <f>SUM(P26:P30)</f>
        <v>255.94200000000001</v>
      </c>
      <c r="Q31" s="292">
        <f>SUM(Q26:Q30)</f>
        <v>471.82900000000006</v>
      </c>
      <c r="R31" s="292">
        <f>SUM(R26:R30)</f>
        <v>439.79599999999994</v>
      </c>
      <c r="S31" s="292">
        <f>SUM(S26:S30)</f>
        <v>437.36100000000005</v>
      </c>
      <c r="T31" s="292">
        <f>SUM(T26:T30)</f>
        <v>535.947</v>
      </c>
      <c r="U31" s="65"/>
      <c r="V31" s="78"/>
      <c r="W31" s="78"/>
      <c r="X31" s="78"/>
      <c r="Y31" s="78"/>
      <c r="Z31" s="78"/>
      <c r="AA31" s="79"/>
    </row>
    <row r="32" spans="1:27" s="58" customFormat="1">
      <c r="A32" s="67" t="s">
        <v>254</v>
      </c>
      <c r="B32" s="53">
        <v>220.27199999999999</v>
      </c>
      <c r="C32" s="53">
        <v>235.96799999999999</v>
      </c>
      <c r="D32" s="54">
        <v>240.08</v>
      </c>
      <c r="E32" s="54">
        <v>244.26900000000001</v>
      </c>
      <c r="F32" s="54">
        <v>248.53700000000001</v>
      </c>
      <c r="G32" s="69">
        <f>H32</f>
        <v>194.18</v>
      </c>
      <c r="H32" s="68">
        <v>194.18</v>
      </c>
      <c r="I32" s="287">
        <v>196.733</v>
      </c>
      <c r="J32" s="287">
        <v>199.34399999999999</v>
      </c>
      <c r="K32" s="287">
        <v>201.97</v>
      </c>
      <c r="L32" s="338">
        <v>204.667</v>
      </c>
      <c r="M32" s="288">
        <v>204.667</v>
      </c>
      <c r="N32" s="288">
        <v>207.37899999999999</v>
      </c>
      <c r="O32" s="288">
        <v>210.166</v>
      </c>
      <c r="P32" s="288">
        <v>212.96700000000001</v>
      </c>
      <c r="Q32" s="288">
        <v>215.845</v>
      </c>
      <c r="R32" s="288">
        <v>218.739</v>
      </c>
      <c r="S32" s="288">
        <v>221.71199999999999</v>
      </c>
      <c r="T32" s="288">
        <v>224.70099999999999</v>
      </c>
      <c r="U32" s="56"/>
      <c r="V32" s="206"/>
      <c r="W32" s="206"/>
      <c r="X32" s="206"/>
      <c r="Y32" s="206"/>
      <c r="Z32" s="206"/>
      <c r="AA32" s="205"/>
    </row>
    <row r="33" spans="1:27" s="58" customFormat="1">
      <c r="A33" s="71" t="s">
        <v>308</v>
      </c>
      <c r="B33" s="53"/>
      <c r="C33" s="53">
        <v>68.929000000000002</v>
      </c>
      <c r="D33" s="54">
        <v>68.929000000000002</v>
      </c>
      <c r="E33" s="54">
        <v>68.929000000000002</v>
      </c>
      <c r="F33" s="54">
        <v>68.929000000000002</v>
      </c>
      <c r="G33" s="54">
        <f>H33</f>
        <v>71.451999999999998</v>
      </c>
      <c r="H33" s="53">
        <v>71.451999999999998</v>
      </c>
      <c r="I33" s="287">
        <v>71.430999999999997</v>
      </c>
      <c r="J33" s="287">
        <v>71.415000000000006</v>
      </c>
      <c r="K33" s="287">
        <v>71.400000000000006</v>
      </c>
      <c r="L33" s="338">
        <v>70.343000000000004</v>
      </c>
      <c r="M33" s="288">
        <v>70.343000000000004</v>
      </c>
      <c r="N33" s="288">
        <v>70.319999999999993</v>
      </c>
      <c r="O33" s="288">
        <v>70.319999999999993</v>
      </c>
      <c r="P33" s="288">
        <v>70.298000000000002</v>
      </c>
      <c r="Q33" s="288">
        <v>3.7240000000000002</v>
      </c>
      <c r="R33" s="288">
        <v>3.7</v>
      </c>
      <c r="S33" s="288">
        <v>0</v>
      </c>
      <c r="T33" s="288">
        <v>0</v>
      </c>
      <c r="U33" s="207"/>
      <c r="V33" s="206"/>
      <c r="W33" s="206"/>
      <c r="X33" s="206"/>
      <c r="Y33" s="206"/>
      <c r="Z33" s="206"/>
      <c r="AA33" s="205"/>
    </row>
    <row r="34" spans="1:27" s="58" customFormat="1">
      <c r="A34" s="71" t="s">
        <v>310</v>
      </c>
      <c r="B34" s="53">
        <v>30.327000000000002</v>
      </c>
      <c r="C34" s="53"/>
      <c r="D34" s="54"/>
      <c r="E34" s="54"/>
      <c r="F34" s="54"/>
      <c r="G34" s="54"/>
      <c r="H34" s="53"/>
      <c r="I34" s="287"/>
      <c r="J34" s="287"/>
      <c r="K34" s="287"/>
      <c r="L34" s="338"/>
      <c r="M34" s="288"/>
      <c r="N34" s="288"/>
      <c r="O34" s="288"/>
      <c r="P34" s="288"/>
      <c r="Q34" s="288"/>
      <c r="R34" s="288"/>
      <c r="S34" s="288"/>
      <c r="T34" s="288"/>
      <c r="U34" s="56"/>
      <c r="V34" s="206"/>
      <c r="W34" s="206"/>
      <c r="X34" s="206"/>
      <c r="Y34" s="206"/>
      <c r="Z34" s="206"/>
      <c r="AA34" s="205"/>
    </row>
    <row r="35" spans="1:27" s="58" customFormat="1">
      <c r="A35" s="71" t="s">
        <v>307</v>
      </c>
      <c r="B35" s="53">
        <v>27.138999999999999</v>
      </c>
      <c r="C35" s="53">
        <v>39.252000000000002</v>
      </c>
      <c r="D35" s="54">
        <v>39.43</v>
      </c>
      <c r="E35" s="54">
        <v>43.045000000000002</v>
      </c>
      <c r="F35" s="54">
        <v>77.322000000000003</v>
      </c>
      <c r="G35" s="54">
        <f>H35</f>
        <v>80.5</v>
      </c>
      <c r="H35" s="53">
        <v>80.5</v>
      </c>
      <c r="I35" s="287">
        <v>82.197999999999993</v>
      </c>
      <c r="J35" s="287">
        <v>77.498999999999995</v>
      </c>
      <c r="K35" s="287">
        <v>74.793999999999997</v>
      </c>
      <c r="L35" s="338">
        <v>79.966999999999999</v>
      </c>
      <c r="M35" s="288">
        <v>79.966999999999999</v>
      </c>
      <c r="N35" s="288">
        <v>81.465999999999994</v>
      </c>
      <c r="O35" s="288">
        <v>78.989000000000004</v>
      </c>
      <c r="P35" s="288">
        <v>80.334999999999994</v>
      </c>
      <c r="Q35" s="288">
        <v>91.858000000000004</v>
      </c>
      <c r="R35" s="288">
        <v>95.009</v>
      </c>
      <c r="S35" s="288">
        <v>80.724000000000004</v>
      </c>
      <c r="T35" s="288">
        <v>94.843000000000004</v>
      </c>
      <c r="U35" s="207"/>
      <c r="V35" s="206"/>
      <c r="W35" s="206"/>
      <c r="X35" s="206"/>
      <c r="Y35" s="206"/>
      <c r="Z35" s="206"/>
      <c r="AA35" s="205"/>
    </row>
    <row r="36" spans="1:27" s="79" customFormat="1">
      <c r="A36" s="75" t="s">
        <v>83</v>
      </c>
      <c r="B36" s="76">
        <f t="shared" ref="B36:K36" si="7">SUM(B31:B35)</f>
        <v>387.65300000000002</v>
      </c>
      <c r="C36" s="76">
        <f t="shared" si="7"/>
        <v>536.86699999999996</v>
      </c>
      <c r="D36" s="77">
        <f t="shared" si="7"/>
        <v>550.31299999999999</v>
      </c>
      <c r="E36" s="77">
        <f t="shared" si="7"/>
        <v>565.51499999999999</v>
      </c>
      <c r="F36" s="77">
        <f t="shared" si="7"/>
        <v>571.202</v>
      </c>
      <c r="G36" s="77">
        <f t="shared" si="7"/>
        <v>558.70900000000006</v>
      </c>
      <c r="H36" s="76">
        <f t="shared" si="7"/>
        <v>558.70900000000006</v>
      </c>
      <c r="I36" s="295">
        <f t="shared" si="7"/>
        <v>525.904</v>
      </c>
      <c r="J36" s="295">
        <f t="shared" si="7"/>
        <v>535.91999999999996</v>
      </c>
      <c r="K36" s="295">
        <f t="shared" si="7"/>
        <v>575.779</v>
      </c>
      <c r="L36" s="342">
        <f t="shared" ref="L36:Q36" si="8">SUM(L31:L35)</f>
        <v>531.73200000000008</v>
      </c>
      <c r="M36" s="296">
        <f t="shared" si="8"/>
        <v>531.73200000000008</v>
      </c>
      <c r="N36" s="296">
        <f t="shared" si="8"/>
        <v>535.76899999999989</v>
      </c>
      <c r="O36" s="296">
        <f t="shared" si="8"/>
        <v>561.53399999999999</v>
      </c>
      <c r="P36" s="296">
        <f t="shared" si="8"/>
        <v>619.54200000000003</v>
      </c>
      <c r="Q36" s="296">
        <f t="shared" si="8"/>
        <v>783.25600000000009</v>
      </c>
      <c r="R36" s="296">
        <f>SUM(R31:R35)</f>
        <v>757.24400000000003</v>
      </c>
      <c r="S36" s="296">
        <f>SUM(S31:S35)</f>
        <v>739.79700000000014</v>
      </c>
      <c r="T36" s="296">
        <f>SUM(T31:T35)</f>
        <v>855.49099999999999</v>
      </c>
      <c r="U36" s="65"/>
      <c r="V36" s="78"/>
      <c r="W36" s="78"/>
      <c r="X36" s="78"/>
      <c r="Y36" s="78"/>
      <c r="Z36" s="78"/>
    </row>
    <row r="37" spans="1:27" s="66" customFormat="1">
      <c r="A37" s="62"/>
      <c r="B37" s="63"/>
      <c r="C37" s="63"/>
      <c r="D37" s="64"/>
      <c r="E37" s="64"/>
      <c r="F37" s="64"/>
      <c r="G37" s="64"/>
      <c r="H37" s="63"/>
      <c r="I37" s="291"/>
      <c r="J37" s="291"/>
      <c r="K37" s="291"/>
      <c r="L37" s="340"/>
      <c r="M37" s="292"/>
      <c r="N37" s="292"/>
      <c r="O37" s="292"/>
      <c r="P37" s="292"/>
      <c r="Q37" s="292"/>
      <c r="R37" s="292"/>
      <c r="S37" s="292"/>
      <c r="T37" s="292"/>
      <c r="U37" s="65"/>
      <c r="V37" s="78"/>
      <c r="W37" s="78"/>
      <c r="X37" s="78"/>
      <c r="Y37" s="78"/>
      <c r="Z37" s="78"/>
      <c r="AA37" s="79"/>
    </row>
    <row r="38" spans="1:27" s="58" customFormat="1">
      <c r="A38" s="67" t="s">
        <v>12</v>
      </c>
      <c r="B38" s="68">
        <v>10.882</v>
      </c>
      <c r="C38" s="68">
        <v>10.882</v>
      </c>
      <c r="D38" s="69">
        <v>10.882</v>
      </c>
      <c r="E38" s="69">
        <v>10.882</v>
      </c>
      <c r="F38" s="69">
        <v>10.882</v>
      </c>
      <c r="G38" s="69">
        <f>H38</f>
        <v>10.882</v>
      </c>
      <c r="H38" s="68">
        <v>10.882</v>
      </c>
      <c r="I38" s="287">
        <v>10.882</v>
      </c>
      <c r="J38" s="287">
        <v>10.882</v>
      </c>
      <c r="K38" s="287">
        <v>10.882</v>
      </c>
      <c r="L38" s="338">
        <v>10.882</v>
      </c>
      <c r="M38" s="288">
        <v>10.882</v>
      </c>
      <c r="N38" s="288">
        <v>10.882</v>
      </c>
      <c r="O38" s="288">
        <v>50.716000000000001</v>
      </c>
      <c r="P38" s="288">
        <v>47.914999999999999</v>
      </c>
      <c r="Q38" s="288">
        <v>45.036999999999999</v>
      </c>
      <c r="R38" s="288">
        <v>42.143000000000001</v>
      </c>
      <c r="S38" s="288">
        <v>39.17</v>
      </c>
      <c r="T38" s="288">
        <v>36.18</v>
      </c>
      <c r="U38" s="207"/>
      <c r="V38" s="206"/>
      <c r="W38" s="206"/>
      <c r="X38" s="206"/>
      <c r="Y38" s="206"/>
      <c r="Z38" s="206"/>
      <c r="AA38" s="205"/>
    </row>
    <row r="39" spans="1:27" s="58" customFormat="1">
      <c r="A39" s="71"/>
      <c r="B39" s="53"/>
      <c r="C39" s="53"/>
      <c r="D39" s="54"/>
      <c r="E39" s="54"/>
      <c r="F39" s="54"/>
      <c r="G39" s="54"/>
      <c r="H39" s="53"/>
      <c r="I39" s="287"/>
      <c r="J39" s="287"/>
      <c r="K39" s="287"/>
      <c r="L39" s="338"/>
      <c r="M39" s="288"/>
      <c r="N39" s="288"/>
      <c r="O39" s="288"/>
      <c r="P39" s="288"/>
      <c r="Q39" s="288"/>
      <c r="R39" s="288"/>
      <c r="S39" s="288"/>
      <c r="T39" s="288"/>
      <c r="U39" s="56"/>
      <c r="V39" s="206"/>
      <c r="W39" s="206"/>
      <c r="X39" s="206"/>
      <c r="Y39" s="206"/>
      <c r="Z39" s="206"/>
      <c r="AA39" s="205"/>
    </row>
    <row r="40" spans="1:27" s="58" customFormat="1">
      <c r="A40" s="71" t="s">
        <v>255</v>
      </c>
      <c r="B40" s="53"/>
      <c r="C40" s="53"/>
      <c r="D40" s="54"/>
      <c r="E40" s="54"/>
      <c r="F40" s="54"/>
      <c r="G40" s="54"/>
      <c r="H40" s="53"/>
      <c r="I40" s="287"/>
      <c r="J40" s="287"/>
      <c r="K40" s="287"/>
      <c r="L40" s="338"/>
      <c r="M40" s="288"/>
      <c r="N40" s="288"/>
      <c r="O40" s="288"/>
      <c r="P40" s="288"/>
      <c r="Q40" s="288"/>
      <c r="R40" s="288"/>
      <c r="S40" s="288"/>
      <c r="T40" s="288"/>
      <c r="U40" s="56"/>
      <c r="V40" s="206"/>
      <c r="W40" s="206"/>
      <c r="X40" s="206"/>
      <c r="Y40" s="206"/>
      <c r="Z40" s="206"/>
      <c r="AA40" s="205"/>
    </row>
    <row r="41" spans="1:27" s="58" customFormat="1">
      <c r="A41" s="52" t="s">
        <v>7</v>
      </c>
      <c r="B41" s="53"/>
      <c r="C41" s="53"/>
      <c r="D41" s="54"/>
      <c r="E41" s="54"/>
      <c r="F41" s="54"/>
      <c r="G41" s="54"/>
      <c r="H41" s="53"/>
      <c r="I41" s="287"/>
      <c r="J41" s="287"/>
      <c r="K41" s="287"/>
      <c r="L41" s="338"/>
      <c r="M41" s="288"/>
      <c r="N41" s="288"/>
      <c r="O41" s="288"/>
      <c r="P41" s="288"/>
      <c r="Q41" s="288"/>
      <c r="R41" s="288"/>
      <c r="S41" s="288"/>
      <c r="T41" s="288"/>
      <c r="U41" s="56"/>
      <c r="V41" s="206"/>
      <c r="W41" s="206"/>
      <c r="X41" s="206"/>
      <c r="Y41" s="206"/>
      <c r="Z41" s="206"/>
      <c r="AA41" s="205"/>
    </row>
    <row r="42" spans="1:27" s="58" customFormat="1">
      <c r="A42" s="52" t="s">
        <v>8</v>
      </c>
      <c r="B42" s="53"/>
      <c r="C42" s="53"/>
      <c r="D42" s="54"/>
      <c r="E42" s="54"/>
      <c r="F42" s="54"/>
      <c r="G42" s="54"/>
      <c r="H42" s="53"/>
      <c r="I42" s="287"/>
      <c r="J42" s="287"/>
      <c r="K42" s="287"/>
      <c r="L42" s="338"/>
      <c r="M42" s="288"/>
      <c r="N42" s="288"/>
      <c r="O42" s="288"/>
      <c r="P42" s="288"/>
      <c r="Q42" s="288"/>
      <c r="R42" s="288"/>
      <c r="S42" s="288"/>
      <c r="T42" s="288"/>
      <c r="U42" s="56"/>
      <c r="V42" s="206"/>
      <c r="W42" s="206"/>
      <c r="X42" s="206"/>
      <c r="Y42" s="206"/>
      <c r="Z42" s="206"/>
      <c r="AA42" s="205"/>
    </row>
    <row r="43" spans="1:27" s="58" customFormat="1">
      <c r="A43" s="52" t="s">
        <v>9</v>
      </c>
      <c r="B43" s="53">
        <v>0.56699999999999995</v>
      </c>
      <c r="C43" s="53">
        <v>0.6</v>
      </c>
      <c r="D43" s="54">
        <v>0.60499999999999998</v>
      </c>
      <c r="E43" s="54">
        <v>0.60799999999999998</v>
      </c>
      <c r="F43" s="54">
        <v>0.60799999999999998</v>
      </c>
      <c r="G43" s="54">
        <f>H43</f>
        <v>0.61499999999999999</v>
      </c>
      <c r="H43" s="53">
        <v>0.61499999999999999</v>
      </c>
      <c r="I43" s="287">
        <v>0.61599999999999999</v>
      </c>
      <c r="J43" s="287">
        <v>0.61699999999999999</v>
      </c>
      <c r="K43" s="287">
        <v>0.61899999999999999</v>
      </c>
      <c r="L43" s="338">
        <v>0.621</v>
      </c>
      <c r="M43" s="288">
        <v>0.621</v>
      </c>
      <c r="N43" s="288">
        <v>0.623</v>
      </c>
      <c r="O43" s="288">
        <v>0.625</v>
      </c>
      <c r="P43" s="288">
        <v>0.628</v>
      </c>
      <c r="Q43" s="288">
        <v>0.63</v>
      </c>
      <c r="R43" s="288">
        <v>0.63</v>
      </c>
      <c r="S43" s="288">
        <v>0.63800000000000001</v>
      </c>
      <c r="T43" s="288">
        <v>0.64200000000000002</v>
      </c>
      <c r="U43" s="207"/>
      <c r="V43" s="206"/>
      <c r="W43" s="206"/>
      <c r="X43" s="206"/>
      <c r="Y43" s="206"/>
      <c r="Z43" s="206"/>
      <c r="AA43" s="205"/>
    </row>
    <row r="44" spans="1:27" s="58" customFormat="1">
      <c r="A44" s="52" t="s">
        <v>84</v>
      </c>
      <c r="B44" s="53">
        <v>798.89700000000005</v>
      </c>
      <c r="C44" s="53">
        <v>928.69</v>
      </c>
      <c r="D44" s="54">
        <v>953.52800000000002</v>
      </c>
      <c r="E44" s="54">
        <v>958.95699999999999</v>
      </c>
      <c r="F44" s="54">
        <v>959.30200000000002</v>
      </c>
      <c r="G44" s="54">
        <f>H44</f>
        <v>992.71799999999996</v>
      </c>
      <c r="H44" s="53">
        <v>992.71799999999996</v>
      </c>
      <c r="I44" s="287">
        <v>996.77300000000002</v>
      </c>
      <c r="J44" s="287">
        <v>998.77800000000002</v>
      </c>
      <c r="K44" s="287">
        <v>1013.434</v>
      </c>
      <c r="L44" s="338">
        <v>1015.835</v>
      </c>
      <c r="M44" s="288">
        <v>1015.835</v>
      </c>
      <c r="N44" s="288">
        <v>1028.1410000000001</v>
      </c>
      <c r="O44" s="288">
        <v>999.68100000000004</v>
      </c>
      <c r="P44" s="288">
        <v>1029.7180000000001</v>
      </c>
      <c r="Q44" s="288">
        <v>1057.2239999999999</v>
      </c>
      <c r="R44" s="288">
        <v>1076.0609999999999</v>
      </c>
      <c r="S44" s="288">
        <v>1101.4760000000001</v>
      </c>
      <c r="T44" s="288">
        <v>1161.0830000000001</v>
      </c>
      <c r="U44" s="207"/>
      <c r="V44" s="206"/>
      <c r="W44" s="206"/>
      <c r="X44" s="206"/>
      <c r="Y44" s="206"/>
      <c r="Z44" s="206"/>
      <c r="AA44" s="205"/>
    </row>
    <row r="45" spans="1:27" s="58" customFormat="1">
      <c r="A45" s="52" t="s">
        <v>85</v>
      </c>
      <c r="B45" s="53">
        <v>-4.3140000000000001</v>
      </c>
      <c r="C45" s="53">
        <v>-9.1750000000000007</v>
      </c>
      <c r="D45" s="54">
        <v>-7.335</v>
      </c>
      <c r="E45" s="54">
        <v>-8.5239999999999991</v>
      </c>
      <c r="F45" s="54">
        <v>-10.641</v>
      </c>
      <c r="G45" s="54">
        <f>H45</f>
        <v>-10.885</v>
      </c>
      <c r="H45" s="53">
        <v>-10.885</v>
      </c>
      <c r="I45" s="287">
        <v>-9.5399999999999991</v>
      </c>
      <c r="J45" s="287">
        <v>-10.912000000000001</v>
      </c>
      <c r="K45" s="287">
        <v>-9.5239999999999991</v>
      </c>
      <c r="L45" s="338">
        <v>-14.957000000000001</v>
      </c>
      <c r="M45" s="288">
        <v>-14.957000000000001</v>
      </c>
      <c r="N45" s="288">
        <v>-16.963000000000001</v>
      </c>
      <c r="O45" s="288">
        <v>-17.114999999999998</v>
      </c>
      <c r="P45" s="288">
        <v>-15.063000000000001</v>
      </c>
      <c r="Q45" s="288">
        <v>-13.183</v>
      </c>
      <c r="R45" s="288">
        <v>-15.641</v>
      </c>
      <c r="S45" s="288">
        <v>-14.627000000000001</v>
      </c>
      <c r="T45" s="288">
        <v>-16.93</v>
      </c>
      <c r="U45" s="207"/>
      <c r="V45" s="206"/>
      <c r="W45" s="206"/>
      <c r="X45" s="206"/>
      <c r="Y45" s="206"/>
      <c r="Z45" s="206"/>
      <c r="AA45" s="205"/>
    </row>
    <row r="46" spans="1:27" s="58" customFormat="1">
      <c r="A46" s="52" t="s">
        <v>10</v>
      </c>
      <c r="B46" s="53">
        <v>-67.394999999999996</v>
      </c>
      <c r="C46" s="53">
        <v>-67.399000000000001</v>
      </c>
      <c r="D46" s="54">
        <v>-70.149000000000001</v>
      </c>
      <c r="E46" s="54">
        <v>-70.149000000000001</v>
      </c>
      <c r="F46" s="54">
        <v>-70.149000000000001</v>
      </c>
      <c r="G46" s="54">
        <f>H46</f>
        <v>-282.99799999999999</v>
      </c>
      <c r="H46" s="53">
        <v>-282.99799999999999</v>
      </c>
      <c r="I46" s="287">
        <v>-282.99799999999999</v>
      </c>
      <c r="J46" s="287">
        <v>-370.99799999999999</v>
      </c>
      <c r="K46" s="287">
        <v>-413.923</v>
      </c>
      <c r="L46" s="338">
        <v>-470.99799999999999</v>
      </c>
      <c r="M46" s="288">
        <v>-470.99799999999999</v>
      </c>
      <c r="N46" s="288">
        <v>-476.90199999999999</v>
      </c>
      <c r="O46" s="288">
        <v>-513.43700000000001</v>
      </c>
      <c r="P46" s="288">
        <v>-513.43700000000001</v>
      </c>
      <c r="Q46" s="288">
        <v>-513.43700000000001</v>
      </c>
      <c r="R46" s="288">
        <v>-611.07000000000005</v>
      </c>
      <c r="S46" s="288">
        <v>-890.99800000000005</v>
      </c>
      <c r="T46" s="288">
        <v>-916.59500000000003</v>
      </c>
      <c r="U46" s="207"/>
      <c r="V46" s="206"/>
      <c r="W46" s="206"/>
      <c r="X46" s="206"/>
      <c r="Y46" s="206"/>
      <c r="Z46" s="206"/>
      <c r="AA46" s="205"/>
    </row>
    <row r="47" spans="1:27" s="58" customFormat="1">
      <c r="A47" s="59" t="s">
        <v>11</v>
      </c>
      <c r="B47" s="60">
        <v>-74.745999999999995</v>
      </c>
      <c r="C47" s="60">
        <v>31.17</v>
      </c>
      <c r="D47" s="61">
        <v>47.56</v>
      </c>
      <c r="E47" s="61">
        <v>121.45099999999999</v>
      </c>
      <c r="F47" s="61">
        <v>205.84899999999999</v>
      </c>
      <c r="G47" s="61">
        <f>H47</f>
        <v>249.03800000000001</v>
      </c>
      <c r="H47" s="60">
        <v>249.03800000000001</v>
      </c>
      <c r="I47" s="289">
        <v>319.798</v>
      </c>
      <c r="J47" s="289">
        <v>392.11399999999998</v>
      </c>
      <c r="K47" s="289">
        <v>470.22500000000002</v>
      </c>
      <c r="L47" s="339">
        <v>553.48</v>
      </c>
      <c r="M47" s="290">
        <v>553.48</v>
      </c>
      <c r="N47" s="290">
        <v>615.80499999999995</v>
      </c>
      <c r="O47" s="290">
        <v>695.66899999999998</v>
      </c>
      <c r="P47" s="290">
        <v>758.35400000000004</v>
      </c>
      <c r="Q47" s="290">
        <v>728.04</v>
      </c>
      <c r="R47" s="290">
        <v>865.56399999999996</v>
      </c>
      <c r="S47" s="290">
        <v>977.41600000000005</v>
      </c>
      <c r="T47" s="290">
        <v>952.17899999999997</v>
      </c>
      <c r="U47" s="207"/>
      <c r="V47" s="206"/>
      <c r="W47" s="206"/>
      <c r="X47" s="206"/>
      <c r="Y47" s="206"/>
      <c r="Z47" s="206"/>
      <c r="AA47" s="205"/>
    </row>
    <row r="48" spans="1:27" s="66" customFormat="1">
      <c r="A48" s="62" t="s">
        <v>300</v>
      </c>
      <c r="B48" s="63">
        <f t="shared" ref="B48:J48" si="9">SUM(B43:B47)</f>
        <v>653.00900000000013</v>
      </c>
      <c r="C48" s="63">
        <f t="shared" si="9"/>
        <v>883.88600000000008</v>
      </c>
      <c r="D48" s="64">
        <f t="shared" si="9"/>
        <v>924.20900000000006</v>
      </c>
      <c r="E48" s="64">
        <f t="shared" si="9"/>
        <v>1002.343</v>
      </c>
      <c r="F48" s="64">
        <f t="shared" si="9"/>
        <v>1084.9690000000001</v>
      </c>
      <c r="G48" s="64">
        <f t="shared" si="9"/>
        <v>948.48800000000006</v>
      </c>
      <c r="H48" s="63">
        <f t="shared" si="9"/>
        <v>948.48800000000006</v>
      </c>
      <c r="I48" s="291">
        <f t="shared" si="9"/>
        <v>1024.6490000000001</v>
      </c>
      <c r="J48" s="291">
        <f t="shared" si="9"/>
        <v>1009.5989999999999</v>
      </c>
      <c r="K48" s="291">
        <f t="shared" ref="K48:P48" si="10">SUM(K43:K47)</f>
        <v>1060.8310000000001</v>
      </c>
      <c r="L48" s="340">
        <f t="shared" si="10"/>
        <v>1083.981</v>
      </c>
      <c r="M48" s="292">
        <f t="shared" si="10"/>
        <v>1083.981</v>
      </c>
      <c r="N48" s="292">
        <f t="shared" si="10"/>
        <v>1150.7040000000002</v>
      </c>
      <c r="O48" s="292">
        <f t="shared" si="10"/>
        <v>1165.423</v>
      </c>
      <c r="P48" s="292">
        <f t="shared" si="10"/>
        <v>1260.2</v>
      </c>
      <c r="Q48" s="292">
        <f>SUM(Q43:Q47)</f>
        <v>1259.2739999999999</v>
      </c>
      <c r="R48" s="292">
        <f>SUM(R43:R47)</f>
        <v>1315.5439999999999</v>
      </c>
      <c r="S48" s="292">
        <f>SUM(S43:S47)</f>
        <v>1173.9050000000002</v>
      </c>
      <c r="T48" s="292">
        <f>SUM(T43:T47)</f>
        <v>1180.3789999999999</v>
      </c>
      <c r="U48" s="208"/>
      <c r="V48" s="78"/>
      <c r="W48" s="78"/>
      <c r="X48" s="78"/>
      <c r="Y48" s="78"/>
      <c r="Z48" s="78"/>
      <c r="AA48" s="79"/>
    </row>
    <row r="49" spans="1:27" s="66" customFormat="1" ht="13.5" thickBot="1">
      <c r="A49" s="72" t="s">
        <v>306</v>
      </c>
      <c r="B49" s="73">
        <f t="shared" ref="B49:J49" si="11">B36+B38+B48</f>
        <v>1051.5440000000001</v>
      </c>
      <c r="C49" s="73">
        <f t="shared" si="11"/>
        <v>1431.635</v>
      </c>
      <c r="D49" s="74">
        <f t="shared" si="11"/>
        <v>1485.404</v>
      </c>
      <c r="E49" s="74">
        <f t="shared" si="11"/>
        <v>1578.7399999999998</v>
      </c>
      <c r="F49" s="74">
        <f t="shared" si="11"/>
        <v>1667.0529999999999</v>
      </c>
      <c r="G49" s="74">
        <f t="shared" si="11"/>
        <v>1518.0790000000002</v>
      </c>
      <c r="H49" s="73">
        <f t="shared" si="11"/>
        <v>1518.0790000000002</v>
      </c>
      <c r="I49" s="293">
        <f t="shared" si="11"/>
        <v>1561.4349999999999</v>
      </c>
      <c r="J49" s="293">
        <f t="shared" si="11"/>
        <v>1556.4009999999998</v>
      </c>
      <c r="K49" s="293">
        <f t="shared" ref="K49:P49" si="12">K36+K38+K48</f>
        <v>1647.4920000000002</v>
      </c>
      <c r="L49" s="341">
        <f t="shared" si="12"/>
        <v>1626.595</v>
      </c>
      <c r="M49" s="294">
        <f t="shared" si="12"/>
        <v>1626.595</v>
      </c>
      <c r="N49" s="294">
        <f t="shared" si="12"/>
        <v>1697.355</v>
      </c>
      <c r="O49" s="294">
        <f t="shared" si="12"/>
        <v>1777.673</v>
      </c>
      <c r="P49" s="294">
        <f t="shared" si="12"/>
        <v>1927.6570000000002</v>
      </c>
      <c r="Q49" s="294">
        <f>Q36+Q38+Q48</f>
        <v>2087.567</v>
      </c>
      <c r="R49" s="294">
        <f>R36+R38+R48</f>
        <v>2114.931</v>
      </c>
      <c r="S49" s="294">
        <f>S36+S38+S48</f>
        <v>1952.8720000000003</v>
      </c>
      <c r="T49" s="294">
        <f>T36+T38+T48</f>
        <v>2072.0499999999997</v>
      </c>
      <c r="U49" s="65"/>
      <c r="V49" s="78"/>
      <c r="W49" s="78"/>
      <c r="X49" s="78"/>
      <c r="Y49" s="78"/>
      <c r="Z49" s="78"/>
      <c r="AA49" s="79"/>
    </row>
    <row r="50" spans="1:27" s="84" customFormat="1" ht="13.5" thickTop="1">
      <c r="A50" s="80"/>
      <c r="B50" s="81"/>
      <c r="C50" s="81"/>
      <c r="D50" s="82"/>
      <c r="E50" s="82"/>
      <c r="F50" s="82"/>
      <c r="G50" s="82"/>
      <c r="H50" s="81"/>
      <c r="I50" s="297"/>
      <c r="J50" s="297"/>
      <c r="K50" s="297"/>
      <c r="L50" s="297"/>
      <c r="M50" s="298"/>
      <c r="N50" s="298"/>
      <c r="O50" s="298"/>
      <c r="P50" s="298"/>
      <c r="Q50" s="298"/>
      <c r="R50" s="298"/>
      <c r="S50" s="298"/>
      <c r="T50" s="298"/>
      <c r="U50" s="83"/>
      <c r="V50" s="210"/>
      <c r="W50" s="210"/>
      <c r="X50" s="210"/>
      <c r="Y50" s="210"/>
      <c r="Z50" s="210"/>
      <c r="AA50" s="209"/>
    </row>
    <row r="51" spans="1:27" s="89" customFormat="1">
      <c r="A51" s="85" t="s">
        <v>78</v>
      </c>
      <c r="B51" s="86">
        <f t="shared" ref="B51:M51" si="13">B16/B31</f>
        <v>2.9523449938588913</v>
      </c>
      <c r="C51" s="86">
        <f t="shared" si="13"/>
        <v>3.9668686889652234</v>
      </c>
      <c r="D51" s="87">
        <f t="shared" si="13"/>
        <v>4.0165846022766676</v>
      </c>
      <c r="E51" s="87">
        <f t="shared" si="13"/>
        <v>4.1931505409228187</v>
      </c>
      <c r="F51" s="87">
        <f t="shared" si="13"/>
        <v>4.7962916775312623</v>
      </c>
      <c r="G51" s="87">
        <f t="shared" si="13"/>
        <v>2.6458883134111399</v>
      </c>
      <c r="H51" s="86">
        <f t="shared" si="13"/>
        <v>2.6458883134111399</v>
      </c>
      <c r="I51" s="299">
        <f t="shared" si="13"/>
        <v>3.2694113089744898</v>
      </c>
      <c r="J51" s="299">
        <f t="shared" si="13"/>
        <v>3.0406102460807194</v>
      </c>
      <c r="K51" s="299">
        <f t="shared" si="13"/>
        <v>3.1552621751642018</v>
      </c>
      <c r="L51" s="299">
        <f t="shared" si="13"/>
        <v>3.7819015020791493</v>
      </c>
      <c r="M51" s="300">
        <f t="shared" si="13"/>
        <v>3.7819015020791493</v>
      </c>
      <c r="N51" s="300">
        <f t="shared" ref="N51:S51" si="14">N16/N31</f>
        <v>4.7822642748748621</v>
      </c>
      <c r="O51" s="300">
        <f t="shared" si="14"/>
        <v>4.471877026017153</v>
      </c>
      <c r="P51" s="300">
        <f t="shared" si="14"/>
        <v>3.6443491103453129</v>
      </c>
      <c r="Q51" s="300">
        <f t="shared" si="14"/>
        <v>1.9265729745310269</v>
      </c>
      <c r="R51" s="300">
        <f t="shared" si="14"/>
        <v>2.2516530391363272</v>
      </c>
      <c r="S51" s="300">
        <f t="shared" si="14"/>
        <v>2.0157444308020143</v>
      </c>
      <c r="T51" s="300">
        <f>T16/T31</f>
        <v>2.0122978578105672</v>
      </c>
      <c r="U51" s="88"/>
      <c r="V51" s="212"/>
      <c r="W51" s="212"/>
      <c r="X51" s="212"/>
      <c r="Y51" s="212"/>
      <c r="Z51" s="212"/>
      <c r="AA51" s="211"/>
    </row>
    <row r="52" spans="1:27" s="89" customFormat="1">
      <c r="A52" s="90" t="s">
        <v>79</v>
      </c>
      <c r="B52" s="91">
        <f t="shared" ref="B52:M52" si="15">(B16-B14)/B31</f>
        <v>2.7125233134694993</v>
      </c>
      <c r="C52" s="91">
        <f t="shared" si="15"/>
        <v>3.7825579343911824</v>
      </c>
      <c r="D52" s="92">
        <f t="shared" si="15"/>
        <v>3.8279719032663935</v>
      </c>
      <c r="E52" s="92">
        <f t="shared" si="15"/>
        <v>3.9959908635651211</v>
      </c>
      <c r="F52" s="92">
        <f t="shared" si="15"/>
        <v>4.5366920992664985</v>
      </c>
      <c r="G52" s="92">
        <f t="shared" si="15"/>
        <v>2.4295855148957788</v>
      </c>
      <c r="H52" s="91">
        <f t="shared" si="15"/>
        <v>2.4295855148957788</v>
      </c>
      <c r="I52" s="299">
        <f t="shared" si="15"/>
        <v>3.0087329527976205</v>
      </c>
      <c r="J52" s="299">
        <f t="shared" si="15"/>
        <v>2.7921262695697582</v>
      </c>
      <c r="K52" s="299">
        <f t="shared" si="15"/>
        <v>2.9494409419414356</v>
      </c>
      <c r="L52" s="299">
        <f t="shared" si="15"/>
        <v>3.5711351871234194</v>
      </c>
      <c r="M52" s="300">
        <f t="shared" si="15"/>
        <v>3.5711351871234194</v>
      </c>
      <c r="N52" s="300">
        <f t="shared" ref="N52:S52" si="16">(N16-N14)/N31</f>
        <v>4.557224071934951</v>
      </c>
      <c r="O52" s="300">
        <f t="shared" si="16"/>
        <v>4.2505901741570531</v>
      </c>
      <c r="P52" s="300">
        <f t="shared" si="16"/>
        <v>3.4504887826148116</v>
      </c>
      <c r="Q52" s="300">
        <f t="shared" si="16"/>
        <v>1.8253541007441252</v>
      </c>
      <c r="R52" s="300">
        <f t="shared" si="16"/>
        <v>2.1340598823090708</v>
      </c>
      <c r="S52" s="300">
        <f t="shared" si="16"/>
        <v>1.8830554164637447</v>
      </c>
      <c r="T52" s="300">
        <f>(T16-T14)/T31</f>
        <v>1.8935006633118576</v>
      </c>
      <c r="U52" s="88"/>
      <c r="V52" s="212"/>
      <c r="W52" s="212"/>
      <c r="X52" s="212"/>
      <c r="Y52" s="212"/>
      <c r="Z52" s="212"/>
      <c r="AA52" s="211"/>
    </row>
    <row r="53" spans="1:27" s="97" customFormat="1">
      <c r="A53" s="93" t="s">
        <v>80</v>
      </c>
      <c r="B53" s="94">
        <f t="shared" ref="B53:M53" si="17">B16-B31</f>
        <v>214.59200000000001</v>
      </c>
      <c r="C53" s="94">
        <f t="shared" si="17"/>
        <v>571.76900000000001</v>
      </c>
      <c r="D53" s="95">
        <f t="shared" si="17"/>
        <v>608.96999999999991</v>
      </c>
      <c r="E53" s="95">
        <f t="shared" si="17"/>
        <v>668.23700000000008</v>
      </c>
      <c r="F53" s="95">
        <f t="shared" si="17"/>
        <v>669.71900000000005</v>
      </c>
      <c r="G53" s="95">
        <f t="shared" si="17"/>
        <v>349.87799999999993</v>
      </c>
      <c r="H53" s="94">
        <f t="shared" si="17"/>
        <v>349.87799999999993</v>
      </c>
      <c r="I53" s="301">
        <f t="shared" si="17"/>
        <v>398.37699999999995</v>
      </c>
      <c r="J53" s="301">
        <f t="shared" si="17"/>
        <v>382.94499999999994</v>
      </c>
      <c r="K53" s="301">
        <f t="shared" si="17"/>
        <v>490.56999999999982</v>
      </c>
      <c r="L53" s="301">
        <f t="shared" si="17"/>
        <v>491.71500000000003</v>
      </c>
      <c r="M53" s="302">
        <f t="shared" si="17"/>
        <v>491.71500000000003</v>
      </c>
      <c r="N53" s="302">
        <f t="shared" ref="N53:S53" si="18">N16-N31</f>
        <v>667.96299999999997</v>
      </c>
      <c r="O53" s="302">
        <f t="shared" si="18"/>
        <v>701.524</v>
      </c>
      <c r="P53" s="302">
        <f t="shared" si="18"/>
        <v>676.80000000000007</v>
      </c>
      <c r="Q53" s="302">
        <f t="shared" si="18"/>
        <v>437.18399999999997</v>
      </c>
      <c r="R53" s="302">
        <f t="shared" si="18"/>
        <v>550.47199999999998</v>
      </c>
      <c r="S53" s="302">
        <f t="shared" si="18"/>
        <v>444.2469999999999</v>
      </c>
      <c r="T53" s="302">
        <f>T16-T31</f>
        <v>542.53800000000012</v>
      </c>
      <c r="U53" s="96"/>
      <c r="V53" s="214"/>
      <c r="W53" s="214"/>
      <c r="X53" s="214"/>
      <c r="Y53" s="214"/>
      <c r="Z53" s="214"/>
      <c r="AA53" s="213"/>
    </row>
    <row r="54" spans="1:27" s="101" customFormat="1">
      <c r="A54" s="98" t="s">
        <v>81</v>
      </c>
      <c r="B54" s="99">
        <f>(B11/'Income Statement'!B19)*360</f>
        <v>50.783994650022294</v>
      </c>
      <c r="C54" s="99">
        <f>(C11/'Income Statement'!C19)*360</f>
        <v>44.753861956252237</v>
      </c>
      <c r="D54" s="99">
        <f>(D11/'Income Statement'!D19)*360</f>
        <v>144.90868366643693</v>
      </c>
      <c r="E54" s="99">
        <f>(E11/'Income Statement'!E19)*360</f>
        <v>161.68467110383071</v>
      </c>
      <c r="F54" s="99">
        <f>(F11/'Income Statement'!F19)*360</f>
        <v>155.94373011073549</v>
      </c>
      <c r="G54" s="99">
        <f>(G11/'Income Statement'!G19)*360</f>
        <v>163.56761520253309</v>
      </c>
      <c r="H54" s="99">
        <f>(H11/'Income Statement'!H19)*360</f>
        <v>42.956849120606904</v>
      </c>
      <c r="I54" s="344">
        <f>(I11/'Income Statement'!I19)*360</f>
        <v>157.15866688865606</v>
      </c>
      <c r="J54" s="346">
        <f>(J11/'Income Statement'!J19)*360</f>
        <v>157.33093356148899</v>
      </c>
      <c r="K54" s="346">
        <f>(K11/'Income Statement'!K19)*360</f>
        <v>161.76006730785093</v>
      </c>
      <c r="L54" s="343">
        <f>(L11/'Income Statement'!L19)*360</f>
        <v>172.20029776430684</v>
      </c>
      <c r="M54" s="99">
        <f>(M11/'Income Statement'!M19)*360</f>
        <v>45.831743217811635</v>
      </c>
      <c r="N54" s="99">
        <f>(N11/'Income Statement'!N19)*360</f>
        <v>148.83542196984533</v>
      </c>
      <c r="O54" s="99">
        <f>(O11/'Income Statement'!O19)*360</f>
        <v>168.78969088330257</v>
      </c>
      <c r="P54" s="99">
        <f>(P11/'Income Statement'!P19)*360</f>
        <v>155.61624617420796</v>
      </c>
      <c r="Q54" s="99">
        <f>(Q11/'Income Statement'!Q19)*360</f>
        <v>157.31572883255998</v>
      </c>
      <c r="R54" s="99">
        <f>(R11/'Income Statement'!R19)*360</f>
        <v>42.469328119292669</v>
      </c>
      <c r="S54" s="99">
        <f>(S11/'Income Statement'!S19)*360</f>
        <v>264.83733755351528</v>
      </c>
      <c r="T54" s="99">
        <f>(T11/'Income Statement'!T19)*360</f>
        <v>156.02468386193394</v>
      </c>
      <c r="U54" s="100"/>
      <c r="V54" s="216"/>
      <c r="W54" s="216"/>
      <c r="X54" s="216"/>
      <c r="Y54" s="216"/>
      <c r="Z54" s="216"/>
      <c r="AA54" s="215"/>
    </row>
    <row r="55" spans="1:27" s="101" customFormat="1">
      <c r="A55" s="98" t="s">
        <v>82</v>
      </c>
      <c r="B55" s="99">
        <f>(B14/-'Income Statement'!B21)*360</f>
        <v>232.24101221213382</v>
      </c>
      <c r="C55" s="99">
        <f>(C14/-'Income Statement'!C21)*360</f>
        <v>188.95292135827646</v>
      </c>
      <c r="D55" s="99">
        <f>(D14/-'Income Statement'!D21)*360</f>
        <v>694.43031561882572</v>
      </c>
      <c r="E55" s="99">
        <f>(E14/-'Income Statement'!E21)*360</f>
        <v>701.89963141480007</v>
      </c>
      <c r="F55" s="99">
        <f>(F14/-'Income Statement'!F21)*360</f>
        <v>727.06473804903862</v>
      </c>
      <c r="G55" s="99">
        <f>(G14/-'Income Statement'!G21)*360</f>
        <v>653.57760492754767</v>
      </c>
      <c r="H55" s="99">
        <f>(H14/-'Income Statement'!H21)*360</f>
        <v>186.19139746243141</v>
      </c>
      <c r="I55" s="344">
        <f>(I14/-'Income Statement'!I21)*360</f>
        <v>685.51454371436898</v>
      </c>
      <c r="J55" s="346">
        <f>(J14/-'Income Statement'!J21)*360</f>
        <v>566.50221037357005</v>
      </c>
      <c r="K55" s="346">
        <f>(K14/-'Income Statement'!K21)*360</f>
        <v>603.02059496567506</v>
      </c>
      <c r="L55" s="343">
        <f>(L14/-'Income Statement'!L21)*360</f>
        <v>356.07168458781359</v>
      </c>
      <c r="M55" s="99">
        <f>(M14/-'Income Statement'!M21)*360</f>
        <v>112.42059733270743</v>
      </c>
      <c r="N55" s="99">
        <f>(N14/-'Income Statement'!N21)*360</f>
        <v>488.0933374270802</v>
      </c>
      <c r="O55" s="99">
        <f>(O14/-'Income Statement'!O21)*360</f>
        <v>498.04084158415844</v>
      </c>
      <c r="P55" s="99">
        <f>(P14/-'Income Statement'!P21)*360</f>
        <v>581.52493814298725</v>
      </c>
      <c r="Q55" s="99">
        <f>(Q14/-'Income Statement'!Q21)*360</f>
        <v>443.36685749651872</v>
      </c>
      <c r="R55" s="99">
        <f>(R14/-'Income Statement'!R21)*360</f>
        <v>141.98540346381751</v>
      </c>
      <c r="S55" s="99">
        <f>(S14/-'Income Statement'!S21)*360</f>
        <v>682.74117647058824</v>
      </c>
      <c r="T55" s="99">
        <f>(T14/-'Income Statement'!T21)*360</f>
        <v>592.13206231109029</v>
      </c>
      <c r="U55" s="100"/>
      <c r="V55" s="216"/>
      <c r="W55" s="216"/>
      <c r="X55" s="216"/>
      <c r="Y55" s="216"/>
      <c r="Z55" s="216"/>
      <c r="AA55" s="215"/>
    </row>
    <row r="56" spans="1:27" s="97" customFormat="1">
      <c r="A56" s="93" t="s">
        <v>35</v>
      </c>
      <c r="B56" s="94">
        <f>B48/'Income Statement'!B54</f>
        <v>11.63324604065345</v>
      </c>
      <c r="C56" s="94">
        <f>C48/'Income Statement'!C54</f>
        <v>14.851233281806575</v>
      </c>
      <c r="D56" s="95">
        <f>D48/'Income Statement'!D54</f>
        <v>14.758299666256809</v>
      </c>
      <c r="E56" s="95">
        <f>E48/'Income Statement'!E54</f>
        <v>15.972066415960226</v>
      </c>
      <c r="F56" s="95">
        <f>F48/'Income Statement'!F54</f>
        <v>17.725355334095738</v>
      </c>
      <c r="G56" s="95">
        <f>G48/'Income Statement'!G54</f>
        <v>16.951815842150417</v>
      </c>
      <c r="H56" s="94">
        <f>H48/'Income Statement'!H54</f>
        <v>15.969155652832731</v>
      </c>
      <c r="I56" s="345">
        <f>I48/'Income Statement'!I54</f>
        <v>18.626933774473269</v>
      </c>
      <c r="J56" s="301">
        <f>J48/'Income Statement'!J54</f>
        <v>18.716380556894443</v>
      </c>
      <c r="K56" s="301">
        <f>K48/'Income Statement'!K54</f>
        <v>19.79531629035268</v>
      </c>
      <c r="L56" s="301">
        <f>L48/'Income Statement'!L54</f>
        <v>20.792607369612337</v>
      </c>
      <c r="M56" s="302">
        <f>M48/'Income Statement'!M54</f>
        <v>20.344988738738738</v>
      </c>
      <c r="N56" s="302">
        <f>N48/'Income Statement'!N54</f>
        <v>21.970062624102646</v>
      </c>
      <c r="O56" s="302">
        <f>O48/'Income Statement'!O54</f>
        <v>22.13613052727549</v>
      </c>
      <c r="P56" s="302">
        <f>P48/'Income Statement'!P54</f>
        <v>23.472656832066757</v>
      </c>
      <c r="Q56" s="302">
        <f>Q48/'Income Statement'!Q54</f>
        <v>25.044728625126787</v>
      </c>
      <c r="R56" s="302">
        <f>R48/'Income Statement'!R54</f>
        <v>25.178718904460911</v>
      </c>
      <c r="S56" s="302">
        <f>S48/'Income Statement'!S54</f>
        <v>20.719505092045118</v>
      </c>
      <c r="T56" s="302">
        <f>T48/'Income Statement'!T54</f>
        <v>22.165909261623973</v>
      </c>
      <c r="U56" s="96"/>
      <c r="V56" s="214"/>
      <c r="W56" s="214"/>
      <c r="X56" s="214"/>
      <c r="Y56" s="214"/>
      <c r="Z56" s="214"/>
      <c r="AA56" s="213"/>
    </row>
    <row r="57" spans="1:27" s="97" customFormat="1">
      <c r="A57" s="93" t="s">
        <v>36</v>
      </c>
      <c r="B57" s="94">
        <f>(B9+B10)/'Income Statement'!B54</f>
        <v>4.0883615698430509</v>
      </c>
      <c r="C57" s="94">
        <f>(C9+C10)/'Income Statement'!C54</f>
        <v>10.536376772632568</v>
      </c>
      <c r="D57" s="95">
        <f>(D9+D10)/'Income Statement'!D54</f>
        <v>10.913083052552578</v>
      </c>
      <c r="E57" s="95">
        <f>(E9+E10)/'Income Statement'!E54</f>
        <v>11.635843584677163</v>
      </c>
      <c r="F57" s="95">
        <f>(F9+F10)/'Income Statement'!F54</f>
        <v>11.347786309426564</v>
      </c>
      <c r="G57" s="95">
        <f>(G9+G10)/'Income Statement'!G54</f>
        <v>7.2111631398341434</v>
      </c>
      <c r="H57" s="94">
        <f>(H9+H10)/'Income Statement'!H54</f>
        <v>6.793147571344389</v>
      </c>
      <c r="I57" s="301">
        <f>(I9+I10)/'Income Statement'!I54</f>
        <v>7.4345288952716828</v>
      </c>
      <c r="J57" s="301">
        <f>(J9+J10)/'Income Statement'!J54</f>
        <v>7.2738867672685474</v>
      </c>
      <c r="K57" s="301">
        <f>(K9+K10)/'Income Statement'!K54</f>
        <v>9.3946072028363492</v>
      </c>
      <c r="L57" s="301">
        <f>(L9+L10)/'Income Statement'!L54</f>
        <v>9.191970536896017</v>
      </c>
      <c r="M57" s="302">
        <f>(M9+M10)/'Income Statement'!M54</f>
        <v>8.9940878378378386</v>
      </c>
      <c r="N57" s="302">
        <f>(N9+N10)/'Income Statement'!N54</f>
        <v>12.804376050099284</v>
      </c>
      <c r="O57" s="302">
        <f>(O9+O10)/'Income Statement'!O54</f>
        <v>13.231100896520285</v>
      </c>
      <c r="P57" s="302">
        <f>(P9+P10)/'Income Statement'!P54</f>
        <v>13.351996721800031</v>
      </c>
      <c r="Q57" s="302">
        <f>(Q9+Q10)/'Income Statement'!Q54</f>
        <v>13.693721286370597</v>
      </c>
      <c r="R57" s="302">
        <f>(R9+R10)/'Income Statement'!R54</f>
        <v>14.555358313436335</v>
      </c>
      <c r="S57" s="302">
        <f>(S9+S10)/'Income Statement'!S54</f>
        <v>10.017826570414952</v>
      </c>
      <c r="T57" s="302">
        <f>(T9+T10)/'Income Statement'!T54</f>
        <v>14.41566513933749</v>
      </c>
      <c r="U57" s="96"/>
      <c r="V57" s="214"/>
      <c r="W57" s="214"/>
      <c r="X57" s="214"/>
      <c r="Y57" s="214"/>
      <c r="Z57" s="214"/>
      <c r="AA57" s="213"/>
    </row>
    <row r="58" spans="1:27" ht="13.5" thickBot="1">
      <c r="A58" s="102"/>
      <c r="B58" s="103"/>
      <c r="C58" s="103"/>
      <c r="D58" s="104"/>
      <c r="E58" s="104"/>
      <c r="F58" s="104"/>
      <c r="G58" s="104"/>
      <c r="H58" s="103"/>
      <c r="I58" s="303"/>
      <c r="J58" s="303"/>
      <c r="K58" s="303"/>
      <c r="L58" s="303"/>
      <c r="M58" s="304"/>
      <c r="N58" s="304"/>
      <c r="O58" s="304"/>
      <c r="P58" s="304"/>
      <c r="Q58" s="304"/>
      <c r="R58" s="304"/>
      <c r="S58" s="304"/>
      <c r="T58" s="304"/>
      <c r="U58" s="217"/>
      <c r="V58" s="118"/>
      <c r="W58" s="118"/>
      <c r="X58" s="118"/>
      <c r="Y58" s="118"/>
      <c r="Z58" s="118"/>
      <c r="AA58" s="135"/>
    </row>
    <row r="59" spans="1:27" s="314" customFormat="1">
      <c r="A59" s="200" t="s">
        <v>392</v>
      </c>
      <c r="B59" s="359"/>
      <c r="C59" s="359"/>
      <c r="D59" s="359"/>
      <c r="E59" s="359"/>
      <c r="F59" s="359"/>
      <c r="G59" s="359"/>
      <c r="H59" s="359"/>
      <c r="I59" s="360"/>
      <c r="J59" s="360"/>
      <c r="K59" s="360"/>
      <c r="L59" s="360"/>
      <c r="M59" s="360"/>
      <c r="N59" s="361"/>
      <c r="O59" s="401"/>
      <c r="P59" s="401"/>
      <c r="Q59" s="401"/>
      <c r="R59" s="402"/>
      <c r="S59" s="402"/>
      <c r="T59" s="402"/>
      <c r="U59" s="402"/>
      <c r="V59" s="402"/>
      <c r="W59" s="402"/>
      <c r="X59" s="402"/>
      <c r="Y59" s="402"/>
      <c r="Z59" s="402"/>
      <c r="AA59" s="402"/>
    </row>
    <row r="60" spans="1:27">
      <c r="A60" s="106"/>
      <c r="O60" s="218"/>
      <c r="P60" s="218"/>
      <c r="Q60" s="218"/>
      <c r="R60" s="135"/>
      <c r="S60" s="135"/>
      <c r="T60" s="135"/>
      <c r="U60" s="135"/>
      <c r="V60" s="135"/>
      <c r="W60" s="135"/>
      <c r="X60" s="135"/>
      <c r="Y60" s="135"/>
      <c r="Z60" s="135"/>
      <c r="AA60" s="135"/>
    </row>
    <row r="61" spans="1:27">
      <c r="O61" s="218"/>
      <c r="P61" s="218"/>
      <c r="Q61" s="218"/>
      <c r="R61" s="135"/>
      <c r="S61" s="135"/>
      <c r="T61" s="135"/>
      <c r="U61" s="135"/>
      <c r="V61" s="135"/>
      <c r="W61" s="135"/>
      <c r="X61" s="135"/>
      <c r="Y61" s="135"/>
      <c r="Z61" s="135"/>
      <c r="AA61" s="135"/>
    </row>
  </sheetData>
  <phoneticPr fontId="97"/>
  <pageMargins left="0.7" right="0.7" top="0.75" bottom="0.75" header="0.3" footer="0.3"/>
  <pageSetup scale="51" orientation="portrait"/>
  <headerFooter alignWithMargins="0"/>
  <ignoredErrors>
    <ignoredError sqref="G16 M103:P103 M23:M25 J23:K25 J16:K16 M16"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64"/>
  <sheetViews>
    <sheetView showGridLines="0" zoomScaleNormal="85" zoomScaleSheetLayoutView="85" workbookViewId="0">
      <pane xSplit="1" ySplit="6" topLeftCell="B7" activePane="bottomRight" state="frozen"/>
      <selection pane="topRight" activeCell="F1" sqref="F1"/>
      <selection pane="bottomLeft" activeCell="A7" sqref="A7"/>
      <selection pane="bottomRight" activeCell="K96" sqref="K96"/>
    </sheetView>
  </sheetViews>
  <sheetFormatPr defaultColWidth="8.5546875" defaultRowHeight="13.15" outlineLevelCol="1"/>
  <cols>
    <col min="1" max="1" width="40.27734375" style="36" customWidth="1"/>
    <col min="2" max="3" width="8.5546875" style="107"/>
    <col min="4" max="7" width="8.83203125" style="107" customWidth="1" outlineLevel="1"/>
    <col min="8" max="8" width="8.5546875" style="107"/>
    <col min="9" max="9" width="8.83203125" style="107" customWidth="1" outlineLevel="1"/>
    <col min="10" max="12" width="8.83203125" style="305" customWidth="1" outlineLevel="1"/>
    <col min="13" max="13" width="8.5546875" style="305"/>
    <col min="14" max="16" width="8.5546875" style="305" customWidth="1" outlineLevel="1"/>
    <col min="17" max="17" width="8.5546875" style="108" customWidth="1" outlineLevel="1"/>
    <col min="18" max="16384" width="8.5546875" style="36"/>
  </cols>
  <sheetData>
    <row r="1" spans="1:25" s="35" customFormat="1">
      <c r="A1" s="605" t="str">
        <f>DCF!B1</f>
        <v>United Therapeutics Corporation</v>
      </c>
      <c r="B1" s="606"/>
      <c r="C1" s="606"/>
      <c r="D1" s="606"/>
      <c r="E1" s="606"/>
      <c r="F1" s="606"/>
      <c r="G1" s="606"/>
      <c r="H1" s="606"/>
      <c r="I1" s="607"/>
      <c r="J1" s="277"/>
      <c r="K1" s="277"/>
      <c r="L1" s="277"/>
      <c r="M1" s="277"/>
      <c r="N1" s="608"/>
      <c r="O1" s="608"/>
      <c r="P1" s="608"/>
      <c r="Q1" s="609"/>
      <c r="R1" s="123"/>
      <c r="S1" s="123"/>
      <c r="T1" s="123"/>
      <c r="U1" s="121"/>
      <c r="V1" s="121"/>
      <c r="W1" s="121"/>
      <c r="X1" s="121"/>
      <c r="Y1" s="610"/>
    </row>
    <row r="2" spans="1:25" s="35" customFormat="1">
      <c r="A2" s="33" t="s">
        <v>358</v>
      </c>
      <c r="B2" s="34"/>
      <c r="C2" s="34"/>
      <c r="D2" s="34"/>
      <c r="E2" s="34"/>
      <c r="F2" s="34"/>
      <c r="G2" s="34"/>
      <c r="H2" s="34"/>
      <c r="I2" s="24"/>
      <c r="J2" s="25"/>
      <c r="K2" s="25"/>
      <c r="L2" s="25"/>
      <c r="M2" s="25"/>
      <c r="N2" s="611"/>
      <c r="O2" s="611"/>
      <c r="P2" s="611"/>
      <c r="Q2" s="612"/>
      <c r="R2" s="26"/>
      <c r="S2" s="26"/>
      <c r="T2" s="26"/>
      <c r="U2" s="24"/>
      <c r="V2" s="24"/>
      <c r="W2" s="24"/>
      <c r="X2" s="24"/>
      <c r="Y2" s="418"/>
    </row>
    <row r="3" spans="1:25">
      <c r="A3" s="219" t="s">
        <v>356</v>
      </c>
      <c r="B3" s="34"/>
      <c r="C3" s="34"/>
      <c r="D3" s="34"/>
      <c r="E3" s="34"/>
      <c r="F3" s="34"/>
      <c r="G3" s="34"/>
      <c r="H3" s="34"/>
      <c r="I3" s="24"/>
      <c r="J3" s="25"/>
      <c r="K3" s="25"/>
      <c r="L3" s="25"/>
      <c r="M3" s="25"/>
      <c r="N3" s="611"/>
      <c r="O3" s="611"/>
      <c r="P3" s="611"/>
      <c r="Q3" s="612"/>
      <c r="R3" s="26"/>
      <c r="S3" s="26"/>
      <c r="T3" s="26"/>
      <c r="U3" s="26"/>
      <c r="V3" s="24"/>
      <c r="W3" s="24"/>
      <c r="X3" s="24"/>
      <c r="Y3" s="409"/>
    </row>
    <row r="4" spans="1:25" ht="13.5" thickBot="1">
      <c r="A4" s="29"/>
      <c r="B4" s="30"/>
      <c r="C4" s="30"/>
      <c r="D4" s="30"/>
      <c r="E4" s="30"/>
      <c r="F4" s="30"/>
      <c r="G4" s="30"/>
      <c r="H4" s="30"/>
      <c r="I4" s="31"/>
      <c r="J4" s="25"/>
      <c r="K4" s="25"/>
      <c r="L4" s="25"/>
      <c r="M4" s="25"/>
      <c r="N4" s="611"/>
      <c r="O4" s="611"/>
      <c r="P4" s="611"/>
      <c r="Q4" s="612"/>
      <c r="R4" s="26"/>
      <c r="S4" s="26"/>
      <c r="T4" s="26"/>
      <c r="U4" s="111"/>
      <c r="V4" s="24"/>
      <c r="W4" s="24"/>
      <c r="X4" s="24"/>
      <c r="Y4" s="24"/>
    </row>
    <row r="5" spans="1:25">
      <c r="A5" s="136"/>
      <c r="B5" s="137"/>
      <c r="C5" s="577"/>
      <c r="D5" s="578" t="s">
        <v>44</v>
      </c>
      <c r="E5" s="578" t="s">
        <v>45</v>
      </c>
      <c r="F5" s="578" t="s">
        <v>46</v>
      </c>
      <c r="G5" s="578" t="s">
        <v>47</v>
      </c>
      <c r="H5" s="577"/>
      <c r="I5" s="578" t="s">
        <v>44</v>
      </c>
      <c r="J5" s="569" t="s">
        <v>45</v>
      </c>
      <c r="K5" s="569" t="s">
        <v>46</v>
      </c>
      <c r="L5" s="569" t="s">
        <v>47</v>
      </c>
      <c r="M5" s="570"/>
      <c r="N5" s="569" t="s">
        <v>44</v>
      </c>
      <c r="O5" s="569" t="s">
        <v>45</v>
      </c>
      <c r="P5" s="569" t="s">
        <v>46</v>
      </c>
      <c r="Q5" s="579" t="s">
        <v>47</v>
      </c>
      <c r="R5" s="580"/>
      <c r="S5" s="580"/>
      <c r="T5" s="580"/>
      <c r="U5" s="580"/>
      <c r="V5" s="580"/>
      <c r="W5" s="581"/>
      <c r="X5" s="580"/>
      <c r="Y5" s="580"/>
    </row>
    <row r="6" spans="1:25" s="139" customFormat="1" ht="13.5" thickBot="1">
      <c r="A6" s="138"/>
      <c r="B6" s="40">
        <v>2009</v>
      </c>
      <c r="C6" s="571">
        <v>2010</v>
      </c>
      <c r="D6" s="572" t="s">
        <v>48</v>
      </c>
      <c r="E6" s="572" t="s">
        <v>49</v>
      </c>
      <c r="F6" s="572" t="s">
        <v>50</v>
      </c>
      <c r="G6" s="572" t="s">
        <v>51</v>
      </c>
      <c r="H6" s="571">
        <v>2011</v>
      </c>
      <c r="I6" s="573" t="s">
        <v>52</v>
      </c>
      <c r="J6" s="574" t="s">
        <v>270</v>
      </c>
      <c r="K6" s="574" t="s">
        <v>315</v>
      </c>
      <c r="L6" s="574" t="s">
        <v>316</v>
      </c>
      <c r="M6" s="576">
        <v>2012</v>
      </c>
      <c r="N6" s="574" t="s">
        <v>14</v>
      </c>
      <c r="O6" s="574" t="s">
        <v>15</v>
      </c>
      <c r="P6" s="574" t="s">
        <v>16</v>
      </c>
      <c r="Q6" s="582" t="s">
        <v>17</v>
      </c>
      <c r="R6" s="583" t="s">
        <v>333</v>
      </c>
      <c r="S6" s="584" t="s">
        <v>41</v>
      </c>
      <c r="T6" s="584" t="s">
        <v>42</v>
      </c>
      <c r="U6" s="584" t="s">
        <v>43</v>
      </c>
      <c r="V6" s="584" t="s">
        <v>18</v>
      </c>
      <c r="W6" s="585" t="s">
        <v>19</v>
      </c>
      <c r="X6" s="584" t="s">
        <v>20</v>
      </c>
      <c r="Y6" s="584" t="s">
        <v>21</v>
      </c>
    </row>
    <row r="7" spans="1:25">
      <c r="A7" s="140"/>
      <c r="B7" s="42"/>
      <c r="C7" s="42"/>
      <c r="D7" s="43"/>
      <c r="E7" s="43"/>
      <c r="F7" s="43"/>
      <c r="G7" s="43"/>
      <c r="H7" s="42"/>
      <c r="I7" s="43"/>
      <c r="J7" s="221"/>
      <c r="K7" s="221"/>
      <c r="L7" s="221"/>
      <c r="M7" s="220"/>
      <c r="N7" s="613"/>
      <c r="O7" s="613"/>
      <c r="P7" s="613"/>
      <c r="Q7" s="218"/>
      <c r="R7" s="45"/>
      <c r="S7" s="45"/>
      <c r="T7" s="45"/>
      <c r="U7" s="45"/>
      <c r="V7" s="349"/>
      <c r="W7" s="349"/>
      <c r="X7" s="135"/>
      <c r="Y7" s="349"/>
    </row>
    <row r="8" spans="1:25" s="58" customFormat="1">
      <c r="A8" s="62" t="s">
        <v>158</v>
      </c>
      <c r="B8" s="141"/>
      <c r="C8" s="141"/>
      <c r="D8" s="69"/>
      <c r="E8" s="69"/>
      <c r="F8" s="69"/>
      <c r="G8" s="69"/>
      <c r="H8" s="141"/>
      <c r="I8" s="69"/>
      <c r="J8" s="306"/>
      <c r="K8" s="306"/>
      <c r="L8" s="306"/>
      <c r="M8" s="307"/>
      <c r="N8" s="306"/>
      <c r="O8" s="306"/>
      <c r="P8" s="306"/>
      <c r="Q8" s="366"/>
      <c r="R8" s="142"/>
      <c r="S8" s="142"/>
      <c r="T8" s="142"/>
      <c r="U8" s="142"/>
      <c r="V8" s="350"/>
      <c r="W8" s="350"/>
      <c r="X8" s="205"/>
      <c r="Y8" s="350"/>
    </row>
    <row r="9" spans="1:25" s="58" customFormat="1">
      <c r="A9" s="71" t="s">
        <v>154</v>
      </c>
      <c r="B9" s="53">
        <v>19.462</v>
      </c>
      <c r="C9" s="53">
        <v>105.916</v>
      </c>
      <c r="D9" s="55">
        <v>16.39</v>
      </c>
      <c r="E9" s="55">
        <f>90.281-D9</f>
        <v>73.891000000000005</v>
      </c>
      <c r="F9" s="55">
        <f>174.679-E9-D9</f>
        <v>84.397999999999996</v>
      </c>
      <c r="G9" s="55">
        <f>H9-F9-E9-D9</f>
        <v>43.188999999999993</v>
      </c>
      <c r="H9" s="53">
        <v>217.86799999999999</v>
      </c>
      <c r="I9" s="55">
        <v>70.760000000000005</v>
      </c>
      <c r="J9" s="287">
        <f>'Income Statement'!J45</f>
        <v>72.315999999999988</v>
      </c>
      <c r="K9" s="287">
        <f>'Income Statement'!K45</f>
        <v>78.424999999999997</v>
      </c>
      <c r="L9" s="287">
        <f>'Income Statement'!L45</f>
        <v>83.255000000000024</v>
      </c>
      <c r="M9" s="288">
        <f>'Income Statement'!M45</f>
        <v>304.44199999999978</v>
      </c>
      <c r="N9" s="403">
        <f>'Income Statement'!N45</f>
        <v>62.325000000000017</v>
      </c>
      <c r="O9" s="287">
        <f>'Income Statement'!O45</f>
        <v>79.864000000000004</v>
      </c>
      <c r="P9" s="287">
        <f>'Income Statement'!P45</f>
        <v>62.684999999999931</v>
      </c>
      <c r="Q9" s="347">
        <f>'Income Statement'!Q45</f>
        <v>-30.313999999999957</v>
      </c>
      <c r="R9" s="288">
        <f>'Income Statement'!R45</f>
        <v>174.56</v>
      </c>
      <c r="S9" s="288">
        <f>'Income Statement'!W45</f>
        <v>353.07292562563487</v>
      </c>
      <c r="T9" s="288">
        <f>'Income Statement'!X45</f>
        <v>779.77153965196635</v>
      </c>
      <c r="U9" s="288">
        <f>'Income Statement'!Y45</f>
        <v>929.3897658363544</v>
      </c>
      <c r="V9" s="288">
        <f>'Income Statement'!Z45</f>
        <v>1037.7059777575064</v>
      </c>
      <c r="W9" s="288">
        <f>'Income Statement'!AA45</f>
        <v>780.26122232544549</v>
      </c>
      <c r="X9" s="287">
        <f>'Income Statement'!AB45</f>
        <v>646.86053578724409</v>
      </c>
      <c r="Y9" s="288">
        <f>'Income Statement'!AC45</f>
        <v>511.34177025414726</v>
      </c>
    </row>
    <row r="10" spans="1:25" s="58" customFormat="1">
      <c r="A10" s="62" t="s">
        <v>311</v>
      </c>
      <c r="B10" s="68"/>
      <c r="C10" s="68"/>
      <c r="D10" s="70"/>
      <c r="E10" s="70"/>
      <c r="F10" s="70"/>
      <c r="G10" s="70"/>
      <c r="H10" s="68"/>
      <c r="I10" s="70"/>
      <c r="J10" s="287"/>
      <c r="K10" s="287"/>
      <c r="L10" s="287"/>
      <c r="M10" s="288"/>
      <c r="N10" s="404"/>
      <c r="O10" s="306"/>
      <c r="P10" s="306"/>
      <c r="Q10" s="366"/>
      <c r="R10" s="57"/>
      <c r="S10" s="57"/>
      <c r="T10" s="57"/>
      <c r="U10" s="57"/>
      <c r="V10" s="350"/>
      <c r="W10" s="350"/>
      <c r="X10" s="205"/>
      <c r="Y10" s="350"/>
    </row>
    <row r="11" spans="1:25" s="392" customFormat="1">
      <c r="A11" s="386" t="s">
        <v>312</v>
      </c>
      <c r="B11" s="387">
        <v>11.394</v>
      </c>
      <c r="C11" s="387">
        <v>17.920000000000002</v>
      </c>
      <c r="D11" s="388">
        <v>5.8090000000000002</v>
      </c>
      <c r="E11" s="388">
        <f>10.646-D11</f>
        <v>4.8370000000000006</v>
      </c>
      <c r="F11" s="388">
        <f>15.637-E11-D11</f>
        <v>4.9910000000000005</v>
      </c>
      <c r="G11" s="388">
        <f>H11-F11-E11-D11</f>
        <v>4.8980000000000006</v>
      </c>
      <c r="H11" s="387">
        <v>20.535</v>
      </c>
      <c r="I11" s="388">
        <v>6.6479999999999997</v>
      </c>
      <c r="J11" s="389">
        <f>12.94-I11</f>
        <v>6.2919999999999998</v>
      </c>
      <c r="K11" s="389">
        <f>19.855-I11-J11</f>
        <v>6.9150000000000009</v>
      </c>
      <c r="L11" s="389">
        <f>M11-I11-J11-K11</f>
        <v>7.2899999999999991</v>
      </c>
      <c r="M11" s="390">
        <v>27.145</v>
      </c>
      <c r="N11" s="614">
        <v>8.1649999999999991</v>
      </c>
      <c r="O11" s="614">
        <v>7.68</v>
      </c>
      <c r="P11" s="614">
        <f>23.506-N11-O11</f>
        <v>7.6610000000000014</v>
      </c>
      <c r="Q11" s="615">
        <f>P11</f>
        <v>7.6610000000000014</v>
      </c>
      <c r="R11" s="391">
        <f>SUM(N11:Q11)</f>
        <v>31.167000000000002</v>
      </c>
      <c r="S11" s="391">
        <f>R11*1.1</f>
        <v>34.283700000000003</v>
      </c>
      <c r="T11" s="391">
        <f t="shared" ref="T11:Y11" si="0">S11*1.1</f>
        <v>37.712070000000004</v>
      </c>
      <c r="U11" s="391">
        <f t="shared" si="0"/>
        <v>41.483277000000008</v>
      </c>
      <c r="V11" s="391">
        <f t="shared" si="0"/>
        <v>45.631604700000011</v>
      </c>
      <c r="W11" s="391">
        <f t="shared" si="0"/>
        <v>50.194765170000018</v>
      </c>
      <c r="X11" s="391">
        <f t="shared" si="0"/>
        <v>55.214241687000026</v>
      </c>
      <c r="Y11" s="391">
        <f t="shared" si="0"/>
        <v>60.735665855700034</v>
      </c>
    </row>
    <row r="12" spans="1:25" s="58" customFormat="1">
      <c r="A12" s="52" t="s">
        <v>200</v>
      </c>
      <c r="B12" s="53">
        <v>4.6749999999999998</v>
      </c>
      <c r="C12" s="53">
        <v>2.3980000000000001</v>
      </c>
      <c r="D12" s="55">
        <v>1.2649999999999999</v>
      </c>
      <c r="E12" s="55">
        <f>2.846-D12</f>
        <v>1.5810000000000002</v>
      </c>
      <c r="F12" s="55">
        <f>2.904-E12-D12</f>
        <v>5.7999999999999829E-2</v>
      </c>
      <c r="G12" s="55">
        <f>H12-F12-E12-D12</f>
        <v>2.2759999999999998</v>
      </c>
      <c r="H12" s="53">
        <v>5.18</v>
      </c>
      <c r="I12" s="55">
        <v>0.34699999999999998</v>
      </c>
      <c r="J12" s="287">
        <f>1.69-I12</f>
        <v>1.343</v>
      </c>
      <c r="K12" s="287">
        <f>1.455-I12-J12</f>
        <v>-0.23499999999999988</v>
      </c>
      <c r="L12" s="287">
        <f t="shared" ref="L12:L31" si="1">M12-I12-J12-K12</f>
        <v>10.374000000000001</v>
      </c>
      <c r="M12" s="288">
        <v>11.829000000000001</v>
      </c>
      <c r="N12" s="306">
        <v>-0.188</v>
      </c>
      <c r="O12" s="306">
        <f>0.142-N12</f>
        <v>0.32999999999999996</v>
      </c>
      <c r="P12" s="306">
        <f>-0.075-N12-O12</f>
        <v>-0.21699999999999997</v>
      </c>
      <c r="Q12" s="366"/>
      <c r="R12" s="57"/>
      <c r="S12" s="57"/>
      <c r="T12" s="57"/>
      <c r="U12" s="57"/>
      <c r="V12" s="350"/>
      <c r="W12" s="350"/>
      <c r="X12" s="205"/>
      <c r="Y12" s="350"/>
    </row>
    <row r="13" spans="1:25" s="58" customFormat="1">
      <c r="A13" s="52" t="s">
        <v>313</v>
      </c>
      <c r="B13" s="53">
        <v>-1.038</v>
      </c>
      <c r="C13" s="53">
        <v>41.923000000000002</v>
      </c>
      <c r="D13" s="55">
        <v>10.436</v>
      </c>
      <c r="E13" s="55">
        <f>46.159-D13</f>
        <v>35.722999999999999</v>
      </c>
      <c r="F13" s="55">
        <f>65.384-E13-D13</f>
        <v>19.225000000000001</v>
      </c>
      <c r="G13" s="55">
        <f>H13-F13-E13-D13</f>
        <v>16.048000000000002</v>
      </c>
      <c r="H13" s="53">
        <v>81.432000000000002</v>
      </c>
      <c r="I13" s="55">
        <v>33.176000000000002</v>
      </c>
      <c r="J13" s="287">
        <f>64.15-I13</f>
        <v>30.974000000000004</v>
      </c>
      <c r="K13" s="287">
        <f>94.532-I13-J13</f>
        <v>30.381999999999991</v>
      </c>
      <c r="L13" s="287">
        <f t="shared" si="1"/>
        <v>41.697000000000017</v>
      </c>
      <c r="M13" s="288">
        <v>136.22900000000001</v>
      </c>
      <c r="N13" s="306">
        <v>28.51</v>
      </c>
      <c r="O13" s="306">
        <f>67.165-N13</f>
        <v>38.655000000000001</v>
      </c>
      <c r="P13" s="306">
        <f>105.659-O13-N13</f>
        <v>38.494</v>
      </c>
      <c r="Q13" s="366"/>
      <c r="R13" s="57"/>
      <c r="S13" s="57"/>
      <c r="T13" s="57"/>
      <c r="U13" s="57"/>
      <c r="V13" s="350"/>
      <c r="W13" s="350"/>
      <c r="X13" s="205"/>
      <c r="Y13" s="350"/>
    </row>
    <row r="14" spans="1:25" s="58" customFormat="1">
      <c r="A14" s="52" t="s">
        <v>314</v>
      </c>
      <c r="B14" s="53">
        <v>101.015</v>
      </c>
      <c r="C14" s="53">
        <v>113.94199999999999</v>
      </c>
      <c r="D14" s="55">
        <v>36.856000000000002</v>
      </c>
      <c r="E14" s="55">
        <f>9.819-D14</f>
        <v>-27.036999999999999</v>
      </c>
      <c r="F14" s="55">
        <f>-37.79-E14-D14</f>
        <v>-47.609000000000002</v>
      </c>
      <c r="G14" s="55">
        <f>H14-F14-E14-D14</f>
        <v>22.074999999999996</v>
      </c>
      <c r="H14" s="53">
        <v>-15.715</v>
      </c>
      <c r="I14" s="55">
        <v>-2.4E-2</v>
      </c>
      <c r="J14" s="287">
        <f>9.423-I14</f>
        <v>9.4469999999999992</v>
      </c>
      <c r="K14" s="287">
        <f>40.568-I14-J14</f>
        <v>31.145</v>
      </c>
      <c r="L14" s="287">
        <f t="shared" si="1"/>
        <v>-10.452999999999999</v>
      </c>
      <c r="M14" s="288">
        <v>30.114999999999998</v>
      </c>
      <c r="N14" s="306">
        <v>35.213000000000001</v>
      </c>
      <c r="O14" s="306">
        <v>32.985999999999997</v>
      </c>
      <c r="P14" s="306">
        <f>142.584-N14-O14</f>
        <v>74.385000000000019</v>
      </c>
      <c r="Q14" s="366">
        <f>P14</f>
        <v>74.385000000000019</v>
      </c>
      <c r="R14" s="57">
        <f>M14</f>
        <v>30.114999999999998</v>
      </c>
      <c r="S14" s="57">
        <f>R14</f>
        <v>30.114999999999998</v>
      </c>
      <c r="T14" s="57">
        <f t="shared" ref="T14:Y14" si="2">S14</f>
        <v>30.114999999999998</v>
      </c>
      <c r="U14" s="57">
        <f t="shared" si="2"/>
        <v>30.114999999999998</v>
      </c>
      <c r="V14" s="57">
        <f t="shared" si="2"/>
        <v>30.114999999999998</v>
      </c>
      <c r="W14" s="57">
        <f t="shared" si="2"/>
        <v>30.114999999999998</v>
      </c>
      <c r="X14" s="57">
        <f t="shared" si="2"/>
        <v>30.114999999999998</v>
      </c>
      <c r="Y14" s="57">
        <f t="shared" si="2"/>
        <v>30.114999999999998</v>
      </c>
    </row>
    <row r="15" spans="1:25" s="58" customFormat="1">
      <c r="A15" s="52" t="s">
        <v>259</v>
      </c>
      <c r="B15" s="53">
        <v>4.4939999999999998</v>
      </c>
      <c r="C15" s="53">
        <v>7.6879999999999997</v>
      </c>
      <c r="D15" s="55"/>
      <c r="E15" s="55"/>
      <c r="F15" s="55"/>
      <c r="G15" s="55"/>
      <c r="H15" s="53"/>
      <c r="I15" s="55"/>
      <c r="J15" s="287"/>
      <c r="K15" s="287"/>
      <c r="L15" s="287">
        <f t="shared" si="1"/>
        <v>6.8040000000000003</v>
      </c>
      <c r="M15" s="288">
        <v>6.8040000000000003</v>
      </c>
      <c r="N15" s="306"/>
      <c r="O15" s="306"/>
      <c r="P15" s="306"/>
      <c r="Q15" s="366"/>
      <c r="R15" s="57"/>
      <c r="S15" s="57"/>
      <c r="T15" s="57"/>
      <c r="U15" s="57"/>
      <c r="V15" s="350"/>
      <c r="W15" s="350"/>
      <c r="X15" s="205"/>
      <c r="Y15" s="350"/>
    </row>
    <row r="16" spans="1:25" s="58" customFormat="1">
      <c r="A16" s="52" t="s">
        <v>260</v>
      </c>
      <c r="B16" s="53"/>
      <c r="C16" s="53"/>
      <c r="D16" s="55"/>
      <c r="E16" s="55"/>
      <c r="F16" s="55">
        <f>41.332-E16-D16</f>
        <v>41.332000000000001</v>
      </c>
      <c r="G16" s="55">
        <f>H16-F16-E16-D16</f>
        <v>-4.2830000000000013</v>
      </c>
      <c r="H16" s="53">
        <v>37.048999999999999</v>
      </c>
      <c r="I16" s="55"/>
      <c r="J16" s="287"/>
      <c r="K16" s="287">
        <v>0.64300000000000002</v>
      </c>
      <c r="L16" s="287">
        <f t="shared" si="1"/>
        <v>0.56699999999999995</v>
      </c>
      <c r="M16" s="288">
        <v>1.21</v>
      </c>
      <c r="N16" s="306"/>
      <c r="O16" s="306"/>
      <c r="P16" s="306"/>
      <c r="Q16" s="366"/>
      <c r="R16" s="57"/>
      <c r="S16" s="57"/>
      <c r="T16" s="57"/>
      <c r="U16" s="57"/>
      <c r="V16" s="205"/>
      <c r="W16" s="350"/>
      <c r="X16" s="205"/>
      <c r="Y16" s="350"/>
    </row>
    <row r="17" spans="1:25" s="58" customFormat="1">
      <c r="A17" s="52" t="s">
        <v>135</v>
      </c>
      <c r="B17" s="53">
        <v>15.714</v>
      </c>
      <c r="C17" s="53">
        <v>16.838999999999999</v>
      </c>
      <c r="D17" s="55">
        <v>4.4710000000000001</v>
      </c>
      <c r="E17" s="55">
        <f>9.02-D17</f>
        <v>4.5489999999999995</v>
      </c>
      <c r="F17" s="55">
        <f>13.647-E17-D17</f>
        <v>4.6270000000000007</v>
      </c>
      <c r="G17" s="55">
        <f>H17-F17-E17-D17</f>
        <v>5.7120000000000015</v>
      </c>
      <c r="H17" s="53">
        <v>19.359000000000002</v>
      </c>
      <c r="I17" s="55">
        <v>2.9239999999999999</v>
      </c>
      <c r="J17" s="287">
        <f>5.905-I17</f>
        <v>2.9810000000000003</v>
      </c>
      <c r="K17" s="287">
        <f>8.902-I17-J17</f>
        <v>2.9969999999999994</v>
      </c>
      <c r="L17" s="287">
        <f t="shared" si="1"/>
        <v>2.1620000000000013</v>
      </c>
      <c r="M17" s="288">
        <v>11.064</v>
      </c>
      <c r="N17" s="306">
        <v>3.0830000000000002</v>
      </c>
      <c r="O17" s="306">
        <f>6.24-N17</f>
        <v>3.157</v>
      </c>
      <c r="P17" s="306">
        <f>9.412-O17-N17</f>
        <v>3.1720000000000006</v>
      </c>
      <c r="Q17" s="366"/>
      <c r="R17" s="57"/>
      <c r="S17" s="57"/>
      <c r="T17" s="57"/>
      <c r="U17" s="57"/>
      <c r="V17" s="205"/>
      <c r="W17" s="350"/>
      <c r="X17" s="205"/>
      <c r="Y17" s="350"/>
    </row>
    <row r="18" spans="1:25" s="58" customFormat="1">
      <c r="A18" s="52" t="s">
        <v>88</v>
      </c>
      <c r="B18" s="53">
        <v>1.5509999999999999</v>
      </c>
      <c r="C18" s="53">
        <v>2.5739999999999998</v>
      </c>
      <c r="D18" s="55">
        <v>1.165</v>
      </c>
      <c r="E18" s="55">
        <f>2.437-D18</f>
        <v>1.2719999999999998</v>
      </c>
      <c r="F18" s="55">
        <f>3.406-D18-E18</f>
        <v>0.96900000000000031</v>
      </c>
      <c r="G18" s="55">
        <f>H18-F18-E18-D18</f>
        <v>1.0680000000000001</v>
      </c>
      <c r="H18" s="53">
        <v>4.4740000000000002</v>
      </c>
      <c r="I18" s="55">
        <v>1.1339999999999999</v>
      </c>
      <c r="J18" s="287">
        <f>2.333-I18</f>
        <v>1.1990000000000003</v>
      </c>
      <c r="K18" s="287">
        <f>3.303-I18-J18</f>
        <v>0.96999999999999975</v>
      </c>
      <c r="L18" s="287">
        <f t="shared" si="1"/>
        <v>1.3010000000000002</v>
      </c>
      <c r="M18" s="288">
        <v>4.6040000000000001</v>
      </c>
      <c r="N18" s="306">
        <v>1.006</v>
      </c>
      <c r="O18" s="306">
        <f>2.038-N18</f>
        <v>1.0319999999999998</v>
      </c>
      <c r="P18" s="306">
        <f>3.066-O18-N18</f>
        <v>1.0279999999999998</v>
      </c>
      <c r="Q18" s="366"/>
      <c r="R18" s="57"/>
      <c r="S18" s="57"/>
      <c r="T18" s="57"/>
      <c r="U18" s="57"/>
      <c r="V18" s="205"/>
      <c r="W18" s="350"/>
      <c r="X18" s="205"/>
      <c r="Y18" s="350"/>
    </row>
    <row r="19" spans="1:25" s="58" customFormat="1">
      <c r="A19" s="52" t="s">
        <v>62</v>
      </c>
      <c r="B19" s="53">
        <v>-1.8480000000000001</v>
      </c>
      <c r="C19" s="53">
        <v>0.96699999999999997</v>
      </c>
      <c r="D19" s="55">
        <v>6.7670000000000003</v>
      </c>
      <c r="E19" s="55">
        <f>7.943-D19</f>
        <v>1.1759999999999993</v>
      </c>
      <c r="F19" s="55">
        <f>2.114-E19-D19</f>
        <v>-5.8289999999999997</v>
      </c>
      <c r="G19" s="55">
        <f>H19-F19-E19-D19</f>
        <v>0.5</v>
      </c>
      <c r="H19" s="53">
        <v>2.6139999999999999</v>
      </c>
      <c r="I19" s="55">
        <v>2.5999999999999999E-2</v>
      </c>
      <c r="J19" s="287">
        <f>8.213-I19</f>
        <v>8.1869999999999994</v>
      </c>
      <c r="K19" s="287">
        <f>8.18-I19-J19</f>
        <v>-3.2999999999999474E-2</v>
      </c>
      <c r="L19" s="287">
        <f t="shared" si="1"/>
        <v>-6.7480000000000002</v>
      </c>
      <c r="M19" s="288">
        <v>1.4319999999999999</v>
      </c>
      <c r="N19" s="306">
        <v>0.311</v>
      </c>
      <c r="O19" s="306">
        <f>1.313-N19</f>
        <v>1.002</v>
      </c>
      <c r="P19" s="306">
        <f>1.183-O19-N19</f>
        <v>-0.12999999999999995</v>
      </c>
      <c r="Q19" s="366"/>
      <c r="R19" s="57"/>
      <c r="S19" s="57"/>
      <c r="T19" s="57"/>
      <c r="U19" s="57"/>
      <c r="V19" s="205"/>
      <c r="W19" s="350"/>
      <c r="X19" s="205"/>
      <c r="Y19" s="350"/>
    </row>
    <row r="20" spans="1:25" s="58" customFormat="1">
      <c r="A20" s="52" t="s">
        <v>89</v>
      </c>
      <c r="B20" s="53">
        <v>-4.4059999999999997</v>
      </c>
      <c r="C20" s="53">
        <v>-23.826000000000001</v>
      </c>
      <c r="D20" s="55">
        <v>-3.976</v>
      </c>
      <c r="E20" s="55">
        <f>-6.289-D20</f>
        <v>-2.3129999999999997</v>
      </c>
      <c r="F20" s="55">
        <f>-6.486-E20-D20</f>
        <v>-0.19700000000000006</v>
      </c>
      <c r="G20" s="55">
        <f>H20-F20-E20-D20</f>
        <v>-4.8609999999999998</v>
      </c>
      <c r="H20" s="53">
        <v>-11.347</v>
      </c>
      <c r="I20" s="55">
        <v>-0.318</v>
      </c>
      <c r="J20" s="287">
        <f>-0.684-I20</f>
        <v>-0.36600000000000005</v>
      </c>
      <c r="K20" s="287">
        <f>-2.084-I20-J20</f>
        <v>-1.4</v>
      </c>
      <c r="L20" s="287">
        <f t="shared" si="1"/>
        <v>-0.96999999999999975</v>
      </c>
      <c r="M20" s="288">
        <v>-3.0539999999999998</v>
      </c>
      <c r="N20" s="306">
        <v>-0.96199999999999997</v>
      </c>
      <c r="O20" s="306">
        <f>-2.634-N20</f>
        <v>-1.6719999999999999</v>
      </c>
      <c r="P20" s="306">
        <f>-5.807-O20-N20</f>
        <v>-3.1730000000000009</v>
      </c>
      <c r="Q20" s="366"/>
      <c r="R20" s="57"/>
      <c r="S20" s="57"/>
      <c r="T20" s="57"/>
      <c r="U20" s="57"/>
      <c r="V20" s="205"/>
      <c r="W20" s="350"/>
      <c r="X20" s="205"/>
      <c r="Y20" s="350"/>
    </row>
    <row r="21" spans="1:25" s="58" customFormat="1">
      <c r="A21" s="52" t="s">
        <v>0</v>
      </c>
      <c r="B21" s="53"/>
      <c r="C21" s="53"/>
      <c r="D21" s="55"/>
      <c r="E21" s="55"/>
      <c r="F21" s="55"/>
      <c r="G21" s="55"/>
      <c r="H21" s="53"/>
      <c r="I21" s="55"/>
      <c r="J21" s="287"/>
      <c r="K21" s="287"/>
      <c r="L21" s="287"/>
      <c r="M21" s="288"/>
      <c r="N21" s="306"/>
      <c r="O21" s="306"/>
      <c r="P21" s="306"/>
      <c r="Q21" s="366"/>
      <c r="R21" s="57"/>
      <c r="S21" s="57"/>
      <c r="T21" s="57"/>
      <c r="U21" s="57"/>
      <c r="V21" s="205"/>
      <c r="W21" s="350"/>
      <c r="X21" s="205"/>
      <c r="Y21" s="350"/>
    </row>
    <row r="22" spans="1:25" s="58" customFormat="1">
      <c r="A22" s="71"/>
      <c r="B22" s="53"/>
      <c r="C22" s="53"/>
      <c r="D22" s="55"/>
      <c r="E22" s="55"/>
      <c r="F22" s="55"/>
      <c r="G22" s="55"/>
      <c r="H22" s="53"/>
      <c r="I22" s="55"/>
      <c r="J22" s="287"/>
      <c r="K22" s="287"/>
      <c r="L22" s="287"/>
      <c r="M22" s="288"/>
      <c r="N22" s="306"/>
      <c r="O22" s="306"/>
      <c r="P22" s="306"/>
      <c r="Q22" s="366"/>
      <c r="R22" s="57"/>
      <c r="S22" s="57"/>
      <c r="T22" s="57"/>
      <c r="U22" s="57"/>
      <c r="V22" s="205"/>
      <c r="W22" s="350"/>
      <c r="X22" s="205"/>
      <c r="Y22" s="350"/>
    </row>
    <row r="23" spans="1:25" s="58" customFormat="1">
      <c r="A23" s="62" t="s">
        <v>159</v>
      </c>
      <c r="B23" s="68"/>
      <c r="C23" s="68"/>
      <c r="D23" s="70"/>
      <c r="E23" s="70"/>
      <c r="F23" s="70"/>
      <c r="G23" s="70"/>
      <c r="H23" s="68"/>
      <c r="I23" s="70"/>
      <c r="J23" s="287"/>
      <c r="K23" s="287"/>
      <c r="L23" s="287"/>
      <c r="M23" s="288"/>
      <c r="N23" s="306"/>
      <c r="O23" s="306"/>
      <c r="P23" s="306"/>
      <c r="Q23" s="366"/>
      <c r="R23" s="57"/>
      <c r="S23" s="57"/>
      <c r="T23" s="57"/>
      <c r="U23" s="57"/>
      <c r="V23" s="205"/>
      <c r="W23" s="350"/>
      <c r="X23" s="205"/>
      <c r="Y23" s="350"/>
    </row>
    <row r="24" spans="1:25" s="392" customFormat="1">
      <c r="A24" s="386" t="s">
        <v>337</v>
      </c>
      <c r="B24" s="387">
        <v>-21.956</v>
      </c>
      <c r="C24" s="387">
        <v>-23.452000000000002</v>
      </c>
      <c r="D24" s="388">
        <v>7.9279999999999999</v>
      </c>
      <c r="E24" s="388">
        <f>-9.486-D24</f>
        <v>-17.414000000000001</v>
      </c>
      <c r="F24" s="388">
        <f>-14.651-E24-D24</f>
        <v>-5.1649999999999983</v>
      </c>
      <c r="G24" s="388">
        <f t="shared" ref="G24:G31" si="3">H24-F24-E24-D24</f>
        <v>-1.5070000000000006</v>
      </c>
      <c r="H24" s="387">
        <v>-16.158000000000001</v>
      </c>
      <c r="I24" s="388">
        <v>6.3E-2</v>
      </c>
      <c r="J24" s="389">
        <f>-8.788-I24</f>
        <v>-8.8510000000000009</v>
      </c>
      <c r="K24" s="389">
        <f>-19.516-I24-J24</f>
        <v>-10.727999999999996</v>
      </c>
      <c r="L24" s="389">
        <f t="shared" si="1"/>
        <v>-4.4750000000000014</v>
      </c>
      <c r="M24" s="390">
        <v>-23.991</v>
      </c>
      <c r="N24" s="614">
        <v>15.03</v>
      </c>
      <c r="O24" s="614">
        <f>-15.455-N24</f>
        <v>-30.484999999999999</v>
      </c>
      <c r="P24" s="614">
        <f>-15.244-O24-N24</f>
        <v>0.2110000000000003</v>
      </c>
      <c r="Q24" s="615"/>
      <c r="R24" s="391">
        <f>(C24+H24+M24)/3</f>
        <v>-21.200333333333333</v>
      </c>
      <c r="S24" s="391">
        <f>R24*0.9</f>
        <v>-19.080300000000001</v>
      </c>
      <c r="T24" s="391">
        <f t="shared" ref="T24:Y24" si="4">S24*0.9</f>
        <v>-17.172270000000001</v>
      </c>
      <c r="U24" s="391">
        <f t="shared" si="4"/>
        <v>-15.455043000000002</v>
      </c>
      <c r="V24" s="391">
        <f t="shared" si="4"/>
        <v>-13.909538700000002</v>
      </c>
      <c r="W24" s="391">
        <f t="shared" si="4"/>
        <v>-12.518584830000002</v>
      </c>
      <c r="X24" s="391">
        <f t="shared" si="4"/>
        <v>-11.266726347000002</v>
      </c>
      <c r="Y24" s="391">
        <f t="shared" si="4"/>
        <v>-10.140053712300002</v>
      </c>
    </row>
    <row r="25" spans="1:25" s="392" customFormat="1">
      <c r="A25" s="386" t="s">
        <v>204</v>
      </c>
      <c r="B25" s="387"/>
      <c r="C25" s="387"/>
      <c r="D25" s="388"/>
      <c r="E25" s="388"/>
      <c r="F25" s="388"/>
      <c r="G25" s="388"/>
      <c r="H25" s="387"/>
      <c r="I25" s="388"/>
      <c r="J25" s="389"/>
      <c r="K25" s="389">
        <v>-31</v>
      </c>
      <c r="L25" s="389">
        <f>M25-I25-J25-K25</f>
        <v>31</v>
      </c>
      <c r="M25" s="390"/>
      <c r="N25" s="614">
        <v>0</v>
      </c>
      <c r="O25" s="614"/>
      <c r="P25" s="614"/>
      <c r="Q25" s="615"/>
      <c r="R25" s="391">
        <f t="shared" ref="R25:R31" si="5">(C25+H25+M25)/3</f>
        <v>0</v>
      </c>
      <c r="S25" s="391">
        <f t="shared" ref="S25:Y30" si="6">R25*0.9</f>
        <v>0</v>
      </c>
      <c r="T25" s="391">
        <f t="shared" si="6"/>
        <v>0</v>
      </c>
      <c r="U25" s="391">
        <f t="shared" si="6"/>
        <v>0</v>
      </c>
      <c r="V25" s="391">
        <f t="shared" si="6"/>
        <v>0</v>
      </c>
      <c r="W25" s="391">
        <f t="shared" si="6"/>
        <v>0</v>
      </c>
      <c r="X25" s="391">
        <f t="shared" si="6"/>
        <v>0</v>
      </c>
      <c r="Y25" s="391">
        <f t="shared" si="6"/>
        <v>0</v>
      </c>
    </row>
    <row r="26" spans="1:25" s="392" customFormat="1">
      <c r="A26" s="386" t="s">
        <v>90</v>
      </c>
      <c r="B26" s="387">
        <v>-9.0609999999999999</v>
      </c>
      <c r="C26" s="387">
        <v>-9.1959999999999997</v>
      </c>
      <c r="D26" s="388">
        <v>-1.9770000000000001</v>
      </c>
      <c r="E26" s="388">
        <f>-6.747-D26</f>
        <v>-4.7699999999999996</v>
      </c>
      <c r="F26" s="388">
        <f>-13.996-E26-D26</f>
        <v>-7.2490000000000006</v>
      </c>
      <c r="G26" s="388">
        <f t="shared" si="3"/>
        <v>-2.0589999999999993</v>
      </c>
      <c r="H26" s="387">
        <v>-16.055</v>
      </c>
      <c r="I26" s="388">
        <v>0.57499999999999996</v>
      </c>
      <c r="J26" s="389">
        <f>-1.468-I26</f>
        <v>-2.0430000000000001</v>
      </c>
      <c r="K26" s="389">
        <f>-4.79-I26-J26</f>
        <v>-3.3220000000000001</v>
      </c>
      <c r="L26" s="389">
        <f t="shared" si="1"/>
        <v>-1.2030000000000003</v>
      </c>
      <c r="M26" s="390">
        <v>-5.9930000000000003</v>
      </c>
      <c r="N26" s="614">
        <v>-2.5590000000000002</v>
      </c>
      <c r="O26" s="614">
        <f>-7.705-N26</f>
        <v>-5.1459999999999999</v>
      </c>
      <c r="P26" s="614">
        <f>-11.634-O26-N26</f>
        <v>-3.9290000000000003</v>
      </c>
      <c r="Q26" s="615"/>
      <c r="R26" s="391">
        <f t="shared" si="5"/>
        <v>-10.414666666666667</v>
      </c>
      <c r="S26" s="391">
        <f t="shared" si="6"/>
        <v>-9.3732000000000006</v>
      </c>
      <c r="T26" s="391">
        <f t="shared" si="6"/>
        <v>-8.4358800000000009</v>
      </c>
      <c r="U26" s="391">
        <f t="shared" si="6"/>
        <v>-7.5922920000000014</v>
      </c>
      <c r="V26" s="391">
        <f t="shared" si="6"/>
        <v>-6.8330628000000013</v>
      </c>
      <c r="W26" s="391">
        <f t="shared" si="6"/>
        <v>-6.1497565200000013</v>
      </c>
      <c r="X26" s="391">
        <f t="shared" si="6"/>
        <v>-5.5347808680000012</v>
      </c>
      <c r="Y26" s="391">
        <f t="shared" si="6"/>
        <v>-4.981302781200001</v>
      </c>
    </row>
    <row r="27" spans="1:25" s="392" customFormat="1">
      <c r="A27" s="386" t="s">
        <v>309</v>
      </c>
      <c r="B27" s="387">
        <v>3.4220000000000002</v>
      </c>
      <c r="C27" s="387">
        <v>-0.58699999999999997</v>
      </c>
      <c r="D27" s="388">
        <v>-4.101</v>
      </c>
      <c r="E27" s="388">
        <f>-2.338-D27</f>
        <v>1.7629999999999999</v>
      </c>
      <c r="F27" s="388">
        <f>-1.912-E27-D27</f>
        <v>0.42600000000000016</v>
      </c>
      <c r="G27" s="388">
        <f t="shared" si="3"/>
        <v>-0.19500000000000028</v>
      </c>
      <c r="H27" s="387">
        <v>-2.1070000000000002</v>
      </c>
      <c r="I27" s="388">
        <v>-5.2539999999999996</v>
      </c>
      <c r="J27" s="389">
        <f>-9.215-I27</f>
        <v>-3.9610000000000003</v>
      </c>
      <c r="K27" s="389">
        <f>-3.643-I27-J27</f>
        <v>5.5720000000000001</v>
      </c>
      <c r="L27" s="389">
        <f t="shared" si="1"/>
        <v>-3.7080000000000002</v>
      </c>
      <c r="M27" s="390">
        <v>-7.351</v>
      </c>
      <c r="N27" s="614">
        <v>4.5609999999999999</v>
      </c>
      <c r="O27" s="614">
        <f>5.874-N27</f>
        <v>1.3129999999999997</v>
      </c>
      <c r="P27" s="614"/>
      <c r="Q27" s="615"/>
      <c r="R27" s="391">
        <f t="shared" si="5"/>
        <v>-3.3483333333333332</v>
      </c>
      <c r="S27" s="391">
        <f t="shared" si="6"/>
        <v>-3.0135000000000001</v>
      </c>
      <c r="T27" s="391">
        <f t="shared" si="6"/>
        <v>-2.7121500000000003</v>
      </c>
      <c r="U27" s="391">
        <f t="shared" si="6"/>
        <v>-2.4409350000000005</v>
      </c>
      <c r="V27" s="391">
        <f t="shared" si="6"/>
        <v>-2.1968415000000006</v>
      </c>
      <c r="W27" s="391">
        <f t="shared" si="6"/>
        <v>-1.9771573500000006</v>
      </c>
      <c r="X27" s="391">
        <f t="shared" si="6"/>
        <v>-1.7794416150000005</v>
      </c>
      <c r="Y27" s="391">
        <f t="shared" si="6"/>
        <v>-1.6014974535000006</v>
      </c>
    </row>
    <row r="28" spans="1:25" s="392" customFormat="1">
      <c r="A28" s="386" t="s">
        <v>172</v>
      </c>
      <c r="B28" s="387">
        <v>-0.19600000000000001</v>
      </c>
      <c r="C28" s="387">
        <v>-4.7759999999999998</v>
      </c>
      <c r="D28" s="388">
        <v>-4.2699999999999996</v>
      </c>
      <c r="E28" s="388">
        <f>-5.696-D28</f>
        <v>-1.4260000000000002</v>
      </c>
      <c r="F28" s="388">
        <f>-0.722-E28-D28</f>
        <v>4.9740000000000002</v>
      </c>
      <c r="G28" s="388">
        <f t="shared" si="3"/>
        <v>-2.9039999999999999</v>
      </c>
      <c r="H28" s="387">
        <v>-3.6259999999999999</v>
      </c>
      <c r="I28" s="388">
        <v>-1.6419999999999999</v>
      </c>
      <c r="J28" s="389">
        <f>-1.59-I28</f>
        <v>5.1999999999999824E-2</v>
      </c>
      <c r="K28" s="389">
        <f>-2.742-I28-J28</f>
        <v>-1.1519999999999999</v>
      </c>
      <c r="L28" s="389">
        <f t="shared" si="1"/>
        <v>0.3879999999999999</v>
      </c>
      <c r="M28" s="390">
        <v>-2.3540000000000001</v>
      </c>
      <c r="N28" s="614">
        <v>-1.399</v>
      </c>
      <c r="O28" s="614">
        <f>-1.789-N28</f>
        <v>-0.3899999999999999</v>
      </c>
      <c r="P28" s="614">
        <f>4.554-O28-N28</f>
        <v>6.343</v>
      </c>
      <c r="Q28" s="615"/>
      <c r="R28" s="391">
        <f t="shared" si="5"/>
        <v>-3.5853333333333333</v>
      </c>
      <c r="S28" s="391">
        <f t="shared" si="6"/>
        <v>-3.2267999999999999</v>
      </c>
      <c r="T28" s="391">
        <f t="shared" si="6"/>
        <v>-2.9041199999999998</v>
      </c>
      <c r="U28" s="391">
        <f t="shared" si="6"/>
        <v>-2.6137079999999999</v>
      </c>
      <c r="V28" s="391">
        <f t="shared" si="6"/>
        <v>-2.3523372</v>
      </c>
      <c r="W28" s="391">
        <f t="shared" si="6"/>
        <v>-2.1171034799999999</v>
      </c>
      <c r="X28" s="391">
        <f t="shared" si="6"/>
        <v>-1.9053931319999999</v>
      </c>
      <c r="Y28" s="391">
        <f t="shared" si="6"/>
        <v>-1.7148538188</v>
      </c>
    </row>
    <row r="29" spans="1:25" s="392" customFormat="1">
      <c r="A29" s="386" t="s">
        <v>91</v>
      </c>
      <c r="B29" s="387">
        <v>-3.645</v>
      </c>
      <c r="C29" s="387">
        <v>-2.734</v>
      </c>
      <c r="D29" s="388">
        <v>-6.15</v>
      </c>
      <c r="E29" s="388">
        <f>0.891-D29</f>
        <v>7.0410000000000004</v>
      </c>
      <c r="F29" s="388">
        <f>1.04-E29-D29</f>
        <v>0.14900000000000002</v>
      </c>
      <c r="G29" s="388">
        <f t="shared" si="3"/>
        <v>15.615999999999998</v>
      </c>
      <c r="H29" s="387">
        <v>16.655999999999999</v>
      </c>
      <c r="I29" s="388">
        <v>-38.970999999999997</v>
      </c>
      <c r="J29" s="389">
        <f>-38.549-I29</f>
        <v>0.42199999999999704</v>
      </c>
      <c r="K29" s="389">
        <f>-37.225-I29-J29</f>
        <v>1.3239999999999981</v>
      </c>
      <c r="L29" s="389">
        <f t="shared" si="1"/>
        <v>1.8000000000000682E-2</v>
      </c>
      <c r="M29" s="390">
        <v>-37.207000000000001</v>
      </c>
      <c r="N29" s="614">
        <v>0.19900000000000001</v>
      </c>
      <c r="O29" s="614">
        <f>-0.78-N29</f>
        <v>-0.97900000000000009</v>
      </c>
      <c r="P29" s="614">
        <f>12.633-O29-N29</f>
        <v>13.412999999999998</v>
      </c>
      <c r="Q29" s="615"/>
      <c r="R29" s="391">
        <f t="shared" si="5"/>
        <v>-7.7616666666666676</v>
      </c>
      <c r="S29" s="391">
        <f t="shared" si="6"/>
        <v>-6.9855000000000009</v>
      </c>
      <c r="T29" s="391">
        <f t="shared" si="6"/>
        <v>-6.2869500000000009</v>
      </c>
      <c r="U29" s="391">
        <f t="shared" si="6"/>
        <v>-5.6582550000000014</v>
      </c>
      <c r="V29" s="391">
        <f t="shared" si="6"/>
        <v>-5.0924295000000015</v>
      </c>
      <c r="W29" s="391">
        <f t="shared" si="6"/>
        <v>-4.5831865500000015</v>
      </c>
      <c r="X29" s="391">
        <f t="shared" si="6"/>
        <v>-4.1248678950000013</v>
      </c>
      <c r="Y29" s="391">
        <f t="shared" si="6"/>
        <v>-3.7123811055000013</v>
      </c>
    </row>
    <row r="30" spans="1:25" s="392" customFormat="1">
      <c r="A30" s="386" t="s">
        <v>280</v>
      </c>
      <c r="B30" s="387">
        <v>9.2029999999999994</v>
      </c>
      <c r="C30" s="387">
        <v>25.611999999999998</v>
      </c>
      <c r="D30" s="388">
        <v>1.409</v>
      </c>
      <c r="E30" s="388">
        <f>10.158-D30</f>
        <v>8.7489999999999988</v>
      </c>
      <c r="F30" s="388">
        <f>-2.8036-E30-D30</f>
        <v>-12.961599999999999</v>
      </c>
      <c r="G30" s="388">
        <f t="shared" si="3"/>
        <v>6.398600000000001</v>
      </c>
      <c r="H30" s="387">
        <v>3.5950000000000002</v>
      </c>
      <c r="I30" s="388">
        <v>0.91500000000000004</v>
      </c>
      <c r="J30" s="389">
        <f>9.544-I30</f>
        <v>8.6290000000000013</v>
      </c>
      <c r="K30" s="389">
        <f>30.105-I30-J30</f>
        <v>20.561</v>
      </c>
      <c r="L30" s="389">
        <f t="shared" si="1"/>
        <v>-15.702000000000002</v>
      </c>
      <c r="M30" s="390">
        <v>14.403</v>
      </c>
      <c r="N30" s="614">
        <v>-4.0339999999999998</v>
      </c>
      <c r="O30" s="614">
        <f>7.543-N30</f>
        <v>11.577</v>
      </c>
      <c r="P30" s="614"/>
      <c r="Q30" s="615"/>
      <c r="R30" s="391">
        <f t="shared" si="5"/>
        <v>14.536666666666667</v>
      </c>
      <c r="S30" s="391">
        <f t="shared" si="6"/>
        <v>13.083</v>
      </c>
      <c r="T30" s="391">
        <f t="shared" si="6"/>
        <v>11.774700000000001</v>
      </c>
      <c r="U30" s="391">
        <f t="shared" si="6"/>
        <v>10.597230000000001</v>
      </c>
      <c r="V30" s="391">
        <f t="shared" si="6"/>
        <v>9.5375070000000015</v>
      </c>
      <c r="W30" s="391">
        <f t="shared" si="6"/>
        <v>8.583756300000001</v>
      </c>
      <c r="X30" s="391">
        <f t="shared" si="6"/>
        <v>7.7253806700000007</v>
      </c>
      <c r="Y30" s="391">
        <f t="shared" si="6"/>
        <v>6.9528426030000006</v>
      </c>
    </row>
    <row r="31" spans="1:25" s="392" customFormat="1">
      <c r="A31" s="386" t="s">
        <v>307</v>
      </c>
      <c r="B31" s="387">
        <v>-29.056999999999999</v>
      </c>
      <c r="C31" s="387">
        <v>-59.676000000000002</v>
      </c>
      <c r="D31" s="388">
        <v>-18.670999999999999</v>
      </c>
      <c r="E31" s="388">
        <f>-41.756-D31</f>
        <v>-23.085000000000001</v>
      </c>
      <c r="F31" s="388">
        <f>-17.984-E31-D31</f>
        <v>23.771999999999998</v>
      </c>
      <c r="G31" s="388">
        <f t="shared" si="3"/>
        <v>-75.574999999999989</v>
      </c>
      <c r="H31" s="387">
        <v>-93.558999999999997</v>
      </c>
      <c r="I31" s="388">
        <v>-32.774000000000001</v>
      </c>
      <c r="J31" s="389">
        <f>-72.009-I31</f>
        <v>-39.234999999999999</v>
      </c>
      <c r="K31" s="389">
        <f>-109.311-I31-J31</f>
        <v>-37.302000000000007</v>
      </c>
      <c r="L31" s="389">
        <f t="shared" si="1"/>
        <v>-36.447999999999979</v>
      </c>
      <c r="M31" s="390">
        <v>-145.75899999999999</v>
      </c>
      <c r="N31" s="614">
        <v>-51.482999999999997</v>
      </c>
      <c r="O31" s="614">
        <f>-106.639-N31</f>
        <v>-55.155999999999999</v>
      </c>
      <c r="P31" s="614">
        <f>-153.865-O31-N31</f>
        <v>-47.226000000000006</v>
      </c>
      <c r="Q31" s="615"/>
      <c r="R31" s="391">
        <f t="shared" si="5"/>
        <v>-99.664666666666676</v>
      </c>
      <c r="S31" s="391">
        <f>R31*0.75</f>
        <v>-74.748500000000007</v>
      </c>
      <c r="T31" s="391">
        <f t="shared" ref="T31:Y31" si="7">S31*0.75</f>
        <v>-56.061375000000005</v>
      </c>
      <c r="U31" s="391">
        <f t="shared" si="7"/>
        <v>-42.046031250000006</v>
      </c>
      <c r="V31" s="391">
        <f t="shared" si="7"/>
        <v>-31.534523437500006</v>
      </c>
      <c r="W31" s="391">
        <f t="shared" si="7"/>
        <v>-23.650892578125003</v>
      </c>
      <c r="X31" s="391">
        <f t="shared" si="7"/>
        <v>-17.738169433593754</v>
      </c>
      <c r="Y31" s="391">
        <f t="shared" si="7"/>
        <v>-13.303627075195315</v>
      </c>
    </row>
    <row r="32" spans="1:25" s="58" customFormat="1">
      <c r="A32" s="143" t="s">
        <v>301</v>
      </c>
      <c r="B32" s="144">
        <f t="shared" ref="B32:M32" si="8">B9+SUM(B11:B21)+SUM(B24:B31)</f>
        <v>99.722999999999956</v>
      </c>
      <c r="C32" s="144">
        <f t="shared" si="8"/>
        <v>211.53199999999998</v>
      </c>
      <c r="D32" s="145">
        <f t="shared" si="8"/>
        <v>53.351000000000006</v>
      </c>
      <c r="E32" s="145">
        <f t="shared" si="8"/>
        <v>64.537000000000006</v>
      </c>
      <c r="F32" s="145">
        <f t="shared" si="8"/>
        <v>105.91040000000001</v>
      </c>
      <c r="G32" s="145">
        <f t="shared" si="8"/>
        <v>26.396599999999992</v>
      </c>
      <c r="H32" s="144">
        <f t="shared" si="8"/>
        <v>250.19499999999996</v>
      </c>
      <c r="I32" s="145">
        <f t="shared" si="8"/>
        <v>37.585000000000008</v>
      </c>
      <c r="J32" s="308">
        <f t="shared" si="8"/>
        <v>87.385999999999996</v>
      </c>
      <c r="K32" s="308">
        <f t="shared" si="8"/>
        <v>93.761999999999972</v>
      </c>
      <c r="L32" s="308">
        <f t="shared" si="8"/>
        <v>105.14900000000007</v>
      </c>
      <c r="M32" s="309">
        <f t="shared" si="8"/>
        <v>323.56799999999987</v>
      </c>
      <c r="N32" s="358">
        <f t="shared" ref="N32:Y32" si="9">N9+SUM(N11:N21)+SUM(N24:N31)</f>
        <v>97.77800000000002</v>
      </c>
      <c r="O32" s="308">
        <f t="shared" si="9"/>
        <v>83.768000000000001</v>
      </c>
      <c r="P32" s="308">
        <f t="shared" si="9"/>
        <v>152.71699999999996</v>
      </c>
      <c r="Q32" s="357">
        <f t="shared" si="9"/>
        <v>51.732000000000063</v>
      </c>
      <c r="R32" s="146">
        <f t="shared" si="9"/>
        <v>104.40366666666665</v>
      </c>
      <c r="S32" s="146">
        <f t="shared" si="9"/>
        <v>314.12682562563486</v>
      </c>
      <c r="T32" s="146">
        <f t="shared" si="9"/>
        <v>765.8005646519664</v>
      </c>
      <c r="U32" s="146">
        <f t="shared" si="9"/>
        <v>935.77900858635439</v>
      </c>
      <c r="V32" s="351">
        <f t="shared" si="9"/>
        <v>1061.0713563200063</v>
      </c>
      <c r="W32" s="146">
        <f t="shared" si="9"/>
        <v>818.15806248732042</v>
      </c>
      <c r="X32" s="355">
        <f t="shared" si="9"/>
        <v>697.56577885365039</v>
      </c>
      <c r="Y32" s="146">
        <f t="shared" si="9"/>
        <v>573.69156276635204</v>
      </c>
    </row>
    <row r="33" spans="1:25" s="58" customFormat="1">
      <c r="A33" s="71"/>
      <c r="B33" s="53"/>
      <c r="C33" s="53"/>
      <c r="D33" s="55"/>
      <c r="E33" s="55"/>
      <c r="F33" s="55"/>
      <c r="G33" s="55"/>
      <c r="H33" s="53"/>
      <c r="I33" s="55"/>
      <c r="J33" s="287"/>
      <c r="K33" s="287"/>
      <c r="L33" s="287"/>
      <c r="M33" s="288"/>
      <c r="N33" s="306"/>
      <c r="O33" s="306"/>
      <c r="P33" s="306"/>
      <c r="Q33" s="366"/>
      <c r="R33" s="57"/>
      <c r="S33" s="57"/>
      <c r="T33" s="57"/>
      <c r="U33" s="57"/>
      <c r="V33" s="205"/>
      <c r="W33" s="350"/>
      <c r="X33" s="205"/>
      <c r="Y33" s="350"/>
    </row>
    <row r="34" spans="1:25" s="58" customFormat="1">
      <c r="A34" s="62" t="s">
        <v>160</v>
      </c>
      <c r="B34" s="68"/>
      <c r="C34" s="68"/>
      <c r="D34" s="70"/>
      <c r="E34" s="70"/>
      <c r="F34" s="70"/>
      <c r="G34" s="70"/>
      <c r="H34" s="68"/>
      <c r="I34" s="70"/>
      <c r="J34" s="287"/>
      <c r="K34" s="287"/>
      <c r="L34" s="287"/>
      <c r="M34" s="288"/>
      <c r="N34" s="306"/>
      <c r="O34" s="306"/>
      <c r="P34" s="306"/>
      <c r="Q34" s="366"/>
      <c r="R34" s="57"/>
      <c r="S34" s="57"/>
      <c r="T34" s="57"/>
      <c r="U34" s="57"/>
      <c r="V34" s="205"/>
      <c r="W34" s="350"/>
      <c r="X34" s="205"/>
      <c r="Y34" s="350"/>
    </row>
    <row r="35" spans="1:25" s="392" customFormat="1">
      <c r="A35" s="386" t="s">
        <v>107</v>
      </c>
      <c r="B35" s="387">
        <v>-95.4</v>
      </c>
      <c r="C35" s="387">
        <v>-18.64</v>
      </c>
      <c r="D35" s="388">
        <v>-6.3360000000000003</v>
      </c>
      <c r="E35" s="388">
        <f>-18.883-D35</f>
        <v>-12.546999999999999</v>
      </c>
      <c r="F35" s="388">
        <f>-36.725-E35-D35</f>
        <v>-17.842000000000006</v>
      </c>
      <c r="G35" s="388">
        <f>H35-F35-E35-D35</f>
        <v>0.74800000000000821</v>
      </c>
      <c r="H35" s="387">
        <v>-35.976999999999997</v>
      </c>
      <c r="I35" s="388">
        <v>-40.281999999999996</v>
      </c>
      <c r="J35" s="389">
        <f>-83.92-I35</f>
        <v>-43.638000000000005</v>
      </c>
      <c r="K35" s="389">
        <f>-90.65-I35-J35</f>
        <v>-6.730000000000004</v>
      </c>
      <c r="L35" s="389">
        <f>M35-I35-J35-K35</f>
        <v>-21.254999999999995</v>
      </c>
      <c r="M35" s="390">
        <v>-111.905</v>
      </c>
      <c r="N35" s="614">
        <v>-4.2430000000000003</v>
      </c>
      <c r="O35" s="614">
        <f>-9.08-N35</f>
        <v>-4.8369999999999997</v>
      </c>
      <c r="P35" s="614">
        <f>-18.497-O35-N35</f>
        <v>-9.4169999999999998</v>
      </c>
      <c r="Q35" s="615"/>
      <c r="R35" s="391">
        <f>(C35+H35+M35)/3</f>
        <v>-55.507333333333328</v>
      </c>
      <c r="S35" s="391">
        <f>R35*0.85</f>
        <v>-47.181233333333324</v>
      </c>
      <c r="T35" s="391">
        <f t="shared" ref="T35:Y35" si="10">S35*0.85</f>
        <v>-40.104048333333324</v>
      </c>
      <c r="U35" s="391">
        <f t="shared" si="10"/>
        <v>-34.088441083333322</v>
      </c>
      <c r="V35" s="391">
        <f t="shared" si="10"/>
        <v>-28.975174920833322</v>
      </c>
      <c r="W35" s="391">
        <f t="shared" si="10"/>
        <v>-24.628898682708321</v>
      </c>
      <c r="X35" s="391">
        <f t="shared" si="10"/>
        <v>-20.934563880302072</v>
      </c>
      <c r="Y35" s="391">
        <f t="shared" si="10"/>
        <v>-17.794379298256761</v>
      </c>
    </row>
    <row r="36" spans="1:25" s="58" customFormat="1">
      <c r="A36" s="52" t="s">
        <v>108</v>
      </c>
      <c r="B36" s="53">
        <v>-310.63400000000001</v>
      </c>
      <c r="C36" s="53">
        <v>-662.22500000000002</v>
      </c>
      <c r="D36" s="55">
        <v>-173.249</v>
      </c>
      <c r="E36" s="55">
        <f>-366.976-D36</f>
        <v>-193.727</v>
      </c>
      <c r="F36" s="55">
        <f>-616.571-E36-D36</f>
        <v>-249.59500000000006</v>
      </c>
      <c r="G36" s="55">
        <f>H36-F36-E36-D36</f>
        <v>-199.11299999999997</v>
      </c>
      <c r="H36" s="53">
        <v>-815.68399999999997</v>
      </c>
      <c r="I36" s="55">
        <v>-183.423</v>
      </c>
      <c r="J36" s="287">
        <f>-291.417-I36</f>
        <v>-107.99399999999997</v>
      </c>
      <c r="K36" s="287">
        <f>-348.001-I36-J36</f>
        <v>-56.584000000000003</v>
      </c>
      <c r="L36" s="287">
        <f>M36-I36-J36-K36</f>
        <v>-231.31500000000005</v>
      </c>
      <c r="M36" s="288">
        <v>-579.31600000000003</v>
      </c>
      <c r="N36" s="306">
        <v>-111.745</v>
      </c>
      <c r="O36" s="306">
        <f>-162.461-N36</f>
        <v>-50.716000000000008</v>
      </c>
      <c r="P36" s="306">
        <f>-438.633-O36-N36</f>
        <v>-276.17199999999997</v>
      </c>
      <c r="Q36" s="366"/>
      <c r="R36" s="57"/>
      <c r="S36" s="57"/>
      <c r="T36" s="57"/>
      <c r="U36" s="57"/>
      <c r="V36" s="205"/>
      <c r="W36" s="350"/>
      <c r="X36" s="205"/>
      <c r="Y36" s="350"/>
    </row>
    <row r="37" spans="1:25" s="58" customFormat="1">
      <c r="A37" s="52" t="s">
        <v>109</v>
      </c>
      <c r="B37" s="53">
        <v>249.083</v>
      </c>
      <c r="C37" s="53">
        <v>421.52800000000002</v>
      </c>
      <c r="D37" s="55">
        <v>144.25</v>
      </c>
      <c r="E37" s="55">
        <f>306.312-D37</f>
        <v>162.06200000000001</v>
      </c>
      <c r="F37" s="55">
        <f>519.334-E37-D37</f>
        <v>213.02199999999993</v>
      </c>
      <c r="G37" s="55">
        <f>H37-F37-E37-D37</f>
        <v>214.54200000000003</v>
      </c>
      <c r="H37" s="53">
        <v>733.87599999999998</v>
      </c>
      <c r="I37" s="55">
        <v>177.714</v>
      </c>
      <c r="J37" s="287">
        <f>329.059-I37</f>
        <v>151.34500000000003</v>
      </c>
      <c r="K37" s="287">
        <f>439.987-I37-J37</f>
        <v>110.928</v>
      </c>
      <c r="L37" s="287">
        <f>M37-I37-J37-K37</f>
        <v>87.870999999999924</v>
      </c>
      <c r="M37" s="288">
        <v>527.85799999999995</v>
      </c>
      <c r="N37" s="306">
        <v>126.623</v>
      </c>
      <c r="O37" s="306">
        <f>239.511-N37</f>
        <v>112.88799999999999</v>
      </c>
      <c r="P37" s="306">
        <f>349.275-O37-N37</f>
        <v>109.764</v>
      </c>
      <c r="Q37" s="366"/>
      <c r="R37" s="57"/>
      <c r="S37" s="57"/>
      <c r="T37" s="57"/>
      <c r="U37" s="57"/>
      <c r="V37" s="205"/>
      <c r="W37" s="350"/>
      <c r="X37" s="205"/>
      <c r="Y37" s="350"/>
    </row>
    <row r="38" spans="1:25" s="58" customFormat="1">
      <c r="A38" s="52" t="s">
        <v>261</v>
      </c>
      <c r="B38" s="53"/>
      <c r="C38" s="53">
        <v>36.200000000000003</v>
      </c>
      <c r="D38" s="55"/>
      <c r="E38" s="55"/>
      <c r="F38" s="55"/>
      <c r="G38" s="55"/>
      <c r="H38" s="53"/>
      <c r="I38" s="55"/>
      <c r="J38" s="287"/>
      <c r="K38" s="287"/>
      <c r="L38" s="287"/>
      <c r="M38" s="288"/>
      <c r="N38" s="306"/>
      <c r="O38" s="306"/>
      <c r="P38" s="306"/>
      <c r="Q38" s="366"/>
      <c r="R38" s="57"/>
      <c r="S38" s="57"/>
      <c r="T38" s="57"/>
      <c r="U38" s="57"/>
      <c r="V38" s="205"/>
      <c r="W38" s="350"/>
      <c r="X38" s="205"/>
      <c r="Y38" s="350"/>
    </row>
    <row r="39" spans="1:25" s="58" customFormat="1">
      <c r="A39" s="52" t="s">
        <v>262</v>
      </c>
      <c r="B39" s="53">
        <v>-3.5680000000000001</v>
      </c>
      <c r="C39" s="53"/>
      <c r="D39" s="55"/>
      <c r="E39" s="55"/>
      <c r="F39" s="55">
        <f>-3.547-E39-D39</f>
        <v>-3.5470000000000002</v>
      </c>
      <c r="G39" s="55">
        <f>H39-F39-E39-D39</f>
        <v>0</v>
      </c>
      <c r="H39" s="53">
        <v>-3.5470000000000002</v>
      </c>
      <c r="I39" s="55"/>
      <c r="J39" s="287"/>
      <c r="K39" s="287"/>
      <c r="L39" s="287"/>
      <c r="M39" s="288"/>
      <c r="N39" s="306"/>
      <c r="O39" s="306">
        <v>-30.765999999999998</v>
      </c>
      <c r="P39" s="306"/>
      <c r="Q39" s="366"/>
      <c r="R39" s="57"/>
      <c r="S39" s="57"/>
      <c r="T39" s="57"/>
      <c r="U39" s="57"/>
      <c r="V39" s="205"/>
      <c r="W39" s="350"/>
      <c r="X39" s="205"/>
      <c r="Y39" s="350"/>
    </row>
    <row r="40" spans="1:25" s="58" customFormat="1">
      <c r="A40" s="52" t="s">
        <v>263</v>
      </c>
      <c r="B40" s="53">
        <v>-2.0990000000000002</v>
      </c>
      <c r="C40" s="53">
        <v>13.901</v>
      </c>
      <c r="D40" s="55"/>
      <c r="E40" s="55"/>
      <c r="F40" s="55"/>
      <c r="G40" s="55">
        <f>H40-F40-E40-D40</f>
        <v>-1E-3</v>
      </c>
      <c r="H40" s="53">
        <v>-1E-3</v>
      </c>
      <c r="I40" s="55"/>
      <c r="J40" s="287"/>
      <c r="K40" s="287"/>
      <c r="L40" s="287"/>
      <c r="M40" s="288"/>
      <c r="N40" s="306"/>
      <c r="O40" s="306"/>
      <c r="P40" s="306"/>
      <c r="Q40" s="366"/>
      <c r="R40" s="57"/>
      <c r="S40" s="57"/>
      <c r="T40" s="57"/>
      <c r="U40" s="57"/>
      <c r="V40" s="205"/>
      <c r="W40" s="350"/>
      <c r="X40" s="205"/>
      <c r="Y40" s="350"/>
    </row>
    <row r="41" spans="1:25" s="58" customFormat="1">
      <c r="A41" s="71"/>
      <c r="B41" s="53"/>
      <c r="C41" s="53"/>
      <c r="D41" s="55"/>
      <c r="E41" s="55"/>
      <c r="F41" s="55"/>
      <c r="G41" s="55"/>
      <c r="H41" s="53"/>
      <c r="I41" s="55"/>
      <c r="J41" s="287"/>
      <c r="K41" s="287"/>
      <c r="L41" s="287"/>
      <c r="M41" s="288"/>
      <c r="N41" s="306"/>
      <c r="O41" s="306"/>
      <c r="P41" s="306"/>
      <c r="Q41" s="366"/>
      <c r="R41" s="57"/>
      <c r="S41" s="57"/>
      <c r="T41" s="57"/>
      <c r="U41" s="57"/>
      <c r="V41" s="205"/>
      <c r="W41" s="350"/>
      <c r="X41" s="205"/>
      <c r="Y41" s="350"/>
    </row>
    <row r="42" spans="1:25" s="58" customFormat="1">
      <c r="A42" s="143" t="s">
        <v>161</v>
      </c>
      <c r="B42" s="144">
        <f t="shared" ref="B42:P42" si="11">SUM(B35:B41)</f>
        <v>-162.61799999999999</v>
      </c>
      <c r="C42" s="144">
        <f t="shared" si="11"/>
        <v>-209.23599999999999</v>
      </c>
      <c r="D42" s="145">
        <f t="shared" si="11"/>
        <v>-35.335000000000008</v>
      </c>
      <c r="E42" s="145">
        <f t="shared" si="11"/>
        <v>-44.211999999999989</v>
      </c>
      <c r="F42" s="145">
        <f t="shared" si="11"/>
        <v>-57.962000000000131</v>
      </c>
      <c r="G42" s="145">
        <f t="shared" si="11"/>
        <v>16.176000000000077</v>
      </c>
      <c r="H42" s="144">
        <f t="shared" si="11"/>
        <v>-121.33299999999997</v>
      </c>
      <c r="I42" s="145">
        <f>SUM(I35:I41)</f>
        <v>-45.990999999999985</v>
      </c>
      <c r="J42" s="308">
        <f>SUM(J35:J41)</f>
        <v>-0.2869999999999493</v>
      </c>
      <c r="K42" s="308">
        <f>SUM(K35:K41)</f>
        <v>47.61399999999999</v>
      </c>
      <c r="L42" s="308">
        <f>SUM(L35:L41)</f>
        <v>-164.69900000000013</v>
      </c>
      <c r="M42" s="309">
        <f t="shared" si="11"/>
        <v>-163.36300000000006</v>
      </c>
      <c r="N42" s="358">
        <f t="shared" si="11"/>
        <v>10.635000000000005</v>
      </c>
      <c r="O42" s="308">
        <f t="shared" si="11"/>
        <v>26.568999999999981</v>
      </c>
      <c r="P42" s="308">
        <f t="shared" si="11"/>
        <v>-175.82499999999993</v>
      </c>
      <c r="Q42" s="355">
        <f>P42</f>
        <v>-175.82499999999993</v>
      </c>
      <c r="R42" s="146">
        <f>SUM(N42:Q42)</f>
        <v>-314.44599999999991</v>
      </c>
      <c r="S42" s="146">
        <f>R42</f>
        <v>-314.44599999999991</v>
      </c>
      <c r="T42" s="146">
        <f t="shared" ref="T42:Y42" si="12">S42</f>
        <v>-314.44599999999991</v>
      </c>
      <c r="U42" s="146">
        <f t="shared" si="12"/>
        <v>-314.44599999999991</v>
      </c>
      <c r="V42" s="146">
        <f t="shared" si="12"/>
        <v>-314.44599999999991</v>
      </c>
      <c r="W42" s="146">
        <f t="shared" si="12"/>
        <v>-314.44599999999991</v>
      </c>
      <c r="X42" s="146">
        <f t="shared" si="12"/>
        <v>-314.44599999999991</v>
      </c>
      <c r="Y42" s="146">
        <f t="shared" si="12"/>
        <v>-314.44599999999991</v>
      </c>
    </row>
    <row r="43" spans="1:25" s="58" customFormat="1">
      <c r="A43" s="71"/>
      <c r="B43" s="53"/>
      <c r="C43" s="53"/>
      <c r="D43" s="55"/>
      <c r="E43" s="55"/>
      <c r="F43" s="55"/>
      <c r="G43" s="55"/>
      <c r="H43" s="53"/>
      <c r="I43" s="55"/>
      <c r="J43" s="287"/>
      <c r="K43" s="287"/>
      <c r="L43" s="287"/>
      <c r="M43" s="288"/>
      <c r="N43" s="306"/>
      <c r="O43" s="306"/>
      <c r="P43" s="306"/>
      <c r="Q43" s="366"/>
      <c r="R43" s="57"/>
      <c r="S43" s="57"/>
      <c r="T43" s="57"/>
      <c r="U43" s="57"/>
      <c r="V43" s="205"/>
      <c r="W43" s="350"/>
      <c r="X43" s="205"/>
      <c r="Y43" s="350"/>
    </row>
    <row r="44" spans="1:25" s="58" customFormat="1">
      <c r="A44" s="62" t="s">
        <v>162</v>
      </c>
      <c r="B44" s="68"/>
      <c r="C44" s="68"/>
      <c r="D44" s="70"/>
      <c r="E44" s="70"/>
      <c r="F44" s="70"/>
      <c r="G44" s="70"/>
      <c r="H44" s="68"/>
      <c r="I44" s="70"/>
      <c r="J44" s="287"/>
      <c r="K44" s="287"/>
      <c r="L44" s="287"/>
      <c r="M44" s="288"/>
      <c r="N44" s="306"/>
      <c r="O44" s="306"/>
      <c r="P44" s="306"/>
      <c r="Q44" s="366"/>
      <c r="R44" s="57"/>
      <c r="S44" s="57"/>
      <c r="T44" s="57"/>
      <c r="U44" s="57"/>
      <c r="V44" s="205"/>
      <c r="W44" s="350"/>
      <c r="X44" s="205"/>
      <c r="Y44" s="350"/>
    </row>
    <row r="45" spans="1:25" s="58" customFormat="1">
      <c r="A45" s="52" t="s">
        <v>264</v>
      </c>
      <c r="B45" s="53"/>
      <c r="C45" s="53"/>
      <c r="D45" s="55"/>
      <c r="E45" s="55"/>
      <c r="F45" s="55"/>
      <c r="G45" s="55">
        <f>H45-F45-E45-D45</f>
        <v>-251.03899999999999</v>
      </c>
      <c r="H45" s="53">
        <v>-251.03899999999999</v>
      </c>
      <c r="I45" s="55"/>
      <c r="J45" s="287"/>
      <c r="K45" s="287"/>
      <c r="L45" s="287">
        <f>M45</f>
        <v>-0.999</v>
      </c>
      <c r="M45" s="288">
        <v>-0.999</v>
      </c>
      <c r="N45" s="306"/>
      <c r="O45" s="306"/>
      <c r="P45" s="306"/>
      <c r="Q45" s="366"/>
      <c r="R45" s="57"/>
      <c r="S45" s="57"/>
      <c r="T45" s="57"/>
      <c r="U45" s="57"/>
      <c r="V45" s="205"/>
      <c r="W45" s="350"/>
      <c r="X45" s="205"/>
      <c r="Y45" s="350"/>
    </row>
    <row r="46" spans="1:25" s="58" customFormat="1">
      <c r="A46" s="52" t="s">
        <v>265</v>
      </c>
      <c r="B46" s="53"/>
      <c r="C46" s="53">
        <v>70</v>
      </c>
      <c r="D46" s="55"/>
      <c r="E46" s="55"/>
      <c r="F46" s="55"/>
      <c r="G46" s="55">
        <f>H46-F46-E46-D46</f>
        <v>250</v>
      </c>
      <c r="H46" s="53">
        <v>250</v>
      </c>
      <c r="I46" s="55"/>
      <c r="J46" s="287"/>
      <c r="K46" s="287"/>
      <c r="L46" s="287"/>
      <c r="M46" s="288"/>
      <c r="N46" s="306"/>
      <c r="O46" s="306"/>
      <c r="P46" s="306"/>
      <c r="Q46" s="366"/>
      <c r="R46" s="57"/>
      <c r="S46" s="57"/>
      <c r="T46" s="57"/>
      <c r="U46" s="57"/>
      <c r="V46" s="205"/>
      <c r="W46" s="350"/>
      <c r="X46" s="205"/>
      <c r="Y46" s="350"/>
    </row>
    <row r="47" spans="1:25" s="58" customFormat="1">
      <c r="A47" s="52" t="s">
        <v>266</v>
      </c>
      <c r="B47" s="53"/>
      <c r="C47" s="53">
        <v>-1.0549999999999999</v>
      </c>
      <c r="D47" s="55"/>
      <c r="E47" s="55"/>
      <c r="F47" s="55"/>
      <c r="G47" s="55">
        <f>H47-F47-E47-D47</f>
        <v>-7.5350000000000001</v>
      </c>
      <c r="H47" s="53">
        <v>-7.5350000000000001</v>
      </c>
      <c r="I47" s="55"/>
      <c r="J47" s="287"/>
      <c r="K47" s="287"/>
      <c r="L47" s="287"/>
      <c r="M47" s="288"/>
      <c r="N47" s="306"/>
      <c r="O47" s="306"/>
      <c r="P47" s="306"/>
      <c r="Q47" s="366"/>
      <c r="R47" s="57"/>
      <c r="S47" s="57"/>
      <c r="T47" s="57"/>
      <c r="U47" s="57"/>
      <c r="V47" s="205"/>
      <c r="W47" s="350"/>
      <c r="X47" s="205"/>
      <c r="Y47" s="350"/>
    </row>
    <row r="48" spans="1:25" s="58" customFormat="1">
      <c r="A48" s="52" t="s">
        <v>22</v>
      </c>
      <c r="B48" s="53"/>
      <c r="C48" s="53"/>
      <c r="D48" s="55"/>
      <c r="E48" s="55"/>
      <c r="F48" s="55"/>
      <c r="G48" s="55">
        <f>H48-F48-E48-D48</f>
        <v>-33.25</v>
      </c>
      <c r="H48" s="53">
        <v>-33.25</v>
      </c>
      <c r="I48" s="55"/>
      <c r="J48" s="287"/>
      <c r="K48" s="287"/>
      <c r="L48" s="287"/>
      <c r="M48" s="288"/>
      <c r="N48" s="306"/>
      <c r="O48" s="306"/>
      <c r="P48" s="306"/>
      <c r="Q48" s="366"/>
      <c r="R48" s="57"/>
      <c r="S48" s="57"/>
      <c r="T48" s="57"/>
      <c r="U48" s="57"/>
      <c r="V48" s="205"/>
      <c r="W48" s="350"/>
      <c r="X48" s="205"/>
      <c r="Y48" s="350"/>
    </row>
    <row r="49" spans="1:25" s="58" customFormat="1">
      <c r="A49" s="52" t="s">
        <v>150</v>
      </c>
      <c r="B49" s="53"/>
      <c r="C49" s="53">
        <v>-31.442</v>
      </c>
      <c r="D49" s="55"/>
      <c r="E49" s="55"/>
      <c r="F49" s="55"/>
      <c r="G49" s="55"/>
      <c r="H49" s="53"/>
      <c r="I49" s="55"/>
      <c r="J49" s="287"/>
      <c r="K49" s="287"/>
      <c r="L49" s="287"/>
      <c r="M49" s="288"/>
      <c r="N49" s="306"/>
      <c r="O49" s="306"/>
      <c r="P49" s="306"/>
      <c r="Q49" s="366"/>
      <c r="R49" s="57"/>
      <c r="S49" s="57"/>
      <c r="T49" s="57"/>
      <c r="U49" s="57"/>
      <c r="V49" s="205"/>
      <c r="W49" s="350"/>
      <c r="X49" s="205"/>
      <c r="Y49" s="350"/>
    </row>
    <row r="50" spans="1:25" s="58" customFormat="1">
      <c r="A50" s="52" t="s">
        <v>151</v>
      </c>
      <c r="B50" s="53"/>
      <c r="C50" s="53"/>
      <c r="D50" s="55"/>
      <c r="E50" s="55"/>
      <c r="F50" s="55"/>
      <c r="G50" s="55">
        <f>H50-F50-E50-D50</f>
        <v>-212</v>
      </c>
      <c r="H50" s="53">
        <v>-212</v>
      </c>
      <c r="I50" s="55"/>
      <c r="J50" s="287">
        <v>-88</v>
      </c>
      <c r="K50" s="287">
        <f>-130.925-J50</f>
        <v>-42.925000000000011</v>
      </c>
      <c r="L50" s="287">
        <f>M50-I50-J50-K50</f>
        <v>-57.074999999999989</v>
      </c>
      <c r="M50" s="288">
        <v>-188</v>
      </c>
      <c r="N50" s="306"/>
      <c r="O50" s="306"/>
      <c r="P50" s="306"/>
      <c r="Q50" s="366"/>
      <c r="R50" s="57"/>
      <c r="S50" s="57"/>
      <c r="T50" s="57"/>
      <c r="U50" s="57"/>
      <c r="V50" s="205"/>
      <c r="W50" s="350"/>
      <c r="X50" s="205"/>
      <c r="Y50" s="350"/>
    </row>
    <row r="51" spans="1:25" s="58" customFormat="1">
      <c r="A51" s="52" t="s">
        <v>59</v>
      </c>
      <c r="B51" s="53"/>
      <c r="C51" s="53"/>
      <c r="D51" s="55"/>
      <c r="E51" s="55"/>
      <c r="F51" s="55"/>
      <c r="G51" s="55"/>
      <c r="H51" s="53"/>
      <c r="I51" s="55"/>
      <c r="J51" s="287"/>
      <c r="K51" s="287"/>
      <c r="L51" s="287"/>
      <c r="M51" s="288"/>
      <c r="N51" s="306">
        <v>-5.9039999999999999</v>
      </c>
      <c r="O51" s="306">
        <f>-42.438-N51</f>
        <v>-36.534000000000006</v>
      </c>
      <c r="P51" s="306">
        <f>-42.438-O51-N51</f>
        <v>0</v>
      </c>
      <c r="Q51" s="366"/>
      <c r="R51" s="57"/>
      <c r="S51" s="57"/>
      <c r="T51" s="57"/>
      <c r="U51" s="57"/>
      <c r="V51" s="205"/>
      <c r="W51" s="350"/>
      <c r="X51" s="205"/>
      <c r="Y51" s="350"/>
    </row>
    <row r="52" spans="1:25" s="58" customFormat="1">
      <c r="A52" s="52" t="s">
        <v>60</v>
      </c>
      <c r="B52" s="53"/>
      <c r="C52" s="53"/>
      <c r="D52" s="55"/>
      <c r="E52" s="55"/>
      <c r="F52" s="55"/>
      <c r="G52" s="55"/>
      <c r="H52" s="53"/>
      <c r="I52" s="55"/>
      <c r="J52" s="287"/>
      <c r="K52" s="287"/>
      <c r="L52" s="287"/>
      <c r="M52" s="288"/>
      <c r="N52" s="306">
        <v>1.3779999999999999</v>
      </c>
      <c r="O52" s="306"/>
      <c r="P52" s="306">
        <f>2.734-N52</f>
        <v>1.3560000000000001</v>
      </c>
      <c r="Q52" s="366"/>
      <c r="R52" s="57"/>
      <c r="S52" s="57"/>
      <c r="T52" s="57"/>
      <c r="U52" s="57"/>
      <c r="V52" s="205"/>
      <c r="W52" s="350"/>
      <c r="X52" s="205"/>
      <c r="Y52" s="350"/>
    </row>
    <row r="53" spans="1:25" s="58" customFormat="1">
      <c r="A53" s="52" t="s">
        <v>110</v>
      </c>
      <c r="B53" s="53">
        <v>32.070999999999998</v>
      </c>
      <c r="C53" s="53">
        <v>85.427000000000007</v>
      </c>
      <c r="D53" s="55">
        <v>13.976000000000001</v>
      </c>
      <c r="E53" s="55">
        <f>23.724-D53</f>
        <v>9.7479999999999993</v>
      </c>
      <c r="F53" s="55">
        <f>23.948-E53-D53</f>
        <v>0.2240000000000002</v>
      </c>
      <c r="G53" s="55">
        <f>H53-F53-E53-D53</f>
        <v>0.44999999999999929</v>
      </c>
      <c r="H53" s="53">
        <v>24.398</v>
      </c>
      <c r="I53" s="55">
        <v>1.81</v>
      </c>
      <c r="J53" s="287">
        <f>3.114-I53</f>
        <v>1.3039999999999998</v>
      </c>
      <c r="K53" s="287">
        <f>9.689-I53-J53</f>
        <v>6.5749999999999993</v>
      </c>
      <c r="L53" s="287">
        <f>M53-I53-J53-K53</f>
        <v>7.1159999999999997</v>
      </c>
      <c r="M53" s="288">
        <v>16.805</v>
      </c>
      <c r="N53" s="306">
        <v>4.258</v>
      </c>
      <c r="O53" s="306">
        <f>11.415-N53</f>
        <v>7.1569999999999991</v>
      </c>
      <c r="P53" s="306">
        <f>19.896-O53-N53</f>
        <v>8.4810000000000016</v>
      </c>
      <c r="Q53" s="366"/>
      <c r="R53" s="57"/>
      <c r="S53" s="57"/>
      <c r="T53" s="57"/>
      <c r="U53" s="57"/>
      <c r="V53" s="205"/>
      <c r="W53" s="350"/>
      <c r="X53" s="205"/>
      <c r="Y53" s="350"/>
    </row>
    <row r="54" spans="1:25" s="58" customFormat="1">
      <c r="A54" s="52" t="s">
        <v>87</v>
      </c>
      <c r="B54" s="53">
        <v>4.4059999999999997</v>
      </c>
      <c r="C54" s="53">
        <v>23.826000000000001</v>
      </c>
      <c r="D54" s="55">
        <v>3.976</v>
      </c>
      <c r="E54" s="55">
        <f>6.289-D54</f>
        <v>2.3129999999999997</v>
      </c>
      <c r="F54" s="55">
        <f>6.486-E54-D54</f>
        <v>0.19700000000000006</v>
      </c>
      <c r="G54" s="55">
        <f>H54-F54-E54-D54</f>
        <v>4.8609999999999998</v>
      </c>
      <c r="H54" s="53">
        <v>11.347</v>
      </c>
      <c r="I54" s="55">
        <v>0.318</v>
      </c>
      <c r="J54" s="287">
        <f>0.684-I54</f>
        <v>0.36600000000000005</v>
      </c>
      <c r="K54" s="287">
        <f>2.084-I54-J54</f>
        <v>1.4</v>
      </c>
      <c r="L54" s="287">
        <f>M54-I54-J54-K54</f>
        <v>0.96999999999999975</v>
      </c>
      <c r="M54" s="288">
        <v>3.0539999999999998</v>
      </c>
      <c r="N54" s="306">
        <v>0.96199999999999997</v>
      </c>
      <c r="O54" s="306">
        <f>2.634-N54</f>
        <v>1.6719999999999999</v>
      </c>
      <c r="P54" s="306">
        <f>5.807-O54-N54</f>
        <v>3.1730000000000009</v>
      </c>
      <c r="Q54" s="366"/>
      <c r="R54" s="57"/>
      <c r="S54" s="57"/>
      <c r="T54" s="57"/>
      <c r="U54" s="57"/>
      <c r="V54" s="205"/>
      <c r="W54" s="350"/>
      <c r="X54" s="205"/>
      <c r="Y54" s="350"/>
    </row>
    <row r="55" spans="1:25" s="58" customFormat="1" ht="13.5" thickBot="1">
      <c r="A55" s="71"/>
      <c r="B55" s="53"/>
      <c r="C55" s="53"/>
      <c r="D55" s="55"/>
      <c r="E55" s="55"/>
      <c r="F55" s="55"/>
      <c r="G55" s="55"/>
      <c r="H55" s="53"/>
      <c r="I55" s="55"/>
      <c r="J55" s="287"/>
      <c r="K55" s="287"/>
      <c r="L55" s="287"/>
      <c r="M55" s="288"/>
      <c r="N55" s="306"/>
      <c r="O55" s="306"/>
      <c r="P55" s="306"/>
      <c r="Q55" s="366"/>
      <c r="R55" s="57"/>
      <c r="S55" s="57"/>
      <c r="T55" s="57"/>
      <c r="U55" s="57"/>
      <c r="V55" s="205"/>
      <c r="W55" s="350"/>
      <c r="X55" s="205"/>
      <c r="Y55" s="354"/>
    </row>
    <row r="56" spans="1:25" s="58" customFormat="1">
      <c r="A56" s="143" t="s">
        <v>163</v>
      </c>
      <c r="B56" s="144">
        <f t="shared" ref="B56:Y56" si="13">SUM(B45:B55)</f>
        <v>36.476999999999997</v>
      </c>
      <c r="C56" s="144">
        <f t="shared" si="13"/>
        <v>146.756</v>
      </c>
      <c r="D56" s="145">
        <f t="shared" si="13"/>
        <v>17.952000000000002</v>
      </c>
      <c r="E56" s="145">
        <f t="shared" si="13"/>
        <v>12.061</v>
      </c>
      <c r="F56" s="145">
        <f t="shared" si="13"/>
        <v>0.42100000000000026</v>
      </c>
      <c r="G56" s="145">
        <f t="shared" si="13"/>
        <v>-248.51300000000001</v>
      </c>
      <c r="H56" s="144">
        <f t="shared" si="13"/>
        <v>-218.07899999999998</v>
      </c>
      <c r="I56" s="145">
        <f t="shared" si="13"/>
        <v>2.1280000000000001</v>
      </c>
      <c r="J56" s="308">
        <f t="shared" si="13"/>
        <v>-86.33</v>
      </c>
      <c r="K56" s="308">
        <f t="shared" si="13"/>
        <v>-34.95000000000001</v>
      </c>
      <c r="L56" s="308">
        <f t="shared" si="13"/>
        <v>-49.987999999999992</v>
      </c>
      <c r="M56" s="309">
        <f t="shared" si="13"/>
        <v>-169.14</v>
      </c>
      <c r="N56" s="358">
        <f t="shared" si="13"/>
        <v>0.69400000000000017</v>
      </c>
      <c r="O56" s="308">
        <f t="shared" si="13"/>
        <v>-27.705000000000005</v>
      </c>
      <c r="P56" s="308">
        <f t="shared" si="13"/>
        <v>13.010000000000002</v>
      </c>
      <c r="Q56" s="353">
        <f t="shared" si="13"/>
        <v>0</v>
      </c>
      <c r="R56" s="146">
        <f t="shared" si="13"/>
        <v>0</v>
      </c>
      <c r="S56" s="146">
        <f t="shared" si="13"/>
        <v>0</v>
      </c>
      <c r="T56" s="146">
        <f t="shared" si="13"/>
        <v>0</v>
      </c>
      <c r="U56" s="146">
        <f t="shared" si="13"/>
        <v>0</v>
      </c>
      <c r="V56" s="351">
        <f t="shared" si="13"/>
        <v>0</v>
      </c>
      <c r="W56" s="146">
        <f t="shared" si="13"/>
        <v>0</v>
      </c>
      <c r="X56" s="353">
        <f t="shared" si="13"/>
        <v>0</v>
      </c>
      <c r="Y56" s="356">
        <f t="shared" si="13"/>
        <v>0</v>
      </c>
    </row>
    <row r="57" spans="1:25" s="58" customFormat="1">
      <c r="A57" s="71" t="s">
        <v>164</v>
      </c>
      <c r="B57" s="53">
        <v>-2.6819999999999999</v>
      </c>
      <c r="C57" s="53">
        <v>2.758</v>
      </c>
      <c r="D57" s="55">
        <v>0.83299999999999996</v>
      </c>
      <c r="E57" s="55">
        <f>0.605-D57</f>
        <v>-0.22799999999999998</v>
      </c>
      <c r="F57" s="55">
        <f>0.331-E57-D57</f>
        <v>-0.27400000000000002</v>
      </c>
      <c r="G57" s="55">
        <f>H57-F57-E57-D57</f>
        <v>-0.6</v>
      </c>
      <c r="H57" s="53">
        <v>-0.26900000000000002</v>
      </c>
      <c r="I57" s="55">
        <v>0.26800000000000002</v>
      </c>
      <c r="J57" s="287">
        <f>-0.154-I57</f>
        <v>-0.42200000000000004</v>
      </c>
      <c r="K57" s="287">
        <f>0.146-I57-J57</f>
        <v>0.30000000000000004</v>
      </c>
      <c r="L57" s="287">
        <v>0</v>
      </c>
      <c r="M57" s="288">
        <v>0.22900000000000001</v>
      </c>
      <c r="N57" s="306">
        <v>-0.93100000000000005</v>
      </c>
      <c r="O57" s="306">
        <f>-0.841-N57</f>
        <v>9.000000000000008E-2</v>
      </c>
      <c r="P57" s="306">
        <f>-24-O57-N57</f>
        <v>-23.158999999999999</v>
      </c>
      <c r="Q57" s="366"/>
      <c r="R57" s="57">
        <f>M57</f>
        <v>0.22900000000000001</v>
      </c>
      <c r="S57" s="57">
        <f>R57</f>
        <v>0.22900000000000001</v>
      </c>
      <c r="T57" s="57">
        <f t="shared" ref="T57:Y57" si="14">S57</f>
        <v>0.22900000000000001</v>
      </c>
      <c r="U57" s="57">
        <f t="shared" si="14"/>
        <v>0.22900000000000001</v>
      </c>
      <c r="V57" s="348">
        <f t="shared" si="14"/>
        <v>0.22900000000000001</v>
      </c>
      <c r="W57" s="57">
        <f t="shared" si="14"/>
        <v>0.22900000000000001</v>
      </c>
      <c r="X57" s="347">
        <f t="shared" si="14"/>
        <v>0.22900000000000001</v>
      </c>
      <c r="Y57" s="57">
        <f t="shared" si="14"/>
        <v>0.22900000000000001</v>
      </c>
    </row>
    <row r="58" spans="1:25" s="58" customFormat="1">
      <c r="A58" s="71" t="s">
        <v>299</v>
      </c>
      <c r="B58" s="53">
        <f t="shared" ref="B58:L58" si="15">B32+B42+B56+B57</f>
        <v>-29.100000000000041</v>
      </c>
      <c r="C58" s="53">
        <f t="shared" si="15"/>
        <v>151.81</v>
      </c>
      <c r="D58" s="55">
        <f t="shared" si="15"/>
        <v>36.801000000000002</v>
      </c>
      <c r="E58" s="55">
        <f t="shared" si="15"/>
        <v>32.158000000000015</v>
      </c>
      <c r="F58" s="55">
        <f t="shared" si="15"/>
        <v>48.095399999999877</v>
      </c>
      <c r="G58" s="55">
        <f t="shared" si="15"/>
        <v>-206.54039999999995</v>
      </c>
      <c r="H58" s="53">
        <f t="shared" si="15"/>
        <v>-89.48599999999999</v>
      </c>
      <c r="I58" s="55">
        <f t="shared" si="15"/>
        <v>-6.0099999999999776</v>
      </c>
      <c r="J58" s="287">
        <f t="shared" si="15"/>
        <v>0.34700000000004805</v>
      </c>
      <c r="K58" s="287">
        <f t="shared" si="15"/>
        <v>106.72599999999996</v>
      </c>
      <c r="L58" s="287">
        <f t="shared" si="15"/>
        <v>-109.53800000000004</v>
      </c>
      <c r="M58" s="288">
        <v>-8.6460000000000008</v>
      </c>
      <c r="N58" s="306">
        <v>108.096</v>
      </c>
      <c r="O58" s="306">
        <f>189.52-N58</f>
        <v>81.424000000000007</v>
      </c>
      <c r="P58" s="306">
        <f>168.2-O58-N58</f>
        <v>-21.320000000000022</v>
      </c>
      <c r="Q58" s="366"/>
      <c r="R58" s="57">
        <f t="shared" ref="R58:Y58" si="16">R32+R42+R56+R57</f>
        <v>-209.81333333333325</v>
      </c>
      <c r="S58" s="57">
        <f t="shared" si="16"/>
        <v>-9.0174374365047688E-2</v>
      </c>
      <c r="T58" s="57">
        <f t="shared" si="16"/>
        <v>451.58356465196647</v>
      </c>
      <c r="U58" s="57">
        <f t="shared" si="16"/>
        <v>621.56200858635452</v>
      </c>
      <c r="V58" s="348">
        <f t="shared" si="16"/>
        <v>746.85435632000645</v>
      </c>
      <c r="W58" s="57">
        <f t="shared" si="16"/>
        <v>503.94106248732049</v>
      </c>
      <c r="X58" s="347">
        <f t="shared" si="16"/>
        <v>383.34877885365046</v>
      </c>
      <c r="Y58" s="57">
        <f t="shared" si="16"/>
        <v>259.47456276635211</v>
      </c>
    </row>
    <row r="59" spans="1:25" s="58" customFormat="1">
      <c r="A59" s="71" t="s">
        <v>165</v>
      </c>
      <c r="B59" s="53">
        <v>129.452</v>
      </c>
      <c r="C59" s="53">
        <f>B60</f>
        <v>100.35199999999996</v>
      </c>
      <c r="D59" s="55">
        <f>C60</f>
        <v>252.16199999999998</v>
      </c>
      <c r="E59" s="55">
        <f>D60</f>
        <v>288.96299999999997</v>
      </c>
      <c r="F59" s="55">
        <f>E60</f>
        <v>321.12099999999998</v>
      </c>
      <c r="G59" s="55">
        <f>F60</f>
        <v>369.21639999999985</v>
      </c>
      <c r="H59" s="53">
        <f>C60</f>
        <v>252.16199999999998</v>
      </c>
      <c r="I59" s="55">
        <f>H60</f>
        <v>162.67599999999999</v>
      </c>
      <c r="J59" s="287">
        <f>I60</f>
        <v>156.666</v>
      </c>
      <c r="K59" s="287">
        <f>J60</f>
        <v>157.01300000000003</v>
      </c>
      <c r="L59" s="287">
        <f>K60</f>
        <v>263.73899999999998</v>
      </c>
      <c r="M59" s="288">
        <f>H60</f>
        <v>162.67599999999999</v>
      </c>
      <c r="N59" s="405">
        <f>M60</f>
        <v>154.02999999999997</v>
      </c>
      <c r="O59" s="619">
        <f>N60</f>
        <v>262.12599999999998</v>
      </c>
      <c r="P59" s="619">
        <f>O60</f>
        <v>343.55</v>
      </c>
      <c r="Q59" s="367"/>
      <c r="R59" s="57">
        <f>M60</f>
        <v>154.02999999999997</v>
      </c>
      <c r="S59" s="57">
        <f t="shared" ref="S59:Y59" si="17">R60</f>
        <v>-55.783333333333275</v>
      </c>
      <c r="T59" s="57">
        <f t="shared" si="17"/>
        <v>-55.873507707698323</v>
      </c>
      <c r="U59" s="57">
        <f t="shared" si="17"/>
        <v>395.71005694426816</v>
      </c>
      <c r="V59" s="348">
        <f t="shared" si="17"/>
        <v>1017.2720655306227</v>
      </c>
      <c r="W59" s="57">
        <f t="shared" si="17"/>
        <v>1764.1264218506292</v>
      </c>
      <c r="X59" s="57">
        <f t="shared" si="17"/>
        <v>2268.0674843379497</v>
      </c>
      <c r="Y59" s="57">
        <f t="shared" si="17"/>
        <v>2651.4162631916001</v>
      </c>
    </row>
    <row r="60" spans="1:25" s="58" customFormat="1">
      <c r="A60" s="143" t="s">
        <v>166</v>
      </c>
      <c r="B60" s="147">
        <f t="shared" ref="B60:M60" si="18">B58+B59</f>
        <v>100.35199999999996</v>
      </c>
      <c r="C60" s="147">
        <f t="shared" si="18"/>
        <v>252.16199999999998</v>
      </c>
      <c r="D60" s="148">
        <f t="shared" si="18"/>
        <v>288.96299999999997</v>
      </c>
      <c r="E60" s="148">
        <f t="shared" si="18"/>
        <v>321.12099999999998</v>
      </c>
      <c r="F60" s="148">
        <f t="shared" si="18"/>
        <v>369.21639999999985</v>
      </c>
      <c r="G60" s="148">
        <f t="shared" si="18"/>
        <v>162.6759999999999</v>
      </c>
      <c r="H60" s="147">
        <f t="shared" si="18"/>
        <v>162.67599999999999</v>
      </c>
      <c r="I60" s="148">
        <f t="shared" si="18"/>
        <v>156.666</v>
      </c>
      <c r="J60" s="310">
        <f t="shared" si="18"/>
        <v>157.01300000000003</v>
      </c>
      <c r="K60" s="310">
        <f t="shared" si="18"/>
        <v>263.73899999999998</v>
      </c>
      <c r="L60" s="310">
        <f t="shared" si="18"/>
        <v>154.20099999999994</v>
      </c>
      <c r="M60" s="311">
        <f t="shared" si="18"/>
        <v>154.02999999999997</v>
      </c>
      <c r="N60" s="406">
        <f>N59+N58</f>
        <v>262.12599999999998</v>
      </c>
      <c r="O60" s="620">
        <v>343.55</v>
      </c>
      <c r="P60" s="620">
        <f>P58+P59</f>
        <v>322.23</v>
      </c>
      <c r="Q60" s="368"/>
      <c r="R60" s="149">
        <f t="shared" ref="R60:Y60" si="19">R58+R59</f>
        <v>-55.783333333333275</v>
      </c>
      <c r="S60" s="149">
        <f t="shared" si="19"/>
        <v>-55.873507707698323</v>
      </c>
      <c r="T60" s="149">
        <f t="shared" si="19"/>
        <v>395.71005694426816</v>
      </c>
      <c r="U60" s="149">
        <f t="shared" si="19"/>
        <v>1017.2720655306227</v>
      </c>
      <c r="V60" s="352">
        <f t="shared" si="19"/>
        <v>1764.1264218506292</v>
      </c>
      <c r="W60" s="149">
        <f t="shared" si="19"/>
        <v>2268.0674843379497</v>
      </c>
      <c r="X60" s="149">
        <f t="shared" si="19"/>
        <v>2651.4162631916001</v>
      </c>
      <c r="Y60" s="149">
        <f t="shared" si="19"/>
        <v>2910.8908259579521</v>
      </c>
    </row>
    <row r="61" spans="1:25" s="58" customFormat="1">
      <c r="A61" s="71"/>
      <c r="B61" s="53"/>
      <c r="C61" s="53"/>
      <c r="D61" s="55"/>
      <c r="E61" s="55"/>
      <c r="F61" s="55"/>
      <c r="G61" s="55"/>
      <c r="H61" s="53"/>
      <c r="I61" s="55"/>
      <c r="J61" s="287"/>
      <c r="K61" s="287"/>
      <c r="L61" s="287"/>
      <c r="M61" s="288"/>
      <c r="N61" s="306"/>
      <c r="O61" s="306"/>
      <c r="P61" s="306"/>
      <c r="Q61" s="366"/>
      <c r="R61" s="57"/>
      <c r="S61" s="57"/>
      <c r="T61" s="57"/>
      <c r="U61" s="57"/>
      <c r="V61" s="205"/>
      <c r="W61" s="350"/>
      <c r="X61" s="350"/>
      <c r="Y61" s="350"/>
    </row>
    <row r="62" spans="1:25" s="58" customFormat="1">
      <c r="A62" s="71" t="s">
        <v>77</v>
      </c>
      <c r="B62" s="53">
        <f t="shared" ref="B62:P62" si="20">B32+B35</f>
        <v>4.3229999999999507</v>
      </c>
      <c r="C62" s="53">
        <f t="shared" si="20"/>
        <v>192.892</v>
      </c>
      <c r="D62" s="55">
        <f t="shared" si="20"/>
        <v>47.015000000000008</v>
      </c>
      <c r="E62" s="55">
        <f t="shared" si="20"/>
        <v>51.990000000000009</v>
      </c>
      <c r="F62" s="55">
        <f t="shared" si="20"/>
        <v>88.068399999999997</v>
      </c>
      <c r="G62" s="55">
        <f t="shared" si="20"/>
        <v>27.144600000000001</v>
      </c>
      <c r="H62" s="53">
        <f t="shared" si="20"/>
        <v>214.21799999999996</v>
      </c>
      <c r="I62" s="55">
        <f t="shared" si="20"/>
        <v>-2.6969999999999885</v>
      </c>
      <c r="J62" s="287">
        <f t="shared" si="20"/>
        <v>43.74799999999999</v>
      </c>
      <c r="K62" s="287">
        <f t="shared" si="20"/>
        <v>87.031999999999968</v>
      </c>
      <c r="L62" s="287">
        <f t="shared" si="20"/>
        <v>83.894000000000077</v>
      </c>
      <c r="M62" s="288">
        <f t="shared" si="20"/>
        <v>211.66299999999987</v>
      </c>
      <c r="N62" s="403">
        <f t="shared" si="20"/>
        <v>93.535000000000025</v>
      </c>
      <c r="O62" s="287">
        <f t="shared" si="20"/>
        <v>78.930999999999997</v>
      </c>
      <c r="P62" s="287">
        <f t="shared" si="20"/>
        <v>143.29999999999995</v>
      </c>
      <c r="Q62" s="366"/>
      <c r="R62" s="57">
        <f t="shared" ref="R62:Y62" si="21">R32+R35</f>
        <v>48.896333333333324</v>
      </c>
      <c r="S62" s="57">
        <f t="shared" si="21"/>
        <v>266.94559229230151</v>
      </c>
      <c r="T62" s="57">
        <f t="shared" si="21"/>
        <v>725.69651631863303</v>
      </c>
      <c r="U62" s="57">
        <f t="shared" si="21"/>
        <v>901.69056750302104</v>
      </c>
      <c r="V62" s="348">
        <f t="shared" si="21"/>
        <v>1032.096181399173</v>
      </c>
      <c r="W62" s="57">
        <f t="shared" si="21"/>
        <v>793.52916380461215</v>
      </c>
      <c r="X62" s="57">
        <f t="shared" si="21"/>
        <v>676.63121497334828</v>
      </c>
      <c r="Y62" s="57">
        <f t="shared" si="21"/>
        <v>555.89718346809525</v>
      </c>
    </row>
    <row r="63" spans="1:25" s="58" customFormat="1" ht="13.5" thickBot="1">
      <c r="A63" s="109"/>
      <c r="B63" s="150"/>
      <c r="C63" s="150"/>
      <c r="D63" s="151"/>
      <c r="E63" s="151"/>
      <c r="F63" s="151"/>
      <c r="G63" s="151"/>
      <c r="H63" s="150"/>
      <c r="I63" s="151"/>
      <c r="J63" s="312"/>
      <c r="K63" s="312"/>
      <c r="L63" s="312"/>
      <c r="M63" s="313"/>
      <c r="N63" s="407"/>
      <c r="O63" s="621"/>
      <c r="P63" s="621"/>
      <c r="Q63" s="369"/>
      <c r="R63" s="152"/>
      <c r="S63" s="152"/>
      <c r="T63" s="152"/>
      <c r="U63" s="152"/>
      <c r="V63" s="354"/>
      <c r="W63" s="354"/>
      <c r="X63" s="354"/>
      <c r="Y63" s="354"/>
    </row>
    <row r="64" spans="1:25" s="314" customFormat="1">
      <c r="A64" s="200" t="s">
        <v>392</v>
      </c>
      <c r="B64" s="616"/>
      <c r="C64" s="616"/>
      <c r="D64" s="616"/>
      <c r="E64" s="616"/>
      <c r="F64" s="616"/>
      <c r="G64" s="616"/>
      <c r="H64" s="616"/>
      <c r="I64" s="616"/>
      <c r="J64" s="617"/>
      <c r="K64" s="617"/>
      <c r="L64" s="617"/>
      <c r="M64" s="617"/>
      <c r="N64" s="617"/>
      <c r="O64" s="617"/>
      <c r="P64" s="617"/>
      <c r="Q64" s="401"/>
      <c r="R64" s="402"/>
      <c r="S64" s="402"/>
      <c r="T64" s="402"/>
      <c r="U64" s="402"/>
      <c r="V64" s="402"/>
      <c r="W64" s="402"/>
      <c r="X64" s="402"/>
      <c r="Y64" s="402"/>
    </row>
  </sheetData>
  <phoneticPr fontId="97"/>
  <pageMargins left="0.7" right="0.7" top="0.75" bottom="0.75" header="0.3" footer="0.3"/>
  <pageSetup scale="41" orientation="portrait"/>
  <headerFooter alignWithMargins="0"/>
  <ignoredErrors>
    <ignoredError sqref="H23 M71:M73 N65:P66 N71:P73 M65:M66"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K34"/>
  <sheetViews>
    <sheetView zoomScaleNormal="100" workbookViewId="0">
      <selection activeCell="F29" sqref="F29"/>
    </sheetView>
  </sheetViews>
  <sheetFormatPr defaultColWidth="10.5546875" defaultRowHeight="13.15"/>
  <cols>
    <col min="1" max="16384" width="10.5546875" style="911"/>
  </cols>
  <sheetData>
    <row r="1" spans="2:11">
      <c r="B1" s="910" t="s">
        <v>317</v>
      </c>
      <c r="J1" s="912"/>
    </row>
    <row r="2" spans="2:11">
      <c r="B2" s="913" t="s">
        <v>245</v>
      </c>
      <c r="J2" s="912"/>
    </row>
    <row r="3" spans="2:11">
      <c r="J3" s="914"/>
    </row>
    <row r="5" spans="2:11">
      <c r="B5" s="915"/>
      <c r="C5" s="916"/>
      <c r="D5" s="917"/>
      <c r="E5" s="915"/>
      <c r="F5" s="916"/>
      <c r="G5" s="917"/>
      <c r="H5" s="915"/>
      <c r="I5" s="915"/>
      <c r="J5" s="915"/>
      <c r="K5" s="917"/>
    </row>
    <row r="6" spans="2:11">
      <c r="B6" s="918" t="s">
        <v>28</v>
      </c>
      <c r="C6" s="919"/>
      <c r="D6" s="919"/>
      <c r="E6" s="916"/>
      <c r="F6" s="916"/>
      <c r="G6" s="917"/>
      <c r="H6" s="915"/>
      <c r="I6" s="915"/>
      <c r="J6" s="915"/>
      <c r="K6" s="917"/>
    </row>
    <row r="7" spans="2:11">
      <c r="B7" s="920"/>
      <c r="C7" s="921">
        <v>44196</v>
      </c>
      <c r="D7" s="922" t="s">
        <v>240</v>
      </c>
      <c r="E7" s="922" t="s">
        <v>241</v>
      </c>
      <c r="F7" s="922" t="s">
        <v>242</v>
      </c>
      <c r="G7" s="922" t="s">
        <v>32</v>
      </c>
      <c r="H7" s="922" t="s">
        <v>243</v>
      </c>
      <c r="I7" s="922" t="s">
        <v>281</v>
      </c>
      <c r="J7" s="923" t="s">
        <v>282</v>
      </c>
      <c r="K7" s="917"/>
    </row>
    <row r="8" spans="2:11">
      <c r="B8" s="924"/>
      <c r="C8" s="925">
        <f>'Income Statement'!AC51</f>
        <v>10.247330065213372</v>
      </c>
      <c r="D8" s="926">
        <v>0.15</v>
      </c>
      <c r="E8" s="927">
        <v>41913</v>
      </c>
      <c r="F8" s="925">
        <f>C8/((1+D8)^(DAYS360(E8,C7)/360))</f>
        <v>4.2780831638692405</v>
      </c>
      <c r="G8" s="928">
        <v>35</v>
      </c>
      <c r="H8" s="929">
        <v>2</v>
      </c>
      <c r="I8" s="930">
        <v>0.02</v>
      </c>
      <c r="J8" s="931">
        <v>0.03</v>
      </c>
      <c r="K8" s="917"/>
    </row>
    <row r="9" spans="2:11">
      <c r="B9" s="915"/>
      <c r="C9" s="915"/>
      <c r="D9" s="915"/>
      <c r="E9" s="915"/>
      <c r="F9" s="915"/>
      <c r="G9" s="915"/>
      <c r="H9" s="915"/>
      <c r="I9" s="915"/>
      <c r="J9" s="915"/>
      <c r="K9" s="917"/>
    </row>
    <row r="10" spans="2:11">
      <c r="B10" s="932" t="s">
        <v>283</v>
      </c>
      <c r="C10" s="917"/>
      <c r="D10" s="917"/>
      <c r="E10" s="917"/>
      <c r="F10" s="917"/>
      <c r="G10" s="917"/>
      <c r="H10" s="917"/>
      <c r="I10" s="917"/>
      <c r="J10" s="917"/>
      <c r="K10" s="917"/>
    </row>
    <row r="11" spans="2:11">
      <c r="B11" s="933"/>
      <c r="C11" s="921" t="s">
        <v>1</v>
      </c>
      <c r="D11" s="934" t="s">
        <v>284</v>
      </c>
      <c r="E11" s="934"/>
      <c r="F11" s="934"/>
      <c r="G11" s="934"/>
      <c r="H11" s="934"/>
      <c r="I11" s="934"/>
      <c r="J11" s="935"/>
      <c r="K11" s="917"/>
    </row>
    <row r="12" spans="2:11">
      <c r="B12" s="936"/>
      <c r="C12" s="916" t="s">
        <v>2</v>
      </c>
      <c r="D12" s="937">
        <f>E12-$H$8</f>
        <v>29</v>
      </c>
      <c r="E12" s="937">
        <f>F12-$H$8</f>
        <v>31</v>
      </c>
      <c r="F12" s="937">
        <f>G12-$H$8</f>
        <v>33</v>
      </c>
      <c r="G12" s="937">
        <f>G8</f>
        <v>35</v>
      </c>
      <c r="H12" s="937">
        <f>G12+$H$8</f>
        <v>37</v>
      </c>
      <c r="I12" s="937">
        <f>H12+$H$8</f>
        <v>39</v>
      </c>
      <c r="J12" s="938">
        <f>I12+$H$8</f>
        <v>41</v>
      </c>
      <c r="K12" s="917"/>
    </row>
    <row r="13" spans="2:11">
      <c r="B13" s="936"/>
      <c r="C13" s="916"/>
      <c r="D13" s="939"/>
      <c r="E13" s="939"/>
      <c r="F13" s="939"/>
      <c r="G13" s="939"/>
      <c r="H13" s="939"/>
      <c r="I13" s="939"/>
      <c r="J13" s="940"/>
      <c r="K13" s="917"/>
    </row>
    <row r="14" spans="2:11">
      <c r="B14" s="936"/>
      <c r="C14" s="941">
        <f>C15-$I$8</f>
        <v>0.09</v>
      </c>
      <c r="D14" s="942">
        <f t="shared" ref="D14:J20" si="0">($C$8/((1+$C14)^((DAYS360($E$8,$C$7))/360)))*D$12</f>
        <v>173.4175757339388</v>
      </c>
      <c r="E14" s="943">
        <f t="shared" si="0"/>
        <v>185.37740854317596</v>
      </c>
      <c r="F14" s="943">
        <f t="shared" si="0"/>
        <v>197.33724135241314</v>
      </c>
      <c r="G14" s="943">
        <f t="shared" si="0"/>
        <v>209.2970741616503</v>
      </c>
      <c r="H14" s="943">
        <f t="shared" si="0"/>
        <v>221.25690697088746</v>
      </c>
      <c r="I14" s="943">
        <f t="shared" si="0"/>
        <v>233.21673978012461</v>
      </c>
      <c r="J14" s="944">
        <f t="shared" si="0"/>
        <v>245.17657258936177</v>
      </c>
      <c r="K14" s="917"/>
    </row>
    <row r="15" spans="2:11">
      <c r="B15" s="936"/>
      <c r="C15" s="941">
        <f>C16-$I$8</f>
        <v>0.11</v>
      </c>
      <c r="D15" s="945">
        <f t="shared" si="0"/>
        <v>154.78900390398465</v>
      </c>
      <c r="E15" s="945">
        <f t="shared" si="0"/>
        <v>165.46410762150083</v>
      </c>
      <c r="F15" s="945">
        <f t="shared" si="0"/>
        <v>176.13921133901704</v>
      </c>
      <c r="G15" s="945">
        <f t="shared" si="0"/>
        <v>186.81431505653322</v>
      </c>
      <c r="H15" s="945">
        <f t="shared" si="0"/>
        <v>197.4894187740494</v>
      </c>
      <c r="I15" s="945">
        <f t="shared" si="0"/>
        <v>208.16452249156558</v>
      </c>
      <c r="J15" s="946">
        <f t="shared" si="0"/>
        <v>218.83962620908176</v>
      </c>
      <c r="K15" s="917"/>
    </row>
    <row r="16" spans="2:11">
      <c r="B16" s="936"/>
      <c r="C16" s="941">
        <f>C17-$I$8</f>
        <v>0.13</v>
      </c>
      <c r="D16" s="945">
        <f t="shared" si="0"/>
        <v>138.44218694058139</v>
      </c>
      <c r="E16" s="945">
        <f t="shared" si="0"/>
        <v>147.98992397096632</v>
      </c>
      <c r="F16" s="945">
        <f t="shared" si="0"/>
        <v>157.53766100135127</v>
      </c>
      <c r="G16" s="945">
        <f t="shared" si="0"/>
        <v>167.08539803173619</v>
      </c>
      <c r="H16" s="945">
        <f t="shared" si="0"/>
        <v>176.63313506212111</v>
      </c>
      <c r="I16" s="945">
        <f t="shared" si="0"/>
        <v>186.18087209250604</v>
      </c>
      <c r="J16" s="946">
        <f t="shared" si="0"/>
        <v>195.72860912289096</v>
      </c>
      <c r="K16" s="917"/>
    </row>
    <row r="17" spans="2:11">
      <c r="B17" s="936"/>
      <c r="C17" s="947">
        <f>+D8</f>
        <v>0.15</v>
      </c>
      <c r="D17" s="948">
        <f t="shared" si="0"/>
        <v>124.06441175220797</v>
      </c>
      <c r="E17" s="948">
        <f t="shared" si="0"/>
        <v>132.62057807994645</v>
      </c>
      <c r="F17" s="948">
        <f t="shared" si="0"/>
        <v>141.17674440768494</v>
      </c>
      <c r="G17" s="949">
        <f t="shared" si="0"/>
        <v>149.73291073542342</v>
      </c>
      <c r="H17" s="948">
        <f t="shared" si="0"/>
        <v>158.2890770631619</v>
      </c>
      <c r="I17" s="948">
        <f t="shared" si="0"/>
        <v>166.84524339090038</v>
      </c>
      <c r="J17" s="950">
        <f t="shared" si="0"/>
        <v>175.40140971863886</v>
      </c>
      <c r="K17" s="917"/>
    </row>
    <row r="18" spans="2:11">
      <c r="B18" s="936"/>
      <c r="C18" s="941">
        <f>C17+$I$8</f>
        <v>0.16999999999999998</v>
      </c>
      <c r="D18" s="945">
        <f t="shared" si="0"/>
        <v>111.3902264872457</v>
      </c>
      <c r="E18" s="945">
        <f t="shared" si="0"/>
        <v>119.07231107257299</v>
      </c>
      <c r="F18" s="945">
        <f t="shared" si="0"/>
        <v>126.75439565790028</v>
      </c>
      <c r="G18" s="945">
        <f t="shared" si="0"/>
        <v>134.43648024322758</v>
      </c>
      <c r="H18" s="945">
        <f t="shared" si="0"/>
        <v>142.11856482855487</v>
      </c>
      <c r="I18" s="945">
        <f t="shared" si="0"/>
        <v>149.80064941388216</v>
      </c>
      <c r="J18" s="946">
        <f t="shared" si="0"/>
        <v>157.48273399920944</v>
      </c>
      <c r="K18" s="917"/>
    </row>
    <row r="19" spans="2:11">
      <c r="B19" s="936"/>
      <c r="C19" s="941">
        <f>C18+$I$8</f>
        <v>0.18999999999999997</v>
      </c>
      <c r="D19" s="945">
        <f t="shared" si="0"/>
        <v>100.19365373587266</v>
      </c>
      <c r="E19" s="945">
        <f t="shared" si="0"/>
        <v>107.10356089007077</v>
      </c>
      <c r="F19" s="945">
        <f t="shared" si="0"/>
        <v>114.01346804426889</v>
      </c>
      <c r="G19" s="945">
        <f t="shared" si="0"/>
        <v>120.923375198467</v>
      </c>
      <c r="H19" s="945">
        <f t="shared" si="0"/>
        <v>127.83328235266511</v>
      </c>
      <c r="I19" s="945">
        <f t="shared" si="0"/>
        <v>134.74318950686322</v>
      </c>
      <c r="J19" s="946">
        <f t="shared" si="0"/>
        <v>141.65309666106134</v>
      </c>
      <c r="K19" s="917"/>
    </row>
    <row r="20" spans="2:11">
      <c r="B20" s="951"/>
      <c r="C20" s="952">
        <f>C19+$I$8</f>
        <v>0.20999999999999996</v>
      </c>
      <c r="D20" s="953">
        <f t="shared" si="0"/>
        <v>90.281789429962345</v>
      </c>
      <c r="E20" s="953">
        <f t="shared" si="0"/>
        <v>96.508119735476996</v>
      </c>
      <c r="F20" s="953">
        <f t="shared" si="0"/>
        <v>102.73445004099163</v>
      </c>
      <c r="G20" s="953">
        <f t="shared" si="0"/>
        <v>108.96078034650628</v>
      </c>
      <c r="H20" s="953">
        <f t="shared" si="0"/>
        <v>115.18711065202092</v>
      </c>
      <c r="I20" s="953">
        <f t="shared" si="0"/>
        <v>121.41344095753557</v>
      </c>
      <c r="J20" s="954">
        <f t="shared" si="0"/>
        <v>127.63977126305022</v>
      </c>
      <c r="K20" s="917"/>
    </row>
    <row r="21" spans="2:11">
      <c r="B21" s="917"/>
      <c r="C21" s="917"/>
      <c r="D21" s="917"/>
      <c r="E21" s="917"/>
      <c r="F21" s="917"/>
      <c r="G21" s="917"/>
      <c r="H21" s="917"/>
      <c r="I21" s="917"/>
      <c r="J21" s="917"/>
      <c r="K21" s="917"/>
    </row>
    <row r="22" spans="2:11">
      <c r="B22" s="932" t="s">
        <v>244</v>
      </c>
      <c r="C22" s="917"/>
      <c r="D22" s="917"/>
      <c r="E22" s="917"/>
      <c r="F22" s="917"/>
      <c r="G22" s="917"/>
      <c r="H22" s="917"/>
      <c r="I22" s="917"/>
      <c r="J22" s="917"/>
      <c r="K22" s="917"/>
    </row>
    <row r="23" spans="2:11">
      <c r="B23" s="955" t="s">
        <v>302</v>
      </c>
      <c r="C23" s="921" t="s">
        <v>285</v>
      </c>
      <c r="D23" s="934" t="str">
        <f>+D11</f>
        <v>P/E Multiples</v>
      </c>
      <c r="E23" s="934"/>
      <c r="F23" s="934"/>
      <c r="G23" s="934"/>
      <c r="H23" s="934"/>
      <c r="I23" s="934"/>
      <c r="J23" s="935"/>
      <c r="K23" s="917"/>
    </row>
    <row r="24" spans="2:11">
      <c r="B24" s="956" t="s">
        <v>286</v>
      </c>
      <c r="C24" s="916" t="s">
        <v>302</v>
      </c>
      <c r="D24" s="937">
        <f>+D12</f>
        <v>29</v>
      </c>
      <c r="E24" s="937">
        <f t="shared" ref="E24:J24" si="1">+E12</f>
        <v>31</v>
      </c>
      <c r="F24" s="937">
        <f t="shared" si="1"/>
        <v>33</v>
      </c>
      <c r="G24" s="937">
        <f t="shared" si="1"/>
        <v>35</v>
      </c>
      <c r="H24" s="937">
        <f t="shared" si="1"/>
        <v>37</v>
      </c>
      <c r="I24" s="937">
        <f t="shared" si="1"/>
        <v>39</v>
      </c>
      <c r="J24" s="938">
        <f t="shared" si="1"/>
        <v>41</v>
      </c>
      <c r="K24" s="917"/>
    </row>
    <row r="25" spans="2:11">
      <c r="B25" s="936"/>
      <c r="C25" s="917"/>
      <c r="D25" s="957">
        <f t="shared" ref="D25:J25" si="2">+D24</f>
        <v>29</v>
      </c>
      <c r="E25" s="957">
        <f t="shared" si="2"/>
        <v>31</v>
      </c>
      <c r="F25" s="957">
        <f t="shared" si="2"/>
        <v>33</v>
      </c>
      <c r="G25" s="957">
        <f t="shared" si="2"/>
        <v>35</v>
      </c>
      <c r="H25" s="957">
        <f t="shared" si="2"/>
        <v>37</v>
      </c>
      <c r="I25" s="957">
        <f t="shared" si="2"/>
        <v>39</v>
      </c>
      <c r="J25" s="958">
        <f t="shared" si="2"/>
        <v>41</v>
      </c>
      <c r="K25" s="917"/>
    </row>
    <row r="26" spans="2:11">
      <c r="B26" s="959">
        <f>+B27-$J$8</f>
        <v>-0.09</v>
      </c>
      <c r="C26" s="960">
        <f t="shared" ref="C26:C32" si="3">+$C$8*(1+B26)</f>
        <v>9.3250703593441688</v>
      </c>
      <c r="D26" s="943">
        <f t="shared" ref="D26:J32" si="4">(($C26/((1+$D$8)^((DAYS360($E$8,$C$7))/360)))*D$25)</f>
        <v>112.89861469450925</v>
      </c>
      <c r="E26" s="943">
        <f t="shared" si="4"/>
        <v>120.68472605275127</v>
      </c>
      <c r="F26" s="943">
        <f t="shared" si="4"/>
        <v>128.47083741099328</v>
      </c>
      <c r="G26" s="943">
        <f t="shared" si="4"/>
        <v>136.25694876923529</v>
      </c>
      <c r="H26" s="943">
        <f t="shared" si="4"/>
        <v>144.04306012747733</v>
      </c>
      <c r="I26" s="943">
        <f t="shared" si="4"/>
        <v>151.82917148571934</v>
      </c>
      <c r="J26" s="944">
        <f t="shared" si="4"/>
        <v>159.61528284396135</v>
      </c>
      <c r="K26" s="917"/>
    </row>
    <row r="27" spans="2:11">
      <c r="B27" s="959">
        <f>+B28-$J$8</f>
        <v>-0.06</v>
      </c>
      <c r="C27" s="948">
        <f t="shared" si="3"/>
        <v>9.6324902613005694</v>
      </c>
      <c r="D27" s="945">
        <f t="shared" si="4"/>
        <v>116.62054704707549</v>
      </c>
      <c r="E27" s="945">
        <f t="shared" si="4"/>
        <v>124.66334339514965</v>
      </c>
      <c r="F27" s="945">
        <f t="shared" si="4"/>
        <v>132.70613974322382</v>
      </c>
      <c r="G27" s="945">
        <f t="shared" si="4"/>
        <v>140.74893609129799</v>
      </c>
      <c r="H27" s="945">
        <f t="shared" si="4"/>
        <v>148.79173243937217</v>
      </c>
      <c r="I27" s="945">
        <f t="shared" si="4"/>
        <v>156.83452878744635</v>
      </c>
      <c r="J27" s="946">
        <f t="shared" si="4"/>
        <v>164.87732513552052</v>
      </c>
      <c r="K27" s="961"/>
    </row>
    <row r="28" spans="2:11">
      <c r="B28" s="959">
        <f>+B29-$J$8</f>
        <v>-0.03</v>
      </c>
      <c r="C28" s="948">
        <f t="shared" si="3"/>
        <v>9.9399101632569717</v>
      </c>
      <c r="D28" s="945">
        <f t="shared" si="4"/>
        <v>120.34247939964175</v>
      </c>
      <c r="E28" s="945">
        <f t="shared" si="4"/>
        <v>128.64196073754806</v>
      </c>
      <c r="F28" s="945">
        <f t="shared" si="4"/>
        <v>136.9414420754544</v>
      </c>
      <c r="G28" s="945">
        <f t="shared" si="4"/>
        <v>145.24092341336072</v>
      </c>
      <c r="H28" s="945">
        <f t="shared" si="4"/>
        <v>153.54040475126706</v>
      </c>
      <c r="I28" s="945">
        <f t="shared" si="4"/>
        <v>161.83988608917338</v>
      </c>
      <c r="J28" s="946">
        <f t="shared" si="4"/>
        <v>170.13936742707969</v>
      </c>
      <c r="K28" s="961"/>
    </row>
    <row r="29" spans="2:11">
      <c r="B29" s="962">
        <v>0</v>
      </c>
      <c r="C29" s="963">
        <f t="shared" si="3"/>
        <v>10.247330065213372</v>
      </c>
      <c r="D29" s="948">
        <f t="shared" si="4"/>
        <v>124.06441175220797</v>
      </c>
      <c r="E29" s="948">
        <f t="shared" si="4"/>
        <v>132.62057807994645</v>
      </c>
      <c r="F29" s="948">
        <f t="shared" si="4"/>
        <v>141.17674440768494</v>
      </c>
      <c r="G29" s="964">
        <f t="shared" si="4"/>
        <v>149.73291073542342</v>
      </c>
      <c r="H29" s="948">
        <f t="shared" si="4"/>
        <v>158.2890770631619</v>
      </c>
      <c r="I29" s="948">
        <f t="shared" si="4"/>
        <v>166.84524339090038</v>
      </c>
      <c r="J29" s="950">
        <f t="shared" si="4"/>
        <v>175.40140971863886</v>
      </c>
      <c r="K29" s="917"/>
    </row>
    <row r="30" spans="2:11">
      <c r="B30" s="959">
        <f>+B29+$J$8</f>
        <v>0.03</v>
      </c>
      <c r="C30" s="948">
        <f t="shared" si="3"/>
        <v>10.554749967169773</v>
      </c>
      <c r="D30" s="945">
        <f t="shared" si="4"/>
        <v>127.7863441047742</v>
      </c>
      <c r="E30" s="945">
        <f t="shared" si="4"/>
        <v>136.59919542234485</v>
      </c>
      <c r="F30" s="945">
        <f t="shared" si="4"/>
        <v>145.41204673991547</v>
      </c>
      <c r="G30" s="945">
        <f t="shared" si="4"/>
        <v>154.22489805748612</v>
      </c>
      <c r="H30" s="945">
        <f t="shared" si="4"/>
        <v>163.03774937505673</v>
      </c>
      <c r="I30" s="945">
        <f t="shared" si="4"/>
        <v>171.85060069262738</v>
      </c>
      <c r="J30" s="946">
        <f t="shared" si="4"/>
        <v>180.66345201019803</v>
      </c>
      <c r="K30" s="961"/>
    </row>
    <row r="31" spans="2:11">
      <c r="B31" s="959">
        <f>+B30+$J$8</f>
        <v>0.06</v>
      </c>
      <c r="C31" s="948">
        <f t="shared" si="3"/>
        <v>10.862169869126175</v>
      </c>
      <c r="D31" s="945">
        <f t="shared" si="4"/>
        <v>131.50827645734043</v>
      </c>
      <c r="E31" s="945">
        <f t="shared" si="4"/>
        <v>140.57781276474321</v>
      </c>
      <c r="F31" s="945">
        <f t="shared" si="4"/>
        <v>149.64734907214603</v>
      </c>
      <c r="G31" s="945">
        <f t="shared" si="4"/>
        <v>158.71688537954881</v>
      </c>
      <c r="H31" s="945">
        <f t="shared" si="4"/>
        <v>167.7864216869516</v>
      </c>
      <c r="I31" s="945">
        <f t="shared" si="4"/>
        <v>176.85595799435438</v>
      </c>
      <c r="J31" s="946">
        <f t="shared" si="4"/>
        <v>185.92549430175717</v>
      </c>
      <c r="K31" s="961"/>
    </row>
    <row r="32" spans="2:11">
      <c r="B32" s="965">
        <f>+B31+$J$8</f>
        <v>0.09</v>
      </c>
      <c r="C32" s="966">
        <f t="shared" si="3"/>
        <v>11.169589771082576</v>
      </c>
      <c r="D32" s="953">
        <f t="shared" si="4"/>
        <v>135.23020880990666</v>
      </c>
      <c r="E32" s="953">
        <f t="shared" si="4"/>
        <v>144.55643010714161</v>
      </c>
      <c r="F32" s="953">
        <f t="shared" si="4"/>
        <v>153.88265140437656</v>
      </c>
      <c r="G32" s="953">
        <f t="shared" si="4"/>
        <v>163.20887270161151</v>
      </c>
      <c r="H32" s="953">
        <f t="shared" si="4"/>
        <v>172.53509399884643</v>
      </c>
      <c r="I32" s="953">
        <f t="shared" si="4"/>
        <v>181.86131529608139</v>
      </c>
      <c r="J32" s="954">
        <f t="shared" si="4"/>
        <v>191.18753659331634</v>
      </c>
      <c r="K32" s="961"/>
    </row>
    <row r="33" spans="2:11">
      <c r="B33" s="967"/>
      <c r="C33" s="967"/>
      <c r="D33" s="967"/>
      <c r="E33" s="967"/>
      <c r="F33" s="967"/>
      <c r="G33" s="967"/>
      <c r="H33" s="967"/>
      <c r="I33" s="967"/>
      <c r="J33" s="967"/>
      <c r="K33" s="967"/>
    </row>
    <row r="34" spans="2:11">
      <c r="B34" s="967"/>
      <c r="C34" s="967"/>
      <c r="D34" s="967"/>
      <c r="E34" s="967"/>
      <c r="F34" s="967"/>
      <c r="G34" s="967"/>
      <c r="H34" s="967"/>
      <c r="I34" s="967"/>
      <c r="J34" s="967"/>
      <c r="K34" s="967"/>
    </row>
  </sheetData>
  <phoneticPr fontId="97"/>
  <pageMargins left="0.75" right="0.75" top="1" bottom="1" header="0.5" footer="0.5"/>
  <pageSetup orientation="landscape"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4"/>
  <sheetViews>
    <sheetView showGridLines="0" zoomScaleNormal="100" zoomScaleSheetLayoutView="90" workbookViewId="0">
      <selection activeCell="K43" sqref="K43"/>
    </sheetView>
  </sheetViews>
  <sheetFormatPr defaultColWidth="8.5546875" defaultRowHeight="13.15"/>
  <cols>
    <col min="1" max="1" width="8.5546875" style="822"/>
    <col min="2" max="2" width="16.83203125" style="822" customWidth="1"/>
    <col min="3" max="3" width="12.44140625" style="822" customWidth="1"/>
    <col min="4" max="16384" width="8.5546875" style="822"/>
  </cols>
  <sheetData>
    <row r="1" spans="1:17">
      <c r="A1" s="819"/>
      <c r="B1" s="820" t="s">
        <v>317</v>
      </c>
      <c r="C1" s="819"/>
      <c r="D1" s="819"/>
      <c r="E1" s="819"/>
      <c r="F1" s="819"/>
      <c r="G1" s="819"/>
      <c r="H1" s="819"/>
      <c r="I1" s="819"/>
      <c r="J1" s="819"/>
      <c r="K1" s="821"/>
      <c r="L1" s="819"/>
      <c r="M1" s="819"/>
    </row>
    <row r="2" spans="1:17">
      <c r="A2" s="819"/>
      <c r="B2" s="823" t="s">
        <v>305</v>
      </c>
      <c r="C2" s="819"/>
      <c r="D2" s="819"/>
      <c r="E2" s="819"/>
      <c r="F2" s="819"/>
      <c r="G2" s="819"/>
      <c r="H2" s="819"/>
      <c r="I2" s="819"/>
      <c r="J2" s="819"/>
      <c r="K2" s="821"/>
      <c r="L2" s="819"/>
      <c r="M2" s="819"/>
    </row>
    <row r="3" spans="1:17">
      <c r="A3" s="819"/>
      <c r="B3" s="819"/>
      <c r="C3" s="819"/>
      <c r="D3" s="819"/>
      <c r="E3" s="819"/>
      <c r="F3" s="819"/>
      <c r="G3" s="819"/>
      <c r="H3" s="819"/>
      <c r="I3" s="819"/>
      <c r="J3" s="819"/>
      <c r="K3" s="824"/>
      <c r="L3" s="819"/>
      <c r="M3" s="819"/>
    </row>
    <row r="4" spans="1:17">
      <c r="A4" s="819"/>
      <c r="B4" s="819"/>
      <c r="C4" s="819"/>
      <c r="D4" s="819"/>
      <c r="E4" s="819"/>
      <c r="F4" s="819"/>
      <c r="G4" s="819"/>
      <c r="H4" s="819"/>
      <c r="I4" s="819"/>
      <c r="J4" s="819"/>
      <c r="K4" s="819"/>
      <c r="L4" s="819"/>
      <c r="M4" s="819"/>
    </row>
    <row r="5" spans="1:17">
      <c r="A5" s="819"/>
      <c r="B5" s="819"/>
      <c r="C5" s="819"/>
      <c r="D5" s="819"/>
      <c r="E5" s="819"/>
      <c r="F5" s="819"/>
      <c r="G5" s="819"/>
      <c r="H5" s="819"/>
      <c r="I5" s="819"/>
      <c r="J5" s="819"/>
      <c r="K5" s="819"/>
      <c r="L5" s="819"/>
      <c r="M5" s="819"/>
    </row>
    <row r="6" spans="1:17">
      <c r="A6" s="819"/>
      <c r="B6" s="819"/>
      <c r="C6" s="819"/>
      <c r="D6" s="819"/>
      <c r="E6" s="819"/>
      <c r="F6" s="819"/>
      <c r="G6" s="819"/>
      <c r="H6" s="819"/>
      <c r="I6" s="819"/>
      <c r="J6" s="819"/>
      <c r="K6" s="819"/>
      <c r="L6" s="819"/>
      <c r="M6" s="819"/>
    </row>
    <row r="7" spans="1:17">
      <c r="A7" s="819"/>
      <c r="B7" s="825" t="s">
        <v>86</v>
      </c>
      <c r="C7" s="826"/>
      <c r="D7" s="827" t="s">
        <v>333</v>
      </c>
      <c r="E7" s="828" t="s">
        <v>41</v>
      </c>
      <c r="F7" s="828" t="s">
        <v>42</v>
      </c>
      <c r="G7" s="828" t="s">
        <v>43</v>
      </c>
      <c r="H7" s="828" t="s">
        <v>18</v>
      </c>
      <c r="I7" s="828" t="s">
        <v>19</v>
      </c>
      <c r="J7" s="828" t="s">
        <v>20</v>
      </c>
      <c r="K7" s="829" t="s">
        <v>21</v>
      </c>
      <c r="L7" s="819"/>
      <c r="M7" s="819"/>
    </row>
    <row r="8" spans="1:17">
      <c r="A8" s="819"/>
      <c r="B8" s="830" t="s">
        <v>249</v>
      </c>
      <c r="C8" s="831"/>
      <c r="D8" s="832"/>
      <c r="E8" s="833"/>
      <c r="F8" s="833"/>
      <c r="G8" s="833"/>
      <c r="H8" s="834"/>
      <c r="I8" s="819"/>
      <c r="J8" s="819"/>
      <c r="K8" s="835"/>
      <c r="L8" s="819"/>
      <c r="M8" s="819"/>
    </row>
    <row r="9" spans="1:17">
      <c r="A9" s="819"/>
      <c r="B9" s="836" t="s">
        <v>298</v>
      </c>
      <c r="C9" s="819"/>
      <c r="D9" s="837">
        <f>'Income Statement'!R33</f>
        <v>292.49900000000002</v>
      </c>
      <c r="E9" s="838">
        <f>'Income Statement'!W33</f>
        <v>563.27942678522049</v>
      </c>
      <c r="F9" s="838">
        <f>'Income Statement'!X33</f>
        <v>1216.0805225414865</v>
      </c>
      <c r="G9" s="838">
        <f>'Income Statement'!Y33</f>
        <v>1446.2624089790065</v>
      </c>
      <c r="H9" s="838">
        <f>'Income Statement'!Z33</f>
        <v>1612.902735011548</v>
      </c>
      <c r="I9" s="838">
        <f>'Income Statement'!AA33</f>
        <v>1216.8338805006852</v>
      </c>
      <c r="J9" s="838">
        <f>'Income Statement'!AB33</f>
        <v>1011.6020550572985</v>
      </c>
      <c r="K9" s="839">
        <f>'Income Statement'!AC33</f>
        <v>803.11164654484196</v>
      </c>
      <c r="L9" s="819"/>
      <c r="M9" s="819"/>
    </row>
    <row r="10" spans="1:17">
      <c r="A10" s="819"/>
      <c r="B10" s="836" t="s">
        <v>257</v>
      </c>
      <c r="C10" s="819"/>
      <c r="D10" s="837">
        <f>'Cash Flow'!R11</f>
        <v>31.167000000000002</v>
      </c>
      <c r="E10" s="838">
        <f>'Cash Flow'!S11</f>
        <v>34.283700000000003</v>
      </c>
      <c r="F10" s="838">
        <f>'Cash Flow'!T11</f>
        <v>37.712070000000004</v>
      </c>
      <c r="G10" s="838">
        <f>'Cash Flow'!U11</f>
        <v>41.483277000000008</v>
      </c>
      <c r="H10" s="838">
        <f>'Cash Flow'!V11</f>
        <v>45.631604700000011</v>
      </c>
      <c r="I10" s="838">
        <f>'Cash Flow'!W11</f>
        <v>50.194765170000018</v>
      </c>
      <c r="J10" s="838">
        <f>'Cash Flow'!X11</f>
        <v>55.214241687000026</v>
      </c>
      <c r="K10" s="839">
        <f>'Cash Flow'!Y11</f>
        <v>60.735665855700034</v>
      </c>
      <c r="L10" s="819"/>
      <c r="M10" s="819"/>
    </row>
    <row r="11" spans="1:17">
      <c r="A11" s="819"/>
      <c r="B11" s="836" t="s">
        <v>201</v>
      </c>
      <c r="C11" s="819"/>
      <c r="D11" s="840">
        <f>SUM('Cash Flow'!R24:R31)</f>
        <v>-131.43833333333333</v>
      </c>
      <c r="E11" s="841">
        <f>SUM('Cash Flow'!S24:S31)</f>
        <v>-103.34480000000002</v>
      </c>
      <c r="F11" s="841">
        <f>SUM('Cash Flow'!T24:T31)</f>
        <v>-81.798045000000002</v>
      </c>
      <c r="G11" s="841">
        <f>SUM('Cash Flow'!U24:U31)</f>
        <v>-65.209034250000002</v>
      </c>
      <c r="H11" s="841">
        <f>SUM('Cash Flow'!V24:V31)</f>
        <v>-52.381226137500008</v>
      </c>
      <c r="I11" s="841">
        <f>SUM('Cash Flow'!W24:W31)</f>
        <v>-42.412925008125008</v>
      </c>
      <c r="J11" s="841">
        <f>SUM('Cash Flow'!X24:X31)</f>
        <v>-34.62399862059376</v>
      </c>
      <c r="K11" s="842">
        <f>SUM('Cash Flow'!Y24:Y31)</f>
        <v>-28.500873343495321</v>
      </c>
      <c r="L11" s="819"/>
      <c r="M11" s="819"/>
    </row>
    <row r="12" spans="1:17">
      <c r="A12" s="819"/>
      <c r="B12" s="836" t="s">
        <v>202</v>
      </c>
      <c r="C12" s="819"/>
      <c r="D12" s="840">
        <f>'Cash Flow'!R35</f>
        <v>-55.507333333333328</v>
      </c>
      <c r="E12" s="841">
        <f>'Cash Flow'!S35</f>
        <v>-47.181233333333324</v>
      </c>
      <c r="F12" s="841">
        <f>'Cash Flow'!T35</f>
        <v>-40.104048333333324</v>
      </c>
      <c r="G12" s="841">
        <f>'Cash Flow'!U35</f>
        <v>-34.088441083333322</v>
      </c>
      <c r="H12" s="841">
        <f>'Cash Flow'!V35</f>
        <v>-28.975174920833322</v>
      </c>
      <c r="I12" s="841">
        <f>'Cash Flow'!W35</f>
        <v>-24.628898682708321</v>
      </c>
      <c r="J12" s="841">
        <f>'Cash Flow'!X35</f>
        <v>-20.934563880302072</v>
      </c>
      <c r="K12" s="843">
        <f>'Cash Flow'!Y35</f>
        <v>-17.794379298256761</v>
      </c>
      <c r="L12" s="819"/>
      <c r="M12" s="819"/>
    </row>
    <row r="13" spans="1:17">
      <c r="A13" s="819"/>
      <c r="B13" s="836" t="s">
        <v>203</v>
      </c>
      <c r="C13" s="819"/>
      <c r="D13" s="840">
        <f>-IF(D9&gt;0,0.31*D9,0)</f>
        <v>-90.674690000000012</v>
      </c>
      <c r="E13" s="841">
        <f>-IF(E9&gt;0,0.35*E9,0)</f>
        <v>-197.14779937482717</v>
      </c>
      <c r="F13" s="841">
        <f t="shared" ref="F13:K13" si="0">-IF(F9&gt;0,0.35*F9,0)</f>
        <v>-425.62818288952025</v>
      </c>
      <c r="G13" s="841">
        <f t="shared" si="0"/>
        <v>-506.19184314265226</v>
      </c>
      <c r="H13" s="841">
        <f t="shared" si="0"/>
        <v>-564.51595725404172</v>
      </c>
      <c r="I13" s="841">
        <f t="shared" si="0"/>
        <v>-425.8918581752398</v>
      </c>
      <c r="J13" s="841">
        <f t="shared" si="0"/>
        <v>-354.06071927005445</v>
      </c>
      <c r="K13" s="843">
        <f t="shared" si="0"/>
        <v>-281.08907629069466</v>
      </c>
      <c r="L13" s="819"/>
      <c r="M13" s="819"/>
      <c r="P13" s="844"/>
      <c r="Q13" s="844"/>
    </row>
    <row r="14" spans="1:17">
      <c r="A14" s="819"/>
      <c r="B14" s="830" t="s">
        <v>267</v>
      </c>
      <c r="C14" s="845"/>
      <c r="D14" s="846">
        <f>SUM(D9:D13)</f>
        <v>46.045643333333388</v>
      </c>
      <c r="E14" s="847">
        <f t="shared" ref="E14:K14" si="1">SUM(E9:E13)</f>
        <v>249.88929407705996</v>
      </c>
      <c r="F14" s="847">
        <f t="shared" si="1"/>
        <v>706.26231631863288</v>
      </c>
      <c r="G14" s="847">
        <f t="shared" si="1"/>
        <v>882.25636750302101</v>
      </c>
      <c r="H14" s="847">
        <f t="shared" si="1"/>
        <v>1012.6619813991729</v>
      </c>
      <c r="I14" s="847">
        <f t="shared" si="1"/>
        <v>774.09496380461201</v>
      </c>
      <c r="J14" s="847">
        <f t="shared" si="1"/>
        <v>657.19701497334836</v>
      </c>
      <c r="K14" s="848">
        <f t="shared" si="1"/>
        <v>536.46298346809522</v>
      </c>
      <c r="L14" s="819"/>
      <c r="M14" s="819"/>
    </row>
    <row r="15" spans="1:17">
      <c r="A15" s="819"/>
      <c r="B15" s="830" t="s">
        <v>122</v>
      </c>
      <c r="C15" s="831"/>
      <c r="D15" s="849"/>
      <c r="E15" s="850"/>
      <c r="F15" s="850"/>
      <c r="G15" s="850"/>
      <c r="H15" s="851"/>
      <c r="I15" s="819"/>
      <c r="J15" s="819"/>
      <c r="K15" s="852"/>
      <c r="L15" s="819"/>
      <c r="M15" s="819"/>
    </row>
    <row r="16" spans="1:17">
      <c r="A16" s="819"/>
      <c r="B16" s="836" t="s">
        <v>123</v>
      </c>
      <c r="C16" s="819"/>
      <c r="D16" s="853">
        <v>0</v>
      </c>
      <c r="E16" s="854">
        <v>0.25</v>
      </c>
      <c r="F16" s="854">
        <f t="shared" ref="F16:K16" si="2">1+E16</f>
        <v>1.25</v>
      </c>
      <c r="G16" s="854">
        <f t="shared" si="2"/>
        <v>2.25</v>
      </c>
      <c r="H16" s="854">
        <f t="shared" si="2"/>
        <v>3.25</v>
      </c>
      <c r="I16" s="854">
        <f t="shared" si="2"/>
        <v>4.25</v>
      </c>
      <c r="J16" s="854">
        <f t="shared" si="2"/>
        <v>5.25</v>
      </c>
      <c r="K16" s="855">
        <f t="shared" si="2"/>
        <v>6.25</v>
      </c>
      <c r="L16" s="819"/>
      <c r="M16" s="819"/>
    </row>
    <row r="17" spans="1:16">
      <c r="A17" s="819"/>
      <c r="B17" s="836" t="s">
        <v>124</v>
      </c>
      <c r="C17" s="819"/>
      <c r="D17" s="849">
        <f t="shared" ref="D17:K17" si="3">D14/(1+$C$23)^D16</f>
        <v>46.045643333333388</v>
      </c>
      <c r="E17" s="850">
        <f t="shared" si="3"/>
        <v>244.00542316787144</v>
      </c>
      <c r="F17" s="850">
        <f t="shared" si="3"/>
        <v>626.93884286690275</v>
      </c>
      <c r="G17" s="850">
        <f t="shared" si="3"/>
        <v>711.96928776139725</v>
      </c>
      <c r="H17" s="850">
        <f t="shared" si="3"/>
        <v>742.9135486077671</v>
      </c>
      <c r="I17" s="850">
        <f t="shared" si="3"/>
        <v>516.26814644139654</v>
      </c>
      <c r="J17" s="850">
        <f t="shared" si="3"/>
        <v>398.45931598921413</v>
      </c>
      <c r="K17" s="856">
        <f t="shared" si="3"/>
        <v>295.68921090912272</v>
      </c>
      <c r="L17" s="819"/>
      <c r="M17" s="819"/>
    </row>
    <row r="18" spans="1:16">
      <c r="A18" s="819"/>
      <c r="B18" s="857" t="s">
        <v>125</v>
      </c>
      <c r="C18" s="858"/>
      <c r="D18" s="859">
        <f>SUM(E17:K17)</f>
        <v>3536.2437757436719</v>
      </c>
      <c r="E18" s="860"/>
      <c r="F18" s="860"/>
      <c r="G18" s="860"/>
      <c r="H18" s="860"/>
      <c r="I18" s="858"/>
      <c r="J18" s="858"/>
      <c r="K18" s="861"/>
      <c r="L18" s="819"/>
      <c r="M18" s="819"/>
    </row>
    <row r="19" spans="1:16">
      <c r="A19" s="819"/>
      <c r="B19" s="819"/>
      <c r="C19" s="819"/>
      <c r="D19" s="819"/>
      <c r="E19" s="819"/>
      <c r="F19" s="819"/>
      <c r="G19" s="819"/>
      <c r="H19" s="819"/>
      <c r="I19" s="819"/>
      <c r="J19" s="819"/>
      <c r="K19" s="819"/>
      <c r="L19" s="819"/>
      <c r="M19" s="819"/>
    </row>
    <row r="20" spans="1:16">
      <c r="A20" s="819"/>
      <c r="B20" s="862" t="s">
        <v>250</v>
      </c>
      <c r="C20" s="819"/>
      <c r="D20" s="850"/>
      <c r="E20" s="850"/>
      <c r="F20" s="819"/>
      <c r="G20" s="819"/>
      <c r="H20" s="819"/>
      <c r="I20" s="819"/>
      <c r="J20" s="819"/>
      <c r="K20" s="819"/>
      <c r="L20" s="819"/>
      <c r="M20" s="819"/>
    </row>
    <row r="21" spans="1:16">
      <c r="A21" s="819"/>
      <c r="B21" s="862" t="s">
        <v>131</v>
      </c>
      <c r="C21" s="850"/>
      <c r="D21" s="819"/>
      <c r="E21" s="863" t="s">
        <v>6</v>
      </c>
      <c r="F21" s="864"/>
      <c r="G21" s="865"/>
      <c r="H21" s="819"/>
      <c r="I21" s="866" t="s">
        <v>360</v>
      </c>
      <c r="J21" s="867"/>
      <c r="K21" s="868"/>
      <c r="L21" s="819"/>
      <c r="M21" s="819"/>
    </row>
    <row r="22" spans="1:16">
      <c r="A22" s="819"/>
      <c r="B22" s="869" t="s">
        <v>249</v>
      </c>
      <c r="C22" s="870">
        <f>K14</f>
        <v>536.46298346809522</v>
      </c>
      <c r="D22" s="819"/>
      <c r="E22" s="871" t="s">
        <v>251</v>
      </c>
      <c r="F22" s="872"/>
      <c r="G22" s="873">
        <f>C26+D18</f>
        <v>7306.2812148349867</v>
      </c>
      <c r="H22" s="819"/>
      <c r="I22" s="874"/>
      <c r="J22" s="875" t="s">
        <v>29</v>
      </c>
      <c r="K22" s="876" t="s">
        <v>30</v>
      </c>
      <c r="L22" s="819"/>
      <c r="M22" s="819"/>
    </row>
    <row r="23" spans="1:16">
      <c r="A23" s="819"/>
      <c r="B23" s="830" t="s">
        <v>240</v>
      </c>
      <c r="C23" s="877">
        <v>0.1</v>
      </c>
      <c r="D23" s="819"/>
      <c r="E23" s="878" t="s">
        <v>359</v>
      </c>
      <c r="F23" s="864"/>
      <c r="G23" s="879">
        <f>'Balance Sheet'!T9+'Balance Sheet'!T10+'Balance Sheet'!T17-'Balance Sheet'!T30-'Balance Sheet'!T32</f>
        <v>709.39599999999996</v>
      </c>
      <c r="H23" s="819"/>
      <c r="I23" s="880" t="s">
        <v>31</v>
      </c>
      <c r="J23" s="881">
        <v>0.5</v>
      </c>
      <c r="K23" s="882">
        <f>G26</f>
        <v>150.52349610972331</v>
      </c>
      <c r="L23" s="819"/>
      <c r="M23" s="819"/>
    </row>
    <row r="24" spans="1:16">
      <c r="A24" s="819"/>
      <c r="B24" s="830" t="s">
        <v>132</v>
      </c>
      <c r="C24" s="877">
        <v>0.02</v>
      </c>
      <c r="D24" s="819"/>
      <c r="E24" s="878" t="s">
        <v>252</v>
      </c>
      <c r="F24" s="864"/>
      <c r="G24" s="879">
        <f>G22+G23</f>
        <v>8015.6772148349864</v>
      </c>
      <c r="H24" s="819"/>
      <c r="I24" s="883" t="s">
        <v>32</v>
      </c>
      <c r="J24" s="881">
        <v>0.5</v>
      </c>
      <c r="K24" s="884">
        <f>'PE Multiple'!G17</f>
        <v>149.73291073542342</v>
      </c>
      <c r="L24" s="819"/>
      <c r="M24" s="819"/>
      <c r="P24" s="885"/>
    </row>
    <row r="25" spans="1:16">
      <c r="A25" s="819"/>
      <c r="B25" s="836" t="s">
        <v>129</v>
      </c>
      <c r="C25" s="886">
        <f>C22*(1+C24)/(C23-C24)</f>
        <v>6839.903039218214</v>
      </c>
      <c r="D25" s="819"/>
      <c r="E25" s="878" t="s">
        <v>256</v>
      </c>
      <c r="F25" s="887"/>
      <c r="G25" s="879">
        <f>'Income Statement'!T54</f>
        <v>53.252000000000002</v>
      </c>
      <c r="H25" s="819"/>
      <c r="I25" s="888"/>
      <c r="J25" s="889"/>
      <c r="K25" s="890"/>
      <c r="L25" s="819"/>
      <c r="M25" s="819"/>
      <c r="P25" s="885"/>
    </row>
    <row r="26" spans="1:16">
      <c r="A26" s="819"/>
      <c r="B26" s="891" t="s">
        <v>130</v>
      </c>
      <c r="C26" s="892">
        <f>C25/(1+C23)^K16</f>
        <v>3770.0374390913148</v>
      </c>
      <c r="D26" s="819"/>
      <c r="E26" s="893" t="s">
        <v>5</v>
      </c>
      <c r="F26" s="894"/>
      <c r="G26" s="895">
        <f>G24/G25</f>
        <v>150.52349610972331</v>
      </c>
      <c r="H26" s="819"/>
      <c r="I26" s="896" t="s">
        <v>33</v>
      </c>
      <c r="J26" s="867"/>
      <c r="K26" s="897">
        <f>J23*K23+J24*K24</f>
        <v>150.12820342257336</v>
      </c>
      <c r="L26" s="819"/>
      <c r="M26" s="819"/>
      <c r="P26" s="885"/>
    </row>
    <row r="27" spans="1:16">
      <c r="A27" s="819"/>
      <c r="B27" s="831"/>
      <c r="C27" s="898"/>
      <c r="D27" s="819"/>
      <c r="E27" s="863"/>
      <c r="F27" s="864"/>
      <c r="G27" s="899"/>
      <c r="H27" s="819"/>
      <c r="I27" s="896" t="s">
        <v>373</v>
      </c>
      <c r="J27" s="867"/>
      <c r="K27" s="897">
        <v>130.49</v>
      </c>
      <c r="L27" s="819"/>
      <c r="M27" s="819"/>
      <c r="P27" s="885"/>
    </row>
    <row r="28" spans="1:16">
      <c r="A28" s="819"/>
      <c r="B28" s="819"/>
      <c r="C28" s="819"/>
      <c r="D28" s="850"/>
      <c r="E28" s="900"/>
      <c r="F28" s="819"/>
      <c r="G28" s="819"/>
      <c r="H28" s="819"/>
      <c r="I28" s="883" t="s">
        <v>346</v>
      </c>
      <c r="J28" s="867"/>
      <c r="K28" s="901">
        <f>K26/K27-1</f>
        <v>0.15049584966337148</v>
      </c>
      <c r="L28" s="819"/>
      <c r="M28" s="819"/>
    </row>
    <row r="29" spans="1:16">
      <c r="A29" s="819"/>
      <c r="B29" s="819"/>
      <c r="C29" s="819"/>
      <c r="D29" s="850"/>
      <c r="E29" s="900"/>
      <c r="F29" s="819"/>
      <c r="G29" s="819"/>
      <c r="H29" s="819"/>
      <c r="I29" s="902" t="s">
        <v>39</v>
      </c>
      <c r="J29" s="903"/>
      <c r="K29" s="904" t="str">
        <f>IF(K28&lt;-10%,"SELL",IF(K28&lt;10%,"HOLD","BUY"))</f>
        <v>BUY</v>
      </c>
      <c r="L29" s="819"/>
      <c r="M29" s="819"/>
    </row>
    <row r="30" spans="1:16">
      <c r="A30" s="819"/>
      <c r="B30" s="819"/>
      <c r="C30" s="819"/>
      <c r="D30" s="850"/>
      <c r="E30" s="900"/>
      <c r="F30" s="819"/>
      <c r="G30" s="819"/>
      <c r="H30" s="819"/>
      <c r="I30" s="819"/>
      <c r="J30" s="819"/>
      <c r="K30" s="819"/>
      <c r="L30" s="819"/>
      <c r="M30" s="819"/>
    </row>
    <row r="31" spans="1:16">
      <c r="A31" s="819"/>
      <c r="B31" s="819"/>
      <c r="C31" s="819"/>
      <c r="D31" s="850"/>
      <c r="E31" s="850"/>
      <c r="F31" s="850"/>
      <c r="G31" s="850"/>
      <c r="H31" s="819"/>
      <c r="I31" s="819"/>
      <c r="J31" s="819"/>
      <c r="K31" s="819"/>
      <c r="L31" s="819"/>
      <c r="M31" s="819"/>
    </row>
    <row r="32" spans="1:16">
      <c r="A32" s="819"/>
      <c r="B32" s="819"/>
      <c r="C32" s="819"/>
      <c r="D32" s="850"/>
      <c r="E32" s="900"/>
      <c r="F32" s="850"/>
      <c r="G32" s="850"/>
      <c r="H32" s="819"/>
      <c r="I32" s="819"/>
      <c r="J32" s="819"/>
      <c r="K32" s="819"/>
      <c r="L32" s="819"/>
      <c r="M32" s="819"/>
    </row>
    <row r="33" spans="1:13" s="909" customFormat="1">
      <c r="A33" s="905"/>
      <c r="B33" s="906" t="s">
        <v>394</v>
      </c>
      <c r="C33" s="905"/>
      <c r="D33" s="907"/>
      <c r="E33" s="908"/>
      <c r="F33" s="907"/>
      <c r="G33" s="907"/>
      <c r="H33" s="905"/>
      <c r="I33" s="905"/>
      <c r="J33" s="905"/>
      <c r="K33" s="905"/>
      <c r="L33" s="905"/>
      <c r="M33" s="905"/>
    </row>
    <row r="34" spans="1:13">
      <c r="A34" s="819"/>
      <c r="B34" s="819"/>
      <c r="C34" s="819"/>
      <c r="D34" s="819"/>
      <c r="E34" s="819"/>
      <c r="F34" s="819"/>
      <c r="G34" s="819"/>
      <c r="H34" s="819"/>
      <c r="I34" s="819"/>
      <c r="J34" s="819"/>
      <c r="K34" s="819"/>
      <c r="L34" s="819"/>
      <c r="M34" s="819"/>
    </row>
  </sheetData>
  <phoneticPr fontId="97" type="noConversion"/>
  <pageMargins left="0.7" right="0.7" top="0.75" bottom="0.75" header="0.3" footer="0.3"/>
  <pageSetup scale="89"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J19"/>
  <sheetViews>
    <sheetView workbookViewId="0">
      <selection activeCell="E23" sqref="E23"/>
    </sheetView>
  </sheetViews>
  <sheetFormatPr defaultColWidth="10.5546875" defaultRowHeight="13.15"/>
  <cols>
    <col min="1" max="1" width="10.5546875" style="1020"/>
    <col min="2" max="2" width="28" style="1020" customWidth="1"/>
    <col min="3" max="3" width="15" style="1020" customWidth="1"/>
    <col min="4" max="4" width="17.71875" style="1020" customWidth="1"/>
    <col min="5" max="5" width="26.5546875" style="1020" customWidth="1"/>
    <col min="6" max="6" width="13" style="1020" customWidth="1"/>
    <col min="7" max="16384" width="10.5546875" style="1020"/>
  </cols>
  <sheetData>
    <row r="1" spans="2:10" s="1020" customFormat="1">
      <c r="B1" s="975" t="s">
        <v>34</v>
      </c>
      <c r="C1" s="975"/>
      <c r="D1" s="974"/>
      <c r="E1" s="980"/>
      <c r="G1" s="12"/>
      <c r="H1" s="12"/>
      <c r="I1" s="12"/>
      <c r="J1" s="12"/>
    </row>
    <row r="2" spans="2:10" s="1020" customFormat="1">
      <c r="B2" s="13"/>
      <c r="C2" s="12"/>
      <c r="D2" s="12"/>
      <c r="E2" s="980"/>
      <c r="G2" s="12"/>
      <c r="H2" s="12"/>
      <c r="I2" s="12"/>
      <c r="J2" s="12"/>
    </row>
    <row r="3" spans="2:10" s="1020" customFormat="1">
      <c r="B3" s="412"/>
      <c r="C3" s="413"/>
      <c r="D3" s="413"/>
      <c r="E3" s="1021"/>
      <c r="G3" s="12"/>
      <c r="H3" s="12"/>
      <c r="I3" s="12"/>
      <c r="J3" s="12"/>
    </row>
    <row r="4" spans="2:10" s="1020" customFormat="1">
      <c r="B4" s="1022"/>
      <c r="C4" s="1022"/>
      <c r="D4" s="1022"/>
      <c r="E4" s="1022"/>
    </row>
    <row r="5" spans="2:10" s="1020" customFormat="1">
      <c r="B5" s="1022"/>
      <c r="C5" s="1022"/>
      <c r="D5" s="1022"/>
      <c r="E5" s="1022"/>
    </row>
    <row r="6" spans="2:10" s="1020" customFormat="1">
      <c r="B6" s="1023" t="s">
        <v>287</v>
      </c>
      <c r="C6" s="1024" t="s">
        <v>361</v>
      </c>
      <c r="D6" s="1024" t="s">
        <v>111</v>
      </c>
      <c r="E6" s="1025" t="s">
        <v>288</v>
      </c>
    </row>
    <row r="7" spans="2:10" s="1020" customFormat="1">
      <c r="B7" s="1026" t="s">
        <v>53</v>
      </c>
      <c r="C7" s="1027" t="s">
        <v>272</v>
      </c>
      <c r="D7" s="1027" t="s">
        <v>271</v>
      </c>
      <c r="E7" s="1028" t="s">
        <v>362</v>
      </c>
    </row>
    <row r="8" spans="2:10" s="1020" customFormat="1">
      <c r="B8" s="1026" t="s">
        <v>54</v>
      </c>
      <c r="C8" s="1027" t="s">
        <v>363</v>
      </c>
      <c r="D8" s="1027" t="s">
        <v>24</v>
      </c>
      <c r="E8" s="1028" t="s">
        <v>362</v>
      </c>
    </row>
    <row r="9" spans="2:10" s="1020" customFormat="1">
      <c r="B9" s="1026" t="s">
        <v>55</v>
      </c>
      <c r="C9" s="1027" t="s">
        <v>364</v>
      </c>
      <c r="D9" s="1027" t="s">
        <v>24</v>
      </c>
      <c r="E9" s="1028" t="s">
        <v>362</v>
      </c>
    </row>
    <row r="10" spans="2:10" s="1020" customFormat="1">
      <c r="B10" s="1026" t="s">
        <v>374</v>
      </c>
      <c r="C10" s="1027" t="s">
        <v>364</v>
      </c>
      <c r="D10" s="1027" t="s">
        <v>24</v>
      </c>
      <c r="E10" s="1028" t="s">
        <v>362</v>
      </c>
    </row>
    <row r="11" spans="2:10" s="1020" customFormat="1">
      <c r="B11" s="1026" t="s">
        <v>375</v>
      </c>
      <c r="C11" s="1027" t="s">
        <v>365</v>
      </c>
      <c r="D11" s="1027" t="s">
        <v>289</v>
      </c>
      <c r="E11" s="1028" t="s">
        <v>362</v>
      </c>
    </row>
    <row r="12" spans="2:10" s="1020" customFormat="1">
      <c r="B12" s="1026" t="s">
        <v>206</v>
      </c>
      <c r="C12" s="1027" t="s">
        <v>207</v>
      </c>
      <c r="D12" s="1027" t="s">
        <v>289</v>
      </c>
      <c r="E12" s="1028" t="s">
        <v>208</v>
      </c>
    </row>
    <row r="13" spans="2:10" s="1020" customFormat="1">
      <c r="B13" s="1029" t="s">
        <v>53</v>
      </c>
      <c r="C13" s="1030" t="s">
        <v>184</v>
      </c>
      <c r="D13" s="1030" t="s">
        <v>289</v>
      </c>
      <c r="E13" s="1031" t="s">
        <v>362</v>
      </c>
    </row>
    <row r="14" spans="2:10" s="1020" customFormat="1">
      <c r="B14" s="1032" t="s">
        <v>209</v>
      </c>
      <c r="C14" s="1033" t="s">
        <v>364</v>
      </c>
      <c r="D14" s="1033" t="s">
        <v>290</v>
      </c>
      <c r="E14" s="1034" t="s">
        <v>362</v>
      </c>
    </row>
    <row r="15" spans="2:10" s="1020" customFormat="1">
      <c r="B15" s="1032" t="s">
        <v>210</v>
      </c>
      <c r="C15" s="1033" t="s">
        <v>207</v>
      </c>
      <c r="D15" s="1033" t="s">
        <v>234</v>
      </c>
      <c r="E15" s="1034" t="s">
        <v>183</v>
      </c>
    </row>
    <row r="16" spans="2:10" s="1020" customFormat="1">
      <c r="B16" s="1032" t="s">
        <v>236</v>
      </c>
      <c r="C16" s="1033" t="s">
        <v>207</v>
      </c>
      <c r="D16" s="1033" t="s">
        <v>235</v>
      </c>
      <c r="E16" s="1034" t="s">
        <v>362</v>
      </c>
    </row>
    <row r="17" spans="2:5" s="1020" customFormat="1">
      <c r="B17" s="1032" t="s">
        <v>237</v>
      </c>
      <c r="C17" s="1033" t="s">
        <v>364</v>
      </c>
      <c r="D17" s="1033" t="s">
        <v>235</v>
      </c>
      <c r="E17" s="1034" t="s">
        <v>238</v>
      </c>
    </row>
    <row r="18" spans="2:5" s="1020" customFormat="1">
      <c r="B18" s="1035" t="s">
        <v>336</v>
      </c>
      <c r="C18" s="1036" t="s">
        <v>57</v>
      </c>
      <c r="D18" s="1036" t="s">
        <v>235</v>
      </c>
      <c r="E18" s="1037" t="s">
        <v>239</v>
      </c>
    </row>
    <row r="19" spans="2:5" s="14" customFormat="1">
      <c r="B19" s="200" t="s">
        <v>392</v>
      </c>
    </row>
  </sheetData>
  <mergeCells count="1">
    <mergeCell ref="B1:C1"/>
  </mergeCells>
  <phoneticPr fontId="97"/>
  <pageMargins left="0.75" right="0.75" top="1" bottom="1" header="0.5" footer="0.5"/>
  <pageSetup orientation="landscape"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J13"/>
  <sheetViews>
    <sheetView workbookViewId="0">
      <selection activeCell="E22" sqref="E22"/>
    </sheetView>
  </sheetViews>
  <sheetFormatPr defaultColWidth="10.5546875" defaultRowHeight="13.15"/>
  <cols>
    <col min="1" max="1" width="10.5546875" style="1020"/>
    <col min="2" max="2" width="9.44140625" style="1020" customWidth="1"/>
    <col min="3" max="3" width="16.5546875" style="1020" customWidth="1"/>
    <col min="4" max="4" width="8.27734375" style="1020" customWidth="1"/>
    <col min="5" max="5" width="39.5546875" style="1020" customWidth="1"/>
    <col min="6" max="16384" width="10.5546875" style="1020"/>
  </cols>
  <sheetData>
    <row r="1" spans="2:10" s="1020" customFormat="1">
      <c r="B1" s="975" t="s">
        <v>353</v>
      </c>
      <c r="C1" s="975"/>
      <c r="D1" s="12"/>
      <c r="E1" s="980"/>
      <c r="F1" s="12"/>
      <c r="G1" s="12"/>
      <c r="H1" s="12"/>
      <c r="I1" s="12"/>
      <c r="J1" s="12"/>
    </row>
    <row r="2" spans="2:10" s="1020" customFormat="1">
      <c r="B2" s="412"/>
      <c r="C2" s="413"/>
      <c r="D2" s="413"/>
      <c r="E2" s="1038"/>
      <c r="F2" s="413"/>
      <c r="G2" s="12"/>
      <c r="H2" s="12"/>
      <c r="I2" s="12"/>
      <c r="J2" s="12"/>
    </row>
    <row r="3" spans="2:10" s="1020" customFormat="1">
      <c r="B3" s="412"/>
      <c r="C3" s="413"/>
      <c r="D3" s="413"/>
      <c r="E3" s="1021"/>
      <c r="F3" s="413"/>
      <c r="G3" s="12"/>
      <c r="H3" s="12"/>
      <c r="I3" s="12"/>
      <c r="J3" s="12"/>
    </row>
    <row r="4" spans="2:10" s="1020" customFormat="1">
      <c r="B4" s="1022"/>
      <c r="C4" s="1022"/>
      <c r="D4" s="1022"/>
      <c r="E4" s="1022"/>
      <c r="F4" s="1022"/>
    </row>
    <row r="5" spans="2:10" s="1020" customFormat="1">
      <c r="B5" s="1022"/>
      <c r="C5" s="1022"/>
      <c r="D5" s="1022"/>
      <c r="E5" s="1022"/>
      <c r="F5" s="1022"/>
    </row>
    <row r="6" spans="2:10" s="1020" customFormat="1">
      <c r="B6" s="1039" t="s">
        <v>291</v>
      </c>
      <c r="C6" s="1040" t="s">
        <v>287</v>
      </c>
      <c r="D6" s="1040" t="s">
        <v>288</v>
      </c>
      <c r="E6" s="1041" t="s">
        <v>292</v>
      </c>
      <c r="F6" s="1022"/>
    </row>
    <row r="7" spans="2:10" s="1020" customFormat="1">
      <c r="B7" s="1042">
        <v>2015</v>
      </c>
      <c r="C7" s="1030" t="s">
        <v>106</v>
      </c>
      <c r="D7" s="1030" t="s">
        <v>362</v>
      </c>
      <c r="E7" s="1031" t="s">
        <v>27</v>
      </c>
      <c r="F7" s="1022"/>
    </row>
    <row r="8" spans="2:10" s="1020" customFormat="1">
      <c r="B8" s="1042">
        <v>2016</v>
      </c>
      <c r="C8" s="1030" t="s">
        <v>127</v>
      </c>
      <c r="D8" s="1030" t="s">
        <v>362</v>
      </c>
      <c r="E8" s="1031" t="s">
        <v>128</v>
      </c>
      <c r="F8" s="1022"/>
    </row>
    <row r="9" spans="2:10" s="1020" customFormat="1">
      <c r="B9" s="1042">
        <v>2017</v>
      </c>
      <c r="C9" s="1030" t="s">
        <v>55</v>
      </c>
      <c r="D9" s="1030" t="s">
        <v>362</v>
      </c>
      <c r="E9" s="1031" t="s">
        <v>26</v>
      </c>
      <c r="F9" s="1022"/>
    </row>
    <row r="10" spans="2:10" s="1020" customFormat="1">
      <c r="B10" s="1043">
        <v>2018</v>
      </c>
      <c r="C10" s="1044" t="s">
        <v>54</v>
      </c>
      <c r="D10" s="1044" t="s">
        <v>362</v>
      </c>
      <c r="E10" s="1045" t="s">
        <v>25</v>
      </c>
      <c r="F10" s="1022"/>
    </row>
    <row r="11" spans="2:10" s="1020" customFormat="1">
      <c r="B11" s="414" t="s">
        <v>392</v>
      </c>
      <c r="C11" s="1022"/>
      <c r="D11" s="415"/>
      <c r="E11" s="415"/>
      <c r="F11" s="1022"/>
    </row>
    <row r="12" spans="2:10" s="1020" customFormat="1">
      <c r="B12" s="1022"/>
      <c r="C12" s="1022"/>
      <c r="D12" s="1022"/>
      <c r="E12" s="1022"/>
      <c r="F12" s="1022"/>
    </row>
    <row r="13" spans="2:10" s="1020" customFormat="1">
      <c r="B13" s="1022"/>
      <c r="C13" s="1022"/>
      <c r="D13" s="1022"/>
      <c r="E13" s="1022"/>
      <c r="F13" s="1022"/>
    </row>
  </sheetData>
  <mergeCells count="1">
    <mergeCell ref="B1:C1"/>
  </mergeCells>
  <phoneticPr fontId="97"/>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Income Statement</vt:lpstr>
      <vt:lpstr>Revenue</vt:lpstr>
      <vt:lpstr>Vs Consensus</vt:lpstr>
      <vt:lpstr>Balance Sheet</vt:lpstr>
      <vt:lpstr>Cash Flow</vt:lpstr>
      <vt:lpstr>PE Multiple</vt:lpstr>
      <vt:lpstr>DCF</vt:lpstr>
      <vt:lpstr>Pipeline</vt:lpstr>
      <vt:lpstr>Catalysts</vt:lpstr>
      <vt:lpstr>Oral Treprostinil</vt:lpstr>
      <vt:lpstr>Cover</vt:lpstr>
      <vt:lpstr>'Balance Sheet'!Print_Area</vt:lpstr>
      <vt:lpstr>Catalysts!Print_Area</vt:lpstr>
      <vt:lpstr>DCF!Print_Area</vt:lpstr>
      <vt:lpstr>'Income Statement'!Print_Area</vt:lpstr>
      <vt:lpstr>'Oral Treprostinil'!Print_Area</vt:lpstr>
      <vt:lpstr>'PE Multiple'!Print_Area</vt:lpstr>
      <vt:lpstr>Pipeline!Print_Area</vt:lpstr>
      <vt:lpstr>Revenue!Print_Area</vt:lpstr>
      <vt:lpstr>'Vs Consensus'!Print_Area</vt:lpstr>
    </vt:vector>
  </TitlesOfParts>
  <Company>US Bancorp Piper Jaffray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Montesano</dc:creator>
  <cp:lastModifiedBy>Grace Montesano</cp:lastModifiedBy>
  <cp:lastPrinted>2014-10-29T04:03:00Z</cp:lastPrinted>
  <dcterms:created xsi:type="dcterms:W3CDTF">2004-12-29T22:17:40Z</dcterms:created>
  <dcterms:modified xsi:type="dcterms:W3CDTF">2019-02-01T15:47:51Z</dcterms:modified>
</cp:coreProperties>
</file>