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warkentin/coding/cs471/"/>
    </mc:Choice>
  </mc:AlternateContent>
  <xr:revisionPtr revIDLastSave="0" documentId="8_{CA1789C5-E060-044F-9E7F-B2927989B9AA}" xr6:coauthVersionLast="47" xr6:coauthVersionMax="47" xr10:uidLastSave="{00000000-0000-0000-0000-000000000000}"/>
  <bookViews>
    <workbookView xWindow="4900" yWindow="500" windowWidth="15300" windowHeight="16360" xr2:uid="{A7516F93-CAAB-0E49-8CB0-7A5CDBFC1A30}"/>
  </bookViews>
  <sheets>
    <sheet name="Units" sheetId="2" r:id="rId1"/>
    <sheet name="Bit transmit time" sheetId="1" r:id="rId2"/>
    <sheet name="Probabily of active at same" sheetId="3" r:id="rId3"/>
    <sheet name="DNS and HTTP delays" sheetId="6" r:id="rId4"/>
    <sheet name="Browser cache" sheetId="7" r:id="rId5"/>
    <sheet name="Client server vs peer to peer" sheetId="5" r:id="rId6"/>
    <sheet name="TCP RTT and Timeout vals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B2" i="7"/>
  <c r="D2" i="7"/>
  <c r="C3" i="5"/>
  <c r="F16" i="9"/>
  <c r="F15" i="9"/>
  <c r="F14" i="9"/>
  <c r="G14" i="9" s="1"/>
  <c r="D15" i="9" s="1"/>
  <c r="E8" i="9"/>
  <c r="C4" i="5"/>
  <c r="C17" i="5" s="1"/>
  <c r="C11" i="5"/>
  <c r="D11" i="5" s="1"/>
  <c r="C14" i="6"/>
  <c r="B29" i="6"/>
  <c r="B21" i="6"/>
  <c r="C22" i="6" s="1"/>
  <c r="B10" i="7"/>
  <c r="D6" i="6"/>
  <c r="D8" i="6" s="1"/>
  <c r="D13" i="6" s="1"/>
  <c r="C30" i="6"/>
  <c r="D13" i="3"/>
  <c r="D8" i="3"/>
  <c r="E8" i="3" s="1"/>
  <c r="I17" i="1"/>
  <c r="I19" i="1" s="1"/>
  <c r="I14" i="1"/>
  <c r="C16" i="5"/>
  <c r="C15" i="5"/>
  <c r="D5" i="3"/>
  <c r="E5" i="3" s="1"/>
  <c r="D2" i="3"/>
  <c r="D4" i="1"/>
  <c r="E4" i="1" s="1"/>
  <c r="D3" i="1"/>
  <c r="E3" i="1" s="1"/>
  <c r="E5" i="1" s="1"/>
  <c r="D13" i="2"/>
  <c r="D12" i="2"/>
  <c r="D11" i="2"/>
  <c r="D10" i="2"/>
  <c r="D9" i="2"/>
  <c r="D8" i="2"/>
  <c r="D7" i="2"/>
  <c r="D6" i="2"/>
  <c r="D5" i="2"/>
  <c r="D4" i="2"/>
  <c r="D3" i="2"/>
  <c r="D2" i="2"/>
  <c r="E20" i="9" l="1"/>
  <c r="C20" i="9"/>
  <c r="C18" i="5"/>
  <c r="C10" i="5"/>
  <c r="D10" i="5" s="1"/>
  <c r="D12" i="5" s="1"/>
  <c r="C29" i="6"/>
  <c r="D28" i="6"/>
  <c r="D30" i="6"/>
  <c r="D33" i="6"/>
  <c r="D20" i="6"/>
  <c r="C21" i="6"/>
  <c r="D22" i="6" s="1"/>
  <c r="D14" i="6"/>
  <c r="G20" i="9" l="1"/>
  <c r="E9" i="9"/>
  <c r="G9" i="9" s="1"/>
  <c r="E16" i="9" s="1"/>
  <c r="E15" i="9"/>
  <c r="G15" i="9" s="1"/>
  <c r="D16" i="6"/>
  <c r="D24" i="6"/>
  <c r="D16" i="9" l="1"/>
  <c r="E21" i="9"/>
  <c r="G16" i="9"/>
  <c r="C21" i="9"/>
  <c r="G21" i="9" s="1"/>
  <c r="E10" i="9"/>
  <c r="G10" i="9" s="1"/>
  <c r="E22" i="9" l="1"/>
  <c r="C22" i="9"/>
  <c r="G22" i="9" s="1"/>
</calcChain>
</file>

<file path=xl/sharedStrings.xml><?xml version="1.0" encoding="utf-8"?>
<sst xmlns="http://schemas.openxmlformats.org/spreadsheetml/2006/main" count="161" uniqueCount="138">
  <si>
    <t>2^10</t>
  </si>
  <si>
    <t>Unit</t>
  </si>
  <si>
    <t>Mb</t>
  </si>
  <si>
    <t>Gb</t>
  </si>
  <si>
    <t>Name</t>
  </si>
  <si>
    <t>Symbol</t>
  </si>
  <si>
    <t>kibibyte</t>
  </si>
  <si>
    <t>KiB</t>
  </si>
  <si>
    <t>kilobyte</t>
  </si>
  <si>
    <t>KB</t>
  </si>
  <si>
    <t>mebibyte</t>
  </si>
  <si>
    <t>MiB</t>
  </si>
  <si>
    <t>megabyte</t>
  </si>
  <si>
    <t>MB</t>
  </si>
  <si>
    <t>gibibyte</t>
  </si>
  <si>
    <t>GiB</t>
  </si>
  <si>
    <t>gigabyte</t>
  </si>
  <si>
    <t>GB</t>
  </si>
  <si>
    <t>tebibyte</t>
  </si>
  <si>
    <t>TiB</t>
  </si>
  <si>
    <t>terabyte</t>
  </si>
  <si>
    <t>TB</t>
  </si>
  <si>
    <t>pebibyte</t>
  </si>
  <si>
    <t>PiB</t>
  </si>
  <si>
    <t>petabyte</t>
  </si>
  <si>
    <t>PB</t>
  </si>
  <si>
    <t>exbibyte</t>
  </si>
  <si>
    <t>EiB</t>
  </si>
  <si>
    <t>exabyte</t>
  </si>
  <si>
    <t>EB</t>
  </si>
  <si>
    <t>2^20</t>
  </si>
  <si>
    <t>2^30</t>
  </si>
  <si>
    <t>2^40</t>
  </si>
  <si>
    <t>2^50</t>
  </si>
  <si>
    <t>2^60</t>
  </si>
  <si>
    <t>10^3</t>
  </si>
  <si>
    <t>10^6</t>
  </si>
  <si>
    <t>10^9</t>
  </si>
  <si>
    <t>10^12</t>
  </si>
  <si>
    <t>10^15</t>
  </si>
  <si>
    <t>10^18</t>
  </si>
  <si>
    <t>Value</t>
  </si>
  <si>
    <t>Value text</t>
  </si>
  <si>
    <t>Unit Value</t>
  </si>
  <si>
    <t>Net Value</t>
  </si>
  <si>
    <t>Bits</t>
  </si>
  <si>
    <t>Bit Rate</t>
  </si>
  <si>
    <t>time to transmit</t>
  </si>
  <si>
    <t>k</t>
  </si>
  <si>
    <t>n</t>
  </si>
  <si>
    <t>p</t>
  </si>
  <si>
    <t>Packet Delay: Four Sources</t>
  </si>
  <si>
    <t>Transmission</t>
  </si>
  <si>
    <t>Nodal Processing</t>
  </si>
  <si>
    <t>Queueing</t>
  </si>
  <si>
    <t>Propagation</t>
  </si>
  <si>
    <t>dtrans = L/R</t>
  </si>
  <si>
    <t>dprop = d/s</t>
  </si>
  <si>
    <t>L = packet len (bits)</t>
  </si>
  <si>
    <t>s = Prop speed (~2x10^8 m/sec)</t>
  </si>
  <si>
    <t>d = length of link m</t>
  </si>
  <si>
    <t>dnodal = check bits</t>
  </si>
  <si>
    <t>dqueue ~= La/R</t>
  </si>
  <si>
    <t>a = average packet rate</t>
  </si>
  <si>
    <t>R = link badwidth / bitrate (bps)</t>
  </si>
  <si>
    <t>~0, small delay L/R -&gt;1 big delay, L/R &gt; 1 infinite</t>
  </si>
  <si>
    <t>cumulative</t>
  </si>
  <si>
    <t>prob that exactly "k" are transmitting at once</t>
  </si>
  <si>
    <t>N</t>
  </si>
  <si>
    <t>f</t>
  </si>
  <si>
    <t>Server Up</t>
  </si>
  <si>
    <t>Clients down</t>
  </si>
  <si>
    <t>Sum</t>
  </si>
  <si>
    <t>DP2P &gt; max{F/us,,F/dmin,,NF/(us + Sui)}</t>
  </si>
  <si>
    <t>F/us</t>
  </si>
  <si>
    <t>seconds</t>
  </si>
  <si>
    <t>F/dmin</t>
  </si>
  <si>
    <t>Peer to peer vs client-server time to transfer files</t>
  </si>
  <si>
    <t>Client-Server sent file to all</t>
  </si>
  <si>
    <t>cienlts upload</t>
  </si>
  <si>
    <r>
      <t>The 8 peers have upload rates of: u</t>
    </r>
    <r>
      <rPr>
        <sz val="11"/>
        <color rgb="FF55595C"/>
        <rFont val="Arial"/>
        <family val="2"/>
      </rPr>
      <t>1</t>
    </r>
    <r>
      <rPr>
        <sz val="14"/>
        <color rgb="FF55595C"/>
        <rFont val="Arial"/>
        <family val="2"/>
      </rPr>
      <t> = 22 Mbps, u</t>
    </r>
    <r>
      <rPr>
        <sz val="11"/>
        <color rgb="FF55595C"/>
        <rFont val="Arial"/>
        <family val="2"/>
      </rPr>
      <t>2</t>
    </r>
    <r>
      <rPr>
        <sz val="14"/>
        <color rgb="FF55595C"/>
        <rFont val="Arial"/>
        <family val="2"/>
      </rPr>
      <t> = 27 Mbps, u</t>
    </r>
    <r>
      <rPr>
        <sz val="11"/>
        <color rgb="FF55595C"/>
        <rFont val="Arial"/>
        <family val="2"/>
      </rPr>
      <t>3</t>
    </r>
    <r>
      <rPr>
        <sz val="14"/>
        <color rgb="FF55595C"/>
        <rFont val="Arial"/>
        <family val="2"/>
      </rPr>
      <t> = 11 Mbps, u</t>
    </r>
    <r>
      <rPr>
        <sz val="11"/>
        <color rgb="FF55595C"/>
        <rFont val="Arial"/>
        <family val="2"/>
      </rPr>
      <t>4</t>
    </r>
    <r>
      <rPr>
        <sz val="14"/>
        <color rgb="FF55595C"/>
        <rFont val="Arial"/>
        <family val="2"/>
      </rPr>
      <t> = 10 Mbps, u</t>
    </r>
    <r>
      <rPr>
        <sz val="11"/>
        <color rgb="FF55595C"/>
        <rFont val="Arial"/>
        <family val="2"/>
      </rPr>
      <t>5</t>
    </r>
    <r>
      <rPr>
        <sz val="14"/>
        <color rgb="FF55595C"/>
        <rFont val="Arial"/>
        <family val="2"/>
      </rPr>
      <t> = 28 Mbps, u</t>
    </r>
    <r>
      <rPr>
        <sz val="11"/>
        <color rgb="FF55595C"/>
        <rFont val="Arial"/>
        <family val="2"/>
      </rPr>
      <t>6</t>
    </r>
    <r>
      <rPr>
        <sz val="14"/>
        <color rgb="FF55595C"/>
        <rFont val="Arial"/>
        <family val="2"/>
      </rPr>
      <t> = 28 Mbps, u</t>
    </r>
    <r>
      <rPr>
        <sz val="11"/>
        <color rgb="FF55595C"/>
        <rFont val="Arial"/>
        <family val="2"/>
      </rPr>
      <t>7</t>
    </r>
    <r>
      <rPr>
        <sz val="14"/>
        <color rgb="FF55595C"/>
        <rFont val="Arial"/>
        <family val="2"/>
      </rPr>
      <t> = 18 Mbps, and u</t>
    </r>
    <r>
      <rPr>
        <sz val="11"/>
        <color rgb="FF55595C"/>
        <rFont val="Arial"/>
        <family val="2"/>
      </rPr>
      <t>8</t>
    </r>
    <r>
      <rPr>
        <sz val="14"/>
        <color rgb="FF55595C"/>
        <rFont val="Arial"/>
        <family val="2"/>
      </rPr>
      <t> = 22 Mbps</t>
    </r>
  </si>
  <si>
    <r>
      <t>The 8 peers have download rates of: d</t>
    </r>
    <r>
      <rPr>
        <sz val="11"/>
        <color rgb="FF55595C"/>
        <rFont val="Arial"/>
        <family val="2"/>
      </rPr>
      <t>1</t>
    </r>
    <r>
      <rPr>
        <sz val="14"/>
        <color rgb="FF55595C"/>
        <rFont val="Arial"/>
        <family val="2"/>
      </rPr>
      <t> = 28 Mbps, d</t>
    </r>
    <r>
      <rPr>
        <sz val="11"/>
        <color rgb="FF55595C"/>
        <rFont val="Arial"/>
        <family val="2"/>
      </rPr>
      <t>2</t>
    </r>
    <r>
      <rPr>
        <sz val="14"/>
        <color rgb="FF55595C"/>
        <rFont val="Arial"/>
        <family val="2"/>
      </rPr>
      <t> = 40 Mbps, d</t>
    </r>
    <r>
      <rPr>
        <sz val="11"/>
        <color rgb="FF55595C"/>
        <rFont val="Arial"/>
        <family val="2"/>
      </rPr>
      <t>3</t>
    </r>
    <r>
      <rPr>
        <sz val="14"/>
        <color rgb="FF55595C"/>
        <rFont val="Arial"/>
        <family val="2"/>
      </rPr>
      <t> = 15 Mbps, d</t>
    </r>
    <r>
      <rPr>
        <sz val="11"/>
        <color rgb="FF55595C"/>
        <rFont val="Arial"/>
        <family val="2"/>
      </rPr>
      <t>4</t>
    </r>
    <r>
      <rPr>
        <sz val="14"/>
        <color rgb="FF55595C"/>
        <rFont val="Arial"/>
        <family val="2"/>
      </rPr>
      <t> = 29 Mbps, d</t>
    </r>
    <r>
      <rPr>
        <sz val="11"/>
        <color rgb="FF55595C"/>
        <rFont val="Arial"/>
        <family val="2"/>
      </rPr>
      <t>5</t>
    </r>
    <r>
      <rPr>
        <sz val="14"/>
        <color rgb="FF55595C"/>
        <rFont val="Arial"/>
        <family val="2"/>
      </rPr>
      <t> = 35 Mbps, d</t>
    </r>
    <r>
      <rPr>
        <sz val="11"/>
        <color rgb="FF55595C"/>
        <rFont val="Arial"/>
        <family val="2"/>
      </rPr>
      <t>6</t>
    </r>
    <r>
      <rPr>
        <sz val="14"/>
        <color rgb="FF55595C"/>
        <rFont val="Arial"/>
        <family val="2"/>
      </rPr>
      <t> = 35 Mbps, d</t>
    </r>
    <r>
      <rPr>
        <sz val="11"/>
        <color rgb="FF55595C"/>
        <rFont val="Arial"/>
        <family val="2"/>
      </rPr>
      <t>7</t>
    </r>
    <r>
      <rPr>
        <sz val="14"/>
        <color rgb="FF55595C"/>
        <rFont val="Arial"/>
        <family val="2"/>
      </rPr>
      <t> = 11 Mbps, and d</t>
    </r>
    <r>
      <rPr>
        <sz val="11"/>
        <color rgb="FF55595C"/>
        <rFont val="Arial"/>
        <family val="2"/>
      </rPr>
      <t>8</t>
    </r>
    <r>
      <rPr>
        <sz val="14"/>
        <color rgb="FF55595C"/>
        <rFont val="Arial"/>
        <family val="2"/>
      </rPr>
      <t> = 28 Mbps</t>
    </r>
  </si>
  <si>
    <t>F = 6 Gbits</t>
  </si>
  <si>
    <t> server has an upload rate of u = 72 Mbps</t>
  </si>
  <si>
    <t>NF/u_s</t>
  </si>
  <si>
    <t>F/u_d_min</t>
  </si>
  <si>
    <t>NF/(us + Sui)</t>
  </si>
  <si>
    <t>RTT_0</t>
  </si>
  <si>
    <t>msecs</t>
  </si>
  <si>
    <t>RTT_1</t>
  </si>
  <si>
    <t>RTT_2</t>
  </si>
  <si>
    <t>RTT_3</t>
  </si>
  <si>
    <t>RTT_HTTP</t>
  </si>
  <si>
    <t>Browser delay</t>
  </si>
  <si>
    <t>2x</t>
  </si>
  <si>
    <t>msec</t>
  </si>
  <si>
    <t>first_time</t>
  </si>
  <si>
    <t>total</t>
  </si>
  <si>
    <t>Now page calls # other docs, non-peristant HTTP and no parallel</t>
  </si>
  <si>
    <t>Now page calls # other docs, non-peristant HTTP and p parallels</t>
  </si>
  <si>
    <t>parallel</t>
  </si>
  <si>
    <t>Server tansmission delay</t>
  </si>
  <si>
    <t>RTT delay</t>
  </si>
  <si>
    <t>% not changed</t>
  </si>
  <si>
    <t># of requests</t>
  </si>
  <si>
    <t>(RTT * NUM_PACKETS) + (NUM_PACKETS * (PERCENT__NOT_CACHED / 100) * TRANS_DELAY) = (10 * 70) + (70 * ((100-60) / 100) * 1) = 728</t>
  </si>
  <si>
    <t xml:space="preserve">R </t>
  </si>
  <si>
    <t>user</t>
  </si>
  <si>
    <t>24 Gigabytes data to be sent over a 300 Mbps link?</t>
  </si>
  <si>
    <t>L</t>
  </si>
  <si>
    <t>R</t>
  </si>
  <si>
    <t>prob that less than 8 are transmitting at once</t>
  </si>
  <si>
    <t>choose(19, 12) * p12(1-p)7</t>
  </si>
  <si>
    <t>Given a packet-switching with 97 users. Each user transmits 8 percent of the time. What is the probability that any 8 users (of the total 97 users) are transmitting and the remaining users are not transmitting? Round your answer to 3 digits after the decimal point.</t>
  </si>
  <si>
    <t>Now page calls # other docs, peristant HTTP and p parallels</t>
  </si>
  <si>
    <t>(RTT * NUM_PACKETS) + (NUM_PACKETS * (PERCENT__NOT_CACHED / 100) * TRANS_DELAY) = (20 * 80) + (80 * ((100-60) / 100) * 1) = 1632 ms</t>
  </si>
  <si>
    <t>minimum time with client-server model</t>
  </si>
  <si>
    <t>server upload time</t>
  </si>
  <si>
    <t>client slowest download</t>
  </si>
  <si>
    <t>Total upload time</t>
  </si>
  <si>
    <t>Minimum time to peer to peer</t>
  </si>
  <si>
    <t>Peer to Peer</t>
  </si>
  <si>
    <t>(1-beta)*DevRTT + beta * |estimatedRTT - sampleRTT|</t>
  </si>
  <si>
    <t>estimatedRTT</t>
  </si>
  <si>
    <t>DevRTT</t>
  </si>
  <si>
    <t>(1-alpha)*estimatedRTT + alpha*sampleRTT</t>
  </si>
  <si>
    <t>beta</t>
  </si>
  <si>
    <t>alpha</t>
  </si>
  <si>
    <t>devrtt</t>
  </si>
  <si>
    <t>estiamtedrtt</t>
  </si>
  <si>
    <t>samplertt</t>
  </si>
  <si>
    <t>new_devrtt</t>
  </si>
  <si>
    <t>new_esitmatedrtt</t>
  </si>
  <si>
    <t>tcp_timeout</t>
  </si>
  <si>
    <t>RTT + (4*DevRTT)</t>
  </si>
  <si>
    <t>TCP timeout</t>
  </si>
  <si>
    <t>devtrr</t>
  </si>
  <si>
    <t>COMPUTING TCP'S RTT AND TIMEOUT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</si>
</sst>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%"/>
    <numFmt numFmtId="165" formatCode="0.000000"/>
    <numFmt numFmtId="166" formatCode="0.0E+00"/>
    <numFmt numFmtId="167" formatCode="0.000000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161616"/>
      <name val="Calibri"/>
      <family val="2"/>
    </font>
    <font>
      <sz val="12"/>
      <color rgb="FF525252"/>
      <name val="Calibri"/>
      <family val="2"/>
    </font>
    <font>
      <sz val="16"/>
      <color theme="1"/>
      <name val="Arial"/>
      <family val="2"/>
    </font>
    <font>
      <sz val="14"/>
      <color rgb="FF55595C"/>
      <name val="Arial"/>
      <family val="2"/>
    </font>
    <font>
      <sz val="11"/>
      <color rgb="FF55595C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10516C"/>
      <name val="Arial"/>
      <family val="2"/>
    </font>
    <font>
      <sz val="12"/>
      <color rgb="FF000000"/>
      <name val="Calibri"/>
      <family val="2"/>
      <scheme val="minor"/>
    </font>
    <font>
      <sz val="13.5"/>
      <color rgb="FF1A1A1A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1" fontId="3" fillId="0" borderId="0" xfId="0" applyNumberFormat="1" applyFont="1"/>
    <xf numFmtId="11" fontId="4" fillId="0" borderId="0" xfId="0" applyNumberFormat="1" applyFont="1"/>
    <xf numFmtId="11" fontId="2" fillId="0" borderId="0" xfId="0" applyNumberFormat="1" applyFont="1"/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right"/>
    </xf>
    <xf numFmtId="165" fontId="0" fillId="0" borderId="0" xfId="1" applyNumberFormat="1" applyFont="1"/>
    <xf numFmtId="166" fontId="0" fillId="0" borderId="0" xfId="0" applyNumberFormat="1"/>
    <xf numFmtId="1" fontId="0" fillId="0" borderId="0" xfId="0" applyNumberFormat="1"/>
    <xf numFmtId="0" fontId="5" fillId="0" borderId="0" xfId="0" applyFont="1"/>
    <xf numFmtId="0" fontId="6" fillId="0" borderId="0" xfId="0" applyFont="1"/>
    <xf numFmtId="2" fontId="0" fillId="0" borderId="0" xfId="0" applyNumberFormat="1"/>
    <xf numFmtId="0" fontId="6" fillId="0" borderId="0" xfId="0" applyFont="1" applyAlignment="1">
      <alignment horizontal="left" indent="1"/>
    </xf>
    <xf numFmtId="0" fontId="8" fillId="0" borderId="0" xfId="0" applyFont="1"/>
    <xf numFmtId="0" fontId="9" fillId="0" borderId="0" xfId="0" applyFont="1"/>
    <xf numFmtId="11" fontId="9" fillId="0" borderId="0" xfId="0" applyNumberFormat="1" applyFont="1"/>
    <xf numFmtId="0" fontId="0" fillId="0" borderId="0" xfId="0" applyAlignment="1">
      <alignment wrapText="1"/>
    </xf>
    <xf numFmtId="0" fontId="10" fillId="0" borderId="0" xfId="0" applyFont="1"/>
    <xf numFmtId="0" fontId="11" fillId="0" borderId="0" xfId="0" applyFont="1"/>
    <xf numFmtId="0" fontId="0" fillId="2" borderId="0" xfId="0" applyFill="1"/>
    <xf numFmtId="0" fontId="12" fillId="0" borderId="0" xfId="0" applyFont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AEFCA-76CA-4748-A454-0399856A8DD2}">
  <dimension ref="A1:G13"/>
  <sheetViews>
    <sheetView tabSelected="1" zoomScaleNormal="100" workbookViewId="0">
      <selection activeCell="G8" sqref="G8"/>
    </sheetView>
  </sheetViews>
  <sheetFormatPr baseColWidth="10" defaultRowHeight="16" x14ac:dyDescent="0.2"/>
  <cols>
    <col min="1" max="2" width="10.83203125" style="1"/>
    <col min="3" max="3" width="9.6640625" style="1" bestFit="1" customWidth="1"/>
    <col min="4" max="4" width="12.1640625" style="6" bestFit="1" customWidth="1"/>
    <col min="5" max="6" width="10.83203125" style="1"/>
    <col min="7" max="7" width="25.1640625" style="1" customWidth="1"/>
    <col min="8" max="16384" width="10.83203125" style="1"/>
  </cols>
  <sheetData>
    <row r="1" spans="1:7" x14ac:dyDescent="0.2">
      <c r="A1" s="2" t="s">
        <v>4</v>
      </c>
      <c r="B1" s="2" t="s">
        <v>5</v>
      </c>
      <c r="C1" s="2" t="s">
        <v>42</v>
      </c>
      <c r="D1" s="4" t="s">
        <v>41</v>
      </c>
      <c r="E1" s="2"/>
      <c r="F1" s="2"/>
    </row>
    <row r="2" spans="1:7" x14ac:dyDescent="0.2">
      <c r="A2" s="3" t="s">
        <v>6</v>
      </c>
      <c r="B2" s="3" t="s">
        <v>7</v>
      </c>
      <c r="C2" s="3" t="s">
        <v>0</v>
      </c>
      <c r="D2" s="5">
        <f>2^10</f>
        <v>1024</v>
      </c>
      <c r="E2" s="3"/>
      <c r="F2" s="3"/>
    </row>
    <row r="3" spans="1:7" x14ac:dyDescent="0.2">
      <c r="A3" s="3" t="s">
        <v>10</v>
      </c>
      <c r="B3" s="3" t="s">
        <v>11</v>
      </c>
      <c r="C3" s="3" t="s">
        <v>30</v>
      </c>
      <c r="D3" s="5">
        <f>2^20</f>
        <v>1048576</v>
      </c>
      <c r="E3" s="3"/>
      <c r="F3" s="3"/>
    </row>
    <row r="4" spans="1:7" x14ac:dyDescent="0.2">
      <c r="A4" s="3" t="s">
        <v>14</v>
      </c>
      <c r="B4" s="3" t="s">
        <v>15</v>
      </c>
      <c r="C4" s="3" t="s">
        <v>31</v>
      </c>
      <c r="D4" s="5">
        <f>2^30</f>
        <v>1073741824</v>
      </c>
      <c r="E4" s="3"/>
      <c r="F4" s="3"/>
    </row>
    <row r="5" spans="1:7" x14ac:dyDescent="0.2">
      <c r="A5" s="3" t="s">
        <v>18</v>
      </c>
      <c r="B5" s="3" t="s">
        <v>19</v>
      </c>
      <c r="C5" s="3" t="s">
        <v>32</v>
      </c>
      <c r="D5" s="5">
        <f>2^40</f>
        <v>1099511627776</v>
      </c>
      <c r="E5" s="3"/>
      <c r="F5" s="3"/>
    </row>
    <row r="6" spans="1:7" x14ac:dyDescent="0.2">
      <c r="A6" s="3" t="s">
        <v>22</v>
      </c>
      <c r="B6" s="3" t="s">
        <v>23</v>
      </c>
      <c r="C6" s="3" t="s">
        <v>33</v>
      </c>
      <c r="D6" s="5">
        <f>2^50</f>
        <v>1125899906842624</v>
      </c>
      <c r="E6" s="3"/>
      <c r="F6" s="3"/>
    </row>
    <row r="7" spans="1:7" x14ac:dyDescent="0.2">
      <c r="A7" s="3" t="s">
        <v>26</v>
      </c>
      <c r="B7" s="3" t="s">
        <v>27</v>
      </c>
      <c r="C7" s="3" t="s">
        <v>34</v>
      </c>
      <c r="D7" s="5">
        <f>2^60</f>
        <v>1.152921504606847E+18</v>
      </c>
      <c r="E7" s="3"/>
      <c r="F7" s="3"/>
    </row>
    <row r="8" spans="1:7" x14ac:dyDescent="0.2">
      <c r="A8" s="3" t="s">
        <v>8</v>
      </c>
      <c r="B8" s="3" t="s">
        <v>9</v>
      </c>
      <c r="C8" s="3" t="s">
        <v>35</v>
      </c>
      <c r="D8" s="5">
        <f>10^3</f>
        <v>1000</v>
      </c>
    </row>
    <row r="9" spans="1:7" x14ac:dyDescent="0.2">
      <c r="A9" s="3" t="s">
        <v>12</v>
      </c>
      <c r="B9" s="3" t="s">
        <v>13</v>
      </c>
      <c r="C9" s="3" t="s">
        <v>36</v>
      </c>
      <c r="D9" s="5">
        <f>10^6</f>
        <v>1000000</v>
      </c>
      <c r="E9" s="6"/>
      <c r="G9" s="6"/>
    </row>
    <row r="10" spans="1:7" x14ac:dyDescent="0.2">
      <c r="A10" s="3" t="s">
        <v>16</v>
      </c>
      <c r="B10" s="3" t="s">
        <v>17</v>
      </c>
      <c r="C10" s="3" t="s">
        <v>37</v>
      </c>
      <c r="D10" s="5">
        <f>10^9</f>
        <v>1000000000</v>
      </c>
      <c r="G10" s="6"/>
    </row>
    <row r="11" spans="1:7" x14ac:dyDescent="0.2">
      <c r="A11" s="3" t="s">
        <v>20</v>
      </c>
      <c r="B11" s="3" t="s">
        <v>21</v>
      </c>
      <c r="C11" s="3" t="s">
        <v>38</v>
      </c>
      <c r="D11" s="5">
        <f>10^12</f>
        <v>1000000000000</v>
      </c>
    </row>
    <row r="12" spans="1:7" x14ac:dyDescent="0.2">
      <c r="A12" s="3" t="s">
        <v>24</v>
      </c>
      <c r="B12" s="3" t="s">
        <v>25</v>
      </c>
      <c r="C12" s="3" t="s">
        <v>39</v>
      </c>
      <c r="D12" s="5">
        <f>10^15</f>
        <v>1000000000000000</v>
      </c>
    </row>
    <row r="13" spans="1:7" x14ac:dyDescent="0.2">
      <c r="A13" s="3" t="s">
        <v>28</v>
      </c>
      <c r="B13" s="3" t="s">
        <v>29</v>
      </c>
      <c r="C13" s="3" t="s">
        <v>40</v>
      </c>
      <c r="D13" s="5">
        <f>10^18</f>
        <v>1E+18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385F0-BA1F-E34B-B088-803CE912188C}">
  <dimension ref="A2:K19"/>
  <sheetViews>
    <sheetView zoomScale="106" workbookViewId="0">
      <selection activeCell="I20" sqref="I20"/>
    </sheetView>
  </sheetViews>
  <sheetFormatPr baseColWidth="10" defaultRowHeight="16" x14ac:dyDescent="0.2"/>
  <cols>
    <col min="2" max="2" width="9" customWidth="1"/>
    <col min="3" max="3" width="8.5" customWidth="1"/>
    <col min="4" max="4" width="12.5" style="7" customWidth="1"/>
    <col min="5" max="5" width="12.1640625" bestFit="1" customWidth="1"/>
    <col min="6" max="6" width="15" bestFit="1" customWidth="1"/>
    <col min="7" max="7" width="10" customWidth="1"/>
    <col min="8" max="8" width="23.6640625" bestFit="1" customWidth="1"/>
    <col min="9" max="9" width="16.83203125" bestFit="1" customWidth="1"/>
    <col min="10" max="10" width="20.5" bestFit="1" customWidth="1"/>
    <col min="11" max="11" width="27.83203125" bestFit="1" customWidth="1"/>
  </cols>
  <sheetData>
    <row r="2" spans="1:11" x14ac:dyDescent="0.2">
      <c r="B2" t="s">
        <v>41</v>
      </c>
      <c r="C2" t="s">
        <v>1</v>
      </c>
      <c r="D2" s="7" t="s">
        <v>43</v>
      </c>
      <c r="E2" t="s">
        <v>44</v>
      </c>
      <c r="H2" t="s">
        <v>51</v>
      </c>
      <c r="J2" s="7"/>
    </row>
    <row r="3" spans="1:11" x14ac:dyDescent="0.2">
      <c r="A3" t="s">
        <v>45</v>
      </c>
      <c r="B3">
        <v>8</v>
      </c>
      <c r="C3" t="s">
        <v>2</v>
      </c>
      <c r="D3" s="7">
        <f>_xlfn.XLOOKUP(C3,Units!B:B,Units!D:D,0,0,1)</f>
        <v>1000000</v>
      </c>
      <c r="E3" s="7">
        <f>B3*D3</f>
        <v>8000000</v>
      </c>
      <c r="H3" s="10" t="s">
        <v>52</v>
      </c>
      <c r="I3" t="s">
        <v>56</v>
      </c>
      <c r="J3" s="7" t="s">
        <v>58</v>
      </c>
      <c r="K3" t="s">
        <v>64</v>
      </c>
    </row>
    <row r="4" spans="1:11" x14ac:dyDescent="0.2">
      <c r="A4" t="s">
        <v>46</v>
      </c>
      <c r="B4">
        <v>1.5</v>
      </c>
      <c r="C4" t="s">
        <v>3</v>
      </c>
      <c r="D4" s="7">
        <f>_xlfn.XLOOKUP(C4,Units!B:B,Units!D:D,0,0,1)</f>
        <v>1000000000</v>
      </c>
      <c r="E4" s="7">
        <f>B4*D4</f>
        <v>1500000000</v>
      </c>
      <c r="F4" s="7"/>
      <c r="H4" s="10" t="s">
        <v>55</v>
      </c>
      <c r="I4" t="s">
        <v>57</v>
      </c>
      <c r="J4" s="7" t="s">
        <v>60</v>
      </c>
      <c r="K4" t="s">
        <v>59</v>
      </c>
    </row>
    <row r="5" spans="1:11" x14ac:dyDescent="0.2">
      <c r="E5" s="7">
        <f>E3/E4</f>
        <v>5.3333333333333332E-3</v>
      </c>
      <c r="F5" t="s">
        <v>47</v>
      </c>
      <c r="H5" s="10" t="s">
        <v>53</v>
      </c>
      <c r="I5" t="s">
        <v>61</v>
      </c>
    </row>
    <row r="6" spans="1:11" x14ac:dyDescent="0.2">
      <c r="H6" s="10" t="s">
        <v>54</v>
      </c>
      <c r="I6" t="s">
        <v>62</v>
      </c>
      <c r="J6" t="s">
        <v>63</v>
      </c>
      <c r="K6" t="s">
        <v>65</v>
      </c>
    </row>
    <row r="8" spans="1:11" x14ac:dyDescent="0.2">
      <c r="J8" s="7"/>
    </row>
    <row r="9" spans="1:11" x14ac:dyDescent="0.2">
      <c r="J9" s="7"/>
    </row>
    <row r="12" spans="1:11" x14ac:dyDescent="0.2">
      <c r="H12" t="s">
        <v>106</v>
      </c>
      <c r="I12" s="7">
        <v>427000000</v>
      </c>
    </row>
    <row r="13" spans="1:11" x14ac:dyDescent="0.2">
      <c r="H13" t="s">
        <v>107</v>
      </c>
      <c r="I13" s="7">
        <v>47000000</v>
      </c>
    </row>
    <row r="14" spans="1:11" x14ac:dyDescent="0.2">
      <c r="I14" s="16">
        <f>I12/I13</f>
        <v>9.085106382978724</v>
      </c>
    </row>
    <row r="16" spans="1:11" x14ac:dyDescent="0.2">
      <c r="H16" s="18" t="s">
        <v>108</v>
      </c>
      <c r="I16" s="19"/>
    </row>
    <row r="17" spans="8:9" x14ac:dyDescent="0.2">
      <c r="H17" s="18" t="s">
        <v>109</v>
      </c>
      <c r="I17" s="20">
        <f>8*24000000000</f>
        <v>192000000000</v>
      </c>
    </row>
    <row r="18" spans="8:9" x14ac:dyDescent="0.2">
      <c r="H18" t="s">
        <v>110</v>
      </c>
      <c r="I18" s="7">
        <v>300000000</v>
      </c>
    </row>
    <row r="19" spans="8:9" x14ac:dyDescent="0.2">
      <c r="I19" s="16">
        <f>I17/I18</f>
        <v>640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259F0-600A-B241-A219-FB39F42B0F85}">
  <dimension ref="A1:G13"/>
  <sheetViews>
    <sheetView zoomScale="105" workbookViewId="0">
      <selection activeCell="E19" sqref="E19"/>
    </sheetView>
  </sheetViews>
  <sheetFormatPr baseColWidth="10" defaultRowHeight="16" x14ac:dyDescent="0.2"/>
  <cols>
    <col min="4" max="4" width="40.5" style="11" bestFit="1" customWidth="1"/>
    <col min="5" max="5" width="20.1640625" customWidth="1"/>
    <col min="7" max="7" width="48.33203125" customWidth="1"/>
  </cols>
  <sheetData>
    <row r="1" spans="1:7" x14ac:dyDescent="0.2">
      <c r="A1" t="s">
        <v>48</v>
      </c>
      <c r="B1" t="s">
        <v>49</v>
      </c>
      <c r="C1" t="s">
        <v>50</v>
      </c>
      <c r="D1" t="s">
        <v>67</v>
      </c>
    </row>
    <row r="2" spans="1:7" x14ac:dyDescent="0.2">
      <c r="A2">
        <v>8</v>
      </c>
      <c r="B2">
        <v>97</v>
      </c>
      <c r="C2">
        <v>0.08</v>
      </c>
      <c r="D2" s="11">
        <f>_xlfn.BINOM.DIST(A2,B2,C2,FALSE)</f>
        <v>0.14513264496090958</v>
      </c>
      <c r="E2" s="8"/>
    </row>
    <row r="4" spans="1:7" x14ac:dyDescent="0.2">
      <c r="D4" s="11" t="s">
        <v>111</v>
      </c>
    </row>
    <row r="5" spans="1:7" x14ac:dyDescent="0.2">
      <c r="A5">
        <v>8</v>
      </c>
      <c r="B5">
        <v>97</v>
      </c>
      <c r="C5">
        <v>0.08</v>
      </c>
      <c r="D5" s="11">
        <f>_xlfn.BINOM.DIST(A5,B5,C5,TRUE)</f>
        <v>0.62751156796224383</v>
      </c>
      <c r="E5" s="8">
        <f>1-D5</f>
        <v>0.37248843203775617</v>
      </c>
      <c r="F5" t="s">
        <v>66</v>
      </c>
    </row>
    <row r="7" spans="1:7" x14ac:dyDescent="0.2">
      <c r="D7" s="11" t="s">
        <v>111</v>
      </c>
    </row>
    <row r="8" spans="1:7" x14ac:dyDescent="0.2">
      <c r="A8">
        <v>8</v>
      </c>
      <c r="B8">
        <v>97</v>
      </c>
      <c r="C8">
        <v>0.08</v>
      </c>
      <c r="D8" s="11">
        <f>_xlfn.BINOM.DIST(A8,B8,C8,TRUE)</f>
        <v>0.62751156796224383</v>
      </c>
      <c r="E8" s="8">
        <f>1-D8</f>
        <v>0.37248843203775617</v>
      </c>
      <c r="F8" t="s">
        <v>66</v>
      </c>
    </row>
    <row r="12" spans="1:7" ht="85" x14ac:dyDescent="0.2">
      <c r="D12" s="11" t="s">
        <v>112</v>
      </c>
      <c r="G12" s="21" t="s">
        <v>113</v>
      </c>
    </row>
    <row r="13" spans="1:7" x14ac:dyDescent="0.2">
      <c r="D13" s="11">
        <f>COMBIN(B8,A8)*C8^A8*(1-C8)^(B8-A8)</f>
        <v>0.14513264496091002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7CB40-B923-AC40-9743-95762C1C19F1}">
  <dimension ref="A1:E33"/>
  <sheetViews>
    <sheetView workbookViewId="0">
      <selection activeCell="D14" sqref="D14"/>
    </sheetView>
  </sheetViews>
  <sheetFormatPr baseColWidth="10" defaultRowHeight="16" x14ac:dyDescent="0.2"/>
  <cols>
    <col min="2" max="3" width="4.5" customWidth="1"/>
    <col min="4" max="4" width="5.33203125" customWidth="1"/>
  </cols>
  <sheetData>
    <row r="1" spans="1:5" x14ac:dyDescent="0.2">
      <c r="A1" t="s">
        <v>87</v>
      </c>
      <c r="D1">
        <v>7</v>
      </c>
      <c r="E1" t="s">
        <v>88</v>
      </c>
    </row>
    <row r="2" spans="1:5" x14ac:dyDescent="0.2">
      <c r="A2" t="s">
        <v>89</v>
      </c>
      <c r="D2">
        <v>16</v>
      </c>
      <c r="E2" t="s">
        <v>88</v>
      </c>
    </row>
    <row r="3" spans="1:5" x14ac:dyDescent="0.2">
      <c r="A3" t="s">
        <v>90</v>
      </c>
      <c r="D3">
        <v>15</v>
      </c>
      <c r="E3" t="s">
        <v>88</v>
      </c>
    </row>
    <row r="4" spans="1:5" x14ac:dyDescent="0.2">
      <c r="A4" t="s">
        <v>91</v>
      </c>
      <c r="E4" t="s">
        <v>88</v>
      </c>
    </row>
    <row r="6" spans="1:5" x14ac:dyDescent="0.2">
      <c r="A6" t="s">
        <v>92</v>
      </c>
      <c r="B6" t="s">
        <v>94</v>
      </c>
      <c r="C6">
        <v>55</v>
      </c>
      <c r="D6">
        <f>C6*2</f>
        <v>110</v>
      </c>
      <c r="E6" t="s">
        <v>95</v>
      </c>
    </row>
    <row r="8" spans="1:5" x14ac:dyDescent="0.2">
      <c r="A8" t="s">
        <v>93</v>
      </c>
      <c r="D8">
        <f>SUM(D1:D6)</f>
        <v>148</v>
      </c>
    </row>
    <row r="12" spans="1:5" x14ac:dyDescent="0.2">
      <c r="A12" t="s">
        <v>98</v>
      </c>
    </row>
    <row r="13" spans="1:5" x14ac:dyDescent="0.2">
      <c r="A13" t="s">
        <v>96</v>
      </c>
      <c r="B13">
        <v>1</v>
      </c>
      <c r="D13">
        <f>D8</f>
        <v>148</v>
      </c>
    </row>
    <row r="14" spans="1:5" x14ac:dyDescent="0.2">
      <c r="A14" t="s">
        <v>49</v>
      </c>
      <c r="B14">
        <v>12</v>
      </c>
      <c r="C14">
        <f>D6/2</f>
        <v>55</v>
      </c>
      <c r="D14">
        <f>B14*C14</f>
        <v>660</v>
      </c>
    </row>
    <row r="16" spans="1:5" x14ac:dyDescent="0.2">
      <c r="A16" t="s">
        <v>97</v>
      </c>
      <c r="D16">
        <f>SUM(D13:D14)</f>
        <v>808</v>
      </c>
    </row>
    <row r="19" spans="1:4" x14ac:dyDescent="0.2">
      <c r="A19" t="s">
        <v>99</v>
      </c>
    </row>
    <row r="20" spans="1:4" x14ac:dyDescent="0.2">
      <c r="A20" t="s">
        <v>96</v>
      </c>
      <c r="B20">
        <v>1</v>
      </c>
      <c r="D20">
        <f>D8</f>
        <v>148</v>
      </c>
    </row>
    <row r="21" spans="1:4" x14ac:dyDescent="0.2">
      <c r="A21" t="s">
        <v>49</v>
      </c>
      <c r="B21">
        <f>B14</f>
        <v>12</v>
      </c>
      <c r="C21">
        <f>D6</f>
        <v>110</v>
      </c>
    </row>
    <row r="22" spans="1:4" x14ac:dyDescent="0.2">
      <c r="A22" t="s">
        <v>100</v>
      </c>
      <c r="B22">
        <v>5</v>
      </c>
      <c r="C22">
        <f>ROUNDUP(B21/B22,0)</f>
        <v>3</v>
      </c>
      <c r="D22">
        <f>C22*C21</f>
        <v>330</v>
      </c>
    </row>
    <row r="24" spans="1:4" x14ac:dyDescent="0.2">
      <c r="A24" t="s">
        <v>97</v>
      </c>
      <c r="D24">
        <f>SUM(D20:D22)</f>
        <v>478</v>
      </c>
    </row>
    <row r="27" spans="1:4" x14ac:dyDescent="0.2">
      <c r="A27" t="s">
        <v>114</v>
      </c>
    </row>
    <row r="28" spans="1:4" x14ac:dyDescent="0.2">
      <c r="A28" t="s">
        <v>96</v>
      </c>
      <c r="B28">
        <v>1</v>
      </c>
      <c r="D28">
        <f>D8</f>
        <v>148</v>
      </c>
    </row>
    <row r="29" spans="1:4" x14ac:dyDescent="0.2">
      <c r="A29" t="s">
        <v>49</v>
      </c>
      <c r="B29">
        <f>B14</f>
        <v>12</v>
      </c>
      <c r="C29">
        <f>D6</f>
        <v>110</v>
      </c>
    </row>
    <row r="30" spans="1:4" x14ac:dyDescent="0.2">
      <c r="A30" t="s">
        <v>100</v>
      </c>
      <c r="B30">
        <v>1</v>
      </c>
      <c r="C30">
        <f>ROUNDUP(B29/B30,0)-1</f>
        <v>11</v>
      </c>
      <c r="D30">
        <f>C30*C29</f>
        <v>1210</v>
      </c>
    </row>
    <row r="33" spans="1:4" x14ac:dyDescent="0.2">
      <c r="A33" t="s">
        <v>97</v>
      </c>
      <c r="D33">
        <f>SUM(D28:D30)</f>
        <v>1358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9C875-F82D-EC4A-A509-F4731A943CE0}">
  <dimension ref="A2:E14"/>
  <sheetViews>
    <sheetView workbookViewId="0">
      <selection activeCell="H9" sqref="H9"/>
    </sheetView>
  </sheetViews>
  <sheetFormatPr baseColWidth="10" defaultRowHeight="16" x14ac:dyDescent="0.2"/>
  <cols>
    <col min="1" max="1" width="21.83203125" bestFit="1" customWidth="1"/>
    <col min="2" max="2" width="22.1640625" customWidth="1"/>
    <col min="4" max="4" width="13" customWidth="1"/>
  </cols>
  <sheetData>
    <row r="2" spans="1:5" x14ac:dyDescent="0.2">
      <c r="A2" t="s">
        <v>101</v>
      </c>
      <c r="B2" s="26">
        <f>D2/E2*1000</f>
        <v>2.6666666666666665E-2</v>
      </c>
      <c r="C2" t="s">
        <v>95</v>
      </c>
      <c r="D2">
        <f>130*8</f>
        <v>1040</v>
      </c>
      <c r="E2" s="7">
        <v>39000000</v>
      </c>
    </row>
    <row r="3" spans="1:5" x14ac:dyDescent="0.2">
      <c r="A3" t="s">
        <v>104</v>
      </c>
      <c r="B3">
        <v>56</v>
      </c>
    </row>
    <row r="4" spans="1:5" x14ac:dyDescent="0.2">
      <c r="A4" t="s">
        <v>102</v>
      </c>
      <c r="B4">
        <v>16</v>
      </c>
      <c r="C4" t="s">
        <v>95</v>
      </c>
    </row>
    <row r="5" spans="1:5" x14ac:dyDescent="0.2">
      <c r="A5" t="s">
        <v>103</v>
      </c>
      <c r="B5">
        <v>0.43</v>
      </c>
    </row>
    <row r="9" spans="1:5" x14ac:dyDescent="0.2">
      <c r="A9" t="s">
        <v>105</v>
      </c>
    </row>
    <row r="10" spans="1:5" x14ac:dyDescent="0.2">
      <c r="B10">
        <f>(B4*B3)+(B3*(1-B5) )*B2</f>
        <v>896.85119999999995</v>
      </c>
    </row>
    <row r="14" spans="1:5" x14ac:dyDescent="0.2">
      <c r="A14" t="s">
        <v>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2A4E8-D70B-1A4C-866D-C2B84ED65A94}">
  <dimension ref="A1:K25"/>
  <sheetViews>
    <sheetView workbookViewId="0">
      <selection activeCell="D12" sqref="D12"/>
    </sheetView>
  </sheetViews>
  <sheetFormatPr baseColWidth="10" defaultRowHeight="16" x14ac:dyDescent="0.2"/>
  <cols>
    <col min="1" max="1" width="4.6640625" customWidth="1"/>
    <col min="2" max="2" width="23.83203125" style="9" bestFit="1" customWidth="1"/>
    <col min="3" max="3" width="11.1640625" bestFit="1" customWidth="1"/>
  </cols>
  <sheetData>
    <row r="1" spans="1:11" x14ac:dyDescent="0.2">
      <c r="A1" t="s">
        <v>77</v>
      </c>
    </row>
    <row r="2" spans="1:11" ht="20" x14ac:dyDescent="0.2">
      <c r="J2" s="14" t="s">
        <v>73</v>
      </c>
    </row>
    <row r="3" spans="1:11" x14ac:dyDescent="0.2">
      <c r="B3" s="9" t="s">
        <v>69</v>
      </c>
      <c r="C3" s="12">
        <f>17000000*8</f>
        <v>136000000</v>
      </c>
    </row>
    <row r="4" spans="1:11" x14ac:dyDescent="0.2">
      <c r="B4" s="9" t="s">
        <v>68</v>
      </c>
      <c r="C4" s="13">
        <f>COUNTA(D6:Q6)</f>
        <v>3</v>
      </c>
    </row>
    <row r="5" spans="1:11" x14ac:dyDescent="0.2">
      <c r="B5" s="9" t="s">
        <v>70</v>
      </c>
      <c r="C5" s="12">
        <v>31000000</v>
      </c>
      <c r="I5" t="s">
        <v>72</v>
      </c>
    </row>
    <row r="6" spans="1:11" x14ac:dyDescent="0.2">
      <c r="B6" s="9" t="s">
        <v>79</v>
      </c>
      <c r="C6" s="12"/>
      <c r="D6" s="7">
        <v>5</v>
      </c>
      <c r="E6" s="7">
        <v>5</v>
      </c>
      <c r="F6" s="7">
        <v>5</v>
      </c>
      <c r="G6" s="7"/>
      <c r="H6" s="7"/>
      <c r="I6" s="7"/>
      <c r="J6" s="7"/>
      <c r="K6" s="7"/>
    </row>
    <row r="7" spans="1:11" x14ac:dyDescent="0.2">
      <c r="B7" s="9" t="s">
        <v>71</v>
      </c>
      <c r="C7" s="7"/>
      <c r="D7" s="7">
        <v>17000000</v>
      </c>
      <c r="E7" s="7">
        <v>18000000</v>
      </c>
      <c r="F7" s="7">
        <v>17000000</v>
      </c>
      <c r="G7" s="7"/>
      <c r="H7" s="7"/>
      <c r="I7" s="7"/>
      <c r="J7" s="7"/>
      <c r="K7" s="7"/>
    </row>
    <row r="8" spans="1:11" x14ac:dyDescent="0.2">
      <c r="C8" s="7"/>
      <c r="D8" s="7"/>
      <c r="E8" s="7"/>
      <c r="F8" s="7"/>
      <c r="G8" s="7"/>
      <c r="H8" s="7"/>
      <c r="I8" s="7"/>
    </row>
    <row r="9" spans="1:11" x14ac:dyDescent="0.2">
      <c r="A9" t="s">
        <v>78</v>
      </c>
      <c r="C9" s="7"/>
      <c r="D9" s="7"/>
      <c r="E9" s="7"/>
      <c r="F9" s="7"/>
      <c r="G9" s="7"/>
      <c r="H9" s="7"/>
      <c r="I9" s="7"/>
    </row>
    <row r="10" spans="1:11" x14ac:dyDescent="0.2">
      <c r="B10" s="9" t="s">
        <v>84</v>
      </c>
      <c r="C10" s="7">
        <f>C3*C4/C5</f>
        <v>13.161290322580646</v>
      </c>
      <c r="D10" s="16">
        <f>C10</f>
        <v>13.161290322580646</v>
      </c>
      <c r="E10" s="7" t="s">
        <v>75</v>
      </c>
      <c r="F10" s="7"/>
      <c r="G10" s="7"/>
      <c r="H10" s="7"/>
      <c r="I10" s="7"/>
    </row>
    <row r="11" spans="1:11" x14ac:dyDescent="0.2">
      <c r="B11" s="9" t="s">
        <v>85</v>
      </c>
      <c r="C11" s="7">
        <f>C3/MIN(D7:Q7)</f>
        <v>8</v>
      </c>
      <c r="D11" s="16">
        <f>C11</f>
        <v>8</v>
      </c>
      <c r="E11" s="7" t="s">
        <v>75</v>
      </c>
      <c r="F11" s="7"/>
      <c r="G11" s="7"/>
      <c r="H11" s="7"/>
      <c r="I11" s="7"/>
    </row>
    <row r="12" spans="1:11" x14ac:dyDescent="0.2">
      <c r="C12" s="7"/>
      <c r="D12" s="16">
        <f>MAX(D10:D11)</f>
        <v>13.161290322580646</v>
      </c>
      <c r="E12" s="7"/>
      <c r="F12" s="7" t="s">
        <v>116</v>
      </c>
      <c r="G12" s="7"/>
      <c r="H12" s="7"/>
      <c r="I12" s="7"/>
    </row>
    <row r="14" spans="1:11" x14ac:dyDescent="0.2">
      <c r="A14" t="s">
        <v>121</v>
      </c>
    </row>
    <row r="15" spans="1:11" x14ac:dyDescent="0.2">
      <c r="B15" s="9" t="s">
        <v>74</v>
      </c>
      <c r="C15" s="16">
        <f>C3/C5</f>
        <v>4.387096774193548</v>
      </c>
      <c r="D15" t="s">
        <v>75</v>
      </c>
      <c r="E15" s="7" t="s">
        <v>117</v>
      </c>
      <c r="F15" s="7"/>
    </row>
    <row r="16" spans="1:11" x14ac:dyDescent="0.2">
      <c r="B16" s="9" t="s">
        <v>76</v>
      </c>
      <c r="C16" s="16">
        <f>C3/MIN(D7:Q7)</f>
        <v>8</v>
      </c>
      <c r="D16" t="s">
        <v>75</v>
      </c>
      <c r="E16" t="s">
        <v>118</v>
      </c>
    </row>
    <row r="17" spans="1:6" x14ac:dyDescent="0.2">
      <c r="B17" s="9" t="s">
        <v>86</v>
      </c>
      <c r="C17" s="16">
        <f>C3*C4/SUM(C5,D6:Q6)</f>
        <v>13.161283954217442</v>
      </c>
      <c r="D17" t="s">
        <v>75</v>
      </c>
      <c r="E17" t="s">
        <v>119</v>
      </c>
    </row>
    <row r="18" spans="1:6" x14ac:dyDescent="0.2">
      <c r="C18" s="16">
        <f>MAX(C15:C17)</f>
        <v>13.161283954217442</v>
      </c>
      <c r="F18" t="s">
        <v>120</v>
      </c>
    </row>
    <row r="22" spans="1:6" ht="18" x14ac:dyDescent="0.2">
      <c r="A22" s="15" t="s">
        <v>83</v>
      </c>
    </row>
    <row r="23" spans="1:6" ht="18" x14ac:dyDescent="0.2">
      <c r="A23" s="15" t="s">
        <v>82</v>
      </c>
    </row>
    <row r="24" spans="1:6" ht="18" x14ac:dyDescent="0.2">
      <c r="A24" s="15" t="s">
        <v>80</v>
      </c>
    </row>
    <row r="25" spans="1:6" ht="18" x14ac:dyDescent="0.2">
      <c r="A25" s="15" t="s">
        <v>81</v>
      </c>
      <c r="B25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C50E4-7D0E-004E-97DF-83F978FCE567}">
  <dimension ref="A1:G23"/>
  <sheetViews>
    <sheetView workbookViewId="0">
      <selection activeCell="E14" sqref="E14"/>
    </sheetView>
  </sheetViews>
  <sheetFormatPr baseColWidth="10" defaultRowHeight="16" x14ac:dyDescent="0.2"/>
  <cols>
    <col min="1" max="1" width="12.6640625" bestFit="1" customWidth="1"/>
    <col min="2" max="2" width="48.1640625" bestFit="1" customWidth="1"/>
    <col min="3" max="3" width="18.5" customWidth="1"/>
    <col min="4" max="4" width="11.1640625" bestFit="1" customWidth="1"/>
    <col min="5" max="5" width="11.5" bestFit="1" customWidth="1"/>
    <col min="6" max="6" width="9.1640625" bestFit="1" customWidth="1"/>
    <col min="7" max="7" width="10.83203125" style="24"/>
  </cols>
  <sheetData>
    <row r="1" spans="1:7" ht="18" x14ac:dyDescent="0.2">
      <c r="B1" s="25" t="s">
        <v>137</v>
      </c>
    </row>
    <row r="2" spans="1:7" ht="39" customHeight="1" x14ac:dyDescent="0.2">
      <c r="A2" t="s">
        <v>124</v>
      </c>
      <c r="B2" t="s">
        <v>122</v>
      </c>
    </row>
    <row r="3" spans="1:7" ht="50" customHeight="1" x14ac:dyDescent="0.2">
      <c r="A3" t="s">
        <v>123</v>
      </c>
      <c r="B3" t="s">
        <v>125</v>
      </c>
    </row>
    <row r="5" spans="1:7" ht="18" x14ac:dyDescent="0.2">
      <c r="A5" t="s">
        <v>135</v>
      </c>
      <c r="B5" t="s">
        <v>134</v>
      </c>
      <c r="C5" s="22"/>
    </row>
    <row r="7" spans="1:7" x14ac:dyDescent="0.2">
      <c r="C7" t="s">
        <v>127</v>
      </c>
      <c r="E7" t="s">
        <v>129</v>
      </c>
      <c r="F7" t="s">
        <v>130</v>
      </c>
      <c r="G7" s="24" t="s">
        <v>132</v>
      </c>
    </row>
    <row r="8" spans="1:7" x14ac:dyDescent="0.2">
      <c r="C8">
        <v>0.125</v>
      </c>
      <c r="E8">
        <f>E14</f>
        <v>290</v>
      </c>
      <c r="F8">
        <v>390</v>
      </c>
      <c r="G8" s="24">
        <f>(1-C8)*E8+C8*F8</f>
        <v>302.5</v>
      </c>
    </row>
    <row r="9" spans="1:7" x14ac:dyDescent="0.2">
      <c r="C9">
        <v>0.125</v>
      </c>
      <c r="E9">
        <f>G8</f>
        <v>302.5</v>
      </c>
      <c r="F9">
        <v>260</v>
      </c>
      <c r="G9" s="24">
        <f>(1-C9)*E9+C9*F9</f>
        <v>297.1875</v>
      </c>
    </row>
    <row r="10" spans="1:7" x14ac:dyDescent="0.2">
      <c r="C10">
        <v>0.125</v>
      </c>
      <c r="E10">
        <f>G9</f>
        <v>297.1875</v>
      </c>
      <c r="F10">
        <v>250</v>
      </c>
      <c r="G10" s="24">
        <f>(1-C10)*E10+C10*F10</f>
        <v>291.2890625</v>
      </c>
    </row>
    <row r="13" spans="1:7" x14ac:dyDescent="0.2">
      <c r="C13" t="s">
        <v>126</v>
      </c>
      <c r="D13" t="s">
        <v>128</v>
      </c>
      <c r="E13" t="s">
        <v>129</v>
      </c>
      <c r="F13" t="s">
        <v>130</v>
      </c>
      <c r="G13" s="24" t="s">
        <v>131</v>
      </c>
    </row>
    <row r="14" spans="1:7" x14ac:dyDescent="0.2">
      <c r="C14" s="23">
        <v>0.25</v>
      </c>
      <c r="D14">
        <v>50</v>
      </c>
      <c r="E14">
        <v>290</v>
      </c>
      <c r="F14">
        <f>F8</f>
        <v>390</v>
      </c>
      <c r="G14" s="24">
        <f>(1-C14)*D14+C14*ABS(E14-F14)</f>
        <v>62.5</v>
      </c>
    </row>
    <row r="15" spans="1:7" x14ac:dyDescent="0.2">
      <c r="C15" s="23">
        <v>0.25</v>
      </c>
      <c r="D15">
        <f>G14</f>
        <v>62.5</v>
      </c>
      <c r="E15">
        <f>G8</f>
        <v>302.5</v>
      </c>
      <c r="F15">
        <f t="shared" ref="F15:F16" si="0">F9</f>
        <v>260</v>
      </c>
      <c r="G15" s="24">
        <f>(1-C15)*D15+C15*ABS(E15-F15)</f>
        <v>57.5</v>
      </c>
    </row>
    <row r="16" spans="1:7" x14ac:dyDescent="0.2">
      <c r="C16" s="23">
        <v>0.25</v>
      </c>
      <c r="D16">
        <f>G15</f>
        <v>57.5</v>
      </c>
      <c r="E16">
        <f>G9</f>
        <v>297.1875</v>
      </c>
      <c r="F16">
        <f t="shared" si="0"/>
        <v>250</v>
      </c>
      <c r="G16" s="24">
        <f>(1-C16)*D16+C16*ABS(E16-F16)</f>
        <v>54.921875</v>
      </c>
    </row>
    <row r="17" spans="3:7" x14ac:dyDescent="0.2">
      <c r="C17" s="23"/>
    </row>
    <row r="19" spans="3:7" x14ac:dyDescent="0.2">
      <c r="C19" t="s">
        <v>129</v>
      </c>
      <c r="E19" t="s">
        <v>136</v>
      </c>
      <c r="G19" s="24" t="s">
        <v>133</v>
      </c>
    </row>
    <row r="20" spans="3:7" x14ac:dyDescent="0.2">
      <c r="C20">
        <f>G8</f>
        <v>302.5</v>
      </c>
      <c r="E20" s="23">
        <f>G14</f>
        <v>62.5</v>
      </c>
      <c r="G20" s="24">
        <f>C20+4*E20</f>
        <v>552.5</v>
      </c>
    </row>
    <row r="21" spans="3:7" x14ac:dyDescent="0.2">
      <c r="C21">
        <f>G9</f>
        <v>297.1875</v>
      </c>
      <c r="E21" s="23">
        <f t="shared" ref="E21:E22" si="1">G15</f>
        <v>57.5</v>
      </c>
      <c r="G21" s="24">
        <f t="shared" ref="G21:G22" si="2">C21+4*E21</f>
        <v>527.1875</v>
      </c>
    </row>
    <row r="22" spans="3:7" x14ac:dyDescent="0.2">
      <c r="C22">
        <f>G10</f>
        <v>291.2890625</v>
      </c>
      <c r="E22" s="23">
        <f t="shared" si="1"/>
        <v>54.921875</v>
      </c>
      <c r="G22" s="24">
        <f t="shared" si="2"/>
        <v>510.9765625</v>
      </c>
    </row>
    <row r="23" spans="3:7" x14ac:dyDescent="0.2">
      <c r="E23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Units</vt:lpstr>
      <vt:lpstr>Bit transmit time</vt:lpstr>
      <vt:lpstr>Probabily of active at same</vt:lpstr>
      <vt:lpstr>DNS and HTTP delays</vt:lpstr>
      <vt:lpstr>Browser cache</vt:lpstr>
      <vt:lpstr>Client server vs peer to peer</vt:lpstr>
      <vt:lpstr>TCP RTT and Timeout vals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2023-01-28T03:59:27Z</dcterms:created>
  <dcterms:modified xsi:type="dcterms:W3CDTF">2023-05-19T07:13:56Z</dcterms:modified>
</cp:coreProperties>
</file>