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0535C101-FBD3-45D3-A3E9-8ADD7A0D7569}" xr6:coauthVersionLast="47" xr6:coauthVersionMax="47" xr10:uidLastSave="{00000000-0000-0000-0000-000000000000}"/>
  <bookViews>
    <workbookView xWindow="-106" yWindow="-106" windowWidth="20541" windowHeight="10927" tabRatio="685" activeTab="2" xr2:uid="{00000000-000D-0000-FFFF-FFFF00000000}"/>
  </bookViews>
  <sheets>
    <sheet name="Locations" sheetId="2" r:id="rId1"/>
    <sheet name="Connections" sheetId="1" r:id="rId2"/>
    <sheet name="Model" sheetId="5" r:id="rId3"/>
    <sheet name="Stipulation" sheetId="8" r:id="rId4"/>
  </sheets>
  <definedNames>
    <definedName name="solver_adj" localSheetId="2" hidden="1">Model!$B$6:$B$29,Model!$R$42</definedName>
    <definedName name="solver_adj" localSheetId="3" hidden="1">Stipulation!$B$6:$B$29,Stipulation!$R$42</definedName>
    <definedName name="solver_cvg" localSheetId="2" hidden="1">0.0001</definedName>
    <definedName name="solver_cvg" localSheetId="3" hidden="1">0.0001</definedName>
    <definedName name="solver_drv" localSheetId="2" hidden="1">2</definedName>
    <definedName name="solver_drv" localSheetId="3" hidden="1">2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Model!$B$6:$B$29</definedName>
    <definedName name="solver_lhs1" localSheetId="3" hidden="1">Stipulation!$B$6:$B$29</definedName>
    <definedName name="solver_lhs2" localSheetId="2" hidden="1">Model!$M$6:$M$12</definedName>
    <definedName name="solver_lhs2" localSheetId="3" hidden="1">Stipulation!$M$6:$M$12</definedName>
    <definedName name="solver_lhs3" localSheetId="2" hidden="1">Model!$W$36:$W$39</definedName>
    <definedName name="solver_lhs3" localSheetId="3" hidden="1">Stipulation!$W$36:$W$39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3</definedName>
    <definedName name="solver_num" localSheetId="3" hidden="1">3</definedName>
    <definedName name="solver_nwt" localSheetId="2" hidden="1">1</definedName>
    <definedName name="solver_nwt" localSheetId="3" hidden="1">1</definedName>
    <definedName name="solver_opt" localSheetId="2" hidden="1">Model!$R$42</definedName>
    <definedName name="solver_opt" localSheetId="3" hidden="1">Stipulation!$R$42</definedName>
    <definedName name="solver_pre" localSheetId="2" hidden="1">0.000001</definedName>
    <definedName name="solver_pre" localSheetId="3" hidden="1">0.000001</definedName>
    <definedName name="solver_rbv" localSheetId="2" hidden="1">2</definedName>
    <definedName name="solver_rbv" localSheetId="3" hidden="1">2</definedName>
    <definedName name="solver_rel1" localSheetId="2" hidden="1">3</definedName>
    <definedName name="solver_rel1" localSheetId="3" hidden="1">3</definedName>
    <definedName name="solver_rel2" localSheetId="2" hidden="1">3</definedName>
    <definedName name="solver_rel2" localSheetId="3" hidden="1">3</definedName>
    <definedName name="solver_rel3" localSheetId="2" hidden="1">1</definedName>
    <definedName name="solver_rel3" localSheetId="3" hidden="1">1</definedName>
    <definedName name="solver_rhs1" localSheetId="2" hidden="1">0</definedName>
    <definedName name="solver_rhs1" localSheetId="3" hidden="1">0</definedName>
    <definedName name="solver_rhs2" localSheetId="2" hidden="1">Model!$N$6:$N$12</definedName>
    <definedName name="solver_rhs2" localSheetId="3" hidden="1">Stipulation!$N$6:$N$12</definedName>
    <definedName name="solver_rhs3" localSheetId="2" hidden="1">Model!$R$42</definedName>
    <definedName name="solver_rhs3" localSheetId="3" hidden="1">Stipulation!$R$42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9" i="8" l="1"/>
  <c r="T39" i="8" s="1"/>
  <c r="U39" i="8" s="1"/>
  <c r="W39" i="8" s="1"/>
  <c r="R38" i="8"/>
  <c r="T38" i="8" s="1"/>
  <c r="U38" i="8" s="1"/>
  <c r="W38" i="8" s="1"/>
  <c r="R36" i="8"/>
  <c r="T36" i="8" s="1"/>
  <c r="U36" i="8" s="1"/>
  <c r="W36" i="8" s="1"/>
  <c r="Z30" i="8"/>
  <c r="V29" i="8"/>
  <c r="U29" i="8"/>
  <c r="W29" i="8" s="1"/>
  <c r="T29" i="8"/>
  <c r="S29" i="8"/>
  <c r="F29" i="8"/>
  <c r="D29" i="8"/>
  <c r="V28" i="8"/>
  <c r="U28" i="8"/>
  <c r="T28" i="8"/>
  <c r="W28" i="8" s="1"/>
  <c r="S28" i="8"/>
  <c r="F28" i="8"/>
  <c r="D28" i="8"/>
  <c r="W27" i="8"/>
  <c r="V27" i="8"/>
  <c r="U27" i="8"/>
  <c r="T27" i="8"/>
  <c r="S27" i="8"/>
  <c r="F27" i="8"/>
  <c r="D27" i="8"/>
  <c r="V26" i="8"/>
  <c r="U26" i="8"/>
  <c r="T26" i="8"/>
  <c r="S26" i="8"/>
  <c r="W26" i="8" s="1"/>
  <c r="F26" i="8"/>
  <c r="D26" i="8"/>
  <c r="V25" i="8"/>
  <c r="U25" i="8"/>
  <c r="T25" i="8"/>
  <c r="S25" i="8"/>
  <c r="W25" i="8" s="1"/>
  <c r="F25" i="8"/>
  <c r="D25" i="8"/>
  <c r="V24" i="8"/>
  <c r="U24" i="8"/>
  <c r="T24" i="8"/>
  <c r="S24" i="8"/>
  <c r="W24" i="8" s="1"/>
  <c r="F24" i="8"/>
  <c r="D24" i="8"/>
  <c r="V23" i="8"/>
  <c r="U23" i="8"/>
  <c r="T23" i="8"/>
  <c r="S23" i="8"/>
  <c r="W23" i="8" s="1"/>
  <c r="F23" i="8"/>
  <c r="D23" i="8"/>
  <c r="V22" i="8"/>
  <c r="W22" i="8" s="1"/>
  <c r="U22" i="8"/>
  <c r="T22" i="8"/>
  <c r="S22" i="8"/>
  <c r="F22" i="8"/>
  <c r="D22" i="8"/>
  <c r="V21" i="8"/>
  <c r="U21" i="8"/>
  <c r="W21" i="8" s="1"/>
  <c r="T21" i="8"/>
  <c r="S21" i="8"/>
  <c r="F21" i="8"/>
  <c r="D21" i="8"/>
  <c r="V20" i="8"/>
  <c r="U20" i="8"/>
  <c r="T20" i="8"/>
  <c r="W20" i="8" s="1"/>
  <c r="S20" i="8"/>
  <c r="F20" i="8"/>
  <c r="D20" i="8"/>
  <c r="W19" i="8"/>
  <c r="V19" i="8"/>
  <c r="U19" i="8"/>
  <c r="T19" i="8"/>
  <c r="S19" i="8"/>
  <c r="F19" i="8"/>
  <c r="D19" i="8"/>
  <c r="V18" i="8"/>
  <c r="U18" i="8"/>
  <c r="T18" i="8"/>
  <c r="S18" i="8"/>
  <c r="W18" i="8" s="1"/>
  <c r="F18" i="8"/>
  <c r="D18" i="8"/>
  <c r="V17" i="8"/>
  <c r="U17" i="8"/>
  <c r="T17" i="8"/>
  <c r="S17" i="8"/>
  <c r="W17" i="8" s="1"/>
  <c r="F17" i="8"/>
  <c r="D17" i="8"/>
  <c r="V16" i="8"/>
  <c r="U16" i="8"/>
  <c r="T16" i="8"/>
  <c r="S16" i="8"/>
  <c r="W16" i="8" s="1"/>
  <c r="F16" i="8"/>
  <c r="D16" i="8"/>
  <c r="V15" i="8"/>
  <c r="U15" i="8"/>
  <c r="T15" i="8"/>
  <c r="S15" i="8"/>
  <c r="W15" i="8" s="1"/>
  <c r="F15" i="8"/>
  <c r="D15" i="8"/>
  <c r="V14" i="8"/>
  <c r="W14" i="8" s="1"/>
  <c r="U14" i="8"/>
  <c r="T14" i="8"/>
  <c r="S14" i="8"/>
  <c r="F14" i="8"/>
  <c r="D14" i="8"/>
  <c r="V13" i="8"/>
  <c r="U13" i="8"/>
  <c r="W13" i="8" s="1"/>
  <c r="T13" i="8"/>
  <c r="S13" i="8"/>
  <c r="F13" i="8"/>
  <c r="D13" i="8"/>
  <c r="V12" i="8"/>
  <c r="U12" i="8"/>
  <c r="T12" i="8"/>
  <c r="W12" i="8" s="1"/>
  <c r="S12" i="8"/>
  <c r="L12" i="8"/>
  <c r="K12" i="8"/>
  <c r="F12" i="8"/>
  <c r="D12" i="8"/>
  <c r="V11" i="8"/>
  <c r="U11" i="8"/>
  <c r="T11" i="8"/>
  <c r="S11" i="8"/>
  <c r="W11" i="8" s="1"/>
  <c r="L11" i="8"/>
  <c r="K11" i="8"/>
  <c r="F11" i="8"/>
  <c r="D11" i="8"/>
  <c r="V10" i="8"/>
  <c r="U10" i="8"/>
  <c r="T10" i="8"/>
  <c r="S10" i="8"/>
  <c r="W10" i="8" s="1"/>
  <c r="L10" i="8"/>
  <c r="K10" i="8"/>
  <c r="F10" i="8"/>
  <c r="D10" i="8"/>
  <c r="V9" i="8"/>
  <c r="U9" i="8"/>
  <c r="W9" i="8" s="1"/>
  <c r="T9" i="8"/>
  <c r="S9" i="8"/>
  <c r="L9" i="8"/>
  <c r="K9" i="8"/>
  <c r="F9" i="8"/>
  <c r="D9" i="8"/>
  <c r="V8" i="8"/>
  <c r="U8" i="8"/>
  <c r="T8" i="8"/>
  <c r="S8" i="8"/>
  <c r="W8" i="8" s="1"/>
  <c r="L8" i="8"/>
  <c r="K8" i="8"/>
  <c r="F8" i="8"/>
  <c r="D8" i="8"/>
  <c r="V7" i="8"/>
  <c r="U7" i="8"/>
  <c r="T7" i="8"/>
  <c r="S7" i="8"/>
  <c r="W7" i="8" s="1"/>
  <c r="L7" i="8"/>
  <c r="K7" i="8"/>
  <c r="F7" i="8"/>
  <c r="D7" i="8"/>
  <c r="V6" i="8"/>
  <c r="U6" i="8"/>
  <c r="T6" i="8"/>
  <c r="S6" i="8"/>
  <c r="W6" i="8" s="1"/>
  <c r="L6" i="8"/>
  <c r="K6" i="8"/>
  <c r="F6" i="8"/>
  <c r="D6" i="8"/>
  <c r="J2" i="8"/>
  <c r="R38" i="5"/>
  <c r="R36" i="5"/>
  <c r="X31" i="5"/>
  <c r="R39" i="5"/>
  <c r="T39" i="5" s="1"/>
  <c r="U39" i="5" s="1"/>
  <c r="W39" i="5" s="1"/>
  <c r="T38" i="5"/>
  <c r="U38" i="5" s="1"/>
  <c r="W38" i="5" s="1"/>
  <c r="R37" i="5"/>
  <c r="T37" i="5" s="1"/>
  <c r="U37" i="5" s="1"/>
  <c r="W37" i="5" s="1"/>
  <c r="T36" i="5"/>
  <c r="U36" i="5" s="1"/>
  <c r="W36" i="5" s="1"/>
  <c r="J2" i="5"/>
  <c r="Z30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6" i="5"/>
  <c r="U6" i="5"/>
  <c r="U29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6" i="5"/>
  <c r="F6" i="5"/>
  <c r="D6" i="5"/>
  <c r="M6" i="8" l="1"/>
  <c r="M7" i="8"/>
  <c r="M8" i="8"/>
  <c r="M9" i="8"/>
  <c r="M10" i="8"/>
  <c r="M11" i="8"/>
  <c r="M12" i="8"/>
  <c r="R37" i="8"/>
  <c r="T37" i="8" s="1"/>
  <c r="U37" i="8" s="1"/>
  <c r="W37" i="8" s="1"/>
  <c r="X31" i="8"/>
  <c r="W6" i="5"/>
  <c r="W24" i="5"/>
  <c r="W16" i="5"/>
  <c r="W8" i="5"/>
  <c r="W19" i="5"/>
  <c r="W26" i="5"/>
  <c r="W18" i="5"/>
  <c r="W10" i="5"/>
  <c r="W27" i="5"/>
  <c r="W11" i="5"/>
  <c r="W25" i="5"/>
  <c r="W17" i="5"/>
  <c r="W9" i="5"/>
  <c r="W23" i="5"/>
  <c r="W15" i="5"/>
  <c r="W7" i="5"/>
  <c r="W22" i="5"/>
  <c r="W14" i="5"/>
  <c r="W29" i="5"/>
  <c r="W21" i="5"/>
  <c r="W13" i="5"/>
  <c r="W28" i="5"/>
  <c r="W20" i="5"/>
  <c r="W12" i="5"/>
  <c r="K6" i="5"/>
  <c r="L6" i="5"/>
  <c r="L7" i="5"/>
  <c r="L8" i="5"/>
  <c r="L9" i="5"/>
  <c r="L10" i="5"/>
  <c r="L11" i="5"/>
  <c r="L12" i="5"/>
  <c r="K7" i="5"/>
  <c r="K8" i="5"/>
  <c r="K9" i="5"/>
  <c r="K10" i="5"/>
  <c r="K11" i="5"/>
  <c r="K12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M6" i="5" l="1"/>
  <c r="M10" i="5"/>
  <c r="M9" i="5"/>
  <c r="M8" i="5"/>
  <c r="M12" i="5"/>
  <c r="M7" i="5"/>
  <c r="M11" i="5"/>
</calcChain>
</file>

<file path=xl/sharedStrings.xml><?xml version="1.0" encoding="utf-8"?>
<sst xmlns="http://schemas.openxmlformats.org/spreadsheetml/2006/main" count="287" uniqueCount="63">
  <si>
    <t>from</t>
  </si>
  <si>
    <t>to</t>
  </si>
  <si>
    <t>cost_per_unit_shipped</t>
  </si>
  <si>
    <t>transportation_method</t>
  </si>
  <si>
    <t>congestion_level</t>
  </si>
  <si>
    <t>Air Freight</t>
  </si>
  <si>
    <t>Electric/Hybrid Trucks</t>
  </si>
  <si>
    <t>Cargo Ships (Heavy Fuel Oil)</t>
  </si>
  <si>
    <t>Diesel Rail</t>
  </si>
  <si>
    <t>Diesel Trucks</t>
  </si>
  <si>
    <t>Slow Steaming Cargo Ships</t>
  </si>
  <si>
    <t>Electrified Rail</t>
  </si>
  <si>
    <t>Wind-powered Ships</t>
  </si>
  <si>
    <t>Sherbet Shoreline</t>
  </si>
  <si>
    <t>Milkshake Mire</t>
  </si>
  <si>
    <t>Melty Mint Mountains</t>
  </si>
  <si>
    <t>Crispy Rice Reef</t>
  </si>
  <si>
    <t>Creme Brulee Cliffs</t>
  </si>
  <si>
    <t>Coconut Cream Cove</t>
  </si>
  <si>
    <t>Cinnamon Swamp</t>
  </si>
  <si>
    <t>demand</t>
  </si>
  <si>
    <t>supply</t>
  </si>
  <si>
    <t>longitude</t>
  </si>
  <si>
    <t>latitude</t>
  </si>
  <si>
    <t>location_name</t>
  </si>
  <si>
    <t>location_id</t>
  </si>
  <si>
    <t>Objective</t>
  </si>
  <si>
    <t>Weight</t>
  </si>
  <si>
    <t>Objectives</t>
  </si>
  <si>
    <t>Deviation</t>
  </si>
  <si>
    <t>Total Transportation Cost -&gt;</t>
  </si>
  <si>
    <t>Ship</t>
  </si>
  <si>
    <t>From</t>
  </si>
  <si>
    <t>To</t>
  </si>
  <si>
    <t>Unit Cost</t>
  </si>
  <si>
    <t>Nodes</t>
  </si>
  <si>
    <t>Inflow</t>
  </si>
  <si>
    <t>Outflow</t>
  </si>
  <si>
    <t>Net Flow</t>
  </si>
  <si>
    <t>Supply/Demand</t>
  </si>
  <si>
    <t>Origin Lat</t>
  </si>
  <si>
    <t>Dest. Long</t>
  </si>
  <si>
    <t>Origin Long</t>
  </si>
  <si>
    <t>Dest. Lat</t>
  </si>
  <si>
    <t>Node</t>
  </si>
  <si>
    <t>Lat</t>
  </si>
  <si>
    <t>Long</t>
  </si>
  <si>
    <t>Euclidean</t>
  </si>
  <si>
    <t xml:space="preserve">Transportation </t>
  </si>
  <si>
    <t xml:space="preserve">Congestion </t>
  </si>
  <si>
    <t>Congestion</t>
  </si>
  <si>
    <t>Total Distance</t>
  </si>
  <si>
    <t>Min Transpo Cost</t>
  </si>
  <si>
    <t>Total</t>
  </si>
  <si>
    <t>Target</t>
  </si>
  <si>
    <t>Min Total Distance</t>
  </si>
  <si>
    <t>Minimized Congestion</t>
  </si>
  <si>
    <t>Max Eco-Friendly</t>
  </si>
  <si>
    <t>% Dev.</t>
  </si>
  <si>
    <t>MiniMax</t>
  </si>
  <si>
    <t>Non Eco-Friendly</t>
  </si>
  <si>
    <t>Wgt. Dev %</t>
  </si>
  <si>
    <t>Pre-Stipulation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</si>
</sst>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69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/>
    <xf numFmtId="0" fontId="0" fillId="35" borderId="0" xfId="0" applyFill="1"/>
    <xf numFmtId="0" fontId="16" fillId="33" borderId="13" xfId="0" applyFont="1" applyFill="1" applyBorder="1" applyAlignment="1">
      <alignment horizontal="center"/>
    </xf>
    <xf numFmtId="0" fontId="16" fillId="38" borderId="15" xfId="0" applyFont="1" applyFill="1" applyBorder="1" applyAlignment="1">
      <alignment horizontal="center"/>
    </xf>
    <xf numFmtId="0" fontId="16" fillId="36" borderId="16" xfId="0" applyFont="1" applyFill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0" xfId="0" applyBorder="1"/>
    <xf numFmtId="0" fontId="0" fillId="0" borderId="22" xfId="0" applyBorder="1"/>
    <xf numFmtId="0" fontId="18" fillId="0" borderId="26" xfId="0" applyFont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7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8" fillId="0" borderId="36" xfId="0" applyFont="1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9" xfId="0" applyBorder="1"/>
    <xf numFmtId="0" fontId="0" fillId="0" borderId="10" xfId="0" applyBorder="1" applyAlignment="1">
      <alignment horizontal="center"/>
    </xf>
    <xf numFmtId="0" fontId="16" fillId="38" borderId="40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16" fillId="36" borderId="14" xfId="0" applyFont="1" applyFill="1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20" xfId="0" applyBorder="1"/>
    <xf numFmtId="0" fontId="0" fillId="0" borderId="26" xfId="0" applyBorder="1"/>
    <xf numFmtId="0" fontId="0" fillId="0" borderId="36" xfId="0" applyBorder="1"/>
    <xf numFmtId="0" fontId="0" fillId="0" borderId="0" xfId="0" applyAlignment="1">
      <alignment horizontal="right"/>
    </xf>
    <xf numFmtId="0" fontId="0" fillId="0" borderId="37" xfId="0" applyBorder="1"/>
    <xf numFmtId="0" fontId="0" fillId="39" borderId="0" xfId="0" applyFill="1"/>
    <xf numFmtId="0" fontId="0" fillId="0" borderId="18" xfId="0" applyBorder="1"/>
    <xf numFmtId="0" fontId="0" fillId="0" borderId="50" xfId="0" applyBorder="1"/>
    <xf numFmtId="0" fontId="0" fillId="0" borderId="51" xfId="0" applyBorder="1"/>
    <xf numFmtId="0" fontId="0" fillId="39" borderId="13" xfId="0" applyFill="1" applyBorder="1" applyAlignment="1">
      <alignment horizontal="center"/>
    </xf>
    <xf numFmtId="0" fontId="0" fillId="39" borderId="44" xfId="0" applyFill="1" applyBorder="1" applyAlignment="1">
      <alignment horizontal="center"/>
    </xf>
    <xf numFmtId="0" fontId="0" fillId="39" borderId="44" xfId="0" applyFill="1" applyBorder="1"/>
    <xf numFmtId="169" fontId="16" fillId="0" borderId="21" xfId="0" applyNumberFormat="1" applyFont="1" applyBorder="1" applyAlignment="1">
      <alignment horizontal="center"/>
    </xf>
    <xf numFmtId="169" fontId="16" fillId="0" borderId="10" xfId="0" applyNumberFormat="1" applyFont="1" applyBorder="1" applyAlignment="1">
      <alignment horizontal="center"/>
    </xf>
    <xf numFmtId="169" fontId="16" fillId="0" borderId="34" xfId="0" applyNumberFormat="1" applyFont="1" applyBorder="1" applyAlignment="1">
      <alignment horizontal="center"/>
    </xf>
    <xf numFmtId="0" fontId="19" fillId="39" borderId="44" xfId="0" applyFont="1" applyFill="1" applyBorder="1" applyAlignment="1">
      <alignment horizontal="center"/>
    </xf>
    <xf numFmtId="0" fontId="16" fillId="39" borderId="0" xfId="0" applyFont="1" applyFill="1"/>
    <xf numFmtId="0" fontId="16" fillId="0" borderId="52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6" fillId="0" borderId="46" xfId="0" applyFont="1" applyBorder="1" applyAlignment="1">
      <alignment horizontal="center"/>
    </xf>
    <xf numFmtId="0" fontId="16" fillId="39" borderId="43" xfId="0" applyFont="1" applyFill="1" applyBorder="1"/>
    <xf numFmtId="0" fontId="0" fillId="0" borderId="2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16" fillId="39" borderId="40" xfId="0" applyFont="1" applyFill="1" applyBorder="1" applyAlignment="1">
      <alignment horizontal="center"/>
    </xf>
    <xf numFmtId="0" fontId="16" fillId="0" borderId="47" xfId="0" applyFont="1" applyBorder="1" applyAlignment="1">
      <alignment horizontal="center"/>
    </xf>
    <xf numFmtId="0" fontId="16" fillId="0" borderId="48" xfId="0" applyFont="1" applyBorder="1" applyAlignment="1">
      <alignment horizontal="center"/>
    </xf>
    <xf numFmtId="0" fontId="16" fillId="0" borderId="49" xfId="0" applyFon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16" fillId="0" borderId="0" xfId="1" applyNumberFormat="1" applyFont="1" applyAlignment="1">
      <alignment horizontal="center"/>
    </xf>
    <xf numFmtId="0" fontId="20" fillId="0" borderId="0" xfId="0" applyFont="1" applyAlignment="1">
      <alignment horizontal="center"/>
    </xf>
    <xf numFmtId="168" fontId="21" fillId="35" borderId="0" xfId="1" applyNumberFormat="1" applyFont="1" applyFill="1"/>
    <xf numFmtId="0" fontId="21" fillId="35" borderId="0" xfId="0" applyFont="1" applyFill="1"/>
    <xf numFmtId="0" fontId="16" fillId="36" borderId="17" xfId="0" applyFont="1" applyFill="1" applyBorder="1" applyAlignment="1">
      <alignment horizontal="center"/>
    </xf>
    <xf numFmtId="0" fontId="16" fillId="36" borderId="18" xfId="0" applyFont="1" applyFill="1" applyBorder="1" applyAlignment="1">
      <alignment horizontal="center"/>
    </xf>
    <xf numFmtId="0" fontId="16" fillId="37" borderId="17" xfId="0" applyFont="1" applyFill="1" applyBorder="1" applyAlignment="1">
      <alignment horizontal="center"/>
    </xf>
    <xf numFmtId="0" fontId="16" fillId="37" borderId="18" xfId="0" applyFont="1" applyFill="1" applyBorder="1" applyAlignment="1">
      <alignment horizontal="center"/>
    </xf>
    <xf numFmtId="0" fontId="16" fillId="37" borderId="15" xfId="0" applyFont="1" applyFill="1" applyBorder="1" applyAlignment="1">
      <alignment horizontal="center"/>
    </xf>
    <xf numFmtId="0" fontId="16" fillId="0" borderId="10" xfId="0" applyFont="1" applyBorder="1" applyAlignment="1">
      <alignment horizontal="right"/>
    </xf>
    <xf numFmtId="44" fontId="0" fillId="0" borderId="11" xfId="1" applyFont="1" applyBorder="1" applyAlignment="1">
      <alignment horizontal="left"/>
    </xf>
    <xf numFmtId="44" fontId="0" fillId="0" borderId="12" xfId="1" applyFont="1" applyBorder="1" applyAlignment="1">
      <alignment horizontal="left"/>
    </xf>
    <xf numFmtId="10" fontId="0" fillId="0" borderId="0" xfId="2" applyNumberFormat="1" applyFont="1" applyAlignment="1">
      <alignment horizontal="center"/>
    </xf>
    <xf numFmtId="0" fontId="16" fillId="39" borderId="0" xfId="0" applyFont="1" applyFill="1" applyAlignment="1"/>
    <xf numFmtId="0" fontId="16" fillId="0" borderId="0" xfId="0" applyFont="1" applyFill="1" applyAlignment="1"/>
    <xf numFmtId="0" fontId="16" fillId="34" borderId="0" xfId="0" applyFont="1" applyFill="1" applyAlignment="1">
      <alignment horizontal="center"/>
    </xf>
    <xf numFmtId="0" fontId="16" fillId="40" borderId="0" xfId="0" applyFont="1" applyFill="1"/>
    <xf numFmtId="0" fontId="0" fillId="40" borderId="0" xfId="0" applyFill="1"/>
    <xf numFmtId="0" fontId="16" fillId="40" borderId="0" xfId="0" applyFont="1" applyFill="1" applyAlignme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/>
  </sheetViews>
  <sheetFormatPr defaultRowHeight="14.85" x14ac:dyDescent="0.35"/>
  <cols>
    <col min="1" max="1" width="9.453125" bestFit="1" customWidth="1"/>
    <col min="2" max="2" width="18.54296875" bestFit="1" customWidth="1"/>
  </cols>
  <sheetData>
    <row r="1" spans="1:6" x14ac:dyDescent="0.35">
      <c r="A1" s="3" t="s">
        <v>25</v>
      </c>
      <c r="B1" s="3" t="s">
        <v>24</v>
      </c>
      <c r="C1" s="3" t="s">
        <v>23</v>
      </c>
      <c r="D1" s="3" t="s">
        <v>22</v>
      </c>
      <c r="E1" s="3" t="s">
        <v>21</v>
      </c>
      <c r="F1" s="3" t="s">
        <v>20</v>
      </c>
    </row>
    <row r="2" spans="1:6" x14ac:dyDescent="0.35">
      <c r="A2">
        <v>1</v>
      </c>
      <c r="B2" t="s">
        <v>19</v>
      </c>
      <c r="C2">
        <v>37.5</v>
      </c>
      <c r="D2">
        <v>-102.5</v>
      </c>
      <c r="E2">
        <v>9516</v>
      </c>
    </row>
    <row r="3" spans="1:6" x14ac:dyDescent="0.35">
      <c r="A3">
        <v>2</v>
      </c>
      <c r="B3" t="s">
        <v>18</v>
      </c>
      <c r="C3">
        <v>39.11</v>
      </c>
      <c r="D3">
        <v>-101.96</v>
      </c>
      <c r="F3">
        <v>1944</v>
      </c>
    </row>
    <row r="4" spans="1:6" x14ac:dyDescent="0.35">
      <c r="A4">
        <v>3</v>
      </c>
      <c r="B4" t="s">
        <v>17</v>
      </c>
      <c r="C4">
        <v>32.25</v>
      </c>
      <c r="D4">
        <v>-116.65</v>
      </c>
      <c r="F4">
        <v>1550</v>
      </c>
    </row>
    <row r="5" spans="1:6" x14ac:dyDescent="0.35">
      <c r="A5">
        <v>4</v>
      </c>
      <c r="B5" t="s">
        <v>16</v>
      </c>
      <c r="C5">
        <v>44.91</v>
      </c>
      <c r="D5">
        <v>-108.26</v>
      </c>
      <c r="F5">
        <v>1767</v>
      </c>
    </row>
    <row r="6" spans="1:6" x14ac:dyDescent="0.35">
      <c r="A6">
        <v>5</v>
      </c>
      <c r="B6" t="s">
        <v>15</v>
      </c>
      <c r="C6">
        <v>39.340000000000003</v>
      </c>
      <c r="D6">
        <v>-104.72</v>
      </c>
      <c r="F6">
        <v>1646</v>
      </c>
    </row>
    <row r="7" spans="1:6" x14ac:dyDescent="0.35">
      <c r="A7">
        <v>6</v>
      </c>
      <c r="B7" t="s">
        <v>14</v>
      </c>
      <c r="C7">
        <v>41.2</v>
      </c>
      <c r="D7">
        <v>-86.02</v>
      </c>
      <c r="F7">
        <v>1381</v>
      </c>
    </row>
    <row r="8" spans="1:6" x14ac:dyDescent="0.35">
      <c r="A8">
        <v>7</v>
      </c>
      <c r="B8" t="s">
        <v>13</v>
      </c>
      <c r="C8">
        <v>44.46</v>
      </c>
      <c r="D8">
        <v>-112.07</v>
      </c>
      <c r="F8">
        <v>1228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zoomScale="80" zoomScaleNormal="80" workbookViewId="0"/>
  </sheetViews>
  <sheetFormatPr defaultRowHeight="14.85" x14ac:dyDescent="0.35"/>
  <cols>
    <col min="3" max="3" width="18.6328125" bestFit="1" customWidth="1"/>
    <col min="4" max="4" width="22.7265625" bestFit="1" customWidth="1"/>
    <col min="5" max="5" width="13.81640625" bestFit="1" customWidth="1"/>
  </cols>
  <sheetData>
    <row r="1" spans="1: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5">
      <c r="A2">
        <v>1</v>
      </c>
      <c r="B2">
        <v>2</v>
      </c>
      <c r="C2">
        <v>11</v>
      </c>
      <c r="D2" t="s">
        <v>5</v>
      </c>
      <c r="E2">
        <v>101</v>
      </c>
    </row>
    <row r="3" spans="1:5" x14ac:dyDescent="0.35">
      <c r="A3">
        <v>1</v>
      </c>
      <c r="B3">
        <v>3</v>
      </c>
      <c r="C3">
        <v>21</v>
      </c>
      <c r="D3" t="s">
        <v>6</v>
      </c>
      <c r="E3">
        <v>114</v>
      </c>
    </row>
    <row r="4" spans="1:5" x14ac:dyDescent="0.35">
      <c r="A4">
        <v>1</v>
      </c>
      <c r="B4">
        <v>7</v>
      </c>
      <c r="C4">
        <v>24</v>
      </c>
      <c r="D4" t="s">
        <v>7</v>
      </c>
      <c r="E4">
        <v>31</v>
      </c>
    </row>
    <row r="5" spans="1:5" x14ac:dyDescent="0.35">
      <c r="A5">
        <v>2</v>
      </c>
      <c r="B5">
        <v>4</v>
      </c>
      <c r="C5">
        <v>22</v>
      </c>
      <c r="D5" t="s">
        <v>8</v>
      </c>
      <c r="E5">
        <v>103</v>
      </c>
    </row>
    <row r="6" spans="1:5" x14ac:dyDescent="0.35">
      <c r="A6">
        <v>2</v>
      </c>
      <c r="B6">
        <v>6</v>
      </c>
      <c r="C6">
        <v>10</v>
      </c>
      <c r="D6" t="s">
        <v>5</v>
      </c>
      <c r="E6">
        <v>34</v>
      </c>
    </row>
    <row r="7" spans="1:5" x14ac:dyDescent="0.35">
      <c r="A7">
        <v>3</v>
      </c>
      <c r="B7">
        <v>1</v>
      </c>
      <c r="C7">
        <v>17</v>
      </c>
      <c r="D7" t="s">
        <v>8</v>
      </c>
      <c r="E7">
        <v>27</v>
      </c>
    </row>
    <row r="8" spans="1:5" x14ac:dyDescent="0.35">
      <c r="A8">
        <v>3</v>
      </c>
      <c r="B8">
        <v>2</v>
      </c>
      <c r="C8">
        <v>14</v>
      </c>
      <c r="D8" t="s">
        <v>9</v>
      </c>
      <c r="E8">
        <v>96</v>
      </c>
    </row>
    <row r="9" spans="1:5" x14ac:dyDescent="0.35">
      <c r="A9">
        <v>3</v>
      </c>
      <c r="B9">
        <v>4</v>
      </c>
      <c r="C9">
        <v>24</v>
      </c>
      <c r="D9" t="s">
        <v>10</v>
      </c>
      <c r="E9">
        <v>78</v>
      </c>
    </row>
    <row r="10" spans="1:5" x14ac:dyDescent="0.35">
      <c r="A10">
        <v>3</v>
      </c>
      <c r="B10">
        <v>5</v>
      </c>
      <c r="C10">
        <v>10</v>
      </c>
      <c r="D10" t="s">
        <v>8</v>
      </c>
      <c r="E10">
        <v>105</v>
      </c>
    </row>
    <row r="11" spans="1:5" x14ac:dyDescent="0.35">
      <c r="A11">
        <v>4</v>
      </c>
      <c r="B11">
        <v>1</v>
      </c>
      <c r="C11">
        <v>15</v>
      </c>
      <c r="D11" t="s">
        <v>6</v>
      </c>
      <c r="E11">
        <v>25</v>
      </c>
    </row>
    <row r="12" spans="1:5" x14ac:dyDescent="0.35">
      <c r="A12">
        <v>4</v>
      </c>
      <c r="B12">
        <v>5</v>
      </c>
      <c r="C12">
        <v>15</v>
      </c>
      <c r="D12" t="s">
        <v>7</v>
      </c>
      <c r="E12">
        <v>105</v>
      </c>
    </row>
    <row r="13" spans="1:5" x14ac:dyDescent="0.35">
      <c r="A13">
        <v>5</v>
      </c>
      <c r="B13">
        <v>2</v>
      </c>
      <c r="C13">
        <v>7</v>
      </c>
      <c r="D13" t="s">
        <v>8</v>
      </c>
      <c r="E13">
        <v>82</v>
      </c>
    </row>
    <row r="14" spans="1:5" x14ac:dyDescent="0.35">
      <c r="A14">
        <v>5</v>
      </c>
      <c r="B14">
        <v>3</v>
      </c>
      <c r="C14">
        <v>22</v>
      </c>
      <c r="D14" t="s">
        <v>7</v>
      </c>
      <c r="E14">
        <v>81</v>
      </c>
    </row>
    <row r="15" spans="1:5" x14ac:dyDescent="0.35">
      <c r="A15">
        <v>5</v>
      </c>
      <c r="B15">
        <v>6</v>
      </c>
      <c r="C15">
        <v>13</v>
      </c>
      <c r="D15" t="s">
        <v>5</v>
      </c>
      <c r="E15">
        <v>97</v>
      </c>
    </row>
    <row r="16" spans="1:5" x14ac:dyDescent="0.35">
      <c r="A16">
        <v>5</v>
      </c>
      <c r="B16">
        <v>7</v>
      </c>
      <c r="C16">
        <v>8</v>
      </c>
      <c r="D16" t="s">
        <v>10</v>
      </c>
      <c r="E16">
        <v>80</v>
      </c>
    </row>
    <row r="17" spans="1:5" x14ac:dyDescent="0.35">
      <c r="A17">
        <v>6</v>
      </c>
      <c r="B17">
        <v>3</v>
      </c>
      <c r="C17">
        <v>23</v>
      </c>
      <c r="D17" t="s">
        <v>5</v>
      </c>
      <c r="E17">
        <v>90</v>
      </c>
    </row>
    <row r="18" spans="1:5" x14ac:dyDescent="0.35">
      <c r="A18">
        <v>6</v>
      </c>
      <c r="B18">
        <v>4</v>
      </c>
      <c r="C18">
        <v>12</v>
      </c>
      <c r="D18" t="s">
        <v>9</v>
      </c>
      <c r="E18">
        <v>75</v>
      </c>
    </row>
    <row r="19" spans="1:5" x14ac:dyDescent="0.35">
      <c r="A19">
        <v>6</v>
      </c>
      <c r="B19">
        <v>5</v>
      </c>
      <c r="C19">
        <v>14</v>
      </c>
      <c r="D19" t="s">
        <v>11</v>
      </c>
      <c r="E19">
        <v>70</v>
      </c>
    </row>
    <row r="20" spans="1:5" x14ac:dyDescent="0.35">
      <c r="A20">
        <v>6</v>
      </c>
      <c r="B20">
        <v>7</v>
      </c>
      <c r="C20">
        <v>10</v>
      </c>
      <c r="D20" t="s">
        <v>6</v>
      </c>
      <c r="E20">
        <v>88</v>
      </c>
    </row>
    <row r="21" spans="1:5" x14ac:dyDescent="0.35">
      <c r="A21">
        <v>7</v>
      </c>
      <c r="B21">
        <v>1</v>
      </c>
      <c r="C21">
        <v>5</v>
      </c>
      <c r="D21" t="s">
        <v>9</v>
      </c>
      <c r="E21">
        <v>30</v>
      </c>
    </row>
    <row r="22" spans="1:5" x14ac:dyDescent="0.35">
      <c r="A22">
        <v>7</v>
      </c>
      <c r="B22">
        <v>2</v>
      </c>
      <c r="C22">
        <v>6</v>
      </c>
      <c r="D22" t="s">
        <v>5</v>
      </c>
      <c r="E22">
        <v>73</v>
      </c>
    </row>
    <row r="23" spans="1:5" x14ac:dyDescent="0.35">
      <c r="A23">
        <v>7</v>
      </c>
      <c r="B23">
        <v>3</v>
      </c>
      <c r="C23">
        <v>19</v>
      </c>
      <c r="D23" t="s">
        <v>12</v>
      </c>
      <c r="E23">
        <v>25</v>
      </c>
    </row>
    <row r="24" spans="1:5" x14ac:dyDescent="0.35">
      <c r="A24">
        <v>7</v>
      </c>
      <c r="B24">
        <v>5</v>
      </c>
      <c r="C24">
        <v>15</v>
      </c>
      <c r="D24" t="s">
        <v>10</v>
      </c>
      <c r="E24">
        <v>33</v>
      </c>
    </row>
    <row r="25" spans="1:5" x14ac:dyDescent="0.35">
      <c r="A25">
        <v>7</v>
      </c>
      <c r="B25">
        <v>6</v>
      </c>
      <c r="C25">
        <v>23</v>
      </c>
      <c r="D25" t="s">
        <v>11</v>
      </c>
      <c r="E25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A42"/>
  <sheetViews>
    <sheetView tabSelected="1" topLeftCell="H17" zoomScale="80" zoomScaleNormal="80" workbookViewId="0">
      <selection activeCell="R42" sqref="R42"/>
    </sheetView>
  </sheetViews>
  <sheetFormatPr defaultRowHeight="14.85" x14ac:dyDescent="0.35"/>
  <cols>
    <col min="3" max="3" width="4.90625" customWidth="1"/>
    <col min="4" max="4" width="18.54296875" bestFit="1" customWidth="1"/>
    <col min="5" max="5" width="3.54296875" customWidth="1"/>
    <col min="6" max="6" width="18.54296875" bestFit="1" customWidth="1"/>
    <col min="10" max="10" width="18.54296875" bestFit="1" customWidth="1"/>
    <col min="14" max="14" width="13.6328125" bestFit="1" customWidth="1"/>
    <col min="17" max="18" width="18.54296875" bestFit="1" customWidth="1"/>
    <col min="19" max="19" width="13.90625" bestFit="1" customWidth="1"/>
    <col min="20" max="20" width="9.90625" bestFit="1" customWidth="1"/>
    <col min="21" max="21" width="12.36328125" bestFit="1" customWidth="1"/>
    <col min="23" max="23" width="11.54296875" bestFit="1" customWidth="1"/>
    <col min="24" max="24" width="22.7265625" bestFit="1" customWidth="1"/>
    <col min="25" max="25" width="14.7265625" bestFit="1" customWidth="1"/>
    <col min="26" max="26" width="13.1796875" customWidth="1"/>
    <col min="27" max="27" width="10.26953125" bestFit="1" customWidth="1"/>
  </cols>
  <sheetData>
    <row r="1" spans="2:27" ht="15.35" thickBot="1" x14ac:dyDescent="0.4"/>
    <row r="2" spans="2:27" ht="15.35" thickBot="1" x14ac:dyDescent="0.4">
      <c r="F2" s="77" t="s">
        <v>30</v>
      </c>
      <c r="G2" s="77"/>
      <c r="H2" s="77"/>
      <c r="I2" s="77"/>
      <c r="J2" s="78">
        <f>SUMPRODUCT(B6:B29,G6:G29)</f>
        <v>307516.9664333238</v>
      </c>
      <c r="K2" s="79"/>
    </row>
    <row r="4" spans="2:27" ht="15.35" thickBot="1" x14ac:dyDescent="0.4"/>
    <row r="5" spans="2:27" ht="15.35" thickBot="1" x14ac:dyDescent="0.4">
      <c r="B5" s="4" t="s">
        <v>31</v>
      </c>
      <c r="C5" s="72" t="s">
        <v>32</v>
      </c>
      <c r="D5" s="73"/>
      <c r="E5" s="74" t="s">
        <v>33</v>
      </c>
      <c r="F5" s="75"/>
      <c r="G5" s="32" t="s">
        <v>34</v>
      </c>
      <c r="I5" s="74" t="s">
        <v>35</v>
      </c>
      <c r="J5" s="76"/>
      <c r="K5" s="35" t="s">
        <v>36</v>
      </c>
      <c r="L5" s="6" t="s">
        <v>37</v>
      </c>
      <c r="M5" s="6" t="s">
        <v>38</v>
      </c>
      <c r="N5" s="5" t="s">
        <v>39</v>
      </c>
      <c r="Q5" s="48">
        <v>1</v>
      </c>
      <c r="R5" s="49">
        <v>2</v>
      </c>
      <c r="S5" s="49" t="s">
        <v>40</v>
      </c>
      <c r="T5" s="49" t="s">
        <v>42</v>
      </c>
      <c r="U5" s="49" t="s">
        <v>43</v>
      </c>
      <c r="V5" s="49" t="s">
        <v>41</v>
      </c>
      <c r="W5" s="54" t="s">
        <v>47</v>
      </c>
      <c r="X5" s="50" t="s">
        <v>48</v>
      </c>
      <c r="Y5" s="63" t="s">
        <v>60</v>
      </c>
      <c r="Z5" s="63" t="s">
        <v>50</v>
      </c>
      <c r="AA5" s="59" t="s">
        <v>49</v>
      </c>
    </row>
    <row r="6" spans="2:27" ht="15.35" thickBot="1" x14ac:dyDescent="0.4">
      <c r="B6" s="7">
        <v>3002.8464679666308</v>
      </c>
      <c r="C6" s="33">
        <v>1</v>
      </c>
      <c r="D6" s="8" t="str">
        <f>VLOOKUP(C6,$I$6:$J$12,2,0)</f>
        <v>Cinnamon Swamp</v>
      </c>
      <c r="E6" s="33">
        <v>2</v>
      </c>
      <c r="F6" s="8" t="str">
        <f>_xlfn.XLOOKUP(E6,$I$6:$I$12,$J$6:$J$12)</f>
        <v>Coconut Cream Cove</v>
      </c>
      <c r="G6" s="27">
        <v>11</v>
      </c>
      <c r="I6" s="9">
        <v>1</v>
      </c>
      <c r="J6" s="9" t="s">
        <v>19</v>
      </c>
      <c r="K6" s="39">
        <f>SUMIF($E$6:$E$29,I6,$B$6:$B$29)</f>
        <v>0</v>
      </c>
      <c r="L6" s="8">
        <f>SUMIF($C$6:$C$29,I6,$B$6:$B$29)</f>
        <v>9516.0000000001455</v>
      </c>
      <c r="M6" s="13">
        <f>K6-L6</f>
        <v>-9516.0000000001455</v>
      </c>
      <c r="N6" s="36">
        <v>-9516</v>
      </c>
      <c r="Q6" s="9" t="s">
        <v>19</v>
      </c>
      <c r="R6" s="10" t="s">
        <v>18</v>
      </c>
      <c r="S6" s="11">
        <f>_xlfn.XLOOKUP(Q6,$J$15:$J$21,$K$15:$K$21)</f>
        <v>37.5</v>
      </c>
      <c r="T6" s="8">
        <f>_xlfn.XLOOKUP(Q6,$J$15:$J$21,$L$15:$L$21)</f>
        <v>-102.5</v>
      </c>
      <c r="U6" s="8">
        <f>_xlfn.XLOOKUP(R6,$J$15:$J$21,$K$15:$K$21)</f>
        <v>39.11</v>
      </c>
      <c r="V6" s="8">
        <f>_xlfn.XLOOKUP(R6,$J$15:$J$21,$L$15:$L$21)</f>
        <v>-101.96</v>
      </c>
      <c r="W6" s="51">
        <f>SQRT(ABS((S6-U6)^2+(T6-V6)^2))</f>
        <v>1.6981460479004757</v>
      </c>
      <c r="X6" s="8" t="s">
        <v>5</v>
      </c>
      <c r="Y6" s="56">
        <v>1</v>
      </c>
      <c r="Z6" s="60">
        <v>101</v>
      </c>
      <c r="AA6" s="64">
        <v>1</v>
      </c>
    </row>
    <row r="7" spans="2:27" ht="15.35" thickBot="1" x14ac:dyDescent="0.4">
      <c r="B7" s="14">
        <v>976.28425708275245</v>
      </c>
      <c r="C7" s="31">
        <v>1</v>
      </c>
      <c r="D7" s="8" t="str">
        <f t="shared" ref="D7:D29" si="0">VLOOKUP(C7,$I$6:$J$12,2,0)</f>
        <v>Cinnamon Swamp</v>
      </c>
      <c r="E7" s="31">
        <v>3</v>
      </c>
      <c r="F7" s="8" t="str">
        <f t="shared" ref="F7:F29" si="1">_xlfn.XLOOKUP(E7,$I$6:$I$12,$J$6:$J$12)</f>
        <v>Creme Brulee Cliffs</v>
      </c>
      <c r="G7" s="28">
        <v>21</v>
      </c>
      <c r="I7" s="15">
        <v>2</v>
      </c>
      <c r="J7" s="15" t="s">
        <v>18</v>
      </c>
      <c r="K7" s="40">
        <f t="shared" ref="K7:K12" si="2">SUMIF($E$6:$E$29,I7,$B$6:$B$29)</f>
        <v>3002.8464679666308</v>
      </c>
      <c r="L7" s="12">
        <f>SUMIF($C$6:$C$29,I7,$B$6:$B$29)</f>
        <v>1058.8464679666306</v>
      </c>
      <c r="M7" s="19">
        <f t="shared" ref="M7:M12" si="3">K7-L7</f>
        <v>1944.0000000000002</v>
      </c>
      <c r="N7" s="37">
        <v>1944</v>
      </c>
      <c r="Q7" s="15" t="s">
        <v>19</v>
      </c>
      <c r="R7" s="16" t="s">
        <v>17</v>
      </c>
      <c r="S7" s="25">
        <f t="shared" ref="S7:S29" si="4">_xlfn.XLOOKUP(Q7,$J$15:$J$21,$K$15:$K$21)</f>
        <v>37.5</v>
      </c>
      <c r="T7" s="12">
        <f t="shared" ref="T7:T29" si="5">_xlfn.XLOOKUP(Q7,$J$15:$J$21,$L$15:$L$21)</f>
        <v>-102.5</v>
      </c>
      <c r="U7" s="12">
        <f t="shared" ref="U7:U28" si="6">_xlfn.XLOOKUP(R7,$J$15:$J$21,$K$15:$K$21)</f>
        <v>32.25</v>
      </c>
      <c r="V7" s="12">
        <f t="shared" ref="V7:V29" si="7">_xlfn.XLOOKUP(R7,$J$15:$J$21,$L$15:$L$21)</f>
        <v>-116.65</v>
      </c>
      <c r="W7" s="52">
        <f t="shared" ref="W7:W29" si="8">SQRT(ABS((S7-U7)^2+(T7-V7)^2))</f>
        <v>15.092547829972252</v>
      </c>
      <c r="X7" s="12" t="s">
        <v>6</v>
      </c>
      <c r="Y7" s="57">
        <v>0</v>
      </c>
      <c r="Z7" s="61">
        <v>114</v>
      </c>
      <c r="AA7" s="65">
        <v>1</v>
      </c>
    </row>
    <row r="8" spans="2:27" ht="15.35" thickBot="1" x14ac:dyDescent="0.4">
      <c r="B8" s="14">
        <v>5536.8692749507627</v>
      </c>
      <c r="C8" s="31">
        <v>1</v>
      </c>
      <c r="D8" s="8" t="str">
        <f t="shared" si="0"/>
        <v>Cinnamon Swamp</v>
      </c>
      <c r="E8" s="31">
        <v>7</v>
      </c>
      <c r="F8" s="8" t="str">
        <f t="shared" si="1"/>
        <v>Sherbet Shoreline</v>
      </c>
      <c r="G8" s="28">
        <v>24</v>
      </c>
      <c r="I8" s="15">
        <v>3</v>
      </c>
      <c r="J8" s="15" t="s">
        <v>17</v>
      </c>
      <c r="K8" s="40">
        <f t="shared" si="2"/>
        <v>2258.1535320335151</v>
      </c>
      <c r="L8" s="12">
        <f t="shared" ref="L8:L12" si="9">SUMIF($C$6:$C$29,I8,$B$6:$B$29)</f>
        <v>708.15353203351526</v>
      </c>
      <c r="M8" s="19">
        <f t="shared" si="3"/>
        <v>1550</v>
      </c>
      <c r="N8" s="37">
        <v>1550</v>
      </c>
      <c r="Q8" s="15" t="s">
        <v>19</v>
      </c>
      <c r="R8" s="16" t="s">
        <v>13</v>
      </c>
      <c r="S8" s="25">
        <f t="shared" si="4"/>
        <v>37.5</v>
      </c>
      <c r="T8" s="12">
        <f t="shared" si="5"/>
        <v>-102.5</v>
      </c>
      <c r="U8" s="12">
        <f t="shared" si="6"/>
        <v>44.46</v>
      </c>
      <c r="V8" s="12">
        <f t="shared" si="7"/>
        <v>-112.07</v>
      </c>
      <c r="W8" s="52">
        <f t="shared" si="8"/>
        <v>11.83327934259983</v>
      </c>
      <c r="X8" s="12" t="s">
        <v>7</v>
      </c>
      <c r="Y8" s="57">
        <v>1</v>
      </c>
      <c r="Z8" s="61">
        <v>31</v>
      </c>
      <c r="AA8" s="65">
        <v>0</v>
      </c>
    </row>
    <row r="9" spans="2:27" ht="15.35" thickBot="1" x14ac:dyDescent="0.4">
      <c r="B9" s="14">
        <v>1058.8464679666306</v>
      </c>
      <c r="C9" s="31">
        <v>2</v>
      </c>
      <c r="D9" s="8" t="str">
        <f t="shared" si="0"/>
        <v>Coconut Cream Cove</v>
      </c>
      <c r="E9" s="31">
        <v>4</v>
      </c>
      <c r="F9" s="8" t="str">
        <f t="shared" si="1"/>
        <v>Crispy Rice Reef</v>
      </c>
      <c r="G9" s="28">
        <v>22</v>
      </c>
      <c r="I9" s="15">
        <v>4</v>
      </c>
      <c r="J9" s="15" t="s">
        <v>16</v>
      </c>
      <c r="K9" s="40">
        <f t="shared" si="2"/>
        <v>1767.000000000146</v>
      </c>
      <c r="L9" s="12">
        <f t="shared" si="9"/>
        <v>0</v>
      </c>
      <c r="M9" s="19">
        <f>K9-L9</f>
        <v>1767.000000000146</v>
      </c>
      <c r="N9" s="37">
        <v>1767</v>
      </c>
      <c r="Q9" s="15" t="s">
        <v>18</v>
      </c>
      <c r="R9" s="16" t="s">
        <v>16</v>
      </c>
      <c r="S9" s="25">
        <f t="shared" si="4"/>
        <v>39.11</v>
      </c>
      <c r="T9" s="12">
        <f t="shared" si="5"/>
        <v>-101.96</v>
      </c>
      <c r="U9" s="12">
        <f t="shared" si="6"/>
        <v>44.91</v>
      </c>
      <c r="V9" s="12">
        <f t="shared" si="7"/>
        <v>-108.26</v>
      </c>
      <c r="W9" s="52">
        <f t="shared" si="8"/>
        <v>8.5632937588290226</v>
      </c>
      <c r="X9" s="12" t="s">
        <v>8</v>
      </c>
      <c r="Y9" s="57">
        <v>1</v>
      </c>
      <c r="Z9" s="61">
        <v>103</v>
      </c>
      <c r="AA9" s="65">
        <v>1</v>
      </c>
    </row>
    <row r="10" spans="2:27" ht="15.35" thickBot="1" x14ac:dyDescent="0.4">
      <c r="B10" s="14">
        <v>0</v>
      </c>
      <c r="C10" s="31">
        <v>2</v>
      </c>
      <c r="D10" s="8" t="str">
        <f t="shared" si="0"/>
        <v>Coconut Cream Cove</v>
      </c>
      <c r="E10" s="31">
        <v>6</v>
      </c>
      <c r="F10" s="8" t="str">
        <f t="shared" si="1"/>
        <v>Milkshake Mire</v>
      </c>
      <c r="G10" s="28">
        <v>10</v>
      </c>
      <c r="I10" s="15">
        <v>5</v>
      </c>
      <c r="J10" s="15" t="s">
        <v>15</v>
      </c>
      <c r="K10" s="40">
        <f t="shared" si="2"/>
        <v>1646</v>
      </c>
      <c r="L10" s="12">
        <f t="shared" si="9"/>
        <v>0</v>
      </c>
      <c r="M10" s="19">
        <f>K10-L10</f>
        <v>1646</v>
      </c>
      <c r="N10" s="37">
        <v>1646</v>
      </c>
      <c r="Q10" s="15" t="s">
        <v>18</v>
      </c>
      <c r="R10" s="16" t="s">
        <v>14</v>
      </c>
      <c r="S10" s="25">
        <f t="shared" si="4"/>
        <v>39.11</v>
      </c>
      <c r="T10" s="12">
        <f t="shared" si="5"/>
        <v>-101.96</v>
      </c>
      <c r="U10" s="12">
        <f t="shared" si="6"/>
        <v>41.2</v>
      </c>
      <c r="V10" s="12">
        <f t="shared" si="7"/>
        <v>-86.02</v>
      </c>
      <c r="W10" s="52">
        <f t="shared" si="8"/>
        <v>16.076433062094338</v>
      </c>
      <c r="X10" s="12" t="s">
        <v>5</v>
      </c>
      <c r="Y10" s="57">
        <v>1</v>
      </c>
      <c r="Z10" s="61">
        <v>34</v>
      </c>
      <c r="AA10" s="65">
        <v>0</v>
      </c>
    </row>
    <row r="11" spans="2:27" ht="15.35" thickBot="1" x14ac:dyDescent="0.4">
      <c r="B11" s="14">
        <v>0</v>
      </c>
      <c r="C11" s="31">
        <v>3</v>
      </c>
      <c r="D11" s="8" t="str">
        <f t="shared" si="0"/>
        <v>Creme Brulee Cliffs</v>
      </c>
      <c r="E11" s="31">
        <v>1</v>
      </c>
      <c r="F11" s="8" t="str">
        <f t="shared" si="1"/>
        <v>Cinnamon Swamp</v>
      </c>
      <c r="G11" s="28">
        <v>17</v>
      </c>
      <c r="I11" s="15">
        <v>6</v>
      </c>
      <c r="J11" s="15" t="s">
        <v>14</v>
      </c>
      <c r="K11" s="40">
        <f t="shared" si="2"/>
        <v>1380.9999999999998</v>
      </c>
      <c r="L11" s="12">
        <f t="shared" si="9"/>
        <v>0</v>
      </c>
      <c r="M11" s="19">
        <f t="shared" si="3"/>
        <v>1380.9999999999998</v>
      </c>
      <c r="N11" s="37">
        <v>1381</v>
      </c>
      <c r="Q11" s="15" t="s">
        <v>17</v>
      </c>
      <c r="R11" s="16" t="s">
        <v>19</v>
      </c>
      <c r="S11" s="25">
        <f t="shared" si="4"/>
        <v>32.25</v>
      </c>
      <c r="T11" s="12">
        <f t="shared" si="5"/>
        <v>-116.65</v>
      </c>
      <c r="U11" s="12">
        <f t="shared" si="6"/>
        <v>37.5</v>
      </c>
      <c r="V11" s="12">
        <f t="shared" si="7"/>
        <v>-102.5</v>
      </c>
      <c r="W11" s="52">
        <f t="shared" si="8"/>
        <v>15.092547829972252</v>
      </c>
      <c r="X11" s="12" t="s">
        <v>8</v>
      </c>
      <c r="Y11" s="57">
        <v>1</v>
      </c>
      <c r="Z11" s="61">
        <v>27</v>
      </c>
      <c r="AA11" s="65">
        <v>0</v>
      </c>
    </row>
    <row r="12" spans="2:27" ht="15.35" thickBot="1" x14ac:dyDescent="0.4">
      <c r="B12" s="14">
        <v>0</v>
      </c>
      <c r="C12" s="31">
        <v>3</v>
      </c>
      <c r="D12" s="8" t="str">
        <f t="shared" si="0"/>
        <v>Creme Brulee Cliffs</v>
      </c>
      <c r="E12" s="31">
        <v>2</v>
      </c>
      <c r="F12" s="8" t="str">
        <f t="shared" si="1"/>
        <v>Coconut Cream Cove</v>
      </c>
      <c r="G12" s="28">
        <v>14</v>
      </c>
      <c r="I12" s="20">
        <v>7</v>
      </c>
      <c r="J12" s="20" t="s">
        <v>13</v>
      </c>
      <c r="K12" s="41">
        <f t="shared" si="2"/>
        <v>5536.8692749507627</v>
      </c>
      <c r="L12" s="22">
        <f t="shared" si="9"/>
        <v>4308.8692749507627</v>
      </c>
      <c r="M12" s="23">
        <f t="shared" si="3"/>
        <v>1228</v>
      </c>
      <c r="N12" s="38">
        <v>1228</v>
      </c>
      <c r="Q12" s="15" t="s">
        <v>17</v>
      </c>
      <c r="R12" s="16" t="s">
        <v>18</v>
      </c>
      <c r="S12" s="25">
        <f t="shared" si="4"/>
        <v>32.25</v>
      </c>
      <c r="T12" s="12">
        <f t="shared" si="5"/>
        <v>-116.65</v>
      </c>
      <c r="U12" s="12">
        <f t="shared" si="6"/>
        <v>39.11</v>
      </c>
      <c r="V12" s="12">
        <f t="shared" si="7"/>
        <v>-101.96</v>
      </c>
      <c r="W12" s="52">
        <f t="shared" si="8"/>
        <v>16.212825170216334</v>
      </c>
      <c r="X12" s="12" t="s">
        <v>9</v>
      </c>
      <c r="Y12" s="57">
        <v>1</v>
      </c>
      <c r="Z12" s="61">
        <v>96</v>
      </c>
      <c r="AA12" s="65">
        <v>1</v>
      </c>
    </row>
    <row r="13" spans="2:27" ht="15.35" thickBot="1" x14ac:dyDescent="0.4">
      <c r="B13" s="14">
        <v>708.15353203351526</v>
      </c>
      <c r="C13" s="31">
        <v>3</v>
      </c>
      <c r="D13" s="8" t="str">
        <f t="shared" si="0"/>
        <v>Creme Brulee Cliffs</v>
      </c>
      <c r="E13" s="31">
        <v>4</v>
      </c>
      <c r="F13" s="8" t="str">
        <f t="shared" si="1"/>
        <v>Crispy Rice Reef</v>
      </c>
      <c r="G13" s="28">
        <v>24</v>
      </c>
      <c r="Q13" s="15" t="s">
        <v>17</v>
      </c>
      <c r="R13" s="16" t="s">
        <v>16</v>
      </c>
      <c r="S13" s="25">
        <f t="shared" si="4"/>
        <v>32.25</v>
      </c>
      <c r="T13" s="12">
        <f t="shared" si="5"/>
        <v>-116.65</v>
      </c>
      <c r="U13" s="12">
        <f t="shared" si="6"/>
        <v>44.91</v>
      </c>
      <c r="V13" s="12">
        <f t="shared" si="7"/>
        <v>-108.26</v>
      </c>
      <c r="W13" s="52">
        <f t="shared" si="8"/>
        <v>15.18774835187889</v>
      </c>
      <c r="X13" s="12" t="s">
        <v>10</v>
      </c>
      <c r="Y13" s="57">
        <v>0</v>
      </c>
      <c r="Z13" s="61">
        <v>78</v>
      </c>
      <c r="AA13" s="65">
        <v>1</v>
      </c>
    </row>
    <row r="14" spans="2:27" ht="15.35" thickBot="1" x14ac:dyDescent="0.4">
      <c r="B14" s="14">
        <v>0</v>
      </c>
      <c r="C14" s="31">
        <v>3</v>
      </c>
      <c r="D14" s="8" t="str">
        <f t="shared" si="0"/>
        <v>Creme Brulee Cliffs</v>
      </c>
      <c r="E14" s="31">
        <v>5</v>
      </c>
      <c r="F14" s="8" t="str">
        <f t="shared" si="1"/>
        <v>Melty Mint Mountains</v>
      </c>
      <c r="G14" s="28">
        <v>10</v>
      </c>
      <c r="J14" s="43" t="s">
        <v>44</v>
      </c>
      <c r="K14" s="46" t="s">
        <v>45</v>
      </c>
      <c r="L14" s="45" t="s">
        <v>46</v>
      </c>
      <c r="Q14" s="15" t="s">
        <v>17</v>
      </c>
      <c r="R14" s="16" t="s">
        <v>15</v>
      </c>
      <c r="S14" s="25">
        <f t="shared" si="4"/>
        <v>32.25</v>
      </c>
      <c r="T14" s="12">
        <f t="shared" si="5"/>
        <v>-116.65</v>
      </c>
      <c r="U14" s="12">
        <f t="shared" si="6"/>
        <v>39.340000000000003</v>
      </c>
      <c r="V14" s="12">
        <f t="shared" si="7"/>
        <v>-104.72</v>
      </c>
      <c r="W14" s="52">
        <f t="shared" si="8"/>
        <v>13.877788008180561</v>
      </c>
      <c r="X14" s="12" t="s">
        <v>8</v>
      </c>
      <c r="Y14" s="57">
        <v>1</v>
      </c>
      <c r="Z14" s="61">
        <v>105</v>
      </c>
      <c r="AA14" s="65">
        <v>1</v>
      </c>
    </row>
    <row r="15" spans="2:27" ht="15.35" thickBot="1" x14ac:dyDescent="0.4">
      <c r="B15" s="14">
        <v>0</v>
      </c>
      <c r="C15" s="31">
        <v>4</v>
      </c>
      <c r="D15" s="8" t="str">
        <f t="shared" si="0"/>
        <v>Crispy Rice Reef</v>
      </c>
      <c r="E15" s="31">
        <v>1</v>
      </c>
      <c r="F15" s="8" t="str">
        <f t="shared" si="1"/>
        <v>Cinnamon Swamp</v>
      </c>
      <c r="G15" s="28">
        <v>15</v>
      </c>
      <c r="J15" s="47" t="s">
        <v>19</v>
      </c>
      <c r="K15" s="17">
        <v>37.5</v>
      </c>
      <c r="L15" s="18">
        <v>-102.5</v>
      </c>
      <c r="Q15" s="15" t="s">
        <v>16</v>
      </c>
      <c r="R15" s="16" t="s">
        <v>19</v>
      </c>
      <c r="S15" s="25">
        <f t="shared" si="4"/>
        <v>44.91</v>
      </c>
      <c r="T15" s="12">
        <f t="shared" si="5"/>
        <v>-108.26</v>
      </c>
      <c r="U15" s="12">
        <f t="shared" si="6"/>
        <v>37.5</v>
      </c>
      <c r="V15" s="12">
        <f t="shared" si="7"/>
        <v>-102.5</v>
      </c>
      <c r="W15" s="52">
        <f t="shared" si="8"/>
        <v>9.3853982334262192</v>
      </c>
      <c r="X15" s="12" t="s">
        <v>6</v>
      </c>
      <c r="Y15" s="57">
        <v>0</v>
      </c>
      <c r="Z15" s="61">
        <v>25</v>
      </c>
      <c r="AA15" s="65">
        <v>0</v>
      </c>
    </row>
    <row r="16" spans="2:27" ht="15.35" thickBot="1" x14ac:dyDescent="0.4">
      <c r="B16" s="14">
        <v>0</v>
      </c>
      <c r="C16" s="31">
        <v>4</v>
      </c>
      <c r="D16" s="8" t="str">
        <f t="shared" si="0"/>
        <v>Crispy Rice Reef</v>
      </c>
      <c r="E16" s="31">
        <v>5</v>
      </c>
      <c r="F16" s="8" t="str">
        <f t="shared" si="1"/>
        <v>Melty Mint Mountains</v>
      </c>
      <c r="G16" s="28">
        <v>15</v>
      </c>
      <c r="J16" s="16" t="s">
        <v>18</v>
      </c>
      <c r="K16" s="25">
        <v>39.11</v>
      </c>
      <c r="L16" s="12">
        <v>-101.96</v>
      </c>
      <c r="Q16" s="15" t="s">
        <v>16</v>
      </c>
      <c r="R16" s="16" t="s">
        <v>15</v>
      </c>
      <c r="S16" s="25">
        <f t="shared" si="4"/>
        <v>44.91</v>
      </c>
      <c r="T16" s="12">
        <f t="shared" si="5"/>
        <v>-108.26</v>
      </c>
      <c r="U16" s="12">
        <f t="shared" si="6"/>
        <v>39.340000000000003</v>
      </c>
      <c r="V16" s="12">
        <f t="shared" si="7"/>
        <v>-104.72</v>
      </c>
      <c r="W16" s="52">
        <f t="shared" si="8"/>
        <v>6.5997348431584717</v>
      </c>
      <c r="X16" s="12" t="s">
        <v>7</v>
      </c>
      <c r="Y16" s="57">
        <v>1</v>
      </c>
      <c r="Z16" s="61">
        <v>105</v>
      </c>
      <c r="AA16" s="65">
        <v>1</v>
      </c>
    </row>
    <row r="17" spans="2:27" ht="15.35" thickBot="1" x14ac:dyDescent="0.4">
      <c r="B17" s="14">
        <v>0</v>
      </c>
      <c r="C17" s="31">
        <v>5</v>
      </c>
      <c r="D17" s="8" t="str">
        <f t="shared" si="0"/>
        <v>Melty Mint Mountains</v>
      </c>
      <c r="E17" s="31">
        <v>2</v>
      </c>
      <c r="F17" s="8" t="str">
        <f t="shared" si="1"/>
        <v>Coconut Cream Cove</v>
      </c>
      <c r="G17" s="28">
        <v>7</v>
      </c>
      <c r="J17" s="16" t="s">
        <v>17</v>
      </c>
      <c r="K17" s="25">
        <v>32.25</v>
      </c>
      <c r="L17" s="12">
        <v>-116.65</v>
      </c>
      <c r="Q17" s="15" t="s">
        <v>15</v>
      </c>
      <c r="R17" s="16" t="s">
        <v>18</v>
      </c>
      <c r="S17" s="25">
        <f t="shared" si="4"/>
        <v>39.340000000000003</v>
      </c>
      <c r="T17" s="12">
        <f t="shared" si="5"/>
        <v>-104.72</v>
      </c>
      <c r="U17" s="12">
        <f t="shared" si="6"/>
        <v>39.11</v>
      </c>
      <c r="V17" s="12">
        <f t="shared" si="7"/>
        <v>-101.96</v>
      </c>
      <c r="W17" s="52">
        <f t="shared" si="8"/>
        <v>2.7695667531222332</v>
      </c>
      <c r="X17" s="12" t="s">
        <v>8</v>
      </c>
      <c r="Y17" s="57">
        <v>1</v>
      </c>
      <c r="Z17" s="61">
        <v>82</v>
      </c>
      <c r="AA17" s="65">
        <v>1</v>
      </c>
    </row>
    <row r="18" spans="2:27" ht="15.35" thickBot="1" x14ac:dyDescent="0.4">
      <c r="B18" s="14">
        <v>0</v>
      </c>
      <c r="C18" s="31">
        <v>5</v>
      </c>
      <c r="D18" s="8" t="str">
        <f t="shared" si="0"/>
        <v>Melty Mint Mountains</v>
      </c>
      <c r="E18" s="31">
        <v>3</v>
      </c>
      <c r="F18" s="8" t="str">
        <f t="shared" si="1"/>
        <v>Creme Brulee Cliffs</v>
      </c>
      <c r="G18" s="28">
        <v>22</v>
      </c>
      <c r="J18" s="16" t="s">
        <v>16</v>
      </c>
      <c r="K18" s="25">
        <v>44.91</v>
      </c>
      <c r="L18" s="12">
        <v>-108.26</v>
      </c>
      <c r="Q18" s="15" t="s">
        <v>15</v>
      </c>
      <c r="R18" s="16" t="s">
        <v>17</v>
      </c>
      <c r="S18" s="25">
        <f t="shared" si="4"/>
        <v>39.340000000000003</v>
      </c>
      <c r="T18" s="12">
        <f t="shared" si="5"/>
        <v>-104.72</v>
      </c>
      <c r="U18" s="12">
        <f t="shared" si="6"/>
        <v>32.25</v>
      </c>
      <c r="V18" s="12">
        <f t="shared" si="7"/>
        <v>-116.65</v>
      </c>
      <c r="W18" s="52">
        <f t="shared" si="8"/>
        <v>13.877788008180561</v>
      </c>
      <c r="X18" s="12" t="s">
        <v>7</v>
      </c>
      <c r="Y18" s="57">
        <v>1</v>
      </c>
      <c r="Z18" s="61">
        <v>81</v>
      </c>
      <c r="AA18" s="65">
        <v>1</v>
      </c>
    </row>
    <row r="19" spans="2:27" ht="15.35" thickBot="1" x14ac:dyDescent="0.4">
      <c r="B19" s="14">
        <v>0</v>
      </c>
      <c r="C19" s="31">
        <v>5</v>
      </c>
      <c r="D19" s="8" t="str">
        <f t="shared" si="0"/>
        <v>Melty Mint Mountains</v>
      </c>
      <c r="E19" s="31">
        <v>6</v>
      </c>
      <c r="F19" s="8" t="str">
        <f t="shared" si="1"/>
        <v>Milkshake Mire</v>
      </c>
      <c r="G19" s="28">
        <v>13</v>
      </c>
      <c r="J19" s="16" t="s">
        <v>15</v>
      </c>
      <c r="K19" s="25">
        <v>39.340000000000003</v>
      </c>
      <c r="L19" s="12">
        <v>-104.72</v>
      </c>
      <c r="Q19" s="15" t="s">
        <v>15</v>
      </c>
      <c r="R19" s="16" t="s">
        <v>14</v>
      </c>
      <c r="S19" s="25">
        <f t="shared" si="4"/>
        <v>39.340000000000003</v>
      </c>
      <c r="T19" s="12">
        <f t="shared" si="5"/>
        <v>-104.72</v>
      </c>
      <c r="U19" s="12">
        <f t="shared" si="6"/>
        <v>41.2</v>
      </c>
      <c r="V19" s="12">
        <f t="shared" si="7"/>
        <v>-86.02</v>
      </c>
      <c r="W19" s="52">
        <f t="shared" si="8"/>
        <v>18.792275008630543</v>
      </c>
      <c r="X19" s="12" t="s">
        <v>5</v>
      </c>
      <c r="Y19" s="57">
        <v>1</v>
      </c>
      <c r="Z19" s="61">
        <v>97</v>
      </c>
      <c r="AA19" s="65">
        <v>1</v>
      </c>
    </row>
    <row r="20" spans="2:27" ht="15.35" thickBot="1" x14ac:dyDescent="0.4">
      <c r="B20" s="14">
        <v>0</v>
      </c>
      <c r="C20" s="31">
        <v>5</v>
      </c>
      <c r="D20" s="8" t="str">
        <f t="shared" si="0"/>
        <v>Melty Mint Mountains</v>
      </c>
      <c r="E20" s="31">
        <v>7</v>
      </c>
      <c r="F20" s="8" t="str">
        <f t="shared" si="1"/>
        <v>Sherbet Shoreline</v>
      </c>
      <c r="G20" s="28">
        <v>8</v>
      </c>
      <c r="J20" s="16" t="s">
        <v>14</v>
      </c>
      <c r="K20" s="25">
        <v>41.2</v>
      </c>
      <c r="L20" s="12">
        <v>-86.02</v>
      </c>
      <c r="Q20" s="15" t="s">
        <v>15</v>
      </c>
      <c r="R20" s="16" t="s">
        <v>13</v>
      </c>
      <c r="S20" s="25">
        <f t="shared" si="4"/>
        <v>39.340000000000003</v>
      </c>
      <c r="T20" s="12">
        <f t="shared" si="5"/>
        <v>-104.72</v>
      </c>
      <c r="U20" s="12">
        <f t="shared" si="6"/>
        <v>44.46</v>
      </c>
      <c r="V20" s="12">
        <f t="shared" si="7"/>
        <v>-112.07</v>
      </c>
      <c r="W20" s="52">
        <f t="shared" si="8"/>
        <v>8.9575052330433991</v>
      </c>
      <c r="X20" s="12" t="s">
        <v>10</v>
      </c>
      <c r="Y20" s="57">
        <v>0</v>
      </c>
      <c r="Z20" s="61">
        <v>80</v>
      </c>
      <c r="AA20" s="65">
        <v>1</v>
      </c>
    </row>
    <row r="21" spans="2:27" ht="15.35" thickBot="1" x14ac:dyDescent="0.4">
      <c r="B21" s="14">
        <v>0</v>
      </c>
      <c r="C21" s="31">
        <v>6</v>
      </c>
      <c r="D21" s="8" t="str">
        <f t="shared" si="0"/>
        <v>Milkshake Mire</v>
      </c>
      <c r="E21" s="31">
        <v>3</v>
      </c>
      <c r="F21" s="8" t="str">
        <f t="shared" si="1"/>
        <v>Creme Brulee Cliffs</v>
      </c>
      <c r="G21" s="28">
        <v>23</v>
      </c>
      <c r="J21" s="21" t="s">
        <v>13</v>
      </c>
      <c r="K21" s="25">
        <v>44.46</v>
      </c>
      <c r="L21" s="12">
        <v>-112.07</v>
      </c>
      <c r="Q21" s="15" t="s">
        <v>14</v>
      </c>
      <c r="R21" s="16" t="s">
        <v>17</v>
      </c>
      <c r="S21" s="25">
        <f t="shared" si="4"/>
        <v>41.2</v>
      </c>
      <c r="T21" s="12">
        <f t="shared" si="5"/>
        <v>-86.02</v>
      </c>
      <c r="U21" s="12">
        <f t="shared" si="6"/>
        <v>32.25</v>
      </c>
      <c r="V21" s="12">
        <f t="shared" si="7"/>
        <v>-116.65</v>
      </c>
      <c r="W21" s="52">
        <f t="shared" si="8"/>
        <v>31.910803813128879</v>
      </c>
      <c r="X21" s="12" t="s">
        <v>5</v>
      </c>
      <c r="Y21" s="57">
        <v>1</v>
      </c>
      <c r="Z21" s="61">
        <v>90</v>
      </c>
      <c r="AA21" s="65">
        <v>1</v>
      </c>
    </row>
    <row r="22" spans="2:27" ht="15.35" thickBot="1" x14ac:dyDescent="0.4">
      <c r="B22" s="14">
        <v>0</v>
      </c>
      <c r="C22" s="31">
        <v>6</v>
      </c>
      <c r="D22" s="8" t="str">
        <f t="shared" si="0"/>
        <v>Milkshake Mire</v>
      </c>
      <c r="E22" s="31">
        <v>4</v>
      </c>
      <c r="F22" s="8" t="str">
        <f t="shared" si="1"/>
        <v>Crispy Rice Reef</v>
      </c>
      <c r="G22" s="28">
        <v>12</v>
      </c>
      <c r="Q22" s="15" t="s">
        <v>14</v>
      </c>
      <c r="R22" s="16" t="s">
        <v>16</v>
      </c>
      <c r="S22" s="25">
        <f t="shared" si="4"/>
        <v>41.2</v>
      </c>
      <c r="T22" s="12">
        <f t="shared" si="5"/>
        <v>-86.02</v>
      </c>
      <c r="U22" s="12">
        <f t="shared" si="6"/>
        <v>44.91</v>
      </c>
      <c r="V22" s="12">
        <f t="shared" si="7"/>
        <v>-108.26</v>
      </c>
      <c r="W22" s="52">
        <f t="shared" si="8"/>
        <v>22.547321348665793</v>
      </c>
      <c r="X22" s="12" t="s">
        <v>9</v>
      </c>
      <c r="Y22" s="57">
        <v>1</v>
      </c>
      <c r="Z22" s="61">
        <v>75</v>
      </c>
      <c r="AA22" s="65">
        <v>1</v>
      </c>
    </row>
    <row r="23" spans="2:27" ht="15.35" thickBot="1" x14ac:dyDescent="0.4">
      <c r="B23" s="14">
        <v>0</v>
      </c>
      <c r="C23" s="31">
        <v>6</v>
      </c>
      <c r="D23" s="8" t="str">
        <f t="shared" si="0"/>
        <v>Milkshake Mire</v>
      </c>
      <c r="E23" s="31">
        <v>5</v>
      </c>
      <c r="F23" s="8" t="str">
        <f t="shared" si="1"/>
        <v>Melty Mint Mountains</v>
      </c>
      <c r="G23" s="28">
        <v>14</v>
      </c>
      <c r="Q23" s="15" t="s">
        <v>14</v>
      </c>
      <c r="R23" s="16" t="s">
        <v>15</v>
      </c>
      <c r="S23" s="25">
        <f t="shared" si="4"/>
        <v>41.2</v>
      </c>
      <c r="T23" s="12">
        <f t="shared" si="5"/>
        <v>-86.02</v>
      </c>
      <c r="U23" s="12">
        <f t="shared" si="6"/>
        <v>39.340000000000003</v>
      </c>
      <c r="V23" s="12">
        <f t="shared" si="7"/>
        <v>-104.72</v>
      </c>
      <c r="W23" s="52">
        <f t="shared" si="8"/>
        <v>18.792275008630543</v>
      </c>
      <c r="X23" s="12" t="s">
        <v>11</v>
      </c>
      <c r="Y23" s="57">
        <v>0</v>
      </c>
      <c r="Z23" s="61">
        <v>70</v>
      </c>
      <c r="AA23" s="65">
        <v>1</v>
      </c>
    </row>
    <row r="24" spans="2:27" ht="15.35" thickBot="1" x14ac:dyDescent="0.4">
      <c r="B24" s="14">
        <v>0</v>
      </c>
      <c r="C24" s="31">
        <v>6</v>
      </c>
      <c r="D24" s="8" t="str">
        <f t="shared" si="0"/>
        <v>Milkshake Mire</v>
      </c>
      <c r="E24" s="31">
        <v>7</v>
      </c>
      <c r="F24" s="8" t="str">
        <f t="shared" si="1"/>
        <v>Sherbet Shoreline</v>
      </c>
      <c r="G24" s="28">
        <v>10</v>
      </c>
      <c r="Q24" s="15" t="s">
        <v>14</v>
      </c>
      <c r="R24" s="16" t="s">
        <v>13</v>
      </c>
      <c r="S24" s="25">
        <f t="shared" si="4"/>
        <v>41.2</v>
      </c>
      <c r="T24" s="12">
        <f t="shared" si="5"/>
        <v>-86.02</v>
      </c>
      <c r="U24" s="12">
        <f t="shared" si="6"/>
        <v>44.46</v>
      </c>
      <c r="V24" s="12">
        <f t="shared" si="7"/>
        <v>-112.07</v>
      </c>
      <c r="W24" s="52">
        <f t="shared" si="8"/>
        <v>26.253192186856058</v>
      </c>
      <c r="X24" s="12" t="s">
        <v>6</v>
      </c>
      <c r="Y24" s="57">
        <v>0</v>
      </c>
      <c r="Z24" s="61">
        <v>88</v>
      </c>
      <c r="AA24" s="65">
        <v>1</v>
      </c>
    </row>
    <row r="25" spans="2:27" ht="15.35" thickBot="1" x14ac:dyDescent="0.4">
      <c r="B25" s="14">
        <v>0</v>
      </c>
      <c r="C25" s="31">
        <v>7</v>
      </c>
      <c r="D25" s="8" t="str">
        <f t="shared" si="0"/>
        <v>Sherbet Shoreline</v>
      </c>
      <c r="E25" s="31">
        <v>1</v>
      </c>
      <c r="F25" s="8" t="str">
        <f t="shared" si="1"/>
        <v>Cinnamon Swamp</v>
      </c>
      <c r="G25" s="28">
        <v>5</v>
      </c>
      <c r="Q25" s="15" t="s">
        <v>13</v>
      </c>
      <c r="R25" s="16" t="s">
        <v>19</v>
      </c>
      <c r="S25" s="25">
        <f t="shared" si="4"/>
        <v>44.46</v>
      </c>
      <c r="T25" s="12">
        <f t="shared" si="5"/>
        <v>-112.07</v>
      </c>
      <c r="U25" s="12">
        <f t="shared" si="6"/>
        <v>37.5</v>
      </c>
      <c r="V25" s="12">
        <f t="shared" si="7"/>
        <v>-102.5</v>
      </c>
      <c r="W25" s="52">
        <f t="shared" si="8"/>
        <v>11.83327934259983</v>
      </c>
      <c r="X25" s="12" t="s">
        <v>9</v>
      </c>
      <c r="Y25" s="57">
        <v>1</v>
      </c>
      <c r="Z25" s="61">
        <v>30</v>
      </c>
      <c r="AA25" s="65">
        <v>0</v>
      </c>
    </row>
    <row r="26" spans="2:27" ht="15.35" thickBot="1" x14ac:dyDescent="0.4">
      <c r="B26" s="14">
        <v>0</v>
      </c>
      <c r="C26" s="31">
        <v>7</v>
      </c>
      <c r="D26" s="8" t="str">
        <f t="shared" si="0"/>
        <v>Sherbet Shoreline</v>
      </c>
      <c r="E26" s="31">
        <v>2</v>
      </c>
      <c r="F26" s="8" t="str">
        <f t="shared" si="1"/>
        <v>Coconut Cream Cove</v>
      </c>
      <c r="G26" s="28">
        <v>6</v>
      </c>
      <c r="Q26" s="15" t="s">
        <v>13</v>
      </c>
      <c r="R26" s="16" t="s">
        <v>18</v>
      </c>
      <c r="S26" s="25">
        <f t="shared" si="4"/>
        <v>44.46</v>
      </c>
      <c r="T26" s="12">
        <f t="shared" si="5"/>
        <v>-112.07</v>
      </c>
      <c r="U26" s="12">
        <f t="shared" si="6"/>
        <v>39.11</v>
      </c>
      <c r="V26" s="12">
        <f t="shared" si="7"/>
        <v>-101.96</v>
      </c>
      <c r="W26" s="52">
        <f t="shared" si="8"/>
        <v>11.438295327538979</v>
      </c>
      <c r="X26" s="12" t="s">
        <v>5</v>
      </c>
      <c r="Y26" s="57">
        <v>1</v>
      </c>
      <c r="Z26" s="61">
        <v>73</v>
      </c>
      <c r="AA26" s="65">
        <v>1</v>
      </c>
    </row>
    <row r="27" spans="2:27" ht="15.35" thickBot="1" x14ac:dyDescent="0.4">
      <c r="B27" s="14">
        <v>1281.8692749507629</v>
      </c>
      <c r="C27" s="31">
        <v>7</v>
      </c>
      <c r="D27" s="8" t="str">
        <f t="shared" si="0"/>
        <v>Sherbet Shoreline</v>
      </c>
      <c r="E27" s="31">
        <v>3</v>
      </c>
      <c r="F27" s="8" t="str">
        <f t="shared" si="1"/>
        <v>Creme Brulee Cliffs</v>
      </c>
      <c r="G27" s="28">
        <v>19</v>
      </c>
      <c r="Q27" s="15" t="s">
        <v>13</v>
      </c>
      <c r="R27" s="16" t="s">
        <v>17</v>
      </c>
      <c r="S27" s="25">
        <f t="shared" si="4"/>
        <v>44.46</v>
      </c>
      <c r="T27" s="12">
        <f t="shared" si="5"/>
        <v>-112.07</v>
      </c>
      <c r="U27" s="12">
        <f t="shared" si="6"/>
        <v>32.25</v>
      </c>
      <c r="V27" s="12">
        <f t="shared" si="7"/>
        <v>-116.65</v>
      </c>
      <c r="W27" s="52">
        <f t="shared" si="8"/>
        <v>13.040724673115378</v>
      </c>
      <c r="X27" s="12" t="s">
        <v>12</v>
      </c>
      <c r="Y27" s="57">
        <v>0</v>
      </c>
      <c r="Z27" s="61">
        <v>25</v>
      </c>
      <c r="AA27" s="65">
        <v>0</v>
      </c>
    </row>
    <row r="28" spans="2:27" ht="15.35" thickBot="1" x14ac:dyDescent="0.4">
      <c r="B28" s="14">
        <v>1646</v>
      </c>
      <c r="C28" s="31">
        <v>7</v>
      </c>
      <c r="D28" s="8" t="str">
        <f t="shared" si="0"/>
        <v>Sherbet Shoreline</v>
      </c>
      <c r="E28" s="31">
        <v>5</v>
      </c>
      <c r="F28" s="8" t="str">
        <f t="shared" si="1"/>
        <v>Melty Mint Mountains</v>
      </c>
      <c r="G28" s="28">
        <v>15</v>
      </c>
      <c r="Q28" s="15" t="s">
        <v>13</v>
      </c>
      <c r="R28" s="16" t="s">
        <v>15</v>
      </c>
      <c r="S28" s="25">
        <f t="shared" si="4"/>
        <v>44.46</v>
      </c>
      <c r="T28" s="12">
        <f t="shared" si="5"/>
        <v>-112.07</v>
      </c>
      <c r="U28" s="12">
        <f t="shared" si="6"/>
        <v>39.340000000000003</v>
      </c>
      <c r="V28" s="12">
        <f t="shared" si="7"/>
        <v>-104.72</v>
      </c>
      <c r="W28" s="52">
        <f t="shared" si="8"/>
        <v>8.9575052330433991</v>
      </c>
      <c r="X28" s="12" t="s">
        <v>10</v>
      </c>
      <c r="Y28" s="57">
        <v>0</v>
      </c>
      <c r="Z28" s="61">
        <v>33</v>
      </c>
      <c r="AA28" s="65">
        <v>0</v>
      </c>
    </row>
    <row r="29" spans="2:27" ht="15.35" thickBot="1" x14ac:dyDescent="0.4">
      <c r="B29" s="24">
        <v>1380.9999999999998</v>
      </c>
      <c r="C29" s="34">
        <v>7</v>
      </c>
      <c r="D29" s="30" t="str">
        <f t="shared" si="0"/>
        <v>Sherbet Shoreline</v>
      </c>
      <c r="E29" s="34">
        <v>6</v>
      </c>
      <c r="F29" s="30" t="str">
        <f t="shared" si="1"/>
        <v>Milkshake Mire</v>
      </c>
      <c r="G29" s="29">
        <v>23</v>
      </c>
      <c r="Q29" s="20" t="s">
        <v>13</v>
      </c>
      <c r="R29" s="21" t="s">
        <v>14</v>
      </c>
      <c r="S29" s="26">
        <f t="shared" si="4"/>
        <v>44.46</v>
      </c>
      <c r="T29" s="22">
        <f t="shared" si="5"/>
        <v>-112.07</v>
      </c>
      <c r="U29" s="22">
        <f>_xlfn.XLOOKUP(R29,$J$15:$J$21,$K$15:$K$21)</f>
        <v>41.2</v>
      </c>
      <c r="V29" s="22">
        <f t="shared" si="7"/>
        <v>-86.02</v>
      </c>
      <c r="W29" s="53">
        <f t="shared" si="8"/>
        <v>26.253192186856058</v>
      </c>
      <c r="X29" s="22" t="s">
        <v>11</v>
      </c>
      <c r="Y29" s="58">
        <v>0</v>
      </c>
      <c r="Z29" s="62">
        <v>32</v>
      </c>
      <c r="AA29" s="66">
        <v>0</v>
      </c>
    </row>
    <row r="30" spans="2:27" x14ac:dyDescent="0.35">
      <c r="Z30">
        <f>SUM(Z6:Z29)</f>
        <v>1675</v>
      </c>
    </row>
    <row r="31" spans="2:27" x14ac:dyDescent="0.35">
      <c r="W31" t="s">
        <v>51</v>
      </c>
      <c r="X31">
        <f>SUMPRODUCT(W6:W29,B6:B29)</f>
        <v>172891.89681656298</v>
      </c>
    </row>
    <row r="35" spans="17:24" x14ac:dyDescent="0.35">
      <c r="Q35" s="55" t="s">
        <v>28</v>
      </c>
      <c r="R35" s="55" t="s">
        <v>53</v>
      </c>
      <c r="S35" s="55" t="s">
        <v>54</v>
      </c>
      <c r="T35" s="44" t="s">
        <v>29</v>
      </c>
      <c r="U35" s="55" t="s">
        <v>58</v>
      </c>
      <c r="V35" s="55" t="s">
        <v>27</v>
      </c>
      <c r="W35" s="81" t="s">
        <v>61</v>
      </c>
      <c r="X35" s="82"/>
    </row>
    <row r="36" spans="17:24" x14ac:dyDescent="0.35">
      <c r="Q36" t="s">
        <v>52</v>
      </c>
      <c r="R36" s="70">
        <f>SUMPRODUCT(B6:B29,G6:G29)</f>
        <v>307516.9664333238</v>
      </c>
      <c r="S36" s="68">
        <v>221744</v>
      </c>
      <c r="T36" s="67">
        <f>R36-S36</f>
        <v>85772.966433323803</v>
      </c>
      <c r="U36">
        <f>T36/S36</f>
        <v>0.38681076571778178</v>
      </c>
      <c r="V36">
        <v>1</v>
      </c>
      <c r="W36" s="80">
        <f>U36*V36</f>
        <v>0.38681076571778178</v>
      </c>
      <c r="X36" s="80"/>
    </row>
    <row r="37" spans="17:24" x14ac:dyDescent="0.35">
      <c r="Q37" t="s">
        <v>55</v>
      </c>
      <c r="R37" s="71">
        <f>SUMPRODUCT(W6:W29,B6:B29)</f>
        <v>172891.89681656298</v>
      </c>
      <c r="S37" s="69">
        <v>111658.063449398</v>
      </c>
      <c r="T37" s="67">
        <f t="shared" ref="T37:T39" si="10">R37-S37</f>
        <v>61233.833367164974</v>
      </c>
      <c r="U37">
        <f t="shared" ref="U37:U39" si="11">T37/S37</f>
        <v>0.54840493803580392</v>
      </c>
      <c r="V37">
        <v>1</v>
      </c>
      <c r="W37" s="80">
        <f t="shared" ref="W37:W39" si="12">U37*V37</f>
        <v>0.54840493803580392</v>
      </c>
      <c r="X37" s="80"/>
    </row>
    <row r="38" spans="17:24" x14ac:dyDescent="0.35">
      <c r="Q38" t="s">
        <v>57</v>
      </c>
      <c r="R38" s="71">
        <f>SUMPRODUCT(B6:B29,Y6:Y29)</f>
        <v>9598.5622108840234</v>
      </c>
      <c r="S38" s="1">
        <v>6199</v>
      </c>
      <c r="T38" s="67">
        <f t="shared" si="10"/>
        <v>3399.5622108840234</v>
      </c>
      <c r="U38">
        <f t="shared" si="11"/>
        <v>0.54840493803581603</v>
      </c>
      <c r="V38">
        <v>1</v>
      </c>
      <c r="W38" s="80">
        <f t="shared" si="12"/>
        <v>0.54840493803581603</v>
      </c>
      <c r="X38" s="80"/>
    </row>
    <row r="39" spans="17:24" x14ac:dyDescent="0.35">
      <c r="Q39" s="42" t="s">
        <v>56</v>
      </c>
      <c r="R39" s="71">
        <f>SUMPRODUCT(B6:B29,AA6:AA29)</f>
        <v>5746.1307250495292</v>
      </c>
      <c r="S39" s="1">
        <v>3711</v>
      </c>
      <c r="T39" s="67">
        <f t="shared" si="10"/>
        <v>2035.1307250495292</v>
      </c>
      <c r="U39">
        <f t="shared" si="11"/>
        <v>0.5484049380354431</v>
      </c>
      <c r="V39">
        <v>1</v>
      </c>
      <c r="W39" s="80">
        <f t="shared" si="12"/>
        <v>0.5484049380354431</v>
      </c>
      <c r="X39" s="80"/>
    </row>
    <row r="41" spans="17:24" x14ac:dyDescent="0.35">
      <c r="Q41" s="55" t="s">
        <v>26</v>
      </c>
    </row>
    <row r="42" spans="17:24" x14ac:dyDescent="0.35">
      <c r="Q42" t="s">
        <v>59</v>
      </c>
      <c r="R42" s="2">
        <v>0.54840493803551205</v>
      </c>
    </row>
  </sheetData>
  <mergeCells count="5">
    <mergeCell ref="F2:I2"/>
    <mergeCell ref="J2:K2"/>
    <mergeCell ref="C5:D5"/>
    <mergeCell ref="E5:F5"/>
    <mergeCell ref="I5:J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F02C-EAC4-47E3-92CE-8FFB447A65D2}">
  <dimension ref="B1:AA42"/>
  <sheetViews>
    <sheetView topLeftCell="H20" zoomScale="80" zoomScaleNormal="80" workbookViewId="0">
      <selection activeCell="R42" sqref="R42"/>
    </sheetView>
  </sheetViews>
  <sheetFormatPr defaultRowHeight="14.85" x14ac:dyDescent="0.35"/>
  <cols>
    <col min="3" max="3" width="4.90625" customWidth="1"/>
    <col min="4" max="4" width="18.54296875" bestFit="1" customWidth="1"/>
    <col min="5" max="5" width="3.54296875" customWidth="1"/>
    <col min="6" max="6" width="18.54296875" bestFit="1" customWidth="1"/>
    <col min="10" max="10" width="18.54296875" bestFit="1" customWidth="1"/>
    <col min="14" max="14" width="13.6328125" bestFit="1" customWidth="1"/>
    <col min="17" max="18" width="18.54296875" bestFit="1" customWidth="1"/>
    <col min="19" max="19" width="13.90625" bestFit="1" customWidth="1"/>
    <col min="20" max="20" width="9.90625" bestFit="1" customWidth="1"/>
    <col min="21" max="21" width="12.36328125" bestFit="1" customWidth="1"/>
    <col min="23" max="23" width="11.54296875" bestFit="1" customWidth="1"/>
    <col min="24" max="24" width="22.7265625" bestFit="1" customWidth="1"/>
    <col min="25" max="25" width="14.7265625" bestFit="1" customWidth="1"/>
    <col min="26" max="26" width="13.1796875" customWidth="1"/>
    <col min="27" max="27" width="10.26953125" bestFit="1" customWidth="1"/>
  </cols>
  <sheetData>
    <row r="1" spans="2:27" ht="15.35" thickBot="1" x14ac:dyDescent="0.4"/>
    <row r="2" spans="2:27" ht="15.35" thickBot="1" x14ac:dyDescent="0.4">
      <c r="F2" s="77" t="s">
        <v>30</v>
      </c>
      <c r="G2" s="77"/>
      <c r="H2" s="77"/>
      <c r="I2" s="77"/>
      <c r="J2" s="78">
        <f>SUMPRODUCT(B6:B29,G6:G29)</f>
        <v>255574.03283250736</v>
      </c>
      <c r="K2" s="79"/>
    </row>
    <row r="4" spans="2:27" ht="15.35" thickBot="1" x14ac:dyDescent="0.4"/>
    <row r="5" spans="2:27" ht="15.35" thickBot="1" x14ac:dyDescent="0.4">
      <c r="B5" s="4" t="s">
        <v>31</v>
      </c>
      <c r="C5" s="72" t="s">
        <v>32</v>
      </c>
      <c r="D5" s="73"/>
      <c r="E5" s="74" t="s">
        <v>33</v>
      </c>
      <c r="F5" s="75"/>
      <c r="G5" s="32" t="s">
        <v>34</v>
      </c>
      <c r="I5" s="74" t="s">
        <v>35</v>
      </c>
      <c r="J5" s="76"/>
      <c r="K5" s="35" t="s">
        <v>36</v>
      </c>
      <c r="L5" s="6" t="s">
        <v>37</v>
      </c>
      <c r="M5" s="6" t="s">
        <v>38</v>
      </c>
      <c r="N5" s="5" t="s">
        <v>39</v>
      </c>
      <c r="Q5" s="48">
        <v>1</v>
      </c>
      <c r="R5" s="49">
        <v>2</v>
      </c>
      <c r="S5" s="49" t="s">
        <v>40</v>
      </c>
      <c r="T5" s="49" t="s">
        <v>42</v>
      </c>
      <c r="U5" s="49" t="s">
        <v>43</v>
      </c>
      <c r="V5" s="49" t="s">
        <v>41</v>
      </c>
      <c r="W5" s="54" t="s">
        <v>47</v>
      </c>
      <c r="X5" s="50" t="s">
        <v>48</v>
      </c>
      <c r="Y5" s="63" t="s">
        <v>60</v>
      </c>
      <c r="Z5" s="63" t="s">
        <v>50</v>
      </c>
      <c r="AA5" s="59" t="s">
        <v>49</v>
      </c>
    </row>
    <row r="6" spans="2:27" ht="15.35" thickBot="1" x14ac:dyDescent="0.4">
      <c r="B6" s="7">
        <v>4836.6368464324332</v>
      </c>
      <c r="C6" s="33">
        <v>1</v>
      </c>
      <c r="D6" s="8" t="str">
        <f>VLOOKUP(C6,$I$6:$J$12,2,0)</f>
        <v>Cinnamon Swamp</v>
      </c>
      <c r="E6" s="33">
        <v>2</v>
      </c>
      <c r="F6" s="8" t="str">
        <f>_xlfn.XLOOKUP(E6,$I$6:$I$12,$J$6:$J$12)</f>
        <v>Coconut Cream Cove</v>
      </c>
      <c r="G6" s="27">
        <v>11</v>
      </c>
      <c r="I6" s="9">
        <v>1</v>
      </c>
      <c r="J6" s="9" t="s">
        <v>19</v>
      </c>
      <c r="K6" s="39">
        <f>SUMIF($E$6:$E$29,I6,$B$6:$B$29)</f>
        <v>0</v>
      </c>
      <c r="L6" s="8">
        <f>SUMIF($C$6:$C$29,I6,$B$6:$B$29)</f>
        <v>9516</v>
      </c>
      <c r="M6" s="13">
        <f>K6-L6</f>
        <v>-9516</v>
      </c>
      <c r="N6" s="36">
        <v>-9516</v>
      </c>
      <c r="Q6" s="9" t="s">
        <v>19</v>
      </c>
      <c r="R6" s="10" t="s">
        <v>18</v>
      </c>
      <c r="S6" s="11">
        <f>_xlfn.XLOOKUP(Q6,$J$15:$J$21,$K$15:$K$21)</f>
        <v>37.5</v>
      </c>
      <c r="T6" s="8">
        <f>_xlfn.XLOOKUP(Q6,$J$15:$J$21,$L$15:$L$21)</f>
        <v>-102.5</v>
      </c>
      <c r="U6" s="8">
        <f>_xlfn.XLOOKUP(R6,$J$15:$J$21,$K$15:$K$21)</f>
        <v>39.11</v>
      </c>
      <c r="V6" s="8">
        <f>_xlfn.XLOOKUP(R6,$J$15:$J$21,$L$15:$L$21)</f>
        <v>-101.96</v>
      </c>
      <c r="W6" s="51">
        <f>SQRT(ABS((S6-U6)^2+(T6-V6)^2))</f>
        <v>1.6981460479004757</v>
      </c>
      <c r="X6" s="8" t="s">
        <v>5</v>
      </c>
      <c r="Y6" s="56">
        <v>1</v>
      </c>
      <c r="Z6" s="60">
        <v>101</v>
      </c>
      <c r="AA6" s="64">
        <v>1</v>
      </c>
    </row>
    <row r="7" spans="2:27" ht="15.35" thickBot="1" x14ac:dyDescent="0.4">
      <c r="B7" s="14">
        <v>912.60950728406249</v>
      </c>
      <c r="C7" s="31">
        <v>1</v>
      </c>
      <c r="D7" s="8" t="str">
        <f t="shared" ref="D7:D29" si="0">VLOOKUP(C7,$I$6:$J$12,2,0)</f>
        <v>Cinnamon Swamp</v>
      </c>
      <c r="E7" s="31">
        <v>3</v>
      </c>
      <c r="F7" s="8" t="str">
        <f t="shared" ref="F7:F29" si="1">_xlfn.XLOOKUP(E7,$I$6:$I$12,$J$6:$J$12)</f>
        <v>Creme Brulee Cliffs</v>
      </c>
      <c r="G7" s="28">
        <v>21</v>
      </c>
      <c r="I7" s="15">
        <v>2</v>
      </c>
      <c r="J7" s="15" t="s">
        <v>18</v>
      </c>
      <c r="K7" s="40">
        <f t="shared" ref="K7:K12" si="2">SUMIF($E$6:$E$29,I7,$B$6:$B$29)</f>
        <v>4836.6368464324332</v>
      </c>
      <c r="L7" s="12">
        <f>SUMIF($C$6:$C$29,I7,$B$6:$B$29)</f>
        <v>2892.6368464324332</v>
      </c>
      <c r="M7" s="19">
        <f t="shared" ref="M7:M12" si="3">K7-L7</f>
        <v>1944</v>
      </c>
      <c r="N7" s="37">
        <v>1944</v>
      </c>
      <c r="Q7" s="15" t="s">
        <v>19</v>
      </c>
      <c r="R7" s="16" t="s">
        <v>17</v>
      </c>
      <c r="S7" s="25">
        <f t="shared" ref="S7:S29" si="4">_xlfn.XLOOKUP(Q7,$J$15:$J$21,$K$15:$K$21)</f>
        <v>37.5</v>
      </c>
      <c r="T7" s="12">
        <f t="shared" ref="T7:T29" si="5">_xlfn.XLOOKUP(Q7,$J$15:$J$21,$L$15:$L$21)</f>
        <v>-102.5</v>
      </c>
      <c r="U7" s="12">
        <f t="shared" ref="U7:U28" si="6">_xlfn.XLOOKUP(R7,$J$15:$J$21,$K$15:$K$21)</f>
        <v>32.25</v>
      </c>
      <c r="V7" s="12">
        <f t="shared" ref="V7:V29" si="7">_xlfn.XLOOKUP(R7,$J$15:$J$21,$L$15:$L$21)</f>
        <v>-116.65</v>
      </c>
      <c r="W7" s="52">
        <f t="shared" ref="W7:W29" si="8">SQRT(ABS((S7-U7)^2+(T7-V7)^2))</f>
        <v>15.092547829972252</v>
      </c>
      <c r="X7" s="12" t="s">
        <v>6</v>
      </c>
      <c r="Y7" s="57">
        <v>0</v>
      </c>
      <c r="Z7" s="61">
        <v>114</v>
      </c>
      <c r="AA7" s="65">
        <v>1</v>
      </c>
    </row>
    <row r="8" spans="2:27" ht="15.35" thickBot="1" x14ac:dyDescent="0.4">
      <c r="B8" s="14">
        <v>3766.7536462835042</v>
      </c>
      <c r="C8" s="31">
        <v>1</v>
      </c>
      <c r="D8" s="8" t="str">
        <f t="shared" si="0"/>
        <v>Cinnamon Swamp</v>
      </c>
      <c r="E8" s="31">
        <v>7</v>
      </c>
      <c r="F8" s="8" t="str">
        <f t="shared" si="1"/>
        <v>Sherbet Shoreline</v>
      </c>
      <c r="G8" s="28">
        <v>24</v>
      </c>
      <c r="I8" s="15">
        <v>3</v>
      </c>
      <c r="J8" s="15" t="s">
        <v>17</v>
      </c>
      <c r="K8" s="40">
        <f t="shared" si="2"/>
        <v>1550</v>
      </c>
      <c r="L8" s="12">
        <f t="shared" ref="L8:L12" si="9">SUMIF($C$6:$C$29,I8,$B$6:$B$29)</f>
        <v>0</v>
      </c>
      <c r="M8" s="19">
        <f t="shared" si="3"/>
        <v>1550</v>
      </c>
      <c r="N8" s="37">
        <v>1550</v>
      </c>
      <c r="Q8" s="15" t="s">
        <v>19</v>
      </c>
      <c r="R8" s="16" t="s">
        <v>13</v>
      </c>
      <c r="S8" s="25">
        <f t="shared" si="4"/>
        <v>37.5</v>
      </c>
      <c r="T8" s="12">
        <f t="shared" si="5"/>
        <v>-102.5</v>
      </c>
      <c r="U8" s="12">
        <f t="shared" si="6"/>
        <v>44.46</v>
      </c>
      <c r="V8" s="12">
        <f t="shared" si="7"/>
        <v>-112.07</v>
      </c>
      <c r="W8" s="52">
        <f t="shared" si="8"/>
        <v>11.83327934259983</v>
      </c>
      <c r="X8" s="12" t="s">
        <v>7</v>
      </c>
      <c r="Y8" s="57">
        <v>1</v>
      </c>
      <c r="Z8" s="61">
        <v>31</v>
      </c>
      <c r="AA8" s="65">
        <v>0</v>
      </c>
    </row>
    <row r="9" spans="2:27" ht="15.35" thickBot="1" x14ac:dyDescent="0.4">
      <c r="B9" s="14">
        <v>1767</v>
      </c>
      <c r="C9" s="31">
        <v>2</v>
      </c>
      <c r="D9" s="8" t="str">
        <f t="shared" si="0"/>
        <v>Coconut Cream Cove</v>
      </c>
      <c r="E9" s="31">
        <v>4</v>
      </c>
      <c r="F9" s="8" t="str">
        <f t="shared" si="1"/>
        <v>Crispy Rice Reef</v>
      </c>
      <c r="G9" s="28">
        <v>22</v>
      </c>
      <c r="I9" s="15">
        <v>4</v>
      </c>
      <c r="J9" s="15" t="s">
        <v>16</v>
      </c>
      <c r="K9" s="40">
        <f t="shared" si="2"/>
        <v>1767</v>
      </c>
      <c r="L9" s="12">
        <f t="shared" si="9"/>
        <v>0</v>
      </c>
      <c r="M9" s="19">
        <f>K9-L9</f>
        <v>1767</v>
      </c>
      <c r="N9" s="37">
        <v>1767</v>
      </c>
      <c r="Q9" s="15" t="s">
        <v>18</v>
      </c>
      <c r="R9" s="16" t="s">
        <v>16</v>
      </c>
      <c r="S9" s="25">
        <f t="shared" si="4"/>
        <v>39.11</v>
      </c>
      <c r="T9" s="12">
        <f t="shared" si="5"/>
        <v>-101.96</v>
      </c>
      <c r="U9" s="12">
        <f t="shared" si="6"/>
        <v>44.91</v>
      </c>
      <c r="V9" s="12">
        <f t="shared" si="7"/>
        <v>-108.26</v>
      </c>
      <c r="W9" s="52">
        <f t="shared" si="8"/>
        <v>8.5632937588290226</v>
      </c>
      <c r="X9" s="12" t="s">
        <v>8</v>
      </c>
      <c r="Y9" s="57">
        <v>1</v>
      </c>
      <c r="Z9" s="61">
        <v>103</v>
      </c>
      <c r="AA9" s="65">
        <v>1</v>
      </c>
    </row>
    <row r="10" spans="2:27" ht="15.35" thickBot="1" x14ac:dyDescent="0.4">
      <c r="B10" s="14">
        <v>1125.6368464324332</v>
      </c>
      <c r="C10" s="31">
        <v>2</v>
      </c>
      <c r="D10" s="8" t="str">
        <f t="shared" si="0"/>
        <v>Coconut Cream Cove</v>
      </c>
      <c r="E10" s="31">
        <v>6</v>
      </c>
      <c r="F10" s="8" t="str">
        <f t="shared" si="1"/>
        <v>Milkshake Mire</v>
      </c>
      <c r="G10" s="28">
        <v>10</v>
      </c>
      <c r="I10" s="15">
        <v>5</v>
      </c>
      <c r="J10" s="15" t="s">
        <v>15</v>
      </c>
      <c r="K10" s="40">
        <f t="shared" si="2"/>
        <v>1646</v>
      </c>
      <c r="L10" s="12">
        <f t="shared" si="9"/>
        <v>0</v>
      </c>
      <c r="M10" s="19">
        <f>K10-L10</f>
        <v>1646</v>
      </c>
      <c r="N10" s="37">
        <v>1646</v>
      </c>
      <c r="Q10" s="15" t="s">
        <v>18</v>
      </c>
      <c r="R10" s="16" t="s">
        <v>14</v>
      </c>
      <c r="S10" s="25">
        <f t="shared" si="4"/>
        <v>39.11</v>
      </c>
      <c r="T10" s="12">
        <f t="shared" si="5"/>
        <v>-101.96</v>
      </c>
      <c r="U10" s="12">
        <f t="shared" si="6"/>
        <v>41.2</v>
      </c>
      <c r="V10" s="12">
        <f t="shared" si="7"/>
        <v>-86.02</v>
      </c>
      <c r="W10" s="52">
        <f t="shared" si="8"/>
        <v>16.076433062094338</v>
      </c>
      <c r="X10" s="12" t="s">
        <v>5</v>
      </c>
      <c r="Y10" s="57">
        <v>1</v>
      </c>
      <c r="Z10" s="61">
        <v>34</v>
      </c>
      <c r="AA10" s="65">
        <v>0</v>
      </c>
    </row>
    <row r="11" spans="2:27" ht="15.35" thickBot="1" x14ac:dyDescent="0.4">
      <c r="B11" s="14">
        <v>0</v>
      </c>
      <c r="C11" s="31">
        <v>3</v>
      </c>
      <c r="D11" s="8" t="str">
        <f t="shared" si="0"/>
        <v>Creme Brulee Cliffs</v>
      </c>
      <c r="E11" s="31">
        <v>1</v>
      </c>
      <c r="F11" s="8" t="str">
        <f t="shared" si="1"/>
        <v>Cinnamon Swamp</v>
      </c>
      <c r="G11" s="28">
        <v>17</v>
      </c>
      <c r="I11" s="15">
        <v>6</v>
      </c>
      <c r="J11" s="15" t="s">
        <v>14</v>
      </c>
      <c r="K11" s="40">
        <f t="shared" si="2"/>
        <v>1381</v>
      </c>
      <c r="L11" s="12">
        <f t="shared" si="9"/>
        <v>0</v>
      </c>
      <c r="M11" s="19">
        <f t="shared" si="3"/>
        <v>1381</v>
      </c>
      <c r="N11" s="37">
        <v>1381</v>
      </c>
      <c r="Q11" s="15" t="s">
        <v>17</v>
      </c>
      <c r="R11" s="16" t="s">
        <v>19</v>
      </c>
      <c r="S11" s="25">
        <f t="shared" si="4"/>
        <v>32.25</v>
      </c>
      <c r="T11" s="12">
        <f t="shared" si="5"/>
        <v>-116.65</v>
      </c>
      <c r="U11" s="12">
        <f t="shared" si="6"/>
        <v>37.5</v>
      </c>
      <c r="V11" s="12">
        <f t="shared" si="7"/>
        <v>-102.5</v>
      </c>
      <c r="W11" s="52">
        <f t="shared" si="8"/>
        <v>15.092547829972252</v>
      </c>
      <c r="X11" s="12" t="s">
        <v>8</v>
      </c>
      <c r="Y11" s="57">
        <v>1</v>
      </c>
      <c r="Z11" s="61">
        <v>27</v>
      </c>
      <c r="AA11" s="65">
        <v>0</v>
      </c>
    </row>
    <row r="12" spans="2:27" ht="15.35" thickBot="1" x14ac:dyDescent="0.4">
      <c r="B12" s="14">
        <v>0</v>
      </c>
      <c r="C12" s="31">
        <v>3</v>
      </c>
      <c r="D12" s="8" t="str">
        <f t="shared" si="0"/>
        <v>Creme Brulee Cliffs</v>
      </c>
      <c r="E12" s="31">
        <v>2</v>
      </c>
      <c r="F12" s="8" t="str">
        <f t="shared" si="1"/>
        <v>Coconut Cream Cove</v>
      </c>
      <c r="G12" s="28">
        <v>14</v>
      </c>
      <c r="I12" s="20">
        <v>7</v>
      </c>
      <c r="J12" s="20" t="s">
        <v>13</v>
      </c>
      <c r="K12" s="41">
        <f t="shared" si="2"/>
        <v>3766.7536462835042</v>
      </c>
      <c r="L12" s="22">
        <f t="shared" si="9"/>
        <v>2538.7536462835042</v>
      </c>
      <c r="M12" s="23">
        <f t="shared" si="3"/>
        <v>1228</v>
      </c>
      <c r="N12" s="38">
        <v>1228</v>
      </c>
      <c r="Q12" s="15" t="s">
        <v>17</v>
      </c>
      <c r="R12" s="16" t="s">
        <v>18</v>
      </c>
      <c r="S12" s="25">
        <f t="shared" si="4"/>
        <v>32.25</v>
      </c>
      <c r="T12" s="12">
        <f t="shared" si="5"/>
        <v>-116.65</v>
      </c>
      <c r="U12" s="12">
        <f t="shared" si="6"/>
        <v>39.11</v>
      </c>
      <c r="V12" s="12">
        <f t="shared" si="7"/>
        <v>-101.96</v>
      </c>
      <c r="W12" s="52">
        <f t="shared" si="8"/>
        <v>16.212825170216334</v>
      </c>
      <c r="X12" s="12" t="s">
        <v>9</v>
      </c>
      <c r="Y12" s="57">
        <v>1</v>
      </c>
      <c r="Z12" s="61">
        <v>96</v>
      </c>
      <c r="AA12" s="65">
        <v>1</v>
      </c>
    </row>
    <row r="13" spans="2:27" ht="15.35" thickBot="1" x14ac:dyDescent="0.4">
      <c r="B13" s="14">
        <v>0</v>
      </c>
      <c r="C13" s="31">
        <v>3</v>
      </c>
      <c r="D13" s="8" t="str">
        <f t="shared" si="0"/>
        <v>Creme Brulee Cliffs</v>
      </c>
      <c r="E13" s="31">
        <v>4</v>
      </c>
      <c r="F13" s="8" t="str">
        <f t="shared" si="1"/>
        <v>Crispy Rice Reef</v>
      </c>
      <c r="G13" s="28">
        <v>24</v>
      </c>
      <c r="Q13" s="15" t="s">
        <v>17</v>
      </c>
      <c r="R13" s="16" t="s">
        <v>16</v>
      </c>
      <c r="S13" s="25">
        <f t="shared" si="4"/>
        <v>32.25</v>
      </c>
      <c r="T13" s="12">
        <f t="shared" si="5"/>
        <v>-116.65</v>
      </c>
      <c r="U13" s="12">
        <f t="shared" si="6"/>
        <v>44.91</v>
      </c>
      <c r="V13" s="12">
        <f t="shared" si="7"/>
        <v>-108.26</v>
      </c>
      <c r="W13" s="52">
        <f t="shared" si="8"/>
        <v>15.18774835187889</v>
      </c>
      <c r="X13" s="12" t="s">
        <v>10</v>
      </c>
      <c r="Y13" s="57">
        <v>0</v>
      </c>
      <c r="Z13" s="61">
        <v>78</v>
      </c>
      <c r="AA13" s="65">
        <v>1</v>
      </c>
    </row>
    <row r="14" spans="2:27" ht="15.35" thickBot="1" x14ac:dyDescent="0.4">
      <c r="B14" s="14">
        <v>0</v>
      </c>
      <c r="C14" s="31">
        <v>3</v>
      </c>
      <c r="D14" s="8" t="str">
        <f t="shared" si="0"/>
        <v>Creme Brulee Cliffs</v>
      </c>
      <c r="E14" s="31">
        <v>5</v>
      </c>
      <c r="F14" s="8" t="str">
        <f t="shared" si="1"/>
        <v>Melty Mint Mountains</v>
      </c>
      <c r="G14" s="28">
        <v>10</v>
      </c>
      <c r="J14" s="43" t="s">
        <v>44</v>
      </c>
      <c r="K14" s="46" t="s">
        <v>45</v>
      </c>
      <c r="L14" s="45" t="s">
        <v>46</v>
      </c>
      <c r="Q14" s="15" t="s">
        <v>17</v>
      </c>
      <c r="R14" s="16" t="s">
        <v>15</v>
      </c>
      <c r="S14" s="25">
        <f t="shared" si="4"/>
        <v>32.25</v>
      </c>
      <c r="T14" s="12">
        <f t="shared" si="5"/>
        <v>-116.65</v>
      </c>
      <c r="U14" s="12">
        <f t="shared" si="6"/>
        <v>39.340000000000003</v>
      </c>
      <c r="V14" s="12">
        <f t="shared" si="7"/>
        <v>-104.72</v>
      </c>
      <c r="W14" s="52">
        <f t="shared" si="8"/>
        <v>13.877788008180561</v>
      </c>
      <c r="X14" s="12" t="s">
        <v>8</v>
      </c>
      <c r="Y14" s="57">
        <v>1</v>
      </c>
      <c r="Z14" s="61">
        <v>105</v>
      </c>
      <c r="AA14" s="65">
        <v>1</v>
      </c>
    </row>
    <row r="15" spans="2:27" ht="15.35" thickBot="1" x14ac:dyDescent="0.4">
      <c r="B15" s="14">
        <v>0</v>
      </c>
      <c r="C15" s="31">
        <v>4</v>
      </c>
      <c r="D15" s="8" t="str">
        <f t="shared" si="0"/>
        <v>Crispy Rice Reef</v>
      </c>
      <c r="E15" s="31">
        <v>1</v>
      </c>
      <c r="F15" s="8" t="str">
        <f t="shared" si="1"/>
        <v>Cinnamon Swamp</v>
      </c>
      <c r="G15" s="28">
        <v>15</v>
      </c>
      <c r="J15" s="47" t="s">
        <v>19</v>
      </c>
      <c r="K15" s="17">
        <v>37.5</v>
      </c>
      <c r="L15" s="18">
        <v>-102.5</v>
      </c>
      <c r="Q15" s="15" t="s">
        <v>16</v>
      </c>
      <c r="R15" s="16" t="s">
        <v>19</v>
      </c>
      <c r="S15" s="25">
        <f t="shared" si="4"/>
        <v>44.91</v>
      </c>
      <c r="T15" s="12">
        <f t="shared" si="5"/>
        <v>-108.26</v>
      </c>
      <c r="U15" s="12">
        <f t="shared" si="6"/>
        <v>37.5</v>
      </c>
      <c r="V15" s="12">
        <f t="shared" si="7"/>
        <v>-102.5</v>
      </c>
      <c r="W15" s="52">
        <f t="shared" si="8"/>
        <v>9.3853982334262192</v>
      </c>
      <c r="X15" s="12" t="s">
        <v>6</v>
      </c>
      <c r="Y15" s="57">
        <v>0</v>
      </c>
      <c r="Z15" s="61">
        <v>25</v>
      </c>
      <c r="AA15" s="65">
        <v>0</v>
      </c>
    </row>
    <row r="16" spans="2:27" ht="15.35" thickBot="1" x14ac:dyDescent="0.4">
      <c r="B16" s="14">
        <v>0</v>
      </c>
      <c r="C16" s="31">
        <v>4</v>
      </c>
      <c r="D16" s="8" t="str">
        <f t="shared" si="0"/>
        <v>Crispy Rice Reef</v>
      </c>
      <c r="E16" s="31">
        <v>5</v>
      </c>
      <c r="F16" s="8" t="str">
        <f t="shared" si="1"/>
        <v>Melty Mint Mountains</v>
      </c>
      <c r="G16" s="28">
        <v>15</v>
      </c>
      <c r="J16" s="16" t="s">
        <v>18</v>
      </c>
      <c r="K16" s="25">
        <v>39.11</v>
      </c>
      <c r="L16" s="12">
        <v>-101.96</v>
      </c>
      <c r="Q16" s="15" t="s">
        <v>16</v>
      </c>
      <c r="R16" s="16" t="s">
        <v>15</v>
      </c>
      <c r="S16" s="25">
        <f t="shared" si="4"/>
        <v>44.91</v>
      </c>
      <c r="T16" s="12">
        <f t="shared" si="5"/>
        <v>-108.26</v>
      </c>
      <c r="U16" s="12">
        <f t="shared" si="6"/>
        <v>39.340000000000003</v>
      </c>
      <c r="V16" s="12">
        <f t="shared" si="7"/>
        <v>-104.72</v>
      </c>
      <c r="W16" s="52">
        <f t="shared" si="8"/>
        <v>6.5997348431584717</v>
      </c>
      <c r="X16" s="12" t="s">
        <v>7</v>
      </c>
      <c r="Y16" s="57">
        <v>1</v>
      </c>
      <c r="Z16" s="61">
        <v>105</v>
      </c>
      <c r="AA16" s="65">
        <v>1</v>
      </c>
    </row>
    <row r="17" spans="2:27" ht="15.35" thickBot="1" x14ac:dyDescent="0.4">
      <c r="B17" s="14">
        <v>0</v>
      </c>
      <c r="C17" s="31">
        <v>5</v>
      </c>
      <c r="D17" s="8" t="str">
        <f t="shared" si="0"/>
        <v>Melty Mint Mountains</v>
      </c>
      <c r="E17" s="31">
        <v>2</v>
      </c>
      <c r="F17" s="8" t="str">
        <f t="shared" si="1"/>
        <v>Coconut Cream Cove</v>
      </c>
      <c r="G17" s="28">
        <v>7</v>
      </c>
      <c r="J17" s="16" t="s">
        <v>17</v>
      </c>
      <c r="K17" s="25">
        <v>32.25</v>
      </c>
      <c r="L17" s="12">
        <v>-116.65</v>
      </c>
      <c r="Q17" s="15" t="s">
        <v>15</v>
      </c>
      <c r="R17" s="16" t="s">
        <v>18</v>
      </c>
      <c r="S17" s="25">
        <f t="shared" si="4"/>
        <v>39.340000000000003</v>
      </c>
      <c r="T17" s="12">
        <f t="shared" si="5"/>
        <v>-104.72</v>
      </c>
      <c r="U17" s="12">
        <f t="shared" si="6"/>
        <v>39.11</v>
      </c>
      <c r="V17" s="12">
        <f t="shared" si="7"/>
        <v>-101.96</v>
      </c>
      <c r="W17" s="52">
        <f t="shared" si="8"/>
        <v>2.7695667531222332</v>
      </c>
      <c r="X17" s="12" t="s">
        <v>8</v>
      </c>
      <c r="Y17" s="57">
        <v>1</v>
      </c>
      <c r="Z17" s="61">
        <v>82</v>
      </c>
      <c r="AA17" s="65">
        <v>1</v>
      </c>
    </row>
    <row r="18" spans="2:27" ht="15.35" thickBot="1" x14ac:dyDescent="0.4">
      <c r="B18" s="14">
        <v>0</v>
      </c>
      <c r="C18" s="31">
        <v>5</v>
      </c>
      <c r="D18" s="8" t="str">
        <f t="shared" si="0"/>
        <v>Melty Mint Mountains</v>
      </c>
      <c r="E18" s="31">
        <v>3</v>
      </c>
      <c r="F18" s="8" t="str">
        <f t="shared" si="1"/>
        <v>Creme Brulee Cliffs</v>
      </c>
      <c r="G18" s="28">
        <v>22</v>
      </c>
      <c r="J18" s="16" t="s">
        <v>16</v>
      </c>
      <c r="K18" s="25">
        <v>44.91</v>
      </c>
      <c r="L18" s="12">
        <v>-108.26</v>
      </c>
      <c r="Q18" s="15" t="s">
        <v>15</v>
      </c>
      <c r="R18" s="16" t="s">
        <v>17</v>
      </c>
      <c r="S18" s="25">
        <f t="shared" si="4"/>
        <v>39.340000000000003</v>
      </c>
      <c r="T18" s="12">
        <f t="shared" si="5"/>
        <v>-104.72</v>
      </c>
      <c r="U18" s="12">
        <f t="shared" si="6"/>
        <v>32.25</v>
      </c>
      <c r="V18" s="12">
        <f t="shared" si="7"/>
        <v>-116.65</v>
      </c>
      <c r="W18" s="52">
        <f t="shared" si="8"/>
        <v>13.877788008180561</v>
      </c>
      <c r="X18" s="12" t="s">
        <v>7</v>
      </c>
      <c r="Y18" s="57">
        <v>1</v>
      </c>
      <c r="Z18" s="61">
        <v>81</v>
      </c>
      <c r="AA18" s="65">
        <v>1</v>
      </c>
    </row>
    <row r="19" spans="2:27" ht="15.35" thickBot="1" x14ac:dyDescent="0.4">
      <c r="B19" s="14">
        <v>0</v>
      </c>
      <c r="C19" s="31">
        <v>5</v>
      </c>
      <c r="D19" s="8" t="str">
        <f t="shared" si="0"/>
        <v>Melty Mint Mountains</v>
      </c>
      <c r="E19" s="31">
        <v>6</v>
      </c>
      <c r="F19" s="8" t="str">
        <f t="shared" si="1"/>
        <v>Milkshake Mire</v>
      </c>
      <c r="G19" s="28">
        <v>13</v>
      </c>
      <c r="J19" s="16" t="s">
        <v>15</v>
      </c>
      <c r="K19" s="25">
        <v>39.340000000000003</v>
      </c>
      <c r="L19" s="12">
        <v>-104.72</v>
      </c>
      <c r="Q19" s="15" t="s">
        <v>15</v>
      </c>
      <c r="R19" s="16" t="s">
        <v>14</v>
      </c>
      <c r="S19" s="25">
        <f t="shared" si="4"/>
        <v>39.340000000000003</v>
      </c>
      <c r="T19" s="12">
        <f t="shared" si="5"/>
        <v>-104.72</v>
      </c>
      <c r="U19" s="12">
        <f t="shared" si="6"/>
        <v>41.2</v>
      </c>
      <c r="V19" s="12">
        <f t="shared" si="7"/>
        <v>-86.02</v>
      </c>
      <c r="W19" s="52">
        <f t="shared" si="8"/>
        <v>18.792275008630543</v>
      </c>
      <c r="X19" s="12" t="s">
        <v>5</v>
      </c>
      <c r="Y19" s="57">
        <v>1</v>
      </c>
      <c r="Z19" s="61">
        <v>97</v>
      </c>
      <c r="AA19" s="65">
        <v>1</v>
      </c>
    </row>
    <row r="20" spans="2:27" ht="15.35" thickBot="1" x14ac:dyDescent="0.4">
      <c r="B20" s="14">
        <v>0</v>
      </c>
      <c r="C20" s="31">
        <v>5</v>
      </c>
      <c r="D20" s="8" t="str">
        <f t="shared" si="0"/>
        <v>Melty Mint Mountains</v>
      </c>
      <c r="E20" s="31">
        <v>7</v>
      </c>
      <c r="F20" s="8" t="str">
        <f t="shared" si="1"/>
        <v>Sherbet Shoreline</v>
      </c>
      <c r="G20" s="28">
        <v>8</v>
      </c>
      <c r="J20" s="16" t="s">
        <v>14</v>
      </c>
      <c r="K20" s="25">
        <v>41.2</v>
      </c>
      <c r="L20" s="12">
        <v>-86.02</v>
      </c>
      <c r="Q20" s="15" t="s">
        <v>15</v>
      </c>
      <c r="R20" s="16" t="s">
        <v>13</v>
      </c>
      <c r="S20" s="25">
        <f t="shared" si="4"/>
        <v>39.340000000000003</v>
      </c>
      <c r="T20" s="12">
        <f t="shared" si="5"/>
        <v>-104.72</v>
      </c>
      <c r="U20" s="12">
        <f t="shared" si="6"/>
        <v>44.46</v>
      </c>
      <c r="V20" s="12">
        <f t="shared" si="7"/>
        <v>-112.07</v>
      </c>
      <c r="W20" s="52">
        <f t="shared" si="8"/>
        <v>8.9575052330433991</v>
      </c>
      <c r="X20" s="12" t="s">
        <v>10</v>
      </c>
      <c r="Y20" s="57">
        <v>0</v>
      </c>
      <c r="Z20" s="61">
        <v>80</v>
      </c>
      <c r="AA20" s="65">
        <v>1</v>
      </c>
    </row>
    <row r="21" spans="2:27" ht="15.35" thickBot="1" x14ac:dyDescent="0.4">
      <c r="B21" s="14">
        <v>0</v>
      </c>
      <c r="C21" s="31">
        <v>6</v>
      </c>
      <c r="D21" s="8" t="str">
        <f t="shared" si="0"/>
        <v>Milkshake Mire</v>
      </c>
      <c r="E21" s="31">
        <v>3</v>
      </c>
      <c r="F21" s="8" t="str">
        <f t="shared" si="1"/>
        <v>Creme Brulee Cliffs</v>
      </c>
      <c r="G21" s="28">
        <v>23</v>
      </c>
      <c r="J21" s="21" t="s">
        <v>13</v>
      </c>
      <c r="K21" s="25">
        <v>44.46</v>
      </c>
      <c r="L21" s="12">
        <v>-112.07</v>
      </c>
      <c r="Q21" s="15" t="s">
        <v>14</v>
      </c>
      <c r="R21" s="16" t="s">
        <v>17</v>
      </c>
      <c r="S21" s="25">
        <f t="shared" si="4"/>
        <v>41.2</v>
      </c>
      <c r="T21" s="12">
        <f t="shared" si="5"/>
        <v>-86.02</v>
      </c>
      <c r="U21" s="12">
        <f t="shared" si="6"/>
        <v>32.25</v>
      </c>
      <c r="V21" s="12">
        <f t="shared" si="7"/>
        <v>-116.65</v>
      </c>
      <c r="W21" s="52">
        <f t="shared" si="8"/>
        <v>31.910803813128879</v>
      </c>
      <c r="X21" s="12" t="s">
        <v>5</v>
      </c>
      <c r="Y21" s="57">
        <v>1</v>
      </c>
      <c r="Z21" s="61">
        <v>90</v>
      </c>
      <c r="AA21" s="65">
        <v>1</v>
      </c>
    </row>
    <row r="22" spans="2:27" ht="15.35" thickBot="1" x14ac:dyDescent="0.4">
      <c r="B22" s="14">
        <v>0</v>
      </c>
      <c r="C22" s="31">
        <v>6</v>
      </c>
      <c r="D22" s="8" t="str">
        <f t="shared" si="0"/>
        <v>Milkshake Mire</v>
      </c>
      <c r="E22" s="31">
        <v>4</v>
      </c>
      <c r="F22" s="8" t="str">
        <f t="shared" si="1"/>
        <v>Crispy Rice Reef</v>
      </c>
      <c r="G22" s="28">
        <v>12</v>
      </c>
      <c r="Q22" s="15" t="s">
        <v>14</v>
      </c>
      <c r="R22" s="16" t="s">
        <v>16</v>
      </c>
      <c r="S22" s="25">
        <f t="shared" si="4"/>
        <v>41.2</v>
      </c>
      <c r="T22" s="12">
        <f t="shared" si="5"/>
        <v>-86.02</v>
      </c>
      <c r="U22" s="12">
        <f t="shared" si="6"/>
        <v>44.91</v>
      </c>
      <c r="V22" s="12">
        <f t="shared" si="7"/>
        <v>-108.26</v>
      </c>
      <c r="W22" s="52">
        <f t="shared" si="8"/>
        <v>22.547321348665793</v>
      </c>
      <c r="X22" s="12" t="s">
        <v>9</v>
      </c>
      <c r="Y22" s="57">
        <v>1</v>
      </c>
      <c r="Z22" s="61">
        <v>75</v>
      </c>
      <c r="AA22" s="65">
        <v>1</v>
      </c>
    </row>
    <row r="23" spans="2:27" ht="15.35" thickBot="1" x14ac:dyDescent="0.4">
      <c r="B23" s="14">
        <v>0</v>
      </c>
      <c r="C23" s="31">
        <v>6</v>
      </c>
      <c r="D23" s="8" t="str">
        <f t="shared" si="0"/>
        <v>Milkshake Mire</v>
      </c>
      <c r="E23" s="31">
        <v>5</v>
      </c>
      <c r="F23" s="8" t="str">
        <f t="shared" si="1"/>
        <v>Melty Mint Mountains</v>
      </c>
      <c r="G23" s="28">
        <v>14</v>
      </c>
      <c r="Q23" s="15" t="s">
        <v>14</v>
      </c>
      <c r="R23" s="16" t="s">
        <v>15</v>
      </c>
      <c r="S23" s="25">
        <f t="shared" si="4"/>
        <v>41.2</v>
      </c>
      <c r="T23" s="12">
        <f t="shared" si="5"/>
        <v>-86.02</v>
      </c>
      <c r="U23" s="12">
        <f t="shared" si="6"/>
        <v>39.340000000000003</v>
      </c>
      <c r="V23" s="12">
        <f t="shared" si="7"/>
        <v>-104.72</v>
      </c>
      <c r="W23" s="52">
        <f t="shared" si="8"/>
        <v>18.792275008630543</v>
      </c>
      <c r="X23" s="12" t="s">
        <v>11</v>
      </c>
      <c r="Y23" s="57">
        <v>0</v>
      </c>
      <c r="Z23" s="61">
        <v>70</v>
      </c>
      <c r="AA23" s="65">
        <v>1</v>
      </c>
    </row>
    <row r="24" spans="2:27" ht="15.35" thickBot="1" x14ac:dyDescent="0.4">
      <c r="B24" s="14">
        <v>0</v>
      </c>
      <c r="C24" s="31">
        <v>6</v>
      </c>
      <c r="D24" s="8" t="str">
        <f t="shared" si="0"/>
        <v>Milkshake Mire</v>
      </c>
      <c r="E24" s="31">
        <v>7</v>
      </c>
      <c r="F24" s="8" t="str">
        <f t="shared" si="1"/>
        <v>Sherbet Shoreline</v>
      </c>
      <c r="G24" s="28">
        <v>10</v>
      </c>
      <c r="Q24" s="15" t="s">
        <v>14</v>
      </c>
      <c r="R24" s="16" t="s">
        <v>13</v>
      </c>
      <c r="S24" s="25">
        <f t="shared" si="4"/>
        <v>41.2</v>
      </c>
      <c r="T24" s="12">
        <f t="shared" si="5"/>
        <v>-86.02</v>
      </c>
      <c r="U24" s="12">
        <f t="shared" si="6"/>
        <v>44.46</v>
      </c>
      <c r="V24" s="12">
        <f t="shared" si="7"/>
        <v>-112.07</v>
      </c>
      <c r="W24" s="52">
        <f t="shared" si="8"/>
        <v>26.253192186856058</v>
      </c>
      <c r="X24" s="12" t="s">
        <v>6</v>
      </c>
      <c r="Y24" s="57">
        <v>0</v>
      </c>
      <c r="Z24" s="61">
        <v>88</v>
      </c>
      <c r="AA24" s="65">
        <v>1</v>
      </c>
    </row>
    <row r="25" spans="2:27" ht="15.35" thickBot="1" x14ac:dyDescent="0.4">
      <c r="B25" s="14">
        <v>0</v>
      </c>
      <c r="C25" s="31">
        <v>7</v>
      </c>
      <c r="D25" s="8" t="str">
        <f t="shared" si="0"/>
        <v>Sherbet Shoreline</v>
      </c>
      <c r="E25" s="31">
        <v>1</v>
      </c>
      <c r="F25" s="8" t="str">
        <f t="shared" si="1"/>
        <v>Cinnamon Swamp</v>
      </c>
      <c r="G25" s="28">
        <v>5</v>
      </c>
      <c r="Q25" s="15" t="s">
        <v>13</v>
      </c>
      <c r="R25" s="16" t="s">
        <v>19</v>
      </c>
      <c r="S25" s="25">
        <f t="shared" si="4"/>
        <v>44.46</v>
      </c>
      <c r="T25" s="12">
        <f t="shared" si="5"/>
        <v>-112.07</v>
      </c>
      <c r="U25" s="12">
        <f t="shared" si="6"/>
        <v>37.5</v>
      </c>
      <c r="V25" s="12">
        <f t="shared" si="7"/>
        <v>-102.5</v>
      </c>
      <c r="W25" s="52">
        <f t="shared" si="8"/>
        <v>11.83327934259983</v>
      </c>
      <c r="X25" s="12" t="s">
        <v>9</v>
      </c>
      <c r="Y25" s="57">
        <v>1</v>
      </c>
      <c r="Z25" s="61">
        <v>30</v>
      </c>
      <c r="AA25" s="65">
        <v>0</v>
      </c>
    </row>
    <row r="26" spans="2:27" ht="15.35" thickBot="1" x14ac:dyDescent="0.4">
      <c r="B26" s="14">
        <v>0</v>
      </c>
      <c r="C26" s="31">
        <v>7</v>
      </c>
      <c r="D26" s="8" t="str">
        <f t="shared" si="0"/>
        <v>Sherbet Shoreline</v>
      </c>
      <c r="E26" s="31">
        <v>2</v>
      </c>
      <c r="F26" s="8" t="str">
        <f t="shared" si="1"/>
        <v>Coconut Cream Cove</v>
      </c>
      <c r="G26" s="28">
        <v>6</v>
      </c>
      <c r="Q26" s="15" t="s">
        <v>13</v>
      </c>
      <c r="R26" s="16" t="s">
        <v>18</v>
      </c>
      <c r="S26" s="25">
        <f t="shared" si="4"/>
        <v>44.46</v>
      </c>
      <c r="T26" s="12">
        <f t="shared" si="5"/>
        <v>-112.07</v>
      </c>
      <c r="U26" s="12">
        <f t="shared" si="6"/>
        <v>39.11</v>
      </c>
      <c r="V26" s="12">
        <f t="shared" si="7"/>
        <v>-101.96</v>
      </c>
      <c r="W26" s="52">
        <f t="shared" si="8"/>
        <v>11.438295327538979</v>
      </c>
      <c r="X26" s="12" t="s">
        <v>5</v>
      </c>
      <c r="Y26" s="57">
        <v>1</v>
      </c>
      <c r="Z26" s="61">
        <v>73</v>
      </c>
      <c r="AA26" s="65">
        <v>1</v>
      </c>
    </row>
    <row r="27" spans="2:27" ht="15.35" thickBot="1" x14ac:dyDescent="0.4">
      <c r="B27" s="14">
        <v>637.39049271593751</v>
      </c>
      <c r="C27" s="31">
        <v>7</v>
      </c>
      <c r="D27" s="8" t="str">
        <f t="shared" si="0"/>
        <v>Sherbet Shoreline</v>
      </c>
      <c r="E27" s="31">
        <v>3</v>
      </c>
      <c r="F27" s="8" t="str">
        <f t="shared" si="1"/>
        <v>Creme Brulee Cliffs</v>
      </c>
      <c r="G27" s="28">
        <v>19</v>
      </c>
      <c r="Q27" s="15" t="s">
        <v>13</v>
      </c>
      <c r="R27" s="16" t="s">
        <v>17</v>
      </c>
      <c r="S27" s="25">
        <f t="shared" si="4"/>
        <v>44.46</v>
      </c>
      <c r="T27" s="12">
        <f t="shared" si="5"/>
        <v>-112.07</v>
      </c>
      <c r="U27" s="12">
        <f t="shared" si="6"/>
        <v>32.25</v>
      </c>
      <c r="V27" s="12">
        <f t="shared" si="7"/>
        <v>-116.65</v>
      </c>
      <c r="W27" s="52">
        <f t="shared" si="8"/>
        <v>13.040724673115378</v>
      </c>
      <c r="X27" s="12" t="s">
        <v>12</v>
      </c>
      <c r="Y27" s="57">
        <v>0</v>
      </c>
      <c r="Z27" s="61">
        <v>25</v>
      </c>
      <c r="AA27" s="65">
        <v>0</v>
      </c>
    </row>
    <row r="28" spans="2:27" ht="15.35" thickBot="1" x14ac:dyDescent="0.4">
      <c r="B28" s="14">
        <v>1646</v>
      </c>
      <c r="C28" s="31">
        <v>7</v>
      </c>
      <c r="D28" s="8" t="str">
        <f t="shared" si="0"/>
        <v>Sherbet Shoreline</v>
      </c>
      <c r="E28" s="31">
        <v>5</v>
      </c>
      <c r="F28" s="8" t="str">
        <f t="shared" si="1"/>
        <v>Melty Mint Mountains</v>
      </c>
      <c r="G28" s="28">
        <v>15</v>
      </c>
      <c r="Q28" s="15" t="s">
        <v>13</v>
      </c>
      <c r="R28" s="16" t="s">
        <v>15</v>
      </c>
      <c r="S28" s="25">
        <f t="shared" si="4"/>
        <v>44.46</v>
      </c>
      <c r="T28" s="12">
        <f t="shared" si="5"/>
        <v>-112.07</v>
      </c>
      <c r="U28" s="12">
        <f t="shared" si="6"/>
        <v>39.340000000000003</v>
      </c>
      <c r="V28" s="12">
        <f t="shared" si="7"/>
        <v>-104.72</v>
      </c>
      <c r="W28" s="52">
        <f t="shared" si="8"/>
        <v>8.9575052330433991</v>
      </c>
      <c r="X28" s="12" t="s">
        <v>10</v>
      </c>
      <c r="Y28" s="57">
        <v>0</v>
      </c>
      <c r="Z28" s="61">
        <v>33</v>
      </c>
      <c r="AA28" s="65">
        <v>0</v>
      </c>
    </row>
    <row r="29" spans="2:27" ht="15.35" thickBot="1" x14ac:dyDescent="0.4">
      <c r="B29" s="24">
        <v>255.36315356756683</v>
      </c>
      <c r="C29" s="34">
        <v>7</v>
      </c>
      <c r="D29" s="30" t="str">
        <f t="shared" si="0"/>
        <v>Sherbet Shoreline</v>
      </c>
      <c r="E29" s="34">
        <v>6</v>
      </c>
      <c r="F29" s="30" t="str">
        <f t="shared" si="1"/>
        <v>Milkshake Mire</v>
      </c>
      <c r="G29" s="29">
        <v>23</v>
      </c>
      <c r="Q29" s="20" t="s">
        <v>13</v>
      </c>
      <c r="R29" s="21" t="s">
        <v>14</v>
      </c>
      <c r="S29" s="26">
        <f t="shared" si="4"/>
        <v>44.46</v>
      </c>
      <c r="T29" s="22">
        <f t="shared" si="5"/>
        <v>-112.07</v>
      </c>
      <c r="U29" s="22">
        <f>_xlfn.XLOOKUP(R29,$J$15:$J$21,$K$15:$K$21)</f>
        <v>41.2</v>
      </c>
      <c r="V29" s="22">
        <f t="shared" si="7"/>
        <v>-86.02</v>
      </c>
      <c r="W29" s="53">
        <f t="shared" si="8"/>
        <v>26.253192186856058</v>
      </c>
      <c r="X29" s="22" t="s">
        <v>11</v>
      </c>
      <c r="Y29" s="58">
        <v>0</v>
      </c>
      <c r="Z29" s="62">
        <v>32</v>
      </c>
      <c r="AA29" s="66">
        <v>0</v>
      </c>
    </row>
    <row r="30" spans="2:27" x14ac:dyDescent="0.35">
      <c r="Z30">
        <f>SUM(Z6:Z29)</f>
        <v>1675</v>
      </c>
    </row>
    <row r="31" spans="2:27" x14ac:dyDescent="0.35">
      <c r="W31" t="s">
        <v>51</v>
      </c>
      <c r="X31">
        <f>SUMPRODUCT(W6:W29,B6:B29)</f>
        <v>129547.71746805951</v>
      </c>
    </row>
    <row r="35" spans="17:24" x14ac:dyDescent="0.35">
      <c r="Q35" s="84" t="s">
        <v>28</v>
      </c>
      <c r="R35" s="84" t="s">
        <v>53</v>
      </c>
      <c r="S35" s="84" t="s">
        <v>54</v>
      </c>
      <c r="T35" s="85" t="s">
        <v>29</v>
      </c>
      <c r="U35" s="84" t="s">
        <v>58</v>
      </c>
      <c r="V35" s="84" t="s">
        <v>27</v>
      </c>
      <c r="W35" s="86" t="s">
        <v>61</v>
      </c>
      <c r="X35" s="83" t="s">
        <v>62</v>
      </c>
    </row>
    <row r="36" spans="17:24" x14ac:dyDescent="0.35">
      <c r="Q36" t="s">
        <v>52</v>
      </c>
      <c r="R36" s="70">
        <f>SUMPRODUCT(B6:B29,G6:G29)</f>
        <v>255574.03283250736</v>
      </c>
      <c r="S36" s="68">
        <v>221744</v>
      </c>
      <c r="T36" s="67">
        <f>R36-S36</f>
        <v>33830.032832507364</v>
      </c>
      <c r="U36">
        <f>T36/S36</f>
        <v>0.152563464321503</v>
      </c>
      <c r="V36">
        <v>1.6</v>
      </c>
      <c r="W36" s="80">
        <f>U36*V36</f>
        <v>0.24410154291440481</v>
      </c>
      <c r="X36" s="80">
        <v>0.38681076571778178</v>
      </c>
    </row>
    <row r="37" spans="17:24" x14ac:dyDescent="0.35">
      <c r="Q37" t="s">
        <v>55</v>
      </c>
      <c r="R37" s="71">
        <f>SUMPRODUCT(W6:W29,B6:B29)</f>
        <v>129547.71746805951</v>
      </c>
      <c r="S37" s="69">
        <v>111658.063449398</v>
      </c>
      <c r="T37" s="67">
        <f t="shared" ref="T37:T39" si="10">R37-S37</f>
        <v>17889.654018661502</v>
      </c>
      <c r="U37">
        <f t="shared" ref="U37:U39" si="11">T37/S37</f>
        <v>0.16021820069241002</v>
      </c>
      <c r="V37">
        <v>1.6</v>
      </c>
      <c r="W37" s="80">
        <f t="shared" ref="W37:X39" si="12">U37*V37</f>
        <v>0.25634912110785607</v>
      </c>
      <c r="X37" s="80">
        <v>0.54840493803580392</v>
      </c>
    </row>
    <row r="38" spans="17:24" x14ac:dyDescent="0.35">
      <c r="Q38" t="s">
        <v>57</v>
      </c>
      <c r="R38" s="71">
        <f>SUMPRODUCT(B6:B29,Y6:Y29)</f>
        <v>11496.027339148372</v>
      </c>
      <c r="S38" s="1">
        <v>6199</v>
      </c>
      <c r="T38" s="67">
        <f t="shared" si="10"/>
        <v>5297.0273391483715</v>
      </c>
      <c r="U38">
        <f t="shared" si="11"/>
        <v>0.8544970703578596</v>
      </c>
      <c r="V38">
        <v>0.3</v>
      </c>
      <c r="W38" s="80">
        <f t="shared" si="12"/>
        <v>0.25634912110735786</v>
      </c>
      <c r="X38" s="80">
        <v>0.54840493803581603</v>
      </c>
    </row>
    <row r="39" spans="17:24" x14ac:dyDescent="0.35">
      <c r="Q39" s="42" t="s">
        <v>56</v>
      </c>
      <c r="R39" s="71">
        <f>SUMPRODUCT(B6:B29,AA6:AA29)</f>
        <v>7516.2463537164958</v>
      </c>
      <c r="S39" s="1">
        <v>3711</v>
      </c>
      <c r="T39" s="67">
        <f t="shared" si="10"/>
        <v>3805.2463537164958</v>
      </c>
      <c r="U39">
        <f t="shared" si="11"/>
        <v>1.0253964844291286</v>
      </c>
      <c r="V39">
        <v>0.25</v>
      </c>
      <c r="W39" s="80">
        <f t="shared" si="12"/>
        <v>0.25634912110728214</v>
      </c>
      <c r="X39" s="80">
        <v>0.5484049380354431</v>
      </c>
    </row>
    <row r="41" spans="17:24" x14ac:dyDescent="0.35">
      <c r="Q41" s="84" t="s">
        <v>26</v>
      </c>
    </row>
    <row r="42" spans="17:24" x14ac:dyDescent="0.35">
      <c r="Q42" t="s">
        <v>59</v>
      </c>
      <c r="R42" s="2">
        <v>0.25634912110734054</v>
      </c>
    </row>
  </sheetData>
  <mergeCells count="5">
    <mergeCell ref="F2:I2"/>
    <mergeCell ref="J2:K2"/>
    <mergeCell ref="C5:D5"/>
    <mergeCell ref="E5:F5"/>
    <mergeCell ref="I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Locations</vt:lpstr>
      <vt:lpstr>Connections</vt:lpstr>
      <vt:lpstr>Model</vt:lpstr>
      <vt:lpstr>Stipulation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2025-04-16T22:29:48Z</dcterms:created>
  <dcterms:modified xsi:type="dcterms:W3CDTF">2025-04-22T02:17:40Z</dcterms:modified>
</cp:coreProperties>
</file>