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raha\OneDrive\Documents\GitHub\application_tracker\"/>
    </mc:Choice>
  </mc:AlternateContent>
  <xr:revisionPtr revIDLastSave="0" documentId="13_ncr:1_{A08E53E3-A34E-48A0-BBC0-FE4C3B0DDCC1}" xr6:coauthVersionLast="47" xr6:coauthVersionMax="47" xr10:uidLastSave="{00000000-0000-0000-0000-000000000000}"/>
  <bookViews>
    <workbookView xWindow="17140" yWindow="4230" windowWidth="20200" windowHeight="15960" activeTab="1" xr2:uid="{85E7A6A4-6F22-48D9-815F-FC03736B7AC4}"/>
  </bookViews>
  <sheets>
    <sheet name="Tracker" sheetId="1" r:id="rId1"/>
    <sheet name="Dashboard" sheetId="2" r:id="rId2"/>
    <sheet name="Data Calculations" sheetId="3" r:id="rId3"/>
    <sheet name="ROE Calculation" sheetId="4" r:id="rId4"/>
    <sheet name="Glossary" sheetId="5" r:id="rId5"/>
  </sheets>
  <definedNames>
    <definedName name="_xlnm._FilterDatabase" localSheetId="3" hidden="1">'ROE Calculation'!$K$1:$K$15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A2" i="3" a="1"/>
  <c r="G2" i="2"/>
  <c r="G3" i="2"/>
  <c r="G4" i="2"/>
  <c r="G5" i="2"/>
  <c r="G6" i="2"/>
  <c r="G7" i="2"/>
  <c r="G8" i="2"/>
  <c r="G9" i="2"/>
  <c r="G10" i="2"/>
  <c r="G11" i="2"/>
  <c r="G12" i="2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2" i="4"/>
  <c r="G2" i="3"/>
  <c r="G3" i="3"/>
  <c r="G6" i="3"/>
  <c r="G4" i="3"/>
  <c r="G5" i="3"/>
  <c r="G8" i="3"/>
  <c r="G7" i="3"/>
  <c r="G9" i="3"/>
  <c r="G11" i="3"/>
  <c r="G10" i="3"/>
  <c r="G13" i="3"/>
  <c r="G12" i="3"/>
  <c r="F3" i="4"/>
  <c r="G3" i="4"/>
  <c r="I3" i="4"/>
  <c r="F4" i="4"/>
  <c r="G4" i="4"/>
  <c r="I4" i="4"/>
  <c r="F5" i="4"/>
  <c r="G5" i="4"/>
  <c r="I5" i="4"/>
  <c r="F6" i="4"/>
  <c r="G6" i="4"/>
  <c r="I6" i="4"/>
  <c r="F7" i="4"/>
  <c r="G7" i="4"/>
  <c r="I7" i="4"/>
  <c r="F8" i="4"/>
  <c r="G8" i="4"/>
  <c r="I8" i="4"/>
  <c r="F9" i="4"/>
  <c r="G9" i="4"/>
  <c r="I9" i="4"/>
  <c r="F10" i="4"/>
  <c r="G10" i="4"/>
  <c r="I10" i="4"/>
  <c r="F11" i="4"/>
  <c r="G11" i="4"/>
  <c r="I11" i="4"/>
  <c r="F12" i="4"/>
  <c r="G12" i="4"/>
  <c r="I12" i="4"/>
  <c r="F13" i="4"/>
  <c r="G13" i="4"/>
  <c r="I13" i="4"/>
  <c r="F14" i="4"/>
  <c r="G14" i="4"/>
  <c r="I14" i="4"/>
  <c r="F15" i="4"/>
  <c r="G15" i="4"/>
  <c r="I15" i="4"/>
  <c r="G2" i="4"/>
  <c r="F2" i="4"/>
  <c r="L7" i="2"/>
  <c r="L6" i="2"/>
  <c r="N6" i="2"/>
  <c r="D5" i="2"/>
  <c r="D6" i="2"/>
  <c r="D2" i="2"/>
  <c r="D4" i="2"/>
  <c r="D3" i="2"/>
  <c r="R5" i="2"/>
  <c r="R7" i="2"/>
  <c r="R8" i="2"/>
  <c r="I2" i="4"/>
  <c r="A3" i="4"/>
  <c r="B3" i="4"/>
  <c r="D3" i="4"/>
  <c r="D4" i="4"/>
  <c r="D5" i="4"/>
  <c r="K5" i="4" s="1"/>
  <c r="D6" i="4"/>
  <c r="D7" i="4"/>
  <c r="D8" i="4"/>
  <c r="D9" i="4"/>
  <c r="D10" i="4"/>
  <c r="D11" i="4"/>
  <c r="D12" i="4"/>
  <c r="D13" i="4"/>
  <c r="D14" i="4"/>
  <c r="D15" i="4"/>
  <c r="D2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A4" i="4"/>
  <c r="A5" i="4"/>
  <c r="A6" i="4"/>
  <c r="A7" i="4"/>
  <c r="A8" i="4"/>
  <c r="A9" i="4"/>
  <c r="A10" i="4"/>
  <c r="A11" i="4"/>
  <c r="A12" i="4"/>
  <c r="A13" i="4"/>
  <c r="A14" i="4"/>
  <c r="A15" i="4"/>
  <c r="A2" i="4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16" i="1"/>
  <c r="K17" i="1"/>
  <c r="K18" i="1"/>
  <c r="K19" i="1"/>
  <c r="K20" i="1"/>
  <c r="K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J5" i="3" l="1"/>
  <c r="J12" i="3"/>
  <c r="A2" i="3"/>
  <c r="F9" i="3"/>
  <c r="F8" i="3"/>
  <c r="F7" i="3"/>
  <c r="F6" i="3"/>
  <c r="F5" i="3"/>
  <c r="F3" i="3"/>
  <c r="F4" i="3"/>
  <c r="J6" i="3"/>
  <c r="F11" i="3"/>
  <c r="J7" i="3"/>
  <c r="F12" i="3"/>
  <c r="J8" i="3"/>
  <c r="J9" i="3"/>
  <c r="J10" i="3"/>
  <c r="F13" i="3"/>
  <c r="J11" i="3"/>
  <c r="F10" i="3"/>
  <c r="F2" i="3"/>
  <c r="J2" i="3"/>
  <c r="J3" i="3"/>
  <c r="J4" i="3"/>
  <c r="J10" i="4"/>
  <c r="K7" i="4"/>
  <c r="O7" i="4" s="1"/>
  <c r="K15" i="4"/>
  <c r="K14" i="4"/>
  <c r="J2" i="4"/>
  <c r="M2" i="4" s="1"/>
  <c r="K13" i="4"/>
  <c r="O13" i="4" s="1"/>
  <c r="K12" i="4"/>
  <c r="J9" i="4"/>
  <c r="K2" i="4"/>
  <c r="K10" i="4"/>
  <c r="J15" i="4"/>
  <c r="K9" i="4"/>
  <c r="O9" i="4" s="1"/>
  <c r="J11" i="4"/>
  <c r="J14" i="4"/>
  <c r="J13" i="4"/>
  <c r="J12" i="4"/>
  <c r="J8" i="4"/>
  <c r="J7" i="4"/>
  <c r="J6" i="4"/>
  <c r="J3" i="4"/>
  <c r="J5" i="4"/>
  <c r="J4" i="4"/>
  <c r="O5" i="4"/>
  <c r="O1" i="2"/>
  <c r="R1" i="2"/>
  <c r="L1" i="2"/>
  <c r="L2" i="2" s="1"/>
  <c r="M14" i="4" l="1"/>
  <c r="N14" i="4"/>
  <c r="M11" i="4"/>
  <c r="N11" i="4"/>
  <c r="K11" i="4"/>
  <c r="O11" i="4" s="1"/>
  <c r="N9" i="4"/>
  <c r="M9" i="4"/>
  <c r="N3" i="4"/>
  <c r="M3" i="4"/>
  <c r="N8" i="4"/>
  <c r="M8" i="4"/>
  <c r="N5" i="4"/>
  <c r="M5" i="4"/>
  <c r="N6" i="4"/>
  <c r="M6" i="4"/>
  <c r="N13" i="4"/>
  <c r="M13" i="4"/>
  <c r="N10" i="4"/>
  <c r="M10" i="4"/>
  <c r="N7" i="4"/>
  <c r="M7" i="4"/>
  <c r="N12" i="4"/>
  <c r="M12" i="4"/>
  <c r="N15" i="4"/>
  <c r="M15" i="4"/>
  <c r="N4" i="4"/>
  <c r="M4" i="4"/>
  <c r="K4" i="4"/>
  <c r="O4" i="4" s="1"/>
  <c r="K6" i="4"/>
  <c r="O6" i="4" s="1"/>
  <c r="K3" i="4"/>
  <c r="O3" i="4" s="1"/>
  <c r="K8" i="4"/>
  <c r="O8" i="4" s="1"/>
  <c r="O15" i="4"/>
  <c r="O12" i="4"/>
  <c r="O10" i="4"/>
  <c r="O14" i="4"/>
  <c r="M5" i="3"/>
  <c r="L3" i="2"/>
  <c r="M9" i="3"/>
  <c r="O2" i="4"/>
  <c r="N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<sst xmlns="http://schemas.openxmlformats.org/spreadsheetml/2006/main" count="186" uniqueCount="119">
  <si>
    <t>Company</t>
  </si>
  <si>
    <t>Status</t>
  </si>
  <si>
    <t>Pending</t>
  </si>
  <si>
    <t>Interviewing</t>
  </si>
  <si>
    <t>Denied</t>
  </si>
  <si>
    <t>Product Manager</t>
  </si>
  <si>
    <t>Date</t>
  </si>
  <si>
    <t>Analyst</t>
  </si>
  <si>
    <t>DailyPay</t>
  </si>
  <si>
    <t>Technical Engagement Analyst</t>
  </si>
  <si>
    <t>Project Manager</t>
  </si>
  <si>
    <t>Capco</t>
  </si>
  <si>
    <t>BrandED</t>
  </si>
  <si>
    <t>Enterprise Application Services Analyst</t>
  </si>
  <si>
    <t>Jellyfish</t>
  </si>
  <si>
    <t>Forward Deployed Engineer</t>
  </si>
  <si>
    <t>Technical Strategy Analyst</t>
  </si>
  <si>
    <t>Indeed</t>
  </si>
  <si>
    <t>Referral</t>
  </si>
  <si>
    <t>LinkedIn</t>
  </si>
  <si>
    <t>Platform</t>
  </si>
  <si>
    <t>Company Site</t>
  </si>
  <si>
    <t>Sum of Interviews</t>
  </si>
  <si>
    <t>80000 Hours</t>
  </si>
  <si>
    <t>Total</t>
  </si>
  <si>
    <t>Gaingels</t>
  </si>
  <si>
    <t>On Hold</t>
  </si>
  <si>
    <t>Wellfound</t>
  </si>
  <si>
    <t>Salary Stats</t>
  </si>
  <si>
    <t>YCombinator</t>
  </si>
  <si>
    <t>Offer</t>
  </si>
  <si>
    <t>Apps Per Week</t>
  </si>
  <si>
    <t>Sum of Companies</t>
  </si>
  <si>
    <t>Industry</t>
  </si>
  <si>
    <t>Tech</t>
  </si>
  <si>
    <t>Finance</t>
  </si>
  <si>
    <t>Healthcare</t>
  </si>
  <si>
    <t>Marketing</t>
  </si>
  <si>
    <t>Other</t>
  </si>
  <si>
    <t>Insurance</t>
  </si>
  <si>
    <t>Unknown</t>
  </si>
  <si>
    <t>Business</t>
  </si>
  <si>
    <t>Recruiter</t>
  </si>
  <si>
    <t>Incl Duplicates</t>
  </si>
  <si>
    <t>Consultant</t>
  </si>
  <si>
    <t>Role Type</t>
  </si>
  <si>
    <t>Venture</t>
  </si>
  <si>
    <t>BuiltIn</t>
  </si>
  <si>
    <t>HiringCafe</t>
  </si>
  <si>
    <t>&lt;= Interv. + Preoffer + Offer / Total</t>
  </si>
  <si>
    <t>Response Rate %</t>
  </si>
  <si>
    <t>&lt;= NOT Pending / Total</t>
  </si>
  <si>
    <t>Current Traction %</t>
  </si>
  <si>
    <t>Rejected</t>
  </si>
  <si>
    <t>Job Title</t>
  </si>
  <si>
    <t>Number of Interviews</t>
  </si>
  <si>
    <t>Salary Min (Thousands)</t>
  </si>
  <si>
    <t>Salary Max (Thousands)</t>
  </si>
  <si>
    <t>Week Number</t>
  </si>
  <si>
    <t>Consulting</t>
  </si>
  <si>
    <t>Company Name</t>
  </si>
  <si>
    <t>Salary Average (Min+Max/2)</t>
  </si>
  <si>
    <t>Consumer Products</t>
  </si>
  <si>
    <t>Status Effort</t>
  </si>
  <si>
    <t>Platform Effort</t>
  </si>
  <si>
    <t>Total:</t>
  </si>
  <si>
    <t>Avg per week</t>
  </si>
  <si>
    <t>They never responded but I assume the role is filled or no longer available</t>
  </si>
  <si>
    <t>Interviewed, then they decided no</t>
  </si>
  <si>
    <t>Average Range</t>
  </si>
  <si>
    <t>Total Average</t>
  </si>
  <si>
    <t>Direct Message</t>
  </si>
  <si>
    <t>Role Likeliness</t>
  </si>
  <si>
    <t>ROE</t>
  </si>
  <si>
    <t>ROE Calculation</t>
  </si>
  <si>
    <t>ROI, but more of a "return on effort" calculation or how theoretically easy it should be for me to get the job</t>
  </si>
  <si>
    <t>Salary Likeliness</t>
  </si>
  <si>
    <t>Interview Weight</t>
  </si>
  <si>
    <t>With interview calculation</t>
  </si>
  <si>
    <t>ROE With Interviews</t>
  </si>
  <si>
    <t>No Response</t>
  </si>
  <si>
    <r>
      <rPr>
        <b/>
        <sz val="11"/>
        <color theme="1"/>
        <rFont val="Aptos Narrow"/>
        <family val="2"/>
        <scheme val="minor"/>
      </rPr>
      <t>Status Effort</t>
    </r>
    <r>
      <rPr>
        <sz val="11"/>
        <color theme="1"/>
        <rFont val="Aptos Narrow"/>
        <family val="2"/>
        <scheme val="minor"/>
      </rPr>
      <t>: how likely I am to get the job based on the status</t>
    </r>
  </si>
  <si>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: how much effort it took to apply on the site</t>
    </r>
  </si>
  <si>
    <r>
      <rPr>
        <b/>
        <sz val="11"/>
        <color theme="1"/>
        <rFont val="Aptos Narrow"/>
        <family val="2"/>
        <scheme val="minor"/>
      </rPr>
      <t>Role Likeliness:</t>
    </r>
    <r>
      <rPr>
        <sz val="11"/>
        <color theme="1"/>
        <rFont val="Aptos Narrow"/>
        <family val="2"/>
        <scheme val="minor"/>
      </rPr>
      <t xml:space="preserve"> How likely I am to get the job based on the job type</t>
    </r>
  </si>
  <si>
    <r>
      <rPr>
        <b/>
        <sz val="11"/>
        <color theme="1"/>
        <rFont val="Aptos Narrow"/>
        <family val="2"/>
        <scheme val="minor"/>
      </rPr>
      <t>Salary Likeliness</t>
    </r>
    <r>
      <rPr>
        <sz val="11"/>
        <color theme="1"/>
        <rFont val="Aptos Narrow"/>
        <family val="2"/>
        <scheme val="minor"/>
      </rPr>
      <t>: piecewise linear function that determines how likely I am to get the job based on the salary range</t>
    </r>
  </si>
  <si>
    <r>
      <rPr>
        <b/>
        <sz val="11"/>
        <color theme="1"/>
        <rFont val="Aptos Narrow"/>
        <family val="2"/>
        <scheme val="minor"/>
      </rPr>
      <t>Interview Weight</t>
    </r>
    <r>
      <rPr>
        <sz val="11"/>
        <color theme="1"/>
        <rFont val="Aptos Narrow"/>
        <family val="2"/>
        <scheme val="minor"/>
      </rPr>
      <t>: How many interviews I've had (more interviews lower the denominator)</t>
    </r>
  </si>
  <si>
    <r>
      <t>No Interview Calculation: (</t>
    </r>
    <r>
      <rPr>
        <b/>
        <sz val="11"/>
        <color theme="1"/>
        <rFont val="Aptos Narrow"/>
        <family val="2"/>
        <scheme val="minor"/>
      </rPr>
      <t>Average Salary x Role Likeliness x Salary Likeliness</t>
    </r>
    <r>
      <rPr>
        <sz val="11"/>
        <color theme="1"/>
        <rFont val="Aptos Narrow"/>
        <family val="2"/>
        <scheme val="minor"/>
      </rPr>
      <t>) / 10, plus normalizing constants</t>
    </r>
  </si>
  <si>
    <r>
      <t>With Interview Calculation: Same as above, times (</t>
    </r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) / (</t>
    </r>
    <r>
      <rPr>
        <b/>
        <sz val="11"/>
        <color theme="1"/>
        <rFont val="Aptos Narrow"/>
        <family val="2"/>
        <scheme val="minor"/>
      </rPr>
      <t>Role Likeliness x Interview Weight</t>
    </r>
    <r>
      <rPr>
        <sz val="11"/>
        <color theme="1"/>
        <rFont val="Aptos Narrow"/>
        <family val="2"/>
        <scheme val="minor"/>
      </rPr>
      <t>) * 10</t>
    </r>
  </si>
  <si>
    <t># Roles Interviewed</t>
  </si>
  <si>
    <t>Insufficient Data</t>
  </si>
  <si>
    <t>ROE (Without Interviews)</t>
  </si>
  <si>
    <t>Week</t>
  </si>
  <si>
    <t>Number of Companies</t>
  </si>
  <si>
    <t>Industry of Co</t>
  </si>
  <si>
    <t># In Status</t>
  </si>
  <si>
    <t>Platform Applications</t>
  </si>
  <si>
    <t>Application Status</t>
  </si>
  <si>
    <t>Return on Effort</t>
  </si>
  <si>
    <t>Count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</si>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</sst>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0" xfId="0" applyFill="1"/>
    <xf numFmtId="0" fontId="0" fillId="3" borderId="0" xfId="0" applyFill="1"/>
    <xf numFmtId="0" fontId="0" fillId="7" borderId="0" xfId="0" applyFill="1"/>
    <xf numFmtId="1" fontId="0" fillId="0" borderId="0" xfId="0" applyNumberFormat="1"/>
    <xf numFmtId="0" fontId="0" fillId="2" borderId="0" xfId="0" applyFill="1"/>
    <xf numFmtId="16" fontId="0" fillId="0" borderId="0" xfId="0" applyNumberFormat="1"/>
    <xf numFmtId="0" fontId="0" fillId="5" borderId="0" xfId="0" applyFill="1" applyAlignment="1">
      <alignment wrapText="1"/>
    </xf>
    <xf numFmtId="0" fontId="1" fillId="9" borderId="2" xfId="0" applyFont="1" applyFill="1" applyBorder="1"/>
    <xf numFmtId="0" fontId="1" fillId="9" borderId="2" xfId="0" applyFont="1" applyFill="1" applyBorder="1" applyAlignment="1">
      <alignment wrapText="1"/>
    </xf>
    <xf numFmtId="1" fontId="1" fillId="9" borderId="2" xfId="0" applyNumberFormat="1" applyFont="1" applyFill="1" applyBorder="1"/>
    <xf numFmtId="0" fontId="1" fillId="9" borderId="1" xfId="0" applyFont="1" applyFill="1" applyBorder="1"/>
    <xf numFmtId="0" fontId="0" fillId="11" borderId="0" xfId="0" applyFill="1"/>
    <xf numFmtId="0" fontId="0" fillId="0" borderId="3" xfId="0" applyBorder="1"/>
    <xf numFmtId="0" fontId="0" fillId="12" borderId="4" xfId="0" applyFill="1" applyBorder="1"/>
    <xf numFmtId="0" fontId="0" fillId="4" borderId="5" xfId="0" applyFill="1" applyBorder="1"/>
    <xf numFmtId="0" fontId="0" fillId="4" borderId="4" xfId="0" applyFill="1" applyBorder="1"/>
    <xf numFmtId="0" fontId="0" fillId="10" borderId="6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2" borderId="3" xfId="0" applyFill="1" applyBorder="1"/>
    <xf numFmtId="0" fontId="0" fillId="0" borderId="5" xfId="0" applyBorder="1"/>
    <xf numFmtId="2" fontId="0" fillId="0" borderId="4" xfId="0" applyNumberFormat="1" applyBorder="1"/>
    <xf numFmtId="0" fontId="3" fillId="0" borderId="4" xfId="0" applyFont="1" applyBorder="1"/>
    <xf numFmtId="0" fontId="0" fillId="0" borderId="4" xfId="0" applyBorder="1"/>
    <xf numFmtId="0" fontId="0" fillId="0" borderId="6" xfId="0" applyBorder="1"/>
    <xf numFmtId="2" fontId="0" fillId="0" borderId="1" xfId="0" applyNumberFormat="1" applyBorder="1"/>
    <xf numFmtId="0" fontId="0" fillId="13" borderId="5" xfId="0" applyFill="1" applyBorder="1"/>
    <xf numFmtId="0" fontId="0" fillId="5" borderId="7" xfId="0" applyFill="1" applyBorder="1"/>
    <xf numFmtId="0" fontId="0" fillId="12" borderId="5" xfId="0" applyFill="1" applyBorder="1"/>
    <xf numFmtId="0" fontId="0" fillId="12" borderId="6" xfId="0" applyFill="1" applyBorder="1"/>
    <xf numFmtId="0" fontId="3" fillId="0" borderId="1" xfId="0" applyFont="1" applyBorder="1"/>
    <xf numFmtId="0" fontId="0" fillId="14" borderId="0" xfId="0" applyFill="1"/>
    <xf numFmtId="0" fontId="0" fillId="15" borderId="0" xfId="0" applyFill="1"/>
    <xf numFmtId="0" fontId="0" fillId="16" borderId="1" xfId="0" applyFill="1" applyBorder="1"/>
    <xf numFmtId="0" fontId="0" fillId="16" borderId="9" xfId="0" applyFill="1" applyBorder="1"/>
    <xf numFmtId="2" fontId="0" fillId="0" borderId="0" xfId="0" applyNumberFormat="1"/>
    <xf numFmtId="2" fontId="0" fillId="0" borderId="3" xfId="0" applyNumberFormat="1" applyBorder="1"/>
    <xf numFmtId="0" fontId="0" fillId="8" borderId="8" xfId="0" applyFill="1" applyBorder="1"/>
    <xf numFmtId="0" fontId="4" fillId="0" borderId="0" xfId="0" applyFont="1"/>
    <xf numFmtId="0" fontId="0" fillId="6" borderId="0" xfId="0" applyFill="1"/>
  </cellXfs>
  <cellStyles count="1">
    <cellStyle name="Normal" xfId="0" builtinId="0"/>
  </cellStyles>
  <dxfs count="14"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theme="5" tint="0.79998168889431442"/>
        </patternFill>
      </fill>
    </dxf>
    <dxf>
      <fill>
        <patternFill>
          <bgColor rgb="FFF1B9DA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rgb="FFF8E0EE"/>
        </patternFill>
      </fill>
    </dxf>
    <dxf>
      <fill>
        <patternFill>
          <bgColor rgb="FFFFFFB9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EB9FCC"/>
      <color rgb="FFF1B9DA"/>
      <color rgb="FFECA6D0"/>
      <color rgb="FFF8E0EE"/>
      <color rgb="FFF5CFE6"/>
      <color rgb="FFF1BDDC"/>
      <color rgb="FFD5FBD5"/>
      <color rgb="FFCCF9FC"/>
      <color rgb="FFCBF3F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</a:p>
        </c:rich>
      </c:tx>
      <c:layout>
        <c:manualLayout>
          <c:xMode val="edge"/>
          <c:yMode val="edge"/>
          <c:x val="0.70161344789198832"/>
          <c:y val="3.66972477064220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91-436D-AF6F-9C6072B59181}"/>
              </c:ext>
            </c:extLst>
          </c:dPt>
          <c:dPt>
            <c:idx val="1"/>
            <c:bubble3D val="0"/>
            <c:spPr>
              <a:solidFill>
                <a:schemeClr val="accent4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91-436D-AF6F-9C6072B59181}"/>
              </c:ext>
            </c:extLst>
          </c:dPt>
          <c:dPt>
            <c:idx val="2"/>
            <c:bubble3D val="0"/>
            <c:spPr>
              <a:solidFill>
                <a:schemeClr val="accent4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91-436D-AF6F-9C6072B59181}"/>
              </c:ext>
            </c:extLst>
          </c:dPt>
          <c:dPt>
            <c:idx val="3"/>
            <c:bubble3D val="0"/>
            <c:spPr>
              <a:solidFill>
                <a:schemeClr val="accent4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91-436D-AF6F-9C6072B59181}"/>
              </c:ext>
            </c:extLst>
          </c:dPt>
          <c:dPt>
            <c:idx val="4"/>
            <c:bubble3D val="0"/>
            <c:spPr>
              <a:solidFill>
                <a:schemeClr val="accent4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91-436D-AF6F-9C6072B59181}"/>
              </c:ext>
            </c:extLst>
          </c:dPt>
          <c:dPt>
            <c:idx val="5"/>
            <c:bubble3D val="0"/>
            <c:spPr>
              <a:solidFill>
                <a:schemeClr val="accent4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91-436D-AF6F-9C6072B59181}"/>
              </c:ext>
            </c:extLst>
          </c:dPt>
          <c:dPt>
            <c:idx val="6"/>
            <c:bubble3D val="0"/>
            <c:spPr>
              <a:solidFill>
                <a:schemeClr val="accent4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E19-4B27-B345-A211E32190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Dashboard!$A$2:$A$8</c:f>
              <c:strCache>
                <c:ptCount val="7"/>
                <c:pt idx="0">
                  <c:v>Pending</c:v>
                </c:pt>
                <c:pt idx="1">
                  <c:v>No Response</c:v>
                </c:pt>
                <c:pt idx="2">
                  <c:v>Denied</c:v>
                </c:pt>
                <c:pt idx="3">
                  <c:v>Rejected</c:v>
                </c:pt>
                <c:pt idx="4">
                  <c:v>On Hold</c:v>
                </c:pt>
                <c:pt idx="5">
                  <c:v>Interviewing</c:v>
                </c:pt>
                <c:pt idx="6">
                  <c:v>Offer</c:v>
                </c:pt>
              </c:strCache>
            </c:strRef>
          </c:cat>
          <c:val>
            <c:numRef>
              <c:f>Dashboard!$B$2:$B$8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7-45EE-9DDE-B08186596E8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Platform</a:t>
            </a:r>
          </a:p>
        </c:rich>
      </c:tx>
      <c:layout>
        <c:manualLayout>
          <c:xMode val="edge"/>
          <c:yMode val="edge"/>
          <c:x val="0.74788282078855628"/>
          <c:y val="4.62649147384184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tint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97-4D1F-98A2-87024B7FDD11}"/>
              </c:ext>
            </c:extLst>
          </c:dPt>
          <c:dPt>
            <c:idx val="1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97-4D1F-98A2-87024B7FDD11}"/>
              </c:ext>
            </c:extLst>
          </c:dPt>
          <c:dPt>
            <c:idx val="2"/>
            <c:bubble3D val="0"/>
            <c:spPr>
              <a:solidFill>
                <a:schemeClr val="accent5">
                  <a:shade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97-4D1F-98A2-87024B7FDD11}"/>
              </c:ext>
            </c:extLst>
          </c:dPt>
          <c:dPt>
            <c:idx val="3"/>
            <c:bubble3D val="0"/>
            <c:spPr>
              <a:solidFill>
                <a:schemeClr val="accent5">
                  <a:shade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97-4D1F-98A2-87024B7FDD11}"/>
              </c:ext>
            </c:extLst>
          </c:dPt>
          <c:dPt>
            <c:idx val="4"/>
            <c:bubble3D val="0"/>
            <c:spPr>
              <a:solidFill>
                <a:schemeClr val="accent5">
                  <a:tint val="8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97-4D1F-98A2-87024B7FDD11}"/>
              </c:ext>
            </c:extLst>
          </c:dPt>
          <c:dPt>
            <c:idx val="5"/>
            <c:bubble3D val="0"/>
            <c:spPr>
              <a:solidFill>
                <a:schemeClr val="accent5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97-4D1F-98A2-87024B7FDD11}"/>
              </c:ext>
            </c:extLst>
          </c:dPt>
          <c:dPt>
            <c:idx val="6"/>
            <c:bubble3D val="0"/>
            <c:spPr>
              <a:solidFill>
                <a:schemeClr val="accent5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97-4D1F-98A2-87024B7FDD11}"/>
              </c:ext>
            </c:extLst>
          </c:dPt>
          <c:dPt>
            <c:idx val="7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97-4D1F-98A2-87024B7FDD11}"/>
              </c:ext>
            </c:extLst>
          </c:dPt>
          <c:dPt>
            <c:idx val="8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6FD-4FDC-A06A-A4A312341AE5}"/>
              </c:ext>
            </c:extLst>
          </c:dPt>
          <c:dPt>
            <c:idx val="9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6FD-4FDC-A06A-A4A312341AE5}"/>
              </c:ext>
            </c:extLst>
          </c:dPt>
          <c:dPt>
            <c:idx val="10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6FD-4FDC-A06A-A4A312341AE5}"/>
              </c:ext>
            </c:extLst>
          </c:dPt>
          <c:dPt>
            <c:idx val="11"/>
            <c:bubble3D val="0"/>
            <c:spPr>
              <a:solidFill>
                <a:schemeClr val="accent5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37C-4F3A-A5E9-C975099C8A2D}"/>
              </c:ext>
            </c:extLst>
          </c:dPt>
          <c:dPt>
            <c:idx val="12"/>
            <c:bubble3D val="0"/>
            <c:spPr>
              <a:solidFill>
                <a:schemeClr val="accent5">
                  <a:shade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37C-4F3A-A5E9-C975099C8A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Dashboard!$F$2:$F$14</c:f>
              <c:strCache>
                <c:ptCount val="11"/>
                <c:pt idx="0">
                  <c:v>LinkedIn</c:v>
                </c:pt>
                <c:pt idx="1">
                  <c:v>Company Site</c:v>
                </c:pt>
                <c:pt idx="2">
                  <c:v>Wellfound</c:v>
                </c:pt>
                <c:pt idx="3">
                  <c:v>HiringCafe</c:v>
                </c:pt>
                <c:pt idx="4">
                  <c:v>Gaingels</c:v>
                </c:pt>
                <c:pt idx="5">
                  <c:v>Referral</c:v>
                </c:pt>
                <c:pt idx="6">
                  <c:v>Direct Message</c:v>
                </c:pt>
                <c:pt idx="7">
                  <c:v>YCombinator</c:v>
                </c:pt>
                <c:pt idx="8">
                  <c:v>Indeed</c:v>
                </c:pt>
                <c:pt idx="9">
                  <c:v>80000 Hours</c:v>
                </c:pt>
                <c:pt idx="10">
                  <c:v>BuiltIn</c:v>
                </c:pt>
              </c:strCache>
            </c:strRef>
          </c:cat>
          <c:val>
            <c:numRef>
              <c:f>Dashboard!$G$2:$G$14</c:f>
              <c:numCache>
                <c:formatCode>General</c:formatCode>
                <c:ptCount val="13"/>
                <c:pt idx="0">
                  <c:v>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D-477A-AB59-69524C44ACC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Apps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Calculations'!$J$2:$J$12</c:f>
              <c:numCache>
                <c:formatCode>General</c:formatCode>
                <c:ptCount val="11"/>
                <c:pt idx="0">
                  <c:v>6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7-4072-99D7-665B975973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4031840"/>
        <c:axId val="1064031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'Data Calculations'!$I$2:$I$12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5F5-4B91-ADA4-14D45DE4FA06}"/>
                  </c:ext>
                </c:extLst>
              </c15:ser>
            </c15:filteredBarSeries>
          </c:ext>
        </c:extLst>
      </c:barChart>
      <c:catAx>
        <c:axId val="106403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360"/>
        <c:crosses val="autoZero"/>
        <c:auto val="1"/>
        <c:lblAlgn val="ctr"/>
        <c:lblOffset val="100"/>
        <c:noMultiLvlLbl val="0"/>
      </c:catAx>
      <c:valAx>
        <c:axId val="10640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24278215223097"/>
          <c:y val="0.18270935960591136"/>
          <c:w val="0.70717101095121726"/>
          <c:h val="0.7034075481944067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Calculations'!$E$2:$E$13</c:f>
              <c:strCache>
                <c:ptCount val="12"/>
                <c:pt idx="0">
                  <c:v>Tech</c:v>
                </c:pt>
                <c:pt idx="1">
                  <c:v>Finance</c:v>
                </c:pt>
                <c:pt idx="2">
                  <c:v>Other</c:v>
                </c:pt>
                <c:pt idx="3">
                  <c:v>Consumer Products</c:v>
                </c:pt>
                <c:pt idx="4">
                  <c:v>Recruiter</c:v>
                </c:pt>
                <c:pt idx="5">
                  <c:v>Marketing</c:v>
                </c:pt>
                <c:pt idx="6">
                  <c:v>Business</c:v>
                </c:pt>
                <c:pt idx="7">
                  <c:v>Healthcare</c:v>
                </c:pt>
                <c:pt idx="8">
                  <c:v>Consulting</c:v>
                </c:pt>
                <c:pt idx="9">
                  <c:v>Unknown</c:v>
                </c:pt>
                <c:pt idx="10">
                  <c:v>Insurance</c:v>
                </c:pt>
                <c:pt idx="11">
                  <c:v>Venture</c:v>
                </c:pt>
              </c:strCache>
            </c:strRef>
          </c:cat>
          <c:val>
            <c:numRef>
              <c:f>'Data Calculations'!$F$2:$F$13</c:f>
              <c:numCache>
                <c:formatCode>General</c:formatCode>
                <c:ptCount val="12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7-419D-A16C-E1A9C5C669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00396016"/>
        <c:axId val="500396496"/>
      </c:barChart>
      <c:catAx>
        <c:axId val="50039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6496"/>
        <c:crosses val="autoZero"/>
        <c:auto val="1"/>
        <c:lblAlgn val="ctr"/>
        <c:lblOffset val="100"/>
        <c:noMultiLvlLbl val="0"/>
      </c:catAx>
      <c:valAx>
        <c:axId val="50039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Role Type</a:t>
            </a:r>
          </a:p>
        </c:rich>
      </c:tx>
      <c:layout>
        <c:manualLayout>
          <c:xMode val="edge"/>
          <c:yMode val="edge"/>
          <c:x val="0.38674250454270137"/>
          <c:y val="3.66972477064220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98-42F4-8200-88A55621A4E8}"/>
              </c:ext>
            </c:extLst>
          </c:dPt>
          <c:dPt>
            <c:idx val="1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98-42F4-8200-88A55621A4E8}"/>
              </c:ext>
            </c:extLst>
          </c:dPt>
          <c:dPt>
            <c:idx val="2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98-42F4-8200-88A55621A4E8}"/>
              </c:ext>
            </c:extLst>
          </c:dPt>
          <c:dPt>
            <c:idx val="3"/>
            <c:bubble3D val="0"/>
            <c:spPr>
              <a:solidFill>
                <a:schemeClr val="accent2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98-42F4-8200-88A55621A4E8}"/>
              </c:ext>
            </c:extLst>
          </c:dPt>
          <c:dPt>
            <c:idx val="4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98-42F4-8200-88A55621A4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Dashboard!$C$2:$C$6</c:f>
              <c:strCache>
                <c:ptCount val="5"/>
                <c:pt idx="0">
                  <c:v>Analyst</c:v>
                </c:pt>
                <c:pt idx="1">
                  <c:v>Product Manager</c:v>
                </c:pt>
                <c:pt idx="2">
                  <c:v>Project Manager</c:v>
                </c:pt>
                <c:pt idx="3">
                  <c:v>Other</c:v>
                </c:pt>
                <c:pt idx="4">
                  <c:v>Consultant</c:v>
                </c:pt>
              </c:strCache>
            </c:strRef>
          </c:cat>
          <c:val>
            <c:numRef>
              <c:f>Dashboard!$D$2:$D$6</c:f>
              <c:numCache>
                <c:formatCode>General</c:formatCode>
                <c:ptCount val="5"/>
                <c:pt idx="0">
                  <c:v>9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5-4954-9398-02F75E488B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76199</xdr:colOff>
      <xdr:row>7</xdr:row>
      <xdr:rowOff>107950</xdr:rowOff>
    </xdr:from>
    <xdr:to>
      <xdr:col>13</xdr:col>
      <xdr:colOff>495300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3A362C-6566-1D95-00EC-0678B418E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923925</xdr:colOff>
      <xdr:row>14</xdr:row>
      <xdr:rowOff>165100</xdr:rowOff>
    </xdr:from>
    <xdr:to>
      <xdr:col>8</xdr:col>
      <xdr:colOff>133350</xdr:colOff>
      <xdr:row>26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773F6D-34F0-205E-242E-732EFFA08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196850</xdr:colOff>
      <xdr:row>19</xdr:row>
      <xdr:rowOff>107950</xdr:rowOff>
    </xdr:from>
    <xdr:to>
      <xdr:col>13</xdr:col>
      <xdr:colOff>571500</xdr:colOff>
      <xdr:row>32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1FF1E9-DEE3-552E-9426-CD66B4470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25400</xdr:colOff>
      <xdr:row>8</xdr:row>
      <xdr:rowOff>133350</xdr:rowOff>
    </xdr:from>
    <xdr:to>
      <xdr:col>19</xdr:col>
      <xdr:colOff>311150</xdr:colOff>
      <xdr:row>22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1B8FF2-AC14-490A-8A56-1FC7BEE76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152400</xdr:colOff>
      <xdr:row>14</xdr:row>
      <xdr:rowOff>165100</xdr:rowOff>
    </xdr:from>
    <xdr:to>
      <xdr:col>2</xdr:col>
      <xdr:colOff>838200</xdr:colOff>
      <xdr:row>26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958BBC-3B1C-E862-93B4-C3B855337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0F9-523E-4C88-ABEB-54BB5869DFA0}">
  <dimension ref="A1:K42"/>
  <sheetViews>
    <sheetView workbookViewId="0">
      <pane ySplit="1" topLeftCell="A6" activePane="bottomLeft" state="frozen"/>
      <selection pane="bottomLeft" activeCell="F18" sqref="F18"/>
    </sheetView>
  </sheetViews>
  <sheetFormatPr defaultRowHeight="14.5" x14ac:dyDescent="0.35"/>
  <cols>
    <col min="1" max="1" width="22.54296875" customWidth="1"/>
    <col min="2" max="2" width="28.54296875" style="7" customWidth="1"/>
    <col min="3" max="3" width="6.26953125" customWidth="1"/>
    <col min="4" max="4" width="5" customWidth="1"/>
    <col min="5" max="5" width="6.7265625" bestFit="1" customWidth="1"/>
    <col min="6" max="6" width="11.36328125" customWidth="1"/>
    <col min="7" max="7" width="4.453125" customWidth="1"/>
    <col min="8" max="8" width="4.7265625" customWidth="1"/>
    <col min="9" max="9" width="12.36328125" style="1" customWidth="1"/>
    <col min="10" max="10" width="2.81640625" style="2" customWidth="1"/>
    <col min="11" max="11" width="3.7265625" style="4" customWidth="1"/>
  </cols>
  <sheetData>
    <row r="1" spans="1:11" s="11" customFormat="1" ht="19" thickBot="1" x14ac:dyDescent="0.5">
      <c r="A1" s="8" t="s">
        <v>0</v>
      </c>
      <c r="B1" s="9" t="s">
        <v>54</v>
      </c>
      <c r="C1" s="8" t="s">
        <v>33</v>
      </c>
      <c r="D1" s="8" t="s">
        <v>45</v>
      </c>
      <c r="E1" s="8" t="s">
        <v>6</v>
      </c>
      <c r="F1" s="8" t="s">
        <v>1</v>
      </c>
      <c r="G1" s="8" t="s">
        <v>56</v>
      </c>
      <c r="H1" s="8" t="s">
        <v>57</v>
      </c>
      <c r="I1" s="8" t="s">
        <v>20</v>
      </c>
      <c r="J1" s="8" t="s">
        <v>55</v>
      </c>
      <c r="K1" s="10" t="s">
        <v>91</v>
      </c>
    </row>
    <row r="2" spans="1:11" ht="29.5" thickTop="1" x14ac:dyDescent="0.35">
      <c r="A2" t="s">
        <v>12</v>
      </c>
      <c r="B2" s="7" t="s">
        <v>13</v>
      </c>
      <c r="C2" t="s">
        <v>38</v>
      </c>
      <c r="D2" t="s">
        <v>7</v>
      </c>
      <c r="E2" s="6">
        <v>45756</v>
      </c>
      <c r="F2" t="s">
        <v>80</v>
      </c>
      <c r="G2">
        <v>100</v>
      </c>
      <c r="H2">
        <v>100</v>
      </c>
      <c r="I2" s="1" t="s">
        <v>19</v>
      </c>
      <c r="J2" s="2">
        <v>0</v>
      </c>
      <c r="K2" s="4">
        <f t="shared" ref="K2:K15" si="0">WEEKNUM(E2)-14</f>
        <v>1</v>
      </c>
    </row>
    <row r="3" spans="1:11" x14ac:dyDescent="0.35">
      <c r="A3" t="s">
        <v>11</v>
      </c>
      <c r="B3" s="7" t="s">
        <v>16</v>
      </c>
      <c r="C3" t="s">
        <v>59</v>
      </c>
      <c r="D3" t="s">
        <v>7</v>
      </c>
      <c r="E3" s="6">
        <v>45756</v>
      </c>
      <c r="F3" t="s">
        <v>53</v>
      </c>
      <c r="G3">
        <v>87</v>
      </c>
      <c r="H3">
        <v>100</v>
      </c>
      <c r="I3" s="1" t="s">
        <v>19</v>
      </c>
      <c r="J3" s="2">
        <v>3</v>
      </c>
      <c r="K3" s="4">
        <f t="shared" si="0"/>
        <v>1</v>
      </c>
    </row>
    <row r="4" spans="1:11" x14ac:dyDescent="0.35">
      <c r="A4" t="s">
        <v>8</v>
      </c>
      <c r="B4" s="7" t="s">
        <v>9</v>
      </c>
      <c r="C4" t="s">
        <v>41</v>
      </c>
      <c r="D4" t="s">
        <v>7</v>
      </c>
      <c r="E4" s="6">
        <v>45756</v>
      </c>
      <c r="F4" t="s">
        <v>4</v>
      </c>
      <c r="G4">
        <v>84</v>
      </c>
      <c r="H4">
        <v>100</v>
      </c>
      <c r="I4" s="1" t="s">
        <v>19</v>
      </c>
      <c r="J4" s="2">
        <v>0</v>
      </c>
      <c r="K4" s="4">
        <f t="shared" si="0"/>
        <v>1</v>
      </c>
    </row>
    <row r="5" spans="1:11" x14ac:dyDescent="0.35">
      <c r="A5" t="s">
        <v>14</v>
      </c>
      <c r="B5" s="7" t="s">
        <v>15</v>
      </c>
      <c r="C5" t="s">
        <v>34</v>
      </c>
      <c r="D5" t="s">
        <v>38</v>
      </c>
      <c r="E5" s="6">
        <v>45756</v>
      </c>
      <c r="F5" t="s">
        <v>53</v>
      </c>
      <c r="I5" s="1" t="s">
        <v>18</v>
      </c>
      <c r="J5" s="2">
        <v>1</v>
      </c>
      <c r="K5" s="4">
        <f t="shared" si="0"/>
        <v>1</v>
      </c>
    </row>
    <row r="6" spans="1:11" x14ac:dyDescent="0.35">
      <c r="A6" t="s">
        <v>109</v>
      </c>
      <c r="B6" s="7" t="s">
        <v>99</v>
      </c>
      <c r="C6" t="s">
        <v>38</v>
      </c>
      <c r="D6" t="s">
        <v>7</v>
      </c>
      <c r="E6" s="6">
        <v>45756</v>
      </c>
      <c r="F6" t="s">
        <v>4</v>
      </c>
      <c r="G6">
        <v>100</v>
      </c>
      <c r="H6">
        <v>100</v>
      </c>
      <c r="I6" s="1" t="s">
        <v>19</v>
      </c>
      <c r="J6" s="2">
        <v>0</v>
      </c>
      <c r="K6" s="4">
        <f t="shared" si="0"/>
        <v>1</v>
      </c>
    </row>
    <row r="7" spans="1:11" x14ac:dyDescent="0.35">
      <c r="A7" t="s">
        <v>110</v>
      </c>
      <c r="B7" s="7" t="s">
        <v>100</v>
      </c>
      <c r="C7" t="s">
        <v>42</v>
      </c>
      <c r="D7" t="s">
        <v>10</v>
      </c>
      <c r="E7" s="6">
        <v>45759</v>
      </c>
      <c r="F7" t="s">
        <v>80</v>
      </c>
      <c r="G7">
        <v>100</v>
      </c>
      <c r="H7">
        <v>100</v>
      </c>
      <c r="I7" s="1" t="s">
        <v>19</v>
      </c>
      <c r="J7" s="2">
        <v>0</v>
      </c>
      <c r="K7" s="4">
        <f t="shared" si="0"/>
        <v>1</v>
      </c>
    </row>
    <row r="8" spans="1:11" x14ac:dyDescent="0.35">
      <c r="A8" t="s">
        <v>111</v>
      </c>
      <c r="B8" s="7" t="s">
        <v>101</v>
      </c>
      <c r="C8" t="s">
        <v>34</v>
      </c>
      <c r="D8" t="s">
        <v>7</v>
      </c>
      <c r="E8" s="6">
        <v>45764</v>
      </c>
      <c r="F8" t="s">
        <v>2</v>
      </c>
      <c r="G8">
        <v>100</v>
      </c>
      <c r="H8">
        <v>100</v>
      </c>
      <c r="I8" s="1" t="s">
        <v>19</v>
      </c>
      <c r="J8" s="2">
        <v>0</v>
      </c>
      <c r="K8" s="4">
        <f t="shared" si="0"/>
        <v>2</v>
      </c>
    </row>
    <row r="9" spans="1:11" x14ac:dyDescent="0.35">
      <c r="A9" t="s">
        <v>112</v>
      </c>
      <c r="B9" s="7" t="s">
        <v>102</v>
      </c>
      <c r="C9" t="s">
        <v>34</v>
      </c>
      <c r="D9" t="s">
        <v>7</v>
      </c>
      <c r="E9" s="6">
        <v>45778</v>
      </c>
      <c r="F9" t="s">
        <v>4</v>
      </c>
      <c r="G9">
        <v>100</v>
      </c>
      <c r="H9">
        <v>100</v>
      </c>
      <c r="I9" s="1" t="s">
        <v>19</v>
      </c>
      <c r="J9" s="2">
        <v>0</v>
      </c>
      <c r="K9" s="4">
        <f t="shared" si="0"/>
        <v>4</v>
      </c>
    </row>
    <row r="10" spans="1:11" x14ac:dyDescent="0.35">
      <c r="A10" t="s">
        <v>113</v>
      </c>
      <c r="B10" s="7" t="s">
        <v>103</v>
      </c>
      <c r="C10" t="s">
        <v>34</v>
      </c>
      <c r="D10" t="s">
        <v>7</v>
      </c>
      <c r="E10" s="6">
        <v>45778</v>
      </c>
      <c r="F10" t="s">
        <v>53</v>
      </c>
      <c r="G10">
        <v>100</v>
      </c>
      <c r="H10">
        <v>100</v>
      </c>
      <c r="I10" s="1" t="s">
        <v>21</v>
      </c>
      <c r="J10" s="2">
        <v>1</v>
      </c>
      <c r="K10" s="4">
        <f t="shared" si="0"/>
        <v>4</v>
      </c>
    </row>
    <row r="11" spans="1:11" x14ac:dyDescent="0.35">
      <c r="A11" t="s">
        <v>114</v>
      </c>
      <c r="B11" s="7" t="s">
        <v>104</v>
      </c>
      <c r="C11" t="s">
        <v>39</v>
      </c>
      <c r="D11" t="s">
        <v>7</v>
      </c>
      <c r="E11" s="6">
        <v>45781</v>
      </c>
      <c r="F11" t="s">
        <v>80</v>
      </c>
      <c r="G11">
        <v>100</v>
      </c>
      <c r="H11">
        <v>100</v>
      </c>
      <c r="I11" s="1" t="s">
        <v>19</v>
      </c>
      <c r="J11" s="2">
        <v>0</v>
      </c>
      <c r="K11" s="4">
        <f t="shared" si="0"/>
        <v>5</v>
      </c>
    </row>
    <row r="12" spans="1:11" x14ac:dyDescent="0.35">
      <c r="A12" t="s">
        <v>115</v>
      </c>
      <c r="B12" s="7" t="s">
        <v>105</v>
      </c>
      <c r="C12" t="s">
        <v>62</v>
      </c>
      <c r="D12" t="s">
        <v>7</v>
      </c>
      <c r="E12" s="6">
        <v>45784</v>
      </c>
      <c r="F12" t="s">
        <v>53</v>
      </c>
      <c r="G12">
        <v>100</v>
      </c>
      <c r="H12">
        <v>100</v>
      </c>
      <c r="I12" s="1" t="s">
        <v>19</v>
      </c>
      <c r="J12" s="2">
        <v>0</v>
      </c>
      <c r="K12" s="4">
        <f t="shared" si="0"/>
        <v>5</v>
      </c>
    </row>
    <row r="13" spans="1:11" x14ac:dyDescent="0.35">
      <c r="A13" t="s">
        <v>116</v>
      </c>
      <c r="B13" s="7" t="s">
        <v>106</v>
      </c>
      <c r="C13" t="s">
        <v>62</v>
      </c>
      <c r="D13" t="s">
        <v>10</v>
      </c>
      <c r="E13" s="6">
        <v>45809</v>
      </c>
      <c r="F13" t="s">
        <v>26</v>
      </c>
      <c r="G13">
        <v>100</v>
      </c>
      <c r="H13">
        <v>100</v>
      </c>
      <c r="I13" s="1" t="s">
        <v>18</v>
      </c>
      <c r="J13" s="2">
        <v>0</v>
      </c>
      <c r="K13" s="4">
        <f t="shared" si="0"/>
        <v>9</v>
      </c>
    </row>
    <row r="14" spans="1:11" x14ac:dyDescent="0.35">
      <c r="A14" t="s">
        <v>117</v>
      </c>
      <c r="B14" s="7" t="s">
        <v>107</v>
      </c>
      <c r="C14" t="s">
        <v>62</v>
      </c>
      <c r="D14" t="s">
        <v>5</v>
      </c>
      <c r="E14" s="6">
        <v>45811</v>
      </c>
      <c r="F14" t="s">
        <v>3</v>
      </c>
      <c r="G14">
        <v>100</v>
      </c>
      <c r="H14">
        <v>100</v>
      </c>
      <c r="I14" s="1" t="s">
        <v>18</v>
      </c>
      <c r="J14" s="2">
        <v>0</v>
      </c>
      <c r="K14" s="4">
        <f t="shared" si="0"/>
        <v>9</v>
      </c>
    </row>
    <row r="15" spans="1:11" x14ac:dyDescent="0.35">
      <c r="A15" t="s">
        <v>118</v>
      </c>
      <c r="B15" s="7" t="s">
        <v>108</v>
      </c>
      <c r="C15" t="s">
        <v>62</v>
      </c>
      <c r="D15" t="s">
        <v>5</v>
      </c>
      <c r="E15" s="6">
        <v>45812</v>
      </c>
      <c r="F15" t="s">
        <v>30</v>
      </c>
      <c r="G15">
        <v>100</v>
      </c>
      <c r="H15">
        <v>100</v>
      </c>
      <c r="I15" s="1" t="s">
        <v>18</v>
      </c>
      <c r="J15" s="2">
        <v>0</v>
      </c>
      <c r="K15" s="4">
        <f t="shared" si="0"/>
        <v>9</v>
      </c>
    </row>
    <row r="16" spans="1:11" x14ac:dyDescent="0.35">
      <c r="J16" s="2">
        <v>0</v>
      </c>
      <c r="K16" s="4">
        <f t="shared" ref="K16:K41" si="1">WEEKNUM(E16)-14</f>
        <v>-14</v>
      </c>
    </row>
    <row r="17" spans="10:11" x14ac:dyDescent="0.35">
      <c r="J17" s="2">
        <v>0</v>
      </c>
      <c r="K17" s="4">
        <f t="shared" si="1"/>
        <v>-14</v>
      </c>
    </row>
    <row r="18" spans="10:11" x14ac:dyDescent="0.35">
      <c r="J18" s="2">
        <v>0</v>
      </c>
      <c r="K18" s="4">
        <f t="shared" si="1"/>
        <v>-14</v>
      </c>
    </row>
    <row r="19" spans="10:11" x14ac:dyDescent="0.35">
      <c r="J19" s="2">
        <v>0</v>
      </c>
      <c r="K19" s="4">
        <f t="shared" si="1"/>
        <v>-14</v>
      </c>
    </row>
    <row r="20" spans="10:11" x14ac:dyDescent="0.35">
      <c r="J20" s="2">
        <v>0</v>
      </c>
      <c r="K20" s="4">
        <f t="shared" si="1"/>
        <v>-14</v>
      </c>
    </row>
    <row r="21" spans="10:11" x14ac:dyDescent="0.35">
      <c r="J21" s="2">
        <v>0</v>
      </c>
      <c r="K21" s="4">
        <f t="shared" si="1"/>
        <v>-14</v>
      </c>
    </row>
    <row r="22" spans="10:11" x14ac:dyDescent="0.35">
      <c r="J22" s="2">
        <v>0</v>
      </c>
      <c r="K22" s="4">
        <f t="shared" si="1"/>
        <v>-14</v>
      </c>
    </row>
    <row r="23" spans="10:11" x14ac:dyDescent="0.35">
      <c r="J23" s="2">
        <v>0</v>
      </c>
      <c r="K23" s="4">
        <f t="shared" si="1"/>
        <v>-14</v>
      </c>
    </row>
    <row r="24" spans="10:11" x14ac:dyDescent="0.35">
      <c r="J24" s="2">
        <v>0</v>
      </c>
      <c r="K24" s="4">
        <f t="shared" si="1"/>
        <v>-14</v>
      </c>
    </row>
    <row r="25" spans="10:11" x14ac:dyDescent="0.35">
      <c r="J25" s="2">
        <v>0</v>
      </c>
      <c r="K25" s="4">
        <f t="shared" si="1"/>
        <v>-14</v>
      </c>
    </row>
    <row r="26" spans="10:11" x14ac:dyDescent="0.35">
      <c r="J26" s="2">
        <v>0</v>
      </c>
      <c r="K26" s="4">
        <f t="shared" si="1"/>
        <v>-14</v>
      </c>
    </row>
    <row r="27" spans="10:11" x14ac:dyDescent="0.35">
      <c r="J27" s="2">
        <v>0</v>
      </c>
      <c r="K27" s="4">
        <f t="shared" si="1"/>
        <v>-14</v>
      </c>
    </row>
    <row r="28" spans="10:11" x14ac:dyDescent="0.35">
      <c r="J28" s="2">
        <v>0</v>
      </c>
      <c r="K28" s="4">
        <f t="shared" si="1"/>
        <v>-14</v>
      </c>
    </row>
    <row r="29" spans="10:11" x14ac:dyDescent="0.35">
      <c r="J29" s="2">
        <v>0</v>
      </c>
      <c r="K29" s="4">
        <f t="shared" si="1"/>
        <v>-14</v>
      </c>
    </row>
    <row r="30" spans="10:11" x14ac:dyDescent="0.35">
      <c r="J30" s="2">
        <v>0</v>
      </c>
      <c r="K30" s="4">
        <f t="shared" si="1"/>
        <v>-14</v>
      </c>
    </row>
    <row r="31" spans="10:11" x14ac:dyDescent="0.35">
      <c r="J31" s="2">
        <v>0</v>
      </c>
      <c r="K31" s="4">
        <f t="shared" si="1"/>
        <v>-14</v>
      </c>
    </row>
    <row r="32" spans="10:11" x14ac:dyDescent="0.35">
      <c r="J32" s="2">
        <v>0</v>
      </c>
      <c r="K32" s="4">
        <f t="shared" si="1"/>
        <v>-14</v>
      </c>
    </row>
    <row r="33" spans="10:11" x14ac:dyDescent="0.35">
      <c r="J33" s="2">
        <v>0</v>
      </c>
      <c r="K33" s="4">
        <f t="shared" si="1"/>
        <v>-14</v>
      </c>
    </row>
    <row r="34" spans="10:11" x14ac:dyDescent="0.35">
      <c r="J34" s="2">
        <v>0</v>
      </c>
      <c r="K34" s="4">
        <f t="shared" si="1"/>
        <v>-14</v>
      </c>
    </row>
    <row r="35" spans="10:11" x14ac:dyDescent="0.35">
      <c r="J35" s="2">
        <v>0</v>
      </c>
      <c r="K35" s="4">
        <f t="shared" si="1"/>
        <v>-14</v>
      </c>
    </row>
    <row r="36" spans="10:11" x14ac:dyDescent="0.35">
      <c r="J36" s="2">
        <v>0</v>
      </c>
      <c r="K36" s="4">
        <f t="shared" si="1"/>
        <v>-14</v>
      </c>
    </row>
    <row r="37" spans="10:11" x14ac:dyDescent="0.35">
      <c r="J37" s="2">
        <v>0</v>
      </c>
      <c r="K37" s="4">
        <f t="shared" si="1"/>
        <v>-14</v>
      </c>
    </row>
    <row r="38" spans="10:11" x14ac:dyDescent="0.35">
      <c r="J38" s="2">
        <v>0</v>
      </c>
      <c r="K38" s="4">
        <f t="shared" si="1"/>
        <v>-14</v>
      </c>
    </row>
    <row r="39" spans="10:11" x14ac:dyDescent="0.35">
      <c r="J39" s="2">
        <v>0</v>
      </c>
      <c r="K39" s="4">
        <f t="shared" si="1"/>
        <v>-14</v>
      </c>
    </row>
    <row r="40" spans="10:11" x14ac:dyDescent="0.35">
      <c r="J40" s="2">
        <v>0</v>
      </c>
      <c r="K40" s="4">
        <f t="shared" si="1"/>
        <v>-14</v>
      </c>
    </row>
    <row r="41" spans="10:11" x14ac:dyDescent="0.35">
      <c r="J41" s="2">
        <v>0</v>
      </c>
      <c r="K41" s="4">
        <f t="shared" si="1"/>
        <v>-14</v>
      </c>
    </row>
    <row r="42" spans="10:11" x14ac:dyDescent="0.35">
      <c r="J42" s="2">
        <v>0</v>
      </c>
    </row>
  </sheetData>
  <sortState xmlns:xlrd2="http://schemas.microsoft.com/office/spreadsheetml/2017/richdata2" ref="A2:K42">
    <sortCondition ref="E1:E42"/>
  </sortState>
  <phoneticPr fontId="2" type="noConversion"/>
  <conditionalFormatting sqref="B1:D1048576">
    <cfRule type="endsWith" dxfId="13" priority="16" operator="endsWith" text="?">
      <formula>RIGHT(B1,LEN("?"))="?"</formula>
    </cfRule>
    <cfRule type="containsText" dxfId="12" priority="17" operator="containsText" text="&quot;?&quot;">
      <formula>NOT(ISERROR(SEARCH("""?""",B1)))</formula>
    </cfRule>
  </conditionalFormatting>
  <conditionalFormatting sqref="E1:E1048576">
    <cfRule type="colorScale" priority="8">
      <colorScale>
        <cfvo type="min"/>
        <cfvo type="max"/>
        <color theme="6" tint="0.39997558519241921"/>
        <color theme="0"/>
      </colorScale>
    </cfRule>
  </conditionalFormatting>
  <conditionalFormatting sqref="F1:F1048576">
    <cfRule type="containsText" dxfId="11" priority="5" operator="containsText" text="Reject">
      <formula>NOT(ISERROR(SEARCH("Reject",F1)))</formula>
    </cfRule>
    <cfRule type="containsText" dxfId="10" priority="7" operator="containsText" text="Offer">
      <formula>NOT(ISERROR(SEARCH("Offer",F1)))</formula>
    </cfRule>
  </conditionalFormatting>
  <conditionalFormatting sqref="F1:H1048576">
    <cfRule type="containsText" dxfId="9" priority="13" operator="containsText" text="On">
      <formula>NOT(ISERROR(SEARCH("On",F1)))</formula>
    </cfRule>
  </conditionalFormatting>
  <conditionalFormatting sqref="K1:K1048576 F1:I1048576">
    <cfRule type="containsText" dxfId="8" priority="14" operator="containsText" text="Ended">
      <formula>NOT(ISERROR(SEARCH("Ended",F1)))</formula>
    </cfRule>
    <cfRule type="containsText" dxfId="7" priority="18" operator="containsText" text="Den">
      <formula>NOT(ISERROR(SEARCH("Den",F1)))</formula>
    </cfRule>
    <cfRule type="containsText" dxfId="6" priority="19" operator="containsText" text="Interv">
      <formula>NOT(ISERROR(SEARCH("Interv",F1)))</formula>
    </cfRule>
  </conditionalFormatting>
  <conditionalFormatting sqref="I1:I1048576 K1:K1048576 E1:E1048576">
    <cfRule type="beginsWith" dxfId="5" priority="15" operator="beginsWith" text="?">
      <formula>LEFT(E1,LEN("?"))="?"</formula>
    </cfRule>
  </conditionalFormatting>
  <dataValidations count="6">
    <dataValidation type="whole" allowBlank="1" showInputMessage="1" showErrorMessage="1" sqref="J1:J1048576" xr:uid="{89175BC1-BED2-4A4E-BC9B-30B543588650}">
      <formula1>0</formula1>
      <formula2>10</formula2>
    </dataValidation>
    <dataValidation type="whole" allowBlank="1" showInputMessage="1" showErrorMessage="1" sqref="G2:H1048576" xr:uid="{96547A65-6216-415C-BF81-5FAEEACED75C}">
      <formula1>0</formula1>
      <formula2>200000</formula2>
    </dataValidation>
    <dataValidation type="list" allowBlank="1" showInputMessage="1" showErrorMessage="1" sqref="F1:F1048576" xr:uid="{F09CCFA7-B907-4EDC-9E6C-DB73AAE9A528}">
      <formula1>"Pending,Denied,Interviewing,No Response,On Hold,Rejected,Offer"</formula1>
    </dataValidation>
    <dataValidation type="list" allowBlank="1" showInputMessage="1" showErrorMessage="1" sqref="I1:I1048576" xr:uid="{A6492A70-2F97-4614-8C19-570E8591C842}">
      <formula1>"LinkedIn, LinkedIn DM, Company Site,Referral,Indeed,80000 Hours,Gaingels,Wellfound,YCombinator,BuiltIn,HiringCafe"</formula1>
    </dataValidation>
    <dataValidation type="list" allowBlank="1" showInputMessage="1" showErrorMessage="1" sqref="C1:C1048576" xr:uid="{0E912E12-6538-4938-9CE9-B323D158AAFD}">
      <formula1>"Finance,Tech,Business,Venture,Consumer Products,Healthcare,Marketing,Tech,Consulting,Insurance,Recruiter,Other,Unknown"</formula1>
    </dataValidation>
    <dataValidation type="list" allowBlank="1" showInputMessage="1" showErrorMessage="1" sqref="D2:D1048576" xr:uid="{663683AF-9ACE-422E-A306-71ECC747C0A6}">
      <formula1>"Product Manager,Project Manager,Analyst,Consultant,Other"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2922-16B6-4E36-9001-106FDB9647EC}">
  <dimension ref="A1:R14"/>
  <sheetViews>
    <sheetView tabSelected="1" workbookViewId="0">
      <selection activeCell="P28" sqref="P28"/>
    </sheetView>
  </sheetViews>
  <sheetFormatPr defaultRowHeight="14.5" x14ac:dyDescent="0.35"/>
  <cols>
    <col min="1" max="1" width="16.26953125" customWidth="1"/>
    <col min="2" max="2" width="7" customWidth="1"/>
    <col min="3" max="3" width="14.54296875" customWidth="1"/>
    <col min="4" max="5" width="5.1796875" customWidth="1"/>
    <col min="6" max="6" width="16.08984375" customWidth="1"/>
    <col min="7" max="7" width="10.453125" customWidth="1"/>
    <col min="8" max="8" width="8.08984375" customWidth="1"/>
    <col min="9" max="9" width="3.7265625" customWidth="1"/>
  </cols>
  <sheetData>
    <row r="1" spans="1:18" x14ac:dyDescent="0.35">
      <c r="A1" s="2" t="s">
        <v>1</v>
      </c>
      <c r="B1" t="s">
        <v>94</v>
      </c>
      <c r="C1" s="12" t="s">
        <v>45</v>
      </c>
      <c r="D1" t="s">
        <v>98</v>
      </c>
      <c r="F1" s="42" t="s">
        <v>20</v>
      </c>
      <c r="G1" t="s">
        <v>95</v>
      </c>
      <c r="I1" s="3"/>
      <c r="K1" s="31" t="s">
        <v>24</v>
      </c>
      <c r="L1" s="14">
        <f>SUM(B2:B10)</f>
        <v>14</v>
      </c>
      <c r="M1" s="14"/>
      <c r="N1" s="14" t="s">
        <v>24</v>
      </c>
      <c r="O1" s="14">
        <f>SUM(D2:D6)</f>
        <v>14</v>
      </c>
      <c r="P1" s="14"/>
      <c r="Q1" s="14" t="s">
        <v>24</v>
      </c>
      <c r="R1" s="32">
        <f>SUM(G2:G14)</f>
        <v>14</v>
      </c>
    </row>
    <row r="2" spans="1:18" x14ac:dyDescent="0.35">
      <c r="A2" t="s">
        <v>2</v>
      </c>
      <c r="B2">
        <f>COUNTIF(Tracker!F2:F718, "Pending")</f>
        <v>1</v>
      </c>
      <c r="C2" t="s">
        <v>7</v>
      </c>
      <c r="D2">
        <f>COUNTIF(Tracker!D2:D720, "analyst")</f>
        <v>9</v>
      </c>
      <c r="F2" t="s">
        <v>19</v>
      </c>
      <c r="G2">
        <f>COUNTIF(Tracker!I2:I718, "LinkedIn")</f>
        <v>9</v>
      </c>
      <c r="I2" s="3"/>
      <c r="K2" s="23" t="s">
        <v>52</v>
      </c>
      <c r="L2" s="24">
        <f>SUM(B7:B8)/L1 * 100</f>
        <v>14.285714285714285</v>
      </c>
      <c r="M2" s="24"/>
      <c r="N2" s="25" t="s">
        <v>49</v>
      </c>
      <c r="O2" s="26"/>
      <c r="P2" s="26"/>
      <c r="Q2" s="26"/>
      <c r="R2" s="27"/>
    </row>
    <row r="3" spans="1:18" x14ac:dyDescent="0.35">
      <c r="A3" t="s">
        <v>80</v>
      </c>
      <c r="B3">
        <f>COUNTIF(Tracker!F2:F718, "No Response")</f>
        <v>3</v>
      </c>
      <c r="C3" t="s">
        <v>5</v>
      </c>
      <c r="D3">
        <f>COUNTIF(Tracker!D2:D718, "Product Manager")</f>
        <v>2</v>
      </c>
      <c r="F3" t="s">
        <v>21</v>
      </c>
      <c r="G3">
        <f>COUNTIF(Tracker!I2:I719, "Company Site")</f>
        <v>1</v>
      </c>
      <c r="I3" s="3"/>
      <c r="K3" s="19" t="s">
        <v>50</v>
      </c>
      <c r="L3" s="28">
        <f>SUM(B4:B8)/L1 * 100</f>
        <v>71.428571428571431</v>
      </c>
      <c r="M3" s="28"/>
      <c r="N3" s="33" t="s">
        <v>51</v>
      </c>
      <c r="O3" s="20"/>
      <c r="P3" s="20"/>
      <c r="Q3" s="20"/>
      <c r="R3" s="21"/>
    </row>
    <row r="4" spans="1:18" x14ac:dyDescent="0.35">
      <c r="A4" t="s">
        <v>4</v>
      </c>
      <c r="B4">
        <f>COUNTIF(Tracker!F2:F718, "Denied")</f>
        <v>3</v>
      </c>
      <c r="C4" t="s">
        <v>10</v>
      </c>
      <c r="D4">
        <f>COUNTIF(Tracker!D2:D719, "Project Manager")</f>
        <v>2</v>
      </c>
      <c r="F4" t="s">
        <v>27</v>
      </c>
      <c r="G4">
        <f>COUNTIF(Tracker!I2:I718, "Wellfound")</f>
        <v>0</v>
      </c>
      <c r="I4" s="3"/>
    </row>
    <row r="5" spans="1:18" x14ac:dyDescent="0.35">
      <c r="A5" t="s">
        <v>53</v>
      </c>
      <c r="B5">
        <f>COUNTIF(Tracker!F2:F719, "Rejected")</f>
        <v>4</v>
      </c>
      <c r="C5" t="s">
        <v>38</v>
      </c>
      <c r="D5">
        <f>COUNTIF(Tracker!D2:D722, "other")</f>
        <v>1</v>
      </c>
      <c r="F5" t="s">
        <v>48</v>
      </c>
      <c r="G5">
        <f>COUNTIF(Tracker!I1:I719, "HiringCafe")</f>
        <v>0</v>
      </c>
      <c r="I5" s="3"/>
      <c r="K5" s="15" t="s">
        <v>28</v>
      </c>
      <c r="L5" s="26"/>
      <c r="M5" s="26"/>
      <c r="N5" s="27"/>
      <c r="Q5" s="29" t="s">
        <v>88</v>
      </c>
      <c r="R5" s="27">
        <f>COUNTA(Tracker!J2:J717) - COUNTIF(Tracker!J2:J717, "=0")</f>
        <v>3</v>
      </c>
    </row>
    <row r="6" spans="1:18" x14ac:dyDescent="0.35">
      <c r="A6" t="s">
        <v>26</v>
      </c>
      <c r="B6">
        <f>COUNTIF(Tracker!F2:F718, "On Hold")</f>
        <v>1</v>
      </c>
      <c r="C6" t="s">
        <v>44</v>
      </c>
      <c r="D6">
        <f>COUNTIF(Tracker!D2:D721, "Consultant")</f>
        <v>0</v>
      </c>
      <c r="F6" t="s">
        <v>25</v>
      </c>
      <c r="G6">
        <f>COUNTIF(Tracker!I2:I718, "Gaingels")</f>
        <v>0</v>
      </c>
      <c r="I6" s="3"/>
      <c r="K6" s="18" t="s">
        <v>69</v>
      </c>
      <c r="L6" s="38">
        <f>AVERAGE(Tracker!G2:G719)</f>
        <v>97.769230769230774</v>
      </c>
      <c r="M6" s="38"/>
      <c r="N6" s="39">
        <f>AVERAGE(Tracker!H2:H719)</f>
        <v>100</v>
      </c>
      <c r="Q6" s="18"/>
      <c r="R6" s="13"/>
    </row>
    <row r="7" spans="1:18" x14ac:dyDescent="0.35">
      <c r="A7" t="s">
        <v>3</v>
      </c>
      <c r="B7">
        <f>COUNTIF(Tracker!F2:F718, "Interviewing")</f>
        <v>1</v>
      </c>
      <c r="F7" t="s">
        <v>18</v>
      </c>
      <c r="G7">
        <f>COUNTIF(Tracker!I2:I718, "Referral")</f>
        <v>4</v>
      </c>
      <c r="I7" s="3"/>
      <c r="K7" s="19" t="s">
        <v>70</v>
      </c>
      <c r="L7" s="28">
        <f>(SUM(Tracker!G2:G719)+SUM(Tracker!H2:H721))/(COUNTA(Tracker!G2:G721)*2)</f>
        <v>98.884615384615387</v>
      </c>
      <c r="M7" s="28"/>
      <c r="N7" s="21"/>
      <c r="Q7" s="30" t="s">
        <v>22</v>
      </c>
      <c r="R7" s="13">
        <f>SUM(Tracker!J2:J718)</f>
        <v>5</v>
      </c>
    </row>
    <row r="8" spans="1:18" x14ac:dyDescent="0.35">
      <c r="A8" t="s">
        <v>30</v>
      </c>
      <c r="B8">
        <f>COUNTIF(Tracker!F2:F719, "Offer")</f>
        <v>1</v>
      </c>
      <c r="F8" t="s">
        <v>71</v>
      </c>
      <c r="G8">
        <f>COUNTIF(Tracker!I2:I719, "LinkedIn DM")</f>
        <v>0</v>
      </c>
      <c r="I8" s="3"/>
      <c r="L8" s="38"/>
      <c r="M8" s="38"/>
      <c r="Q8" s="40" t="s">
        <v>32</v>
      </c>
      <c r="R8" s="21">
        <f>COUNTA(_xlfn.UNIQUE(Tracker!A2:A718))</f>
        <v>15</v>
      </c>
    </row>
    <row r="9" spans="1:18" x14ac:dyDescent="0.35">
      <c r="F9" t="s">
        <v>29</v>
      </c>
      <c r="G9">
        <f>COUNTIF(Tracker!I1:I719, "Ycombinator")</f>
        <v>0</v>
      </c>
      <c r="I9" s="3"/>
    </row>
    <row r="10" spans="1:18" x14ac:dyDescent="0.35">
      <c r="F10" t="s">
        <v>17</v>
      </c>
      <c r="G10">
        <f>COUNTIF(Tracker!I2:I718, "Indeed")</f>
        <v>0</v>
      </c>
      <c r="I10" s="3"/>
    </row>
    <row r="11" spans="1:18" x14ac:dyDescent="0.35">
      <c r="F11" t="s">
        <v>23</v>
      </c>
      <c r="G11">
        <f>COUNTIF(Tracker!I1:I717, "80000 Hours")</f>
        <v>0</v>
      </c>
      <c r="I11" s="3"/>
    </row>
    <row r="12" spans="1:18" x14ac:dyDescent="0.35">
      <c r="F12" t="s">
        <v>47</v>
      </c>
      <c r="G12">
        <f>COUNTIF(Tracker!I1:I719, "BuiltIn")</f>
        <v>0</v>
      </c>
      <c r="I12" s="3"/>
    </row>
    <row r="13" spans="1:18" x14ac:dyDescent="0.35">
      <c r="I13" s="3"/>
    </row>
    <row r="14" spans="1:18" x14ac:dyDescent="0.35">
      <c r="A14" s="3"/>
      <c r="B14" s="3"/>
      <c r="C14" s="3"/>
      <c r="D14" s="3"/>
      <c r="E14" s="3"/>
      <c r="F14" s="3"/>
      <c r="G14" s="3"/>
      <c r="H14" s="3"/>
      <c r="I14" s="3"/>
    </row>
  </sheetData>
  <sortState xmlns:xlrd2="http://schemas.microsoft.com/office/spreadsheetml/2017/richdata2" ref="C2:D27">
    <sortCondition descending="1" ref="D1:D27"/>
  </sortState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3E94-785B-4EBA-91D1-25EC3022E961}">
  <dimension ref="A1:M16"/>
  <sheetViews>
    <sheetView workbookViewId="0">
      <selection activeCell="G19" sqref="G19"/>
    </sheetView>
  </sheetViews>
  <sheetFormatPr defaultRowHeight="14.5" x14ac:dyDescent="0.35"/>
  <cols>
    <col min="2" max="2" width="8.7265625" style="13"/>
    <col min="5" max="5" width="11.08984375" customWidth="1"/>
    <col min="7" max="7" width="12.81640625" customWidth="1"/>
    <col min="9" max="9" width="16.1796875" customWidth="1"/>
    <col min="11" max="11" width="11" customWidth="1"/>
    <col min="13" max="13" width="11.81640625" customWidth="1"/>
  </cols>
  <sheetData>
    <row r="1" spans="1:13" s="5" customFormat="1" ht="19" thickBot="1" x14ac:dyDescent="0.5">
      <c r="A1" s="5" t="s">
        <v>0</v>
      </c>
      <c r="B1" s="22" t="s">
        <v>93</v>
      </c>
      <c r="E1" s="15" t="s">
        <v>33</v>
      </c>
      <c r="F1" s="16" t="s">
        <v>92</v>
      </c>
      <c r="G1" s="17" t="s">
        <v>43</v>
      </c>
      <c r="I1" s="10" t="s">
        <v>58</v>
      </c>
      <c r="J1" s="27" t="s">
        <v>31</v>
      </c>
    </row>
    <row r="2" spans="1:13" ht="15" thickTop="1" x14ac:dyDescent="0.35">
      <c r="A2" s="12" t="str" cm="1">
        <f t="array" ref="A2:B16">_xlfn.LET(
    _xlpm.uniqueCompanies, _xlfn.UNIQUE(Tracker!A2:A719),
    _xlpm.industries, _xlfn.XLOOKUP(_xlpm.uniqueCompanies, Tracker!A2:A719, Tracker!C2:C719),
    _xlfn.HSTACK(_xlpm.uniqueCompanies, _xlpm.industries)
)</f>
        <v>BrandED</v>
      </c>
      <c r="B2" s="13" t="str">
        <v>Other</v>
      </c>
      <c r="E2" t="s">
        <v>34</v>
      </c>
      <c r="F2">
        <f>COUNTIF(B2:B1000,E2)</f>
        <v>4</v>
      </c>
      <c r="G2" s="13">
        <f>COUNTIF(Tracker!C2:C730,E2)</f>
        <v>4</v>
      </c>
      <c r="I2" s="18">
        <v>1</v>
      </c>
      <c r="J2" s="13">
        <f>COUNTIF(Tracker!K2:K718, "1")</f>
        <v>6</v>
      </c>
    </row>
    <row r="3" spans="1:13" x14ac:dyDescent="0.35">
      <c r="A3" t="str">
        <v>Capco</v>
      </c>
      <c r="B3" s="13" t="str">
        <v>Consulting</v>
      </c>
      <c r="E3" t="s">
        <v>35</v>
      </c>
      <c r="F3">
        <f>COUNTIF(B2:B1001,E3)</f>
        <v>0</v>
      </c>
      <c r="G3" s="13">
        <f>COUNTIF(Tracker!C2:C724,E3)</f>
        <v>0</v>
      </c>
      <c r="I3" s="18">
        <v>2</v>
      </c>
      <c r="J3" s="13">
        <f>COUNTIF(Tracker!K2:K719, "2")</f>
        <v>1</v>
      </c>
    </row>
    <row r="4" spans="1:13" x14ac:dyDescent="0.35">
      <c r="A4" t="str">
        <v>DailyPay</v>
      </c>
      <c r="B4" s="13" t="str">
        <v>Business</v>
      </c>
      <c r="E4" t="s">
        <v>38</v>
      </c>
      <c r="F4">
        <f>COUNTIF(B2:B1002,E4)</f>
        <v>2</v>
      </c>
      <c r="G4" s="13">
        <f>COUNTIF(Tracker!C2:C728,E4)</f>
        <v>2</v>
      </c>
      <c r="I4" s="18">
        <v>3</v>
      </c>
      <c r="J4" s="13">
        <f>COUNTIF(Tracker!K2:K720, "3")</f>
        <v>0</v>
      </c>
    </row>
    <row r="5" spans="1:13" x14ac:dyDescent="0.35">
      <c r="A5" t="str">
        <v>Jellyfish</v>
      </c>
      <c r="B5" s="13" t="str">
        <v>Tech</v>
      </c>
      <c r="E5" t="s">
        <v>62</v>
      </c>
      <c r="F5">
        <f>COUNTIF(B2:B1003,E5)</f>
        <v>4</v>
      </c>
      <c r="G5" s="13">
        <f>COUNTIF(Tracker!C2:C723,E5)</f>
        <v>4</v>
      </c>
      <c r="I5" s="18">
        <v>4</v>
      </c>
      <c r="J5" s="13">
        <f>COUNTIF(Tracker!K2:K721, "4")</f>
        <v>2</v>
      </c>
      <c r="L5" t="s">
        <v>66</v>
      </c>
      <c r="M5">
        <f>AVERAGE('Data Calculations'!J2:J11)</f>
        <v>1.4</v>
      </c>
    </row>
    <row r="6" spans="1:13" x14ac:dyDescent="0.35">
      <c r="A6" t="str">
        <v>Company 1</v>
      </c>
      <c r="B6" s="13" t="str">
        <v>Other</v>
      </c>
      <c r="E6" t="s">
        <v>42</v>
      </c>
      <c r="F6">
        <f>COUNTIF(B2:B1004,E6)</f>
        <v>1</v>
      </c>
      <c r="G6" s="13">
        <f>COUNTIF(Tracker!C2:C729,E6)</f>
        <v>1</v>
      </c>
      <c r="I6" s="18">
        <v>5</v>
      </c>
      <c r="J6" s="13">
        <f>COUNTIF(Tracker!K2:K722, "5")</f>
        <v>2</v>
      </c>
    </row>
    <row r="7" spans="1:13" x14ac:dyDescent="0.35">
      <c r="A7" t="str">
        <v>Company 2</v>
      </c>
      <c r="B7" s="13" t="str">
        <v>Recruiter</v>
      </c>
      <c r="E7" t="s">
        <v>37</v>
      </c>
      <c r="F7">
        <f>COUNTIF(B2:B1005,E7)</f>
        <v>0</v>
      </c>
      <c r="G7" s="13">
        <f>COUNTIF(Tracker!C2:C727,E7)</f>
        <v>0</v>
      </c>
      <c r="I7" s="18">
        <v>6</v>
      </c>
      <c r="J7" s="13">
        <f>COUNTIF(Tracker!K2:K723, "6")</f>
        <v>0</v>
      </c>
    </row>
    <row r="8" spans="1:13" x14ac:dyDescent="0.35">
      <c r="A8" t="str">
        <v>Company 3</v>
      </c>
      <c r="B8" s="13" t="str">
        <v>Tech</v>
      </c>
      <c r="E8" t="s">
        <v>41</v>
      </c>
      <c r="F8">
        <f>COUNTIF(B2:B1006,E8)</f>
        <v>1</v>
      </c>
      <c r="G8" s="13">
        <f>COUNTIF(Tracker!C2:C721,E8)</f>
        <v>1</v>
      </c>
      <c r="I8" s="18">
        <v>7</v>
      </c>
      <c r="J8" s="13">
        <f>COUNTIF(Tracker!K2:K724, "7")</f>
        <v>0</v>
      </c>
    </row>
    <row r="9" spans="1:13" x14ac:dyDescent="0.35">
      <c r="A9" t="str">
        <v>Company 4</v>
      </c>
      <c r="B9" s="13" t="str">
        <v>Tech</v>
      </c>
      <c r="E9" t="s">
        <v>36</v>
      </c>
      <c r="F9">
        <f>COUNTIF(B2:B1007,E9)</f>
        <v>0</v>
      </c>
      <c r="G9" s="13">
        <f>COUNTIF(Tracker!C2:C725,E9)</f>
        <v>0</v>
      </c>
      <c r="I9" s="18">
        <v>8</v>
      </c>
      <c r="J9" s="13">
        <f>COUNTIF(Tracker!K2:K725, "8")</f>
        <v>0</v>
      </c>
      <c r="L9" s="36" t="s">
        <v>65</v>
      </c>
      <c r="M9" s="37">
        <f>SUM(G2:G13)</f>
        <v>14</v>
      </c>
    </row>
    <row r="10" spans="1:13" x14ac:dyDescent="0.35">
      <c r="A10" t="str">
        <v>Company 5</v>
      </c>
      <c r="B10" s="13" t="str">
        <v>Tech</v>
      </c>
      <c r="E10" t="s">
        <v>59</v>
      </c>
      <c r="F10">
        <f>COUNTIF(B2:B1008,E10)</f>
        <v>1</v>
      </c>
      <c r="G10" s="13">
        <f>COUNTIF(Tracker!C2:C722,E10)</f>
        <v>1</v>
      </c>
      <c r="I10" s="18">
        <v>9</v>
      </c>
      <c r="J10" s="13">
        <f>COUNTIF(Tracker!K2:K726, "9")</f>
        <v>3</v>
      </c>
    </row>
    <row r="11" spans="1:13" x14ac:dyDescent="0.35">
      <c r="A11" t="str">
        <v>Company 6</v>
      </c>
      <c r="B11" s="13" t="str">
        <v>Insurance</v>
      </c>
      <c r="E11" t="s">
        <v>40</v>
      </c>
      <c r="F11">
        <f>COUNTIF(B2:B1009,E11)</f>
        <v>0</v>
      </c>
      <c r="G11" s="13">
        <f>COUNTIF(Tracker!C2:C731,E11)</f>
        <v>0</v>
      </c>
      <c r="I11" s="18">
        <v>10</v>
      </c>
      <c r="J11" s="13">
        <f>COUNTIF(Tracker!K2:K727, "10")</f>
        <v>0</v>
      </c>
    </row>
    <row r="12" spans="1:13" x14ac:dyDescent="0.35">
      <c r="A12" t="str">
        <v>Company 7</v>
      </c>
      <c r="B12" s="13" t="str">
        <v>Consumer Products</v>
      </c>
      <c r="E12" t="s">
        <v>39</v>
      </c>
      <c r="F12">
        <f>COUNTIF(B2:B1010,E12)</f>
        <v>1</v>
      </c>
      <c r="G12" s="13">
        <f>COUNTIF(Tracker!C2:C726,E12)</f>
        <v>1</v>
      </c>
      <c r="I12">
        <v>11</v>
      </c>
      <c r="J12" s="13">
        <f>COUNTIF(Tracker!K2:K728, "11")</f>
        <v>0</v>
      </c>
    </row>
    <row r="13" spans="1:13" x14ac:dyDescent="0.35">
      <c r="A13" t="str">
        <v>Company 8</v>
      </c>
      <c r="B13" s="13" t="str">
        <v>Consumer Products</v>
      </c>
      <c r="E13" t="s">
        <v>46</v>
      </c>
      <c r="F13">
        <f>COUNTIF(B2:B1011,E13)</f>
        <v>0</v>
      </c>
      <c r="G13" s="13">
        <f>COUNTIF(Tracker!C2:C732,E13)</f>
        <v>0</v>
      </c>
    </row>
    <row r="14" spans="1:13" x14ac:dyDescent="0.35">
      <c r="A14" t="str">
        <v>Company 9</v>
      </c>
      <c r="B14" s="13" t="str">
        <v>Consumer Products</v>
      </c>
      <c r="E14" s="19"/>
    </row>
    <row r="15" spans="1:13" x14ac:dyDescent="0.35">
      <c r="A15" t="str">
        <v>Company 10</v>
      </c>
      <c r="B15" s="13" t="str">
        <v>Consumer Products</v>
      </c>
    </row>
    <row r="16" spans="1:13" x14ac:dyDescent="0.35">
      <c r="A16">
        <v>0</v>
      </c>
      <c r="B16" s="13">
        <v>0</v>
      </c>
    </row>
  </sheetData>
  <sortState xmlns:xlrd2="http://schemas.microsoft.com/office/spreadsheetml/2017/richdata2" ref="E2:G224">
    <sortCondition descending="1" ref="F1:F224"/>
  </sortState>
  <conditionalFormatting sqref="I1">
    <cfRule type="containsText" dxfId="3" priority="1" operator="containsText" text="Ended">
      <formula>NOT(ISERROR(SEARCH("Ended",I1)))</formula>
    </cfRule>
    <cfRule type="beginsWith" dxfId="2" priority="2" operator="beginsWith" text="?">
      <formula>LEFT(I1,LEN("?"))="?"</formula>
    </cfRule>
    <cfRule type="containsText" dxfId="1" priority="3" operator="containsText" text="Den">
      <formula>NOT(ISERROR(SEARCH("Den",I1)))</formula>
    </cfRule>
    <cfRule type="containsText" dxfId="0" priority="4" operator="containsText" text="Interv">
      <formula>NOT(ISERROR(SEARCH("Interv",I1)))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0CAF-D2CD-443E-AE13-8F53684D3C03}">
  <dimension ref="A1:O15"/>
  <sheetViews>
    <sheetView topLeftCell="C1" workbookViewId="0">
      <pane ySplit="1" topLeftCell="A2" activePane="bottomLeft" state="frozen"/>
      <selection pane="bottomLeft" activeCell="G18" sqref="G18"/>
    </sheetView>
  </sheetViews>
  <sheetFormatPr defaultRowHeight="14.5" x14ac:dyDescent="0.35"/>
  <cols>
    <col min="2" max="3" width="21.26953125" customWidth="1"/>
    <col min="4" max="4" width="23" customWidth="1"/>
    <col min="5" max="5" width="11.08984375" style="34" customWidth="1"/>
    <col min="6" max="7" width="13.54296875" style="35" customWidth="1"/>
    <col min="8" max="8" width="13.54296875" style="34" customWidth="1"/>
    <col min="9" max="9" width="13.08984375" style="35" customWidth="1"/>
    <col min="10" max="10" width="13.08984375" customWidth="1"/>
    <col min="11" max="11" width="12.08984375" customWidth="1"/>
    <col min="12" max="12" width="2.08984375" style="3" customWidth="1"/>
    <col min="13" max="13" width="10.36328125" customWidth="1"/>
    <col min="14" max="14" width="12.26953125" customWidth="1"/>
  </cols>
  <sheetData>
    <row r="1" spans="1:15" x14ac:dyDescent="0.35">
      <c r="A1" t="s">
        <v>60</v>
      </c>
      <c r="B1" t="s">
        <v>54</v>
      </c>
      <c r="C1" t="s">
        <v>96</v>
      </c>
      <c r="D1" t="s">
        <v>61</v>
      </c>
      <c r="E1" s="34" t="s">
        <v>63</v>
      </c>
      <c r="F1" s="35" t="s">
        <v>64</v>
      </c>
      <c r="G1" s="35" t="s">
        <v>72</v>
      </c>
      <c r="H1" s="34" t="s">
        <v>76</v>
      </c>
      <c r="I1" s="35" t="s">
        <v>77</v>
      </c>
      <c r="J1" s="34" t="s">
        <v>97</v>
      </c>
      <c r="K1" s="34" t="s">
        <v>78</v>
      </c>
      <c r="M1" s="34" t="s">
        <v>89</v>
      </c>
      <c r="N1" s="34" t="s">
        <v>90</v>
      </c>
      <c r="O1" s="34" t="s">
        <v>79</v>
      </c>
    </row>
    <row r="2" spans="1:15" x14ac:dyDescent="0.35">
      <c r="A2" t="str">
        <f>Tracker!A2</f>
        <v>BrandED</v>
      </c>
      <c r="B2" t="str">
        <f>Tracker!B2</f>
        <v>Enterprise Application Services Analyst</v>
      </c>
      <c r="C2" t="str">
        <f>Tracker!F2</f>
        <v>No Response</v>
      </c>
      <c r="D2">
        <f>(Tracker!G2+Tracker!H2)/2</f>
        <v>100</v>
      </c>
      <c r="E2" s="34">
        <f>IF(OR(Tracker!F2="denied",Tracker!F2="on hold",Tracker!F2="No Response",Tracker!F2="pending"), 0.2, IF(Tracker!F2="interviewing", 0.4, IF(Tracker!F2="rejected", 0.3, IF(Tracker!F2="offer", 1, 0))))</f>
        <v>0.2</v>
      </c>
      <c r="F2" s="35">
        <f>IF(OR(Tracker!I2="linkedin", Tracker!I2="Indeed", Tracker!I2="linkedin dm"), 0.9, IF(Tracker!I2="Company Site", 1.1, 1))</f>
        <v>0.9</v>
      </c>
      <c r="G2" s="35">
        <f>IF(OR(Tracker!D2="analyst", Tracker!D2="project manager", Tracker!D2="consultant"), 1.1, IF(Tracker!D2="Product Manager", 0.9, 1))</f>
        <v>1.1000000000000001</v>
      </c>
      <c r="H2" s="34">
        <v>0.95</v>
      </c>
      <c r="I2" s="35">
        <f>10-(0.5*Tracker!J2)</f>
        <v>10</v>
      </c>
      <c r="J2">
        <f t="shared" ref="J2:J15" si="0">IF(D2=0,0,((0.3*D2*G2*H2)/10)-2.7)</f>
        <v>0.43499999999999961</v>
      </c>
      <c r="K2">
        <f t="shared" ref="K2:K15" si="1">IF(D2=0, 0,((D2*E2*G2*H2)/(F2*I2)-2))</f>
        <v>0.32222222222222197</v>
      </c>
      <c r="M2" t="e">
        <f>IF(J2=0, 0, NA())</f>
        <v>#N/A</v>
      </c>
      <c r="N2">
        <f t="shared" ref="N2:N15" si="2">IF(J2=0, NA(), J2)</f>
        <v>0.43499999999999961</v>
      </c>
      <c r="O2">
        <f t="shared" ref="O2:O15" si="3">IF(K2=0, NA(), K2)</f>
        <v>0.32222222222222197</v>
      </c>
    </row>
    <row r="3" spans="1:15" x14ac:dyDescent="0.35">
      <c r="A3" t="str">
        <f>Tracker!A3</f>
        <v>Capco</v>
      </c>
      <c r="B3" t="str">
        <f>Tracker!B3</f>
        <v>Technical Strategy Analyst</v>
      </c>
      <c r="C3" t="str">
        <f>Tracker!F3</f>
        <v>Rejected</v>
      </c>
      <c r="D3">
        <f>(Tracker!G3+Tracker!H3)/2</f>
        <v>93.5</v>
      </c>
      <c r="E3" s="34">
        <f>IF(OR(Tracker!F3="denied",Tracker!F3="on hold",Tracker!F3="No Response",Tracker!F3="pending"), 0.2, IF(Tracker!F3="interviewing", 0.4, IF(Tracker!F3="rejected", 0.3, IF(Tracker!F3="offer", 1, 0))))</f>
        <v>0.3</v>
      </c>
      <c r="F3" s="35">
        <f>IF(OR(Tracker!I3="linkedin", Tracker!I3="Indeed", Tracker!I3="linkedin dm"), 0.9, IF(Tracker!I3="Company Site", 1.1, 1))</f>
        <v>0.9</v>
      </c>
      <c r="G3" s="35">
        <f>IF(OR(Tracker!D3="analyst", Tracker!D3="project manager", Tracker!D3="consultant"), 1.1, IF(Tracker!D3="Product Manager", 0.9, 1))</f>
        <v>1.1000000000000001</v>
      </c>
      <c r="H3" s="34">
        <v>0.95</v>
      </c>
      <c r="I3" s="35">
        <f>10-(0.5*Tracker!J3)</f>
        <v>8.5</v>
      </c>
      <c r="J3">
        <f t="shared" si="0"/>
        <v>0.23122500000000024</v>
      </c>
      <c r="K3">
        <f t="shared" si="1"/>
        <v>1.831666666666667</v>
      </c>
      <c r="M3" t="e">
        <f t="shared" ref="M3:M15" si="4">IF(J3=0, 0, NA())</f>
        <v>#N/A</v>
      </c>
      <c r="N3">
        <f t="shared" si="2"/>
        <v>0.23122500000000024</v>
      </c>
      <c r="O3">
        <f t="shared" si="3"/>
        <v>1.831666666666667</v>
      </c>
    </row>
    <row r="4" spans="1:15" x14ac:dyDescent="0.35">
      <c r="A4" t="str">
        <f>Tracker!A4</f>
        <v>DailyPay</v>
      </c>
      <c r="B4" t="str">
        <f>Tracker!B4</f>
        <v>Technical Engagement Analyst</v>
      </c>
      <c r="C4" t="str">
        <f>Tracker!F4</f>
        <v>Denied</v>
      </c>
      <c r="D4">
        <f>(Tracker!G4+Tracker!H4)/2</f>
        <v>92</v>
      </c>
      <c r="E4" s="34">
        <f>IF(OR(Tracker!F4="denied",Tracker!F4="on hold",Tracker!F4="No Response",Tracker!F4="pending"), 0.2, IF(Tracker!F4="interviewing", 0.4, IF(Tracker!F4="rejected", 0.3, IF(Tracker!F4="offer", 1, 0))))</f>
        <v>0.2</v>
      </c>
      <c r="F4" s="35">
        <f>IF(OR(Tracker!I4="linkedin", Tracker!I4="Indeed", Tracker!I4="linkedin dm"), 0.9, IF(Tracker!I4="Company Site", 1.1, 1))</f>
        <v>0.9</v>
      </c>
      <c r="G4" s="35">
        <f>IF(OR(Tracker!D4="analyst", Tracker!D4="project manager", Tracker!D4="consultant"), 1.1, IF(Tracker!D4="Product Manager", 0.9, 1))</f>
        <v>1.1000000000000001</v>
      </c>
      <c r="H4" s="34">
        <v>0.95</v>
      </c>
      <c r="I4" s="35">
        <f>10-(0.5*Tracker!J4)</f>
        <v>10</v>
      </c>
      <c r="J4">
        <f t="shared" si="0"/>
        <v>0.1841999999999997</v>
      </c>
      <c r="K4">
        <f t="shared" si="1"/>
        <v>0.13644444444444481</v>
      </c>
      <c r="M4" t="e">
        <f t="shared" si="4"/>
        <v>#N/A</v>
      </c>
      <c r="N4">
        <f t="shared" si="2"/>
        <v>0.1841999999999997</v>
      </c>
      <c r="O4">
        <f t="shared" si="3"/>
        <v>0.13644444444444481</v>
      </c>
    </row>
    <row r="5" spans="1:15" x14ac:dyDescent="0.35">
      <c r="A5" t="str">
        <f>Tracker!A5</f>
        <v>Jellyfish</v>
      </c>
      <c r="B5" t="str">
        <f>Tracker!B5</f>
        <v>Forward Deployed Engineer</v>
      </c>
      <c r="C5" t="str">
        <f>Tracker!F5</f>
        <v>Rejected</v>
      </c>
      <c r="D5">
        <f>(Tracker!G5+Tracker!H5)/2</f>
        <v>0</v>
      </c>
      <c r="E5" s="34">
        <f>IF(OR(Tracker!F5="denied",Tracker!F5="on hold",Tracker!F5="No Response",Tracker!F5="pending"), 0.2, IF(Tracker!F5="interviewing", 0.4, IF(Tracker!F5="rejected", 0.3, IF(Tracker!F5="offer", 1, 0))))</f>
        <v>0.3</v>
      </c>
      <c r="F5" s="35">
        <f>IF(OR(Tracker!I5="linkedin", Tracker!I5="Indeed", Tracker!I5="linkedin dm"), 0.9, IF(Tracker!I5="Company Site", 1.1, 1))</f>
        <v>1</v>
      </c>
      <c r="G5" s="35">
        <f>IF(OR(Tracker!D5="analyst", Tracker!D5="project manager", Tracker!D5="consultant"), 1.1, IF(Tracker!D5="Product Manager", 0.9, 1))</f>
        <v>1</v>
      </c>
      <c r="H5" s="34">
        <v>0.95</v>
      </c>
      <c r="I5" s="35">
        <f>10-(0.5*Tracker!J5)</f>
        <v>9.5</v>
      </c>
      <c r="J5">
        <f t="shared" si="0"/>
        <v>0</v>
      </c>
      <c r="K5">
        <f t="shared" si="1"/>
        <v>0</v>
      </c>
      <c r="M5">
        <f t="shared" si="4"/>
        <v>0</v>
      </c>
      <c r="N5" t="e">
        <f t="shared" si="2"/>
        <v>#N/A</v>
      </c>
      <c r="O5" t="e">
        <f t="shared" si="3"/>
        <v>#N/A</v>
      </c>
    </row>
    <row r="6" spans="1:15" x14ac:dyDescent="0.35">
      <c r="A6" t="str">
        <f>Tracker!A6</f>
        <v>Company 1</v>
      </c>
      <c r="B6" t="str">
        <f>Tracker!B6</f>
        <v>Title 1</v>
      </c>
      <c r="C6" t="str">
        <f>Tracker!F6</f>
        <v>Denied</v>
      </c>
      <c r="D6">
        <f>(Tracker!G6+Tracker!H6)/2</f>
        <v>100</v>
      </c>
      <c r="E6" s="34">
        <f>IF(OR(Tracker!F6="denied",Tracker!F6="on hold",Tracker!F6="No Response",Tracker!F6="pending"), 0.2, IF(Tracker!F6="interviewing", 0.4, IF(Tracker!F6="rejected", 0.3, IF(Tracker!F6="offer", 1, 0))))</f>
        <v>0.2</v>
      </c>
      <c r="F6" s="35">
        <f>IF(OR(Tracker!I6="linkedin", Tracker!I6="Indeed", Tracker!I6="linkedin dm"), 0.9, IF(Tracker!I6="Company Site", 1.1, 1))</f>
        <v>0.9</v>
      </c>
      <c r="G6" s="35">
        <f>IF(OR(Tracker!D6="analyst", Tracker!D6="project manager", Tracker!D6="consultant"), 1.1, IF(Tracker!D6="Product Manager", 0.9, 1))</f>
        <v>1.1000000000000001</v>
      </c>
      <c r="H6" s="34">
        <v>0.95</v>
      </c>
      <c r="I6" s="35">
        <f>10-(0.5*Tracker!J6)</f>
        <v>10</v>
      </c>
      <c r="J6">
        <f t="shared" si="0"/>
        <v>0.43499999999999961</v>
      </c>
      <c r="K6">
        <f t="shared" si="1"/>
        <v>0.32222222222222197</v>
      </c>
      <c r="M6" t="e">
        <f t="shared" si="4"/>
        <v>#N/A</v>
      </c>
      <c r="N6">
        <f t="shared" si="2"/>
        <v>0.43499999999999961</v>
      </c>
      <c r="O6">
        <f t="shared" si="3"/>
        <v>0.32222222222222197</v>
      </c>
    </row>
    <row r="7" spans="1:15" x14ac:dyDescent="0.35">
      <c r="A7" t="str">
        <f>Tracker!A7</f>
        <v>Company 2</v>
      </c>
      <c r="B7" t="str">
        <f>Tracker!B7</f>
        <v>Title 2</v>
      </c>
      <c r="C7" t="str">
        <f>Tracker!F7</f>
        <v>No Response</v>
      </c>
      <c r="D7">
        <f>(Tracker!G7+Tracker!H7)/2</f>
        <v>100</v>
      </c>
      <c r="E7" s="34">
        <f>IF(OR(Tracker!F7="denied",Tracker!F7="on hold",Tracker!F7="No Response",Tracker!F7="pending"), 0.2, IF(Tracker!F7="interviewing", 0.4, IF(Tracker!F7="rejected", 0.3, IF(Tracker!F7="offer", 1, 0))))</f>
        <v>0.2</v>
      </c>
      <c r="F7" s="35">
        <f>IF(OR(Tracker!I7="linkedin", Tracker!I7="Indeed", Tracker!I7="linkedin dm"), 0.9, IF(Tracker!I7="Company Site", 1.1, 1))</f>
        <v>0.9</v>
      </c>
      <c r="G7" s="35">
        <f>IF(OR(Tracker!D7="analyst", Tracker!D7="project manager", Tracker!D7="consultant"), 1.1, IF(Tracker!D7="Product Manager", 0.9, 1))</f>
        <v>1.1000000000000001</v>
      </c>
      <c r="H7" s="34">
        <v>0.95</v>
      </c>
      <c r="I7" s="35">
        <f>10-(0.5*Tracker!J7)</f>
        <v>10</v>
      </c>
      <c r="J7">
        <f t="shared" si="0"/>
        <v>0.43499999999999961</v>
      </c>
      <c r="K7">
        <f t="shared" si="1"/>
        <v>0.32222222222222197</v>
      </c>
      <c r="M7" t="e">
        <f t="shared" si="4"/>
        <v>#N/A</v>
      </c>
      <c r="N7">
        <f t="shared" si="2"/>
        <v>0.43499999999999961</v>
      </c>
      <c r="O7">
        <f t="shared" si="3"/>
        <v>0.32222222222222197</v>
      </c>
    </row>
    <row r="8" spans="1:15" x14ac:dyDescent="0.35">
      <c r="A8" t="str">
        <f>Tracker!A8</f>
        <v>Company 3</v>
      </c>
      <c r="B8" t="str">
        <f>Tracker!B8</f>
        <v>Title 3</v>
      </c>
      <c r="C8" t="str">
        <f>Tracker!F8</f>
        <v>Pending</v>
      </c>
      <c r="D8">
        <f>(Tracker!G8+Tracker!H8)/2</f>
        <v>100</v>
      </c>
      <c r="E8" s="34">
        <f>IF(OR(Tracker!F8="denied",Tracker!F8="on hold",Tracker!F8="No Response",Tracker!F8="pending"), 0.2, IF(Tracker!F8="interviewing", 0.4, IF(Tracker!F8="rejected", 0.3, IF(Tracker!F8="offer", 1, 0))))</f>
        <v>0.2</v>
      </c>
      <c r="F8" s="35">
        <f>IF(OR(Tracker!I8="linkedin", Tracker!I8="Indeed", Tracker!I8="linkedin dm"), 0.9, IF(Tracker!I8="Company Site", 1.1, 1))</f>
        <v>0.9</v>
      </c>
      <c r="G8" s="35">
        <f>IF(OR(Tracker!D8="analyst", Tracker!D8="project manager", Tracker!D8="consultant"), 1.1, IF(Tracker!D8="Product Manager", 0.9, 1))</f>
        <v>1.1000000000000001</v>
      </c>
      <c r="H8" s="34">
        <v>0.95</v>
      </c>
      <c r="I8" s="35">
        <f>10-(0.5*Tracker!J8)</f>
        <v>10</v>
      </c>
      <c r="J8">
        <f t="shared" si="0"/>
        <v>0.43499999999999961</v>
      </c>
      <c r="K8">
        <f t="shared" si="1"/>
        <v>0.32222222222222197</v>
      </c>
      <c r="M8" t="e">
        <f t="shared" si="4"/>
        <v>#N/A</v>
      </c>
      <c r="N8">
        <f t="shared" si="2"/>
        <v>0.43499999999999961</v>
      </c>
      <c r="O8">
        <f t="shared" si="3"/>
        <v>0.32222222222222197</v>
      </c>
    </row>
    <row r="9" spans="1:15" x14ac:dyDescent="0.35">
      <c r="A9" t="str">
        <f>Tracker!A9</f>
        <v>Company 4</v>
      </c>
      <c r="B9" t="str">
        <f>Tracker!B9</f>
        <v>Title 4</v>
      </c>
      <c r="C9" t="str">
        <f>Tracker!F9</f>
        <v>Denied</v>
      </c>
      <c r="D9">
        <f>(Tracker!G9+Tracker!H9)/2</f>
        <v>100</v>
      </c>
      <c r="E9" s="34">
        <f>IF(OR(Tracker!F9="denied",Tracker!F9="on hold",Tracker!F9="No Response",Tracker!F9="pending"), 0.2, IF(Tracker!F9="interviewing", 0.4, IF(Tracker!F9="rejected", 0.3, IF(Tracker!F9="offer", 1, 0))))</f>
        <v>0.2</v>
      </c>
      <c r="F9" s="35">
        <f>IF(OR(Tracker!I9="linkedin", Tracker!I9="Indeed", Tracker!I9="linkedin dm"), 0.9, IF(Tracker!I9="Company Site", 1.1, 1))</f>
        <v>0.9</v>
      </c>
      <c r="G9" s="35">
        <f>IF(OR(Tracker!D9="analyst", Tracker!D9="project manager", Tracker!D9="consultant"), 1.1, IF(Tracker!D9="Product Manager", 0.9, 1))</f>
        <v>1.1000000000000001</v>
      </c>
      <c r="H9" s="34">
        <v>0.95</v>
      </c>
      <c r="I9" s="35">
        <f>10-(0.5*Tracker!J9)</f>
        <v>10</v>
      </c>
      <c r="J9">
        <f t="shared" si="0"/>
        <v>0.43499999999999961</v>
      </c>
      <c r="K9">
        <f t="shared" si="1"/>
        <v>0.32222222222222197</v>
      </c>
      <c r="M9" t="e">
        <f t="shared" si="4"/>
        <v>#N/A</v>
      </c>
      <c r="N9">
        <f t="shared" si="2"/>
        <v>0.43499999999999961</v>
      </c>
      <c r="O9">
        <f t="shared" si="3"/>
        <v>0.32222222222222197</v>
      </c>
    </row>
    <row r="10" spans="1:15" x14ac:dyDescent="0.35">
      <c r="A10" t="str">
        <f>Tracker!A10</f>
        <v>Company 5</v>
      </c>
      <c r="B10" t="str">
        <f>Tracker!B10</f>
        <v>Title 5</v>
      </c>
      <c r="C10" t="str">
        <f>Tracker!F10</f>
        <v>Rejected</v>
      </c>
      <c r="D10">
        <f>(Tracker!G10+Tracker!H10)/2</f>
        <v>100</v>
      </c>
      <c r="E10" s="34">
        <f>IF(OR(Tracker!F10="denied",Tracker!F10="on hold",Tracker!F10="No Response",Tracker!F10="pending"), 0.2, IF(Tracker!F10="interviewing", 0.4, IF(Tracker!F10="rejected", 0.3, IF(Tracker!F10="offer", 1, 0))))</f>
        <v>0.3</v>
      </c>
      <c r="F10" s="35">
        <f>IF(OR(Tracker!I10="linkedin", Tracker!I10="Indeed", Tracker!I10="linkedin dm"), 0.9, IF(Tracker!I10="Company Site", 1.1, 1))</f>
        <v>1.1000000000000001</v>
      </c>
      <c r="G10" s="35">
        <f>IF(OR(Tracker!D10="analyst", Tracker!D10="project manager", Tracker!D10="consultant"), 1.1, IF(Tracker!D10="Product Manager", 0.9, 1))</f>
        <v>1.1000000000000001</v>
      </c>
      <c r="H10" s="34">
        <v>0.95</v>
      </c>
      <c r="I10" s="35">
        <f>10-(0.5*Tracker!J10)</f>
        <v>9.5</v>
      </c>
      <c r="J10">
        <f t="shared" si="0"/>
        <v>0.43499999999999961</v>
      </c>
      <c r="K10">
        <f t="shared" si="1"/>
        <v>0.99999999999999956</v>
      </c>
      <c r="M10" t="e">
        <f t="shared" si="4"/>
        <v>#N/A</v>
      </c>
      <c r="N10">
        <f t="shared" si="2"/>
        <v>0.43499999999999961</v>
      </c>
      <c r="O10">
        <f t="shared" si="3"/>
        <v>0.99999999999999956</v>
      </c>
    </row>
    <row r="11" spans="1:15" x14ac:dyDescent="0.35">
      <c r="A11" t="str">
        <f>Tracker!A11</f>
        <v>Company 6</v>
      </c>
      <c r="B11" t="str">
        <f>Tracker!B11</f>
        <v>Title 6</v>
      </c>
      <c r="C11" t="str">
        <f>Tracker!F11</f>
        <v>No Response</v>
      </c>
      <c r="D11">
        <f>(Tracker!G11+Tracker!H11)/2</f>
        <v>100</v>
      </c>
      <c r="E11" s="34">
        <f>IF(OR(Tracker!F11="denied",Tracker!F11="on hold",Tracker!F11="No Response",Tracker!F11="pending"), 0.2, IF(Tracker!F11="interviewing", 0.4, IF(Tracker!F11="rejected", 0.3, IF(Tracker!F11="offer", 1, 0))))</f>
        <v>0.2</v>
      </c>
      <c r="F11" s="35">
        <f>IF(OR(Tracker!I11="linkedin", Tracker!I11="Indeed", Tracker!I11="linkedin dm"), 0.9, IF(Tracker!I11="Company Site", 1.1, 1))</f>
        <v>0.9</v>
      </c>
      <c r="G11" s="35">
        <f>IF(OR(Tracker!D11="analyst", Tracker!D11="project manager", Tracker!D11="consultant"), 1.1, IF(Tracker!D11="Product Manager", 0.9, 1))</f>
        <v>1.1000000000000001</v>
      </c>
      <c r="H11" s="34">
        <v>0.95</v>
      </c>
      <c r="I11" s="35">
        <f>10-(0.5*Tracker!J11)</f>
        <v>10</v>
      </c>
      <c r="J11">
        <f t="shared" si="0"/>
        <v>0.43499999999999961</v>
      </c>
      <c r="K11">
        <f t="shared" si="1"/>
        <v>0.32222222222222197</v>
      </c>
      <c r="M11" t="e">
        <f t="shared" si="4"/>
        <v>#N/A</v>
      </c>
      <c r="N11">
        <f t="shared" si="2"/>
        <v>0.43499999999999961</v>
      </c>
      <c r="O11">
        <f t="shared" si="3"/>
        <v>0.32222222222222197</v>
      </c>
    </row>
    <row r="12" spans="1:15" x14ac:dyDescent="0.35">
      <c r="A12" t="str">
        <f>Tracker!A12</f>
        <v>Company 7</v>
      </c>
      <c r="B12" t="str">
        <f>Tracker!B12</f>
        <v>Title 7</v>
      </c>
      <c r="C12" t="str">
        <f>Tracker!F12</f>
        <v>Rejected</v>
      </c>
      <c r="D12">
        <f>(Tracker!G12+Tracker!H12)/2</f>
        <v>100</v>
      </c>
      <c r="E12" s="34">
        <f>IF(OR(Tracker!F12="denied",Tracker!F12="on hold",Tracker!F12="No Response",Tracker!F12="pending"), 0.2, IF(Tracker!F12="interviewing", 0.4, IF(Tracker!F12="rejected", 0.3, IF(Tracker!F12="offer", 1, 0))))</f>
        <v>0.3</v>
      </c>
      <c r="F12" s="35">
        <f>IF(OR(Tracker!I12="linkedin", Tracker!I12="Indeed", Tracker!I12="linkedin dm"), 0.9, IF(Tracker!I12="Company Site", 1.1, 1))</f>
        <v>0.9</v>
      </c>
      <c r="G12" s="35">
        <f>IF(OR(Tracker!D12="analyst", Tracker!D12="project manager", Tracker!D12="consultant"), 1.1, IF(Tracker!D12="Product Manager", 0.9, 1))</f>
        <v>1.1000000000000001</v>
      </c>
      <c r="H12" s="34">
        <v>0.95</v>
      </c>
      <c r="I12" s="35">
        <f>10-(0.5*Tracker!J12)</f>
        <v>10</v>
      </c>
      <c r="J12">
        <f t="shared" si="0"/>
        <v>0.43499999999999961</v>
      </c>
      <c r="K12">
        <f t="shared" si="1"/>
        <v>1.4833333333333329</v>
      </c>
      <c r="M12" t="e">
        <f t="shared" si="4"/>
        <v>#N/A</v>
      </c>
      <c r="N12">
        <f t="shared" si="2"/>
        <v>0.43499999999999961</v>
      </c>
      <c r="O12">
        <f t="shared" si="3"/>
        <v>1.4833333333333329</v>
      </c>
    </row>
    <row r="13" spans="1:15" x14ac:dyDescent="0.35">
      <c r="A13" t="str">
        <f>Tracker!A13</f>
        <v>Company 8</v>
      </c>
      <c r="B13" t="str">
        <f>Tracker!B13</f>
        <v>Title 8</v>
      </c>
      <c r="C13" t="str">
        <f>Tracker!F13</f>
        <v>On Hold</v>
      </c>
      <c r="D13">
        <f>(Tracker!G13+Tracker!H13)/2</f>
        <v>100</v>
      </c>
      <c r="E13" s="34">
        <f>IF(OR(Tracker!F13="denied",Tracker!F13="on hold",Tracker!F13="No Response",Tracker!F13="pending"), 0.2, IF(Tracker!F13="interviewing", 0.4, IF(Tracker!F13="rejected", 0.3, IF(Tracker!F13="offer", 1, 0))))</f>
        <v>0.2</v>
      </c>
      <c r="F13" s="35">
        <f>IF(OR(Tracker!I13="linkedin", Tracker!I13="Indeed", Tracker!I13="linkedin dm"), 0.9, IF(Tracker!I13="Company Site", 1.1, 1))</f>
        <v>1</v>
      </c>
      <c r="G13" s="35">
        <f>IF(OR(Tracker!D13="analyst", Tracker!D13="project manager", Tracker!D13="consultant"), 1.1, IF(Tracker!D13="Product Manager", 0.9, 1))</f>
        <v>1.1000000000000001</v>
      </c>
      <c r="H13" s="34">
        <v>0.95</v>
      </c>
      <c r="I13" s="35">
        <f>10-(0.5*Tracker!J13)</f>
        <v>10</v>
      </c>
      <c r="J13">
        <f t="shared" si="0"/>
        <v>0.43499999999999961</v>
      </c>
      <c r="K13">
        <f t="shared" si="1"/>
        <v>8.9999999999999858E-2</v>
      </c>
      <c r="M13" t="e">
        <f t="shared" si="4"/>
        <v>#N/A</v>
      </c>
      <c r="N13">
        <f t="shared" si="2"/>
        <v>0.43499999999999961</v>
      </c>
      <c r="O13">
        <f t="shared" si="3"/>
        <v>8.9999999999999858E-2</v>
      </c>
    </row>
    <row r="14" spans="1:15" x14ac:dyDescent="0.35">
      <c r="A14" t="str">
        <f>Tracker!A14</f>
        <v>Company 9</v>
      </c>
      <c r="B14" t="str">
        <f>Tracker!B14</f>
        <v>Title 9</v>
      </c>
      <c r="C14" t="str">
        <f>Tracker!F14</f>
        <v>Interviewing</v>
      </c>
      <c r="D14">
        <f>(Tracker!G14+Tracker!H14)/2</f>
        <v>100</v>
      </c>
      <c r="E14" s="34">
        <f>IF(OR(Tracker!F14="denied",Tracker!F14="on hold",Tracker!F14="No Response",Tracker!F14="pending"), 0.2, IF(Tracker!F14="interviewing", 0.4, IF(Tracker!F14="rejected", 0.3, IF(Tracker!F14="offer", 1, 0))))</f>
        <v>0.4</v>
      </c>
      <c r="F14" s="35">
        <f>IF(OR(Tracker!I14="linkedin", Tracker!I14="Indeed", Tracker!I14="linkedin dm"), 0.9, IF(Tracker!I14="Company Site", 1.1, 1))</f>
        <v>1</v>
      </c>
      <c r="G14" s="35">
        <f>IF(OR(Tracker!D14="analyst", Tracker!D14="project manager", Tracker!D14="consultant"), 1.1, IF(Tracker!D14="Product Manager", 0.9, 1))</f>
        <v>0.9</v>
      </c>
      <c r="H14" s="34">
        <v>0.95</v>
      </c>
      <c r="I14" s="35">
        <f>10-(0.5*Tracker!J14)</f>
        <v>10</v>
      </c>
      <c r="J14">
        <f t="shared" si="0"/>
        <v>-0.13500000000000023</v>
      </c>
      <c r="K14">
        <f t="shared" si="1"/>
        <v>1.4199999999999995</v>
      </c>
      <c r="M14" t="e">
        <f t="shared" si="4"/>
        <v>#N/A</v>
      </c>
      <c r="N14">
        <f t="shared" si="2"/>
        <v>-0.13500000000000023</v>
      </c>
      <c r="O14">
        <f t="shared" si="3"/>
        <v>1.4199999999999995</v>
      </c>
    </row>
    <row r="15" spans="1:15" x14ac:dyDescent="0.35">
      <c r="A15" t="str">
        <f>Tracker!A15</f>
        <v>Company 10</v>
      </c>
      <c r="B15" t="str">
        <f>Tracker!B15</f>
        <v>Title 10</v>
      </c>
      <c r="C15" t="str">
        <f>Tracker!F15</f>
        <v>Offer</v>
      </c>
      <c r="D15">
        <f>(Tracker!G15+Tracker!H15)/2</f>
        <v>100</v>
      </c>
      <c r="E15" s="34">
        <f>IF(OR(Tracker!F15="denied",Tracker!F15="on hold",Tracker!F15="No Response",Tracker!F15="pending"), 0.2, IF(Tracker!F15="interviewing", 0.4, IF(Tracker!F15="rejected", 0.3, IF(Tracker!F15="offer", 1, 0))))</f>
        <v>1</v>
      </c>
      <c r="F15" s="35">
        <f>IF(OR(Tracker!I15="linkedin", Tracker!I15="Indeed", Tracker!I15="linkedin dm"), 0.9, IF(Tracker!I15="Company Site", 1.1, 1))</f>
        <v>1</v>
      </c>
      <c r="G15" s="35">
        <f>IF(OR(Tracker!D15="analyst", Tracker!D15="project manager", Tracker!D15="consultant"), 1.1, IF(Tracker!D15="Product Manager", 0.9, 1))</f>
        <v>0.9</v>
      </c>
      <c r="H15" s="34">
        <v>0.95</v>
      </c>
      <c r="I15" s="35">
        <f>10-(0.5*Tracker!J15)</f>
        <v>10</v>
      </c>
      <c r="J15">
        <f t="shared" si="0"/>
        <v>-0.13500000000000023</v>
      </c>
      <c r="K15">
        <f t="shared" si="1"/>
        <v>6.5500000000000007</v>
      </c>
      <c r="M15" t="e">
        <f t="shared" si="4"/>
        <v>#N/A</v>
      </c>
      <c r="N15">
        <f t="shared" si="2"/>
        <v>-0.13500000000000023</v>
      </c>
      <c r="O15">
        <f t="shared" si="3"/>
        <v>6.5500000000000007</v>
      </c>
    </row>
  </sheetData>
  <autoFilter ref="K1:K15" xr:uid="{70590CAF-D2CD-443E-AE13-8F53684D3C0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CD8-B66D-499D-AC3B-EB5B2B2BDD35}">
  <dimension ref="A1:B11"/>
  <sheetViews>
    <sheetView workbookViewId="0">
      <selection activeCell="D1" sqref="D1"/>
    </sheetView>
  </sheetViews>
  <sheetFormatPr defaultRowHeight="14.5" x14ac:dyDescent="0.35"/>
  <cols>
    <col min="1" max="1" width="14.1796875" customWidth="1"/>
    <col min="2" max="2" width="96.54296875" customWidth="1"/>
  </cols>
  <sheetData>
    <row r="1" spans="1:2" x14ac:dyDescent="0.35">
      <c r="A1" t="s">
        <v>80</v>
      </c>
      <c r="B1" t="s">
        <v>67</v>
      </c>
    </row>
    <row r="2" spans="1:2" x14ac:dyDescent="0.35">
      <c r="A2" t="s">
        <v>53</v>
      </c>
      <c r="B2" t="s">
        <v>68</v>
      </c>
    </row>
    <row r="3" spans="1:2" x14ac:dyDescent="0.35">
      <c r="A3" t="s">
        <v>73</v>
      </c>
      <c r="B3" t="s">
        <v>75</v>
      </c>
    </row>
    <row r="5" spans="1:2" x14ac:dyDescent="0.35">
      <c r="A5" s="41" t="s">
        <v>74</v>
      </c>
      <c r="B5" t="s">
        <v>81</v>
      </c>
    </row>
    <row r="6" spans="1:2" x14ac:dyDescent="0.35">
      <c r="B6" t="s">
        <v>82</v>
      </c>
    </row>
    <row r="7" spans="1:2" x14ac:dyDescent="0.35">
      <c r="B7" t="s">
        <v>83</v>
      </c>
    </row>
    <row r="8" spans="1:2" x14ac:dyDescent="0.35">
      <c r="B8" t="s">
        <v>84</v>
      </c>
    </row>
    <row r="9" spans="1:2" x14ac:dyDescent="0.35">
      <c r="B9" t="s">
        <v>85</v>
      </c>
    </row>
    <row r="10" spans="1:2" x14ac:dyDescent="0.35">
      <c r="B10" t="s">
        <v>86</v>
      </c>
    </row>
    <row r="11" spans="1:2" x14ac:dyDescent="0.35">
      <c r="B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Dashboard</vt:lpstr>
      <vt:lpstr>Data Calculations</vt:lpstr>
      <vt:lpstr>ROE Calculation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Harris</dc:creator>
  <cp:lastModifiedBy>Graham Harris</cp:lastModifiedBy>
  <dcterms:created xsi:type="dcterms:W3CDTF">2025-04-17T17:58:02Z</dcterms:created>
  <dcterms:modified xsi:type="dcterms:W3CDTF">2025-06-18T02:09:45Z</dcterms:modified>
</cp:coreProperties>
</file>