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Responses" sheetId="1" r:id="rId3"/>
    <sheet state="visible" name="Q14-new (primary)" sheetId="2" r:id="rId4"/>
    <sheet state="visible" name="Q14-new-codebook(primary)" sheetId="3" r:id="rId5"/>
    <sheet state="visible" name="Q14-new (secondary)" sheetId="4" r:id="rId6"/>
    <sheet state="visible" name="Q14-new-codebook (secondary)" sheetId="5" r:id="rId7"/>
    <sheet state="visible" name="Q14-rand (primary)" sheetId="6" r:id="rId8"/>
    <sheet state="visible" name="Q14-rand-codebook (primary)" sheetId="7" r:id="rId9"/>
    <sheet state="visible" name="Q14-rand (secondary)" sheetId="8" r:id="rId10"/>
    <sheet state="visible" name="Q14-rand-codebook (secondary)" sheetId="9" r:id="rId11"/>
    <sheet state="visible" name="Q14-old (primary)" sheetId="10" r:id="rId12"/>
    <sheet state="visible" name="Q14-old-codebook (primary)" sheetId="11" r:id="rId13"/>
    <sheet state="visible" name="Q14-old (secondary)" sheetId="12" r:id="rId14"/>
    <sheet state="visible" name="Q14-old-codebook (secondary)" sheetId="13" r:id="rId15"/>
    <sheet state="visible" name="Q19 (primary)" sheetId="14" r:id="rId16"/>
    <sheet state="visible" name="Q19-codebook (primary)" sheetId="15" r:id="rId17"/>
    <sheet state="visible" name="Q19 (secondary)" sheetId="16" r:id="rId18"/>
    <sheet state="visible" name="Q19-codebook (secondary)" sheetId="17" r:id="rId19"/>
    <sheet state="visible" name="Q20 (primary)" sheetId="18" r:id="rId20"/>
    <sheet state="visible" name="Q20-codebook (primary)" sheetId="19" r:id="rId21"/>
    <sheet state="visible" name="Q20 (secondary)" sheetId="20" r:id="rId22"/>
    <sheet state="visible" name="Q20-codebook (secondary)" sheetId="21" r:id="rId23"/>
    <sheet state="visible" name="Q21 (primary)" sheetId="22" r:id="rId24"/>
    <sheet state="visible" name="Q21-codebook (primary)" sheetId="23" r:id="rId25"/>
    <sheet state="visible" name="Q21 (secondary)" sheetId="24" r:id="rId26"/>
    <sheet state="visible" name="Q21-codebook (secondary)" sheetId="25" r:id="rId27"/>
  </sheets>
  <definedNames/>
  <calcPr/>
</workbook>
</file>

<file path=xl/sharedStrings.xml><?xml version="1.0" encoding="utf-8"?>
<sst xmlns="http://schemas.openxmlformats.org/spreadsheetml/2006/main" count="3084" uniqueCount="934">
  <si>
    <t>ResponseId</t>
  </si>
  <si>
    <t>Q14-newest</t>
  </si>
  <si>
    <t>Q14-random</t>
  </si>
  <si>
    <t>Q14-oldest</t>
  </si>
  <si>
    <t>Q19</t>
  </si>
  <si>
    <t>Q20</t>
  </si>
  <si>
    <t>Q21</t>
  </si>
  <si>
    <t>Response ID</t>
  </si>
  <si>
    <t>describe_concern_newest_app</t>
  </si>
  <si>
    <t>describe_concern_random_app</t>
  </si>
  <si>
    <t>describe_concern_oldest_app</t>
  </si>
  <si>
    <t>rfl_what_settings</t>
  </si>
  <si>
    <t>rfl_what_review</t>
  </si>
  <si>
    <t>fut_features</t>
  </si>
  <si>
    <t>i like earning cash back so i am not that concerned</t>
  </si>
  <si>
    <t>i did not even know i had this and do not think i have ever used it and i do not remember authorizing it</t>
  </si>
  <si>
    <t>not really that concerned</t>
  </si>
  <si>
    <t>more transparaency</t>
  </si>
  <si>
    <t>none</t>
  </si>
  <si>
    <t>none really</t>
  </si>
  <si>
    <t>if I still need it connected</t>
  </si>
  <si>
    <t>monthly reminders</t>
  </si>
  <si>
    <t>I'm wondering how often the app actually uses that without me using the physical Nest Mini.</t>
  </si>
  <si>
    <t>I would just get rid of the ones I don't use at all anymore.</t>
  </si>
  <si>
    <t>If I only installed it once and don't use it anymore.</t>
  </si>
  <si>
    <t>None</t>
  </si>
  <si>
    <t>I don't have any</t>
  </si>
  <si>
    <t>I don't have any. I forgot I had enabled it so clearly I'm not bothered by it.</t>
  </si>
  <si>
    <t>just to see if any games I've deleted are on there</t>
  </si>
  <si>
    <t>a way to set a date reminder to check</t>
  </si>
  <si>
    <t>i for sure have no concerns with samsung</t>
  </si>
  <si>
    <t>i really dont have any concerns</t>
  </si>
  <si>
    <t>none i like it now honestly</t>
  </si>
  <si>
    <t>I would like to remove several of the apps that have access to my account, as I do not use them and don't want them to have access to my data if I am not benefitting from them.</t>
  </si>
  <si>
    <t>I will review the apps that have access to my account and determine whether or not any should be removed. I will also check to make sure that the apps only have access to public information on my Google profile, and nothing more personal than that.</t>
  </si>
  <si>
    <t>I would like to see how often I sign into the apps, to help determine how necessary it is to continue allowing them access.</t>
  </si>
  <si>
    <t>I don't use Samsung Experience Service frequently enough. In fact, I only remember it being a nuisance. I don't think any of this data is necessary for them to know because it doesn't improve my user experience to my knowledge.</t>
  </si>
  <si>
    <t>I am not sure how access to my calendar and contacts is necessary. I use this app specifically to arrange my off days with work, which must be sent 2 to 4 weeks prior to my requested off date. I am not extremely worried about these accesses, but I do want to review them and see how they improve my user experience.</t>
  </si>
  <si>
    <t>I remember this was for a Google Assistant enabled device that I had in my kitchen. I no longer use that device, so I am a little concerned that I need to go in and disconnect it. While I was using the device, it was unable to do some basic things that I thought full access should allow it to. For instance, adding things to my calendar or connecting to particular videos on YouTube.</t>
  </si>
  <si>
    <t>I will revoke access to some apps that I do not foresee using in the near future. And see about changing access to apps that I do use to make sure the accesses are necessary for my user experience.</t>
  </si>
  <si>
    <t>I cannot think of any way this could be more useful. When you click, it expands, and you get additional info about the access the app has.</t>
  </si>
  <si>
    <t>I don't remember authorizing this app to have access to my google account. I am worried they might use my information for nefarious things..</t>
  </si>
  <si>
    <t>I am concerned about them using the permissions I have given to build a profile on me.</t>
  </si>
  <si>
    <t>I would change contacts access.</t>
  </si>
  <si>
    <t>The type of information is has access to regarding my profile. Especially contacts.</t>
  </si>
  <si>
    <t>Ability to pause the information that are currently being fed to the apps.</t>
  </si>
  <si>
    <t>Any apps that I am no longer using, to revoke access. Any apps with more than basic permissions.</t>
  </si>
  <si>
    <t>I dont really have that many concerns. I use my mac and my iPhone everyday for work, so it is necessary for them to have access to my google account. Plus, I am the only one to have access to these devices.</t>
  </si>
  <si>
    <t>I'm conserned about who would have access to this data. I don't use the google nest hub anymore, so it shouldn't have access to my full account.</t>
  </si>
  <si>
    <t>I would change access to the apps that I no longer use (google hub)</t>
  </si>
  <si>
    <t>a quick easy way to (1) edit the amount of access that each thrid party app has and (2) delete apps I no longer want</t>
  </si>
  <si>
    <t>What information the apps with access gather</t>
  </si>
  <si>
    <t>A way to remove access</t>
  </si>
  <si>
    <t>I don't have a RingCentral so I don't like this.</t>
  </si>
  <si>
    <t>I have no issues! I only use this application when I need to fill out forms that have been emailed to me. I understand why it needs to do the things it does in order to help me.</t>
  </si>
  <si>
    <t>I don't know if I understood the question.</t>
  </si>
  <si>
    <t>To check on the accounts listed and if I want to purge any or adjust the permissions.</t>
  </si>
  <si>
    <t>A fast delete button/express removal</t>
  </si>
  <si>
    <t>I would make sure that only apps I've given permission to and regularly use have access to my account.</t>
  </si>
  <si>
    <t>To see what kinds of information the app is using.</t>
  </si>
  <si>
    <t>I don't remember granting access and they have access to my photos.</t>
  </si>
  <si>
    <t>I don't use it anymore and they still have access to my photos.</t>
  </si>
  <si>
    <t>They may be selling my personal information.</t>
  </si>
  <si>
    <t>I will limit access to only apps I use on a regular basis.</t>
  </si>
  <si>
    <t>Notifications to review periodically.</t>
  </si>
  <si>
    <t>I wonder if Dropbox does anything with my contacts besides make predictions about who I would like to share my Dropbox folders with. For example, are they keeping a list of people whose contacts use Dropbox so they can potentially target them via advertising?</t>
  </si>
  <si>
    <t>I think it would be useful for them to show when I last used an app and when the app last used my data, to see if the app is using my data even when I have not used the app in a while.</t>
  </si>
  <si>
    <t>I might would like to dial down the "personal info" but everything else is standard.</t>
  </si>
  <si>
    <t>I don't remember authorizing this, so I don't know what this is. I doubt its malicious but I would like to remove it.</t>
  </si>
  <si>
    <t>Dropbox shouldn't need my contacts. I think it's to find other users, but still, it's not needed.</t>
  </si>
  <si>
    <t>I would delete and change the apps that have access to my google account.</t>
  </si>
  <si>
    <t>Apps I don't remember authorizing or apps I don't use anymore.</t>
  </si>
  <si>
    <t>N/A</t>
  </si>
  <si>
    <t>I don't have any concerns.</t>
  </si>
  <si>
    <t>I don't use it at all so I don't really care. The access date is wrong though, it's been connected to the account for years.</t>
  </si>
  <si>
    <t>I don't really have any concerns. It only has access to my email, and I have 2FA enabled anyways.</t>
  </si>
  <si>
    <t>I'd remove the apps I'm not using</t>
  </si>
  <si>
    <t>Apps that I haven't used in a while</t>
  </si>
  <si>
    <t>App filtering by date installed/authorized</t>
  </si>
  <si>
    <t>To see if any accounts that I don't remember authorizing show up</t>
  </si>
  <si>
    <t>Not sure</t>
  </si>
  <si>
    <t>I would not allow them access to anything if possible.</t>
  </si>
  <si>
    <t>What apps have access to what. I do not want my personal info on the web.</t>
  </si>
  <si>
    <t>Disable which apps have access to what.</t>
  </si>
  <si>
    <t>I would revoke account access from all the apps that have access.</t>
  </si>
  <si>
    <t>To see if any suspicious apps are using my data.</t>
  </si>
  <si>
    <t>Quick delete any apps that have access.</t>
  </si>
  <si>
    <t>This is a keyboard that I use for my phone so it makes sense that it knows my email. I am concerned that the app can see information that it doesn't need to see.</t>
  </si>
  <si>
    <t>I no longer have this application so I am not sure why it needs these permissions.</t>
  </si>
  <si>
    <t>A part of me wonders why it needs permission to access my Google Drive. I can see myself using this function if I need to link something to someone I am messaging.</t>
  </si>
  <si>
    <t>I would definitely remove many of the apps that I do not use anymore. They absolutely do not need to be linked to my Google account anymore. Even while using the app I feel that it did not need that access.</t>
  </si>
  <si>
    <t>I would look to see if there are the same or more apps that have more permission to my account. I would like to remove them as I will after this survey.</t>
  </si>
  <si>
    <t>None that II can think of.</t>
  </si>
  <si>
    <t>I use slack because it gives me access to work, but it never occurred to me that using Slack would open up access to things not relevant to why I am there.</t>
  </si>
  <si>
    <t>There are apps I do not use and do not recall allowing access to my google account</t>
  </si>
  <si>
    <t>I would look for apps I was not aware had access to my google account</t>
  </si>
  <si>
    <t>easy delete or block button ... notice of access</t>
  </si>
  <si>
    <t>What type of access apps/websites have. For example mine are all Basic Account information but I know they can request access to most parts of my device and account.</t>
  </si>
  <si>
    <t>The option to immediately disconnect all of an app's access and a report feature if something seems shady or intrusive.</t>
  </si>
  <si>
    <t>I was unaware these permissions were still on the app as I've deleted the app. I wonder how common that is? That's my concern here.</t>
  </si>
  <si>
    <t>It seems like a lot of access to my account and I don't know why they're necessary for use of the Rakuten cashback program.</t>
  </si>
  <si>
    <t>I don't know what aspects of Google Fit could be used for other parts of Google. Otherwise, I have no concern.</t>
  </si>
  <si>
    <t>Remove settings I don't feel are needed for individual apps.</t>
  </si>
  <si>
    <t>Make sure there aren't excess permissions for apps I'm using.</t>
  </si>
  <si>
    <t>Any sort of insight into why the apps have the permissions they have. Being able to sort by type(s) of permissions would also be great.</t>
  </si>
  <si>
    <t>I don't know if macOS would sell my data to anyone without my permission.</t>
  </si>
  <si>
    <t>What apps i've given permissions to and what data they can access</t>
  </si>
  <si>
    <t>If I had accidentally given permission to any apps and didn't revoke it afterwards</t>
  </si>
  <si>
    <t>The list of apps and sites that are linked in some way but don't have direct access</t>
  </si>
  <si>
    <t>I have no concern, my whatsApp messenger is very secure</t>
  </si>
  <si>
    <t>i will look to see if its more secured</t>
  </si>
  <si>
    <t>ability to log in and access easily</t>
  </si>
  <si>
    <t>I am pleased with my settings so far, but always feel I need to remain diligent so that my privacy does not become compromised. As such, I plan on removing Apps should they link to my account.</t>
  </si>
  <si>
    <t>I would look at which Apps I have granted access, and change them accordingly. I am already prone to removing Apps from my account permissions, so it is more so me staying on top of things.</t>
  </si>
  <si>
    <t>I would like the ability to temporarily block certain App access, or schedule them to only have access within certain times.</t>
  </si>
  <si>
    <t>Google is sketchy, but I need this to do programming stuff.</t>
  </si>
  <si>
    <t>I don't like that my previous movies and history are used for targeted ads.</t>
  </si>
  <si>
    <t>Anything unnecessary. Any possible breaches of security.</t>
  </si>
  <si>
    <t>Maybe just some more specific icos for the labels. I like the layout otherwise.</t>
  </si>
  <si>
    <t>My data and digital footsteps can be viewed.</t>
  </si>
  <si>
    <t>my data can be stolen and used</t>
  </si>
  <si>
    <t>I'd like to secure my data supplied to Google.</t>
  </si>
  <si>
    <t>There is an app that has access to my account that I didn't realize it did. I will probably remove that app's access as I don't use it and don't feel comfortable allowing it access.</t>
  </si>
  <si>
    <t>I would like if it was easier to find the page in the first place or make it more prominent because I'm not even sure I know how to get to it. I'd also like to know how and what exactly these apps do with the information they get about me.</t>
  </si>
  <si>
    <t>I would delete the app that I don't access so often anymore, so they won't have access to my google account.</t>
  </si>
  <si>
    <t>I will see which apps that I give permission to access my google account and then, if needed, I will delete some apps that I don't use anymore.</t>
  </si>
  <si>
    <t>None that I can think of.</t>
  </si>
  <si>
    <t>Not sure, daughter downloads games on shared tablet.</t>
  </si>
  <si>
    <t>Not concerned for YouTubeTV.</t>
  </si>
  <si>
    <t>I wish no real access was required.</t>
  </si>
  <si>
    <t>If they actually get used anymore.</t>
  </si>
  <si>
    <t>Not sure.</t>
  </si>
  <si>
    <t>I didn't think I ever installed anything from similarweb.</t>
  </si>
  <si>
    <t>Anything can get hacked.</t>
  </si>
  <si>
    <t>I would removed access.</t>
  </si>
  <si>
    <t>I would eliminate access to those accounts that I don't use anymore and I would make sure all access is limited</t>
  </si>
  <si>
    <t>Which apps are allowed and how much access they are allowed</t>
  </si>
  <si>
    <t>It might be nice if access was automatically removed after a period of time if the app had not been used.</t>
  </si>
  <si>
    <t>This is some junk game that was downloaded with Cashmagnet.</t>
  </si>
  <si>
    <t>I think it needs those permissions in order to pass through to my Gmail.</t>
  </si>
  <si>
    <t>I would revoke permissions for many of these apps. I do not use many of them.</t>
  </si>
  <si>
    <t>I would look to see if the app is still useful. If not I would remove permissions for those apps.</t>
  </si>
  <si>
    <t>I don't know.</t>
  </si>
  <si>
    <t>I have no concerns about Clash Royale.</t>
  </si>
  <si>
    <t>I trust the app, but it is still unsettling to know that they hold such information about me.</t>
  </si>
  <si>
    <t>I do not use Windows to this extent, so Windows holding these permissions has no upside and only downsides for me.</t>
  </si>
  <si>
    <t>I would remove old apps that I no longer use.</t>
  </si>
  <si>
    <t>See if any permissions have changed, or if I still wish to have some apps connected to my account.</t>
  </si>
  <si>
    <t>Change permissions from the page itself. Also set some permissions you would like to never share.</t>
  </si>
  <si>
    <t>I would likely remove some of the apps that I no longer use or are no longer relevant to me.</t>
  </si>
  <si>
    <t>I would check to see if I've used any of the apps recently (like, within the past 3 months or so), if not then I would delete their access to my account.</t>
  </si>
  <si>
    <t>I can't think of any new features that would improve it. I think it's an extremely helpful tool already. Easy to access, navigate, and understand.</t>
  </si>
  <si>
    <t>I have none, it was just for signing leases in Austin.</t>
  </si>
  <si>
    <t>I have none, it is just from logging into youtube on my ps4.</t>
  </si>
  <si>
    <t>Things I don't remember authorizing to use my account.</t>
  </si>
  <si>
    <t>I can't think of any.</t>
  </si>
  <si>
    <t>What they can do with my YouTube account information</t>
  </si>
  <si>
    <t>The ability to see which data they have accessed or kept from me.</t>
  </si>
  <si>
    <t>My concerns are no more, really, than what I feel for other apps that (presumably) hold, at least, millions of dollars of consumer money.
 Even if I don't like this particular app itself, I'm going to try not to conflate my feelings for it, to being statements-of-fact of its overall operations.
 Even if I did.. ..what can I—a plebeian—, by myself, do against that which is backed by so much money and, likely, by so many people who, from what I gather, value profit over people?</t>
  </si>
  <si>
    <t>I don't feel any particular concerns about Windows.
 Again: even if I did..
 ..What exactly can I do about it? At this point this platform is already deeply integrated into my life.
 :-)</t>
  </si>
  <si>
    <t>Not so much the app itself, but the people behind the app.
 They haven't proven to be the most scrupulous of people.</t>
  </si>
  <si>
    <t>I will change what apps have access to what settings.</t>
  </si>
  <si>
    <t>I'll look for other apps which I am not using anymore!</t>
  </si>
  <si>
    <t>I never really put any thought into that.. ..Nothing comes to mind!</t>
  </si>
  <si>
    <t>What kind of information they have access to</t>
  </si>
  <si>
    <t>How long the app has had access to my account</t>
  </si>
  <si>
    <t>The storage access for the app</t>
  </si>
  <si>
    <t>The privacy level</t>
  </si>
  <si>
    <t>The location which the app will be operating from</t>
  </si>
  <si>
    <t>I don't have any concerns with Coin Dozer - Free Prizes having this permission.</t>
  </si>
  <si>
    <t>While I don't like giving CameraFi Live any permissions, I wouldn't be able to use their app otherwise. I like using it so I will continue giving it permission in the future.</t>
  </si>
  <si>
    <t>I don't have any concern of Yahoo! having these permissions as it is beneficial for me to have Yahoo! manage my Google side of things, too.</t>
  </si>
  <si>
    <t>This survey made me realize I need to review this setting more often. I would make sure the app(s) is/are something that I am still using. If not, then I would need to remove the permissions and uninstall the app(s).</t>
  </si>
  <si>
    <t>It is good as is. It has a sleek design and you can click on each app to expand for more details. I would not add or remove anything.</t>
  </si>
  <si>
    <t>No concerns</t>
  </si>
  <si>
    <t>Since i no longer use the app, there's no need of keeping my details attached to it</t>
  </si>
  <si>
    <t>My concern is about windows being able to read my emails</t>
  </si>
  <si>
    <t>I would change most apps that have access to my account</t>
  </si>
  <si>
    <t>Privacy concerns</t>
  </si>
  <si>
    <t>I don't know what Shop is, I have never used it. The app is probably using my data for targeted ads without my (current) permission.</t>
  </si>
  <si>
    <t>I will be removing Shop from access.</t>
  </si>
  <si>
    <t>I will look to see if I have given any other apps access.</t>
  </si>
  <si>
    <t>Nothing that I can think of.</t>
  </si>
  <si>
    <t>none to be honest</t>
  </si>
  <si>
    <t>I don't want Lumin app because I don't use it.</t>
  </si>
  <si>
    <t>I rarely use Dropbox and want to get rid of it.</t>
  </si>
  <si>
    <t>I don't want the a[[ to edit or delete anything.</t>
  </si>
  <si>
    <t>I will delete apps I don't use and change user names for apps I do use.</t>
  </si>
  <si>
    <t>Make sure I haven't use my gmail account for any apps by mistake.</t>
  </si>
  <si>
    <t>NA</t>
  </si>
  <si>
    <t>I think game apps in general shouldn't need a lot of info or permission from my account. Intrusive if it had ask for more info.</t>
  </si>
  <si>
    <t>Maybe a more detailed page of what the app is using from my account.</t>
  </si>
  <si>
    <t>None really. I was aware of this all along.</t>
  </si>
  <si>
    <t>Nothing really. I think it's pretty useful and straightforward.</t>
  </si>
  <si>
    <t>None I can think of.</t>
  </si>
  <si>
    <t>I dont want them having access to my personal information.</t>
  </si>
  <si>
    <t>I dont know what they would need this information for.</t>
  </si>
  <si>
    <t>What information they have access to.</t>
  </si>
  <si>
    <t>Easy to remove.</t>
  </si>
  <si>
    <t>I dont like it ahving full access to my drive files</t>
  </si>
  <si>
    <t>no concerns (As long as they dont get hacked ofc)</t>
  </si>
  <si>
    <t>remove powerdirector</t>
  </si>
  <si>
    <t>new services</t>
  </si>
  <si>
    <t>not certain</t>
  </si>
  <si>
    <t>cannot think of any off hand</t>
  </si>
  <si>
    <t>I'm mostly concerned about Rakuten reading emails that aren't relevant to what the app is trying to do.</t>
  </si>
  <si>
    <t>I don't have any concerns about this because it allows the app to function as I need.</t>
  </si>
  <si>
    <t>I can't go back in the survey. Earlier I said I didn't remember what this was, but now I see it's just my email linked to my Macbook. I'm not very concerned about it because the information is still staying on my computer as far as I know. It's something I've never questioned.</t>
  </si>
  <si>
    <t>I would delete some of the apps that I don't use regularly.</t>
  </si>
  <si>
    <t>I would look for only keeping the apps I think are necessary for my daily uses.</t>
  </si>
  <si>
    <t>I can't think of any features I'd add.</t>
  </si>
  <si>
    <t>I'm not sure how this application would manipulate my account given it has full access</t>
  </si>
  <si>
    <t>I would change which apps are connected to my account by removing a few</t>
  </si>
  <si>
    <t>It's good to know what apps have access to my Google stuff. As time passes, I forget about some apps. So every once in a while, it's good to look through to see if I need to remove an app.</t>
  </si>
  <si>
    <t>n/a</t>
  </si>
  <si>
    <t>I was not really aware that it had access to basic account info, so I do have some concerns about that in if it sells that data or if ZIP Extractor gets hacked in some way. But it also feels like every "app" has to have permission to access basic account info if it wants to function appropriately.</t>
  </si>
  <si>
    <t>I may want to change permission access for the apps that I am not currently using or did on a whim such as Clubhouse or Ebay, and only really keep permission for apps that I have a foreseeable future in legitimately needing for various projects.</t>
  </si>
  <si>
    <t>I would just make sure that there aren't any random third party apps that I may have accidentally authorized, especially because at this time I am on my computer so often using various extensions and services.</t>
  </si>
  <si>
    <t>Some new features that could be added is a breakdown of what specific data the app currently has that is used or is using, alerts on apps that were added that could be prone to vulnerability, and also the number of times/when I signed in to the Google Apps.</t>
  </si>
  <si>
    <t>Why does WiseStamp need to know my information? This does not make sense for what the extension is for.</t>
  </si>
  <si>
    <t>Why does it need to connection my information on google through Windows? This is just my computer software.</t>
  </si>
  <si>
    <t>I do not understand canvas being able to delete files. Can that happen without it notifying me?</t>
  </si>
  <si>
    <t>Distinguishing between apps that act alone vs. ones that need to ask for your permission to do things.</t>
  </si>
  <si>
    <t>I'm slightly concerned that they could read some of my emails which might have confidential info.</t>
  </si>
  <si>
    <t>I honestly don't remember what this service is for, which is the most concerning part.</t>
  </si>
  <si>
    <t>I didn't know that they could see and download my contacts. That is a bit concerning because I don't know what they do with that data.</t>
  </si>
  <si>
    <t>I would probably remove access from some sites that I don't really use anymore.</t>
  </si>
  <si>
    <t>I would check what the apps have access to and decide if it's worth keeping.</t>
  </si>
  <si>
    <t>A way to remove or change what they access to.</t>
  </si>
  <si>
    <t>I do not have any concerns.</t>
  </si>
  <si>
    <t>None.</t>
  </si>
  <si>
    <t>Truly, I do not remember installing Gleam. I usually check back to make sure nothing has been installed / been given permission for my Google accounts every so often, and it seems this one got in between the last time I checked. After this, I'm likely going to check out Gleam to see what it's purpose is, to either jog my memory or to delete permanently.</t>
  </si>
  <si>
    <t>I trust the macOS integration to be up to snuff.</t>
  </si>
  <si>
    <t>As with any app that requires having access to send emails, I'm always worried about something unauthorized being sent. That being said, I've been using Boomerang for years and haven't noticed anything awry, so I'm not too concerned at this point.</t>
  </si>
  <si>
    <t>I will likely vet Glean to decided if I'll keep it or discard it.</t>
  </si>
  <si>
    <t>To make sure I remember authorizing any app with permission, and that it's in continued use.</t>
  </si>
  <si>
    <t>I would like to see the last time one of these permissions was used. (i.e a "Last used x days ago" or "[app] performed [activity that requires permission] x days ago").</t>
  </si>
  <si>
    <t>I doesn't need to see anything from my Google account</t>
  </si>
  <si>
    <t>It doesn't need to see my calendar.</t>
  </si>
  <si>
    <t>All of them</t>
  </si>
  <si>
    <t>don't know</t>
  </si>
  <si>
    <t>NOne</t>
  </si>
  <si>
    <t>Make sure everything is the way its supposed to be</t>
  </si>
  <si>
    <t>Probably none</t>
  </si>
  <si>
    <t>I don't think that Lumin PDF needs to see my data, given that the program is only used for editing PDF files. I'm not very concerned overall about the data it has access to, but I do feel as though it shouldn't need some of the data it has.</t>
  </si>
  <si>
    <t>I'm a little worried that if something were to happen where LG Email gets hacked or there's a security breach that they could send emails from my account, but that seems pretty unlikely and so I think it's worth the risk given how much more convenient it makes things.</t>
  </si>
  <si>
    <t>I would remove Lumin PDF from my account altogether, as I no longer use the program.</t>
  </si>
  <si>
    <t>I can't really think of any features I would want added. All the information I can think I'd want is there already.</t>
  </si>
  <si>
    <t>I would take some of the Apps with Access off. The ones I clearly don't use, I would want to go away.</t>
  </si>
  <si>
    <t>Less Apps with Access to my google drive.</t>
  </si>
  <si>
    <t>An option to have even more detail of what was exactly being accessed.</t>
  </si>
  <si>
    <t>not really. I realized after answering questions about it, what it was.</t>
  </si>
  <si>
    <t>none, most games have these conditions for google play.</t>
  </si>
  <si>
    <t>Read compose send and permanently delete all your email from gmailjQuery3510829273208396826_1618308888071 really??</t>
  </si>
  <si>
    <t>what actual access these apps have to my accounts.</t>
  </si>
  <si>
    <t>I don't see why it would need those permissions.</t>
  </si>
  <si>
    <t>This app only needs my email to log into it, nothing more.</t>
  </si>
  <si>
    <t>I don't know how long they keep this data.</t>
  </si>
  <si>
    <t>I would make my setting more private and harder to gain access by third party apps.</t>
  </si>
  <si>
    <t>What apps are using personal information instead of just my email address.</t>
  </si>
  <si>
    <t>not sure at the moment</t>
  </si>
  <si>
    <t>I generally dislike anyone, including Google, having so much access to my information.</t>
  </si>
  <si>
    <t>a listing of when access was given and when it was last used</t>
  </si>
  <si>
    <t>I would like to know why PlayStation Network needs to see my primary email address or needs to see my personal information. For example, if I enter a credit card, PlayStation Network can see it and I'm not sure if that's safe.</t>
  </si>
  <si>
    <t>I would change third-party apps seeing my personal information.</t>
  </si>
  <si>
    <t>I would look for all the things that third-party apps can access from me.</t>
  </si>
  <si>
    <t>I have none, but I don't need it anymore as I've done what I needed to do with it.</t>
  </si>
  <si>
    <t>I don't really have none. I trust Samsung even though I switched from Samsung to Google Pixel.</t>
  </si>
  <si>
    <t>I have none as the permissions it has are what I use IFTTT for.</t>
  </si>
  <si>
    <t>Being able to remove permissions from the list or to have more detail about what each permission needs, like to access pictures--why?</t>
  </si>
  <si>
    <t>I don't look at the page enough to have any meaningful suggestions</t>
  </si>
  <si>
    <t>It's a google product using my google account. My concern is low for the app needing this level of permission.</t>
  </si>
  <si>
    <t>While I do have reservations over Rakuten having access to my inbox, they also have not seemingly betrayed my trust up to this point.</t>
  </si>
  <si>
    <t>I'm slightly concerned about the data profile Samsung may be building on me. But I have many Samsung devices and understand that unifying the data may be a benefit to my experience.</t>
  </si>
  <si>
    <t>I would look to confirm that all apps that have access are apps I still engage with.</t>
  </si>
  <si>
    <t>Can't really think of any at the moment.</t>
  </si>
  <si>
    <t>Its a google company so...</t>
  </si>
  <si>
    <t>Any changes that have been made and any apps that I did not authorize.</t>
  </si>
  <si>
    <t>Push notifications if something changes.</t>
  </si>
  <si>
    <t>Some are apps that I only wanted for a moment or 2 and so I would totally disallow access or delete those apps. I usually am careful about minimizing the information I allow an app to see and many times do not even install it if it seems too bad.</t>
  </si>
  <si>
    <t>See if any new apps were linked that I forgot about. I would look at all the privacy settings like my contacts</t>
  </si>
  <si>
    <t>Possibly highlight certain Apps or services that are known to cause issues.</t>
  </si>
  <si>
    <t>will i be able to delete my information permanently off here.</t>
  </si>
  <si>
    <t>N/A.</t>
  </si>
  <si>
    <t>Don't have any concerns</t>
  </si>
  <si>
    <t>If there is anything that has access that I do not remember giving</t>
  </si>
  <si>
    <t>Edit button to change preferences directly</t>
  </si>
  <si>
    <t>dont use this so i dont need this</t>
  </si>
  <si>
    <t>dont use this app so dont need it</t>
  </si>
  <si>
    <t>delete them all</t>
  </si>
  <si>
    <t>any unautorized access</t>
  </si>
  <si>
    <t>I have no concerns, the app just isn't relevant to my life any longer so I plan to remove it.</t>
  </si>
  <si>
    <t>None, I believe that for Route to work properly and help me as much as it does it is necessary for it to have access to my e-mails. I don't know what it needs my publicly available info for, but I made it publicly available so I'm not concerned.</t>
  </si>
  <si>
    <t>I would just delete a couple things that aren't relevant any longer.</t>
  </si>
  <si>
    <t>I would look to see if anything "snuck in". If i accidentally granted access to anything I didn't mean to or review whether or not all apps with access were relevent.</t>
  </si>
  <si>
    <t>I can't think of any right now. Maybe how they got access, more specific than "you gave it to them". A couple of these I know I used their website but don't remember giving them access to anything.</t>
  </si>
  <si>
    <t>I could care less.</t>
  </si>
  <si>
    <t>I don't see myself ever visiting the page again, so I think it's fine as is.</t>
  </si>
  <si>
    <t>There is potential for my info to be used improperly, especially if Route is hacked.</t>
  </si>
  <si>
    <t>Ways to alter what permissions have been given.</t>
  </si>
  <si>
    <t>I would review which apps have access and restrict those I don't use often or didn't know had access to my google account</t>
  </si>
  <si>
    <t>Specifically which apps are using my google account login and how long they've had access</t>
  </si>
  <si>
    <t>How often my data was accessed</t>
  </si>
  <si>
    <t>Date added, last used</t>
  </si>
  <si>
    <t>when permission was given</t>
  </si>
  <si>
    <t>who is able to see my accounts</t>
  </si>
  <si>
    <t>when it was last used or accessed</t>
  </si>
  <si>
    <t>Only concern would be clash of clans deleting or being unable to update properly.</t>
  </si>
  <si>
    <t>Google needs to access youtube so the only concern would be someone having access to my youtube viewing or rentals.</t>
  </si>
  <si>
    <t>If any new Apps use Google access and if any permissions have changed.</t>
  </si>
  <si>
    <t>be able to set a reviewal schedule</t>
  </si>
  <si>
    <t>What kind of access each app has, and any new apps that I may have added in the meantime.</t>
  </si>
  <si>
    <t>Maybe the date they were originally added.</t>
  </si>
  <si>
    <t>I don't have any other concerns about TpT accessing my account. It's very trustworthy.</t>
  </si>
  <si>
    <t>I don't like any app having my personal information. I want to know what they do with it.</t>
  </si>
  <si>
    <t>I think that they have asked for more information than they need for the app to run and what are they doing with that information?</t>
  </si>
  <si>
    <t>To see which apps have access and if there are any that I don't use anymore than I would delete them.</t>
  </si>
  <si>
    <t>Seems logical and makes sense</t>
  </si>
  <si>
    <t>Seems fine?</t>
  </si>
  <si>
    <t>Really don't worry that much and its low risk if something does happen</t>
  </si>
  <si>
    <t>How and if and when the app used each permission</t>
  </si>
  <si>
    <t>It's a game, I don't have any major concerns.</t>
  </si>
  <si>
    <t>Not sure why it needs Google Drive access, it shouldn't be creating anything in there.</t>
  </si>
  <si>
    <t>I don't remember authorizing it, and I really don't think Quora should have access to my contacts for any reason.</t>
  </si>
  <si>
    <t>The ability to revoke permissions/unlink account with one click or uninstall apps.</t>
  </si>
  <si>
    <t>No Concerns</t>
  </si>
  <si>
    <t>Just unclear what they mean by associate me with my personal info</t>
  </si>
  <si>
    <t>I only needed canvas to have these permissions to upload assignments, but school just finished up for me, so at the moment I don't need it. I don't have any concerns with Canvas having these permissions</t>
  </si>
  <si>
    <t>I would make sure that the items I don't use anymore don't have access to my account or any part of it</t>
  </si>
  <si>
    <t>info on what these permissions mean, even if its a brief description with examples</t>
  </si>
  <si>
    <t>I have no concerns because these are necessary in order to provide me with full use of my Mac</t>
  </si>
  <si>
    <t>Which apps are using my account</t>
  </si>
  <si>
    <t>Sort them by permissions granted</t>
  </si>
  <si>
    <t>Applications and/or third party websites that I no longer use or need. I would remove the inactive websites/services from that list as I do not need my account to link to something that is no longer in my use.</t>
  </si>
  <si>
    <t>Possibly the ability to add a reminder. Like, "Remind me 6 months" to check the list of apps with access to my account.</t>
  </si>
  <si>
    <t>To see if any new ones have been added</t>
  </si>
  <si>
    <t>Have them listed in order of date added</t>
  </si>
  <si>
    <t>I'm afraid a data leak might happen and other people outside of Windows might get their hands on my info.</t>
  </si>
  <si>
    <t>I would like access to terms and conditions and an opt out option.</t>
  </si>
  <si>
    <t>I have this app as a convenience and luxury. This app would seem to lend itself to more marketing and tracking my behavior.</t>
  </si>
  <si>
    <t>I have a concern they will track my data from this app and sell services and ads based on it. I'm concerned they monitor my activity on it.</t>
  </si>
  <si>
    <t>I would want to know what third party data is used and potentially being marketed.</t>
  </si>
  <si>
    <t>I would want to review my privacy disclosures.</t>
  </si>
  <si>
    <t>Who owns the app as in what company.</t>
  </si>
  <si>
    <t>I don't want them selling my data.</t>
  </si>
  <si>
    <t>I do not like that they can compose and delete my emails.</t>
  </si>
  <si>
    <t>I might remove some of the Apps with access to my account.</t>
  </si>
  <si>
    <t>I will look fro all of the Apps that have access and delete them if necessary.</t>
  </si>
  <si>
    <t>I would disable some permissions I didn't realize some apps had, or revoke some permissions entirely.</t>
  </si>
  <si>
    <t>What Apps I no longer use or don't want access anymore, and that I can "trim" or revoke access for.</t>
  </si>
  <si>
    <t>A "quick button" on each one that would allow me to remove permissions without having to select and look at each App.</t>
  </si>
  <si>
    <t>To make sure all the services listed are ones I keep using and to delete anything I stopped using or no longer need.</t>
  </si>
  <si>
    <t>I would have a feature to temporarily grant access.</t>
  </si>
  <si>
    <t>I use this app to print my pictures so I guess they have to have access to my computer. I trust this site and don't worry to much about it. I just hope they don't sell my information.</t>
  </si>
  <si>
    <t>I don't really have concerns about this because this product is for Google. I trust Google so I am not really worried about any of these things.</t>
  </si>
  <si>
    <t>Why would they have access to my computer at all. I don't understand how they can delete my files, or put more information on my computer then I asked for. I really can't believe they can see my google drive files. There are things in there that are for me or my family.</t>
  </si>
  <si>
    <t>I don't think any app should be able to change or delete my files. Other then photo sites. I don't think anyone needs my family photos.</t>
  </si>
  <si>
    <t>What information they will need to get their app.</t>
  </si>
  <si>
    <t>I would like my Google nest to be able to remember more things about me. So my address, phone, birthdays ect.</t>
  </si>
  <si>
    <t>im not as concerned since i chose to put dropbox on and know i did.</t>
  </si>
  <si>
    <t>i guess cause i dont recall putting it on or using it. and the fact they can delete my contacts.</t>
  </si>
  <si>
    <t>at all the apps i have for unusual looking ones i dont recall .</t>
  </si>
  <si>
    <t>maybe a color code if they know of issues with certain apps, make them yellow or red with a blurb about issues that are known</t>
  </si>
  <si>
    <t>Since I don't play the game any longer, I don't want Family Island to have access.</t>
  </si>
  <si>
    <t>I have no idea why this has access to my info so I am concerned.</t>
  </si>
  <si>
    <t>I really don't have any concerns.</t>
  </si>
  <si>
    <t>I would remove access for some of the apps.</t>
  </si>
  <si>
    <t>To see which apps I am no longer using.</t>
  </si>
  <si>
    <t>Not sure. I don' tknow enough about it currently.</t>
  </si>
  <si>
    <t>Dont really have any</t>
  </si>
  <si>
    <t>Don't really have any</t>
  </si>
  <si>
    <t>Seems weird that they have the ability to delete so much, why do they need that ability?</t>
  </si>
  <si>
    <t>Can't think of anything</t>
  </si>
  <si>
    <t>I am concerned because I am not quite sure Paribus wants the authority to send emails on my behalf, especially since I believe it is not necessary for the service they provide. The viewing email messages/settings also is concerning because this third party only has some relevant emails, and I am not sure if they can see unrelated emails.</t>
  </si>
  <si>
    <t>I have concerns about macOS viewing anything I write, but I think it is essential because it is the main operating system I use. Personally, I don't have much sensitive information on my accounts, so the convenience outweighs the costs that could happen with privacy issues.</t>
  </si>
  <si>
    <t>I would revoke access from a few accounts that I do not use as much, such as Paribus.</t>
  </si>
  <si>
    <t>I would look to see if I accidentally signed on for access to apps that I don't use anymore, so that the convenience no longer outweighs the risks of having my data on so many sites.</t>
  </si>
  <si>
    <t>I would like to add an easy way to set limits on how long an app had access, and perhaps a note that shows the last time you logged into/used the service.</t>
  </si>
  <si>
    <t>I'm unsure what my data is being used for and who it's being sent to</t>
  </si>
  <si>
    <t>Arch Linux Chromium account access</t>
  </si>
  <si>
    <t>If any apps have full account access, particularly that I don't remember authorizing</t>
  </si>
  <si>
    <t>trying to see wat they need access to and why</t>
  </si>
  <si>
    <t>transparency what the apps need access for</t>
  </si>
  <si>
    <t>it is good the way it is now</t>
  </si>
  <si>
    <t>i do not have any concern no matter how little.</t>
  </si>
  <si>
    <t>More security details</t>
  </si>
  <si>
    <t>I realize what this is now, this is so I can have access to my Gmail account on Microsoft Outlook, so I'm ok with it, I just don't know why it needs personal data, etc.</t>
  </si>
  <si>
    <t>I am not sure I want to be associated with my personal information, the information in the survey is vague, so it may be a non-issue.</t>
  </si>
  <si>
    <t>It would help to know why certain permissions are required, but I don't have any huge concerns. We have to allow access or the app won't work, the consumer doesn't have a choice.</t>
  </si>
  <si>
    <t>It would be nice to be reminded to check this say every 3 months or 6 months. Kind of like the password check-up.</t>
  </si>
  <si>
    <t>The one that is not Yahoo. I do not use the app so will detete it and the access to Google</t>
  </si>
  <si>
    <t>If something is in the list that I did not realize I was adding.</t>
  </si>
  <si>
    <t>I am concerned that Doodle can get this info since it is a website that I never use.</t>
  </si>
  <si>
    <t>I have none.</t>
  </si>
  <si>
    <t>I don't like knowing Yahoo can delete all of my files.</t>
  </si>
  <si>
    <t>I would change it so that I know which sites have access to my account and what they could when they have access.</t>
  </si>
  <si>
    <t>no concerns really. ive used it for years and have had no problems with it.</t>
  </si>
  <si>
    <t>im just surprised that its been on my account for so long and i didnt even realize it. i dont do much on youtube so i dont know how much it has truly affected my account, however, it is a little concerning they could do something if they wished. im not sure how far the access can go</t>
  </si>
  <si>
    <t>i would just change the apps i no longer want to have access</t>
  </si>
  <si>
    <t>if there are more apps that i didnt realize got access</t>
  </si>
  <si>
    <t>which app accesses your account the most, suggestions on deletions like how they suggest which emails to unsubscribe from in gmail</t>
  </si>
  <si>
    <t>I would look to see if any new apps have been added and whether or not I remember giving them access. I would also look at all of the apps and see if there were any that I no longer use that can be removed.</t>
  </si>
  <si>
    <t>I'm content with the features currently available on this page.</t>
  </si>
  <si>
    <t>To see what has changed, or if I want to change settings on some of the websites I no longer use/etc</t>
  </si>
  <si>
    <t>I can't think of anything in particular, maybe more personalization?</t>
  </si>
  <si>
    <t>This was for a major purchase so I understand them needing it, I just don't like the idea of it possibly being leaked.</t>
  </si>
  <si>
    <t>Again, just don't like the idea being of info being leaked somehow</t>
  </si>
  <si>
    <t>That maybe it has access to something it shouldnt</t>
  </si>
  <si>
    <t>If ive added anything or dont need anything any longer</t>
  </si>
  <si>
    <t>I would remove sharing permissions for some apps</t>
  </si>
  <si>
    <t>Nothing</t>
  </si>
  <si>
    <t>I'm relatively fine with the permissions this app has. It mentions only specific files used in the app, so it's not even full access it seems.</t>
  </si>
  <si>
    <t>It doesn't need to see my emails in my opinion for the app to function.</t>
  </si>
  <si>
    <t>It doesn't need to compose or delete emails really. This could affect me quite a bit if Unroll.me decided to exercise the permissions.</t>
  </si>
  <si>
    <t>Just to see if any new apps have access to my account.</t>
  </si>
  <si>
    <t>Button to easily delete apps from accessing account maybe, although it's not strictly needed.</t>
  </si>
  <si>
    <t>I don't know what Kappwing or whatever it was is or why it has access. I will remove it</t>
  </si>
  <si>
    <t>Apps/sites that I don't use very often.</t>
  </si>
  <si>
    <t>Description of what the app is</t>
  </si>
  <si>
    <t>I wish it would remind me to review it periodically.</t>
  </si>
  <si>
    <t>I don't want them to delete anything.</t>
  </si>
  <si>
    <t>I would see if anything changed.</t>
  </si>
  <si>
    <t>there should be no need for this app to send messages</t>
  </si>
  <si>
    <t>no concerns</t>
  </si>
  <si>
    <t>i would remove both apps entirely</t>
  </si>
  <si>
    <t>any new apps that i don't use after installing</t>
  </si>
  <si>
    <t>easy way to click and remove</t>
  </si>
  <si>
    <t>I would delete a few and probably change some that have more access than is necessary for their function.</t>
  </si>
  <si>
    <t>Any apps that I don't use anymore or if there are changes</t>
  </si>
  <si>
    <t>Better explanations</t>
  </si>
  <si>
    <t>I like remaining anonymous when possible, but all of these functions help my productivity and workflow in Windows. I have basically no concerns over this.</t>
  </si>
  <si>
    <t>Considering that this was a single player game I downloaded on a whim, I am not comfortable with the amount of access they have to my account.</t>
  </si>
  <si>
    <t>I am only concerned about the very slight possibility that this app will try to access other parts of my account without notifying me beforehand. However, that chance is extremely slim.</t>
  </si>
  <si>
    <t>I am going to completely remove access from the games that I no longer play, and I will be more careful giving access to apps on a whim.</t>
  </si>
  <si>
    <t>I am not comfortable with random games and apps being able to know my full name or other account details, so I will be on the lookout for any services that have access to that.</t>
  </si>
  <si>
    <t>Perhaps a more extensive view that precisely explains what exactly a service or app can see from my account.</t>
  </si>
  <si>
    <t>Just having the information out there is mildly concerning, you don't know who has access to it.</t>
  </si>
  <si>
    <t>I am mostly fine with Windows holding these permissions but being able to permanently delete all emails is a bit worrying.</t>
  </si>
  <si>
    <t>I am mostly fine with Samsung holding these permissions as I trust in it.</t>
  </si>
  <si>
    <t>Although Shop can be quite handy, being able to edit settings in your email and seeing all of my messages can be quite worrying.</t>
  </si>
  <si>
    <t>The permissions such as if any information can be altered and how trustworthy it is.</t>
  </si>
  <si>
    <t>Maybe when the apps were last used by the user would be good.</t>
  </si>
  <si>
    <t>I know that it needs to use fit data so I have no concerns.</t>
  </si>
  <si>
    <t>I am not sure why they would need my contacts.</t>
  </si>
  <si>
    <t>I would remove access to some apps.</t>
  </si>
  <si>
    <t>To see if any unexpected apps had access to my account and potentially get rid of them.</t>
  </si>
  <si>
    <t>None. Additional features would probably make it harder to use for no benefit.</t>
  </si>
  <si>
    <t>What apps I have added to the list.</t>
  </si>
  <si>
    <t>Nothing really.
 It's all pretty easy to use.</t>
  </si>
  <si>
    <t>I'll probably remove access to some I don't use anymore just to protect my information from any potential unwanted leaks.</t>
  </si>
  <si>
    <t>Any sort of risks or apps that I again may not use by then that I could remove access to.</t>
  </si>
  <si>
    <t>Maybe the ability to see when it was added next to the icon.</t>
  </si>
  <si>
    <t>I don't remember it asking me for permission to change my games activity so I'm not even sure what it is doing with that information.</t>
  </si>
  <si>
    <t>I just didn't remember giving permissions to this game to access my activity. So I'm not sure why they have my information or need to create edit or delete it.</t>
  </si>
  <si>
    <t>I'm not sure why it needs to know my basic account info. It is a game and it shouldn't care about my Google account email address. And It has been since 2019...so I don't even remember the installation.</t>
  </si>
  <si>
    <t>Last time the app was used. And the exact information that it is using. Not just generalization.</t>
  </si>
  <si>
    <t>I don't have a problem with this.</t>
  </si>
  <si>
    <t>I don't think it has too many permissions and nothing seems unreasonable, so I'm okay with this.</t>
  </si>
  <si>
    <t>I don't know why they would need to send emails but I think it might be so that I can refer other people to the site. Regardless, they shouldn't have the right to read my emails.</t>
  </si>
  <si>
    <t>I need to get rid of most of these apps because I only use a few of them.</t>
  </si>
  <si>
    <t>I would look for apps and games I no longer use.</t>
  </si>
  <si>
    <t>I can't think of any other features I'd need.</t>
  </si>
  <si>
    <t>A feature to remove access for any of these apps you no longer what to have access.</t>
  </si>
  <si>
    <t>I don't really know why they would need ALL personal info.</t>
  </si>
  <si>
    <t>I trust Windows, I have no concerns.</t>
  </si>
  <si>
    <t>None, I trust JBL.</t>
  </si>
  <si>
    <t>Maybe a rating on how sketchy each company is known to handle their info.</t>
  </si>
  <si>
    <t>Simply that the app will mess with something - a file - that it shouldn't be messing with. Otherwise, in order for the app to function as designed, it will need these permissions.</t>
  </si>
  <si>
    <t>I don't want it to have any access to my Google account as I no longer use this app but I don't know how to remove them.</t>
  </si>
  <si>
    <t>I am concerned the app will delete or edit files it should not be touching rather than just documents it is supposed to be interacting with.</t>
  </si>
  <si>
    <t>Remove all access for SmallPDF</t>
  </si>
  <si>
    <t>I would check to see whether any settings have changed since my most recent review and update any access by apps I do not want.</t>
  </si>
  <si>
    <t>Maybe a list of "how detailed is the access these apps have" - there is a large scale of degrees of access and the access one app needs for something isn't the same as another app, but there is only one degree listed; it's binary.</t>
  </si>
  <si>
    <t>I am concerned that the adidas Training app has access to all my email accounts, especially since I have removed the app from my phone and I don't see why the app still has to have these permissions.</t>
  </si>
  <si>
    <t>I don't see why it is necessary for CCleaner to have access to Google Drive. It does not really make sense to me, and I am concerned that it can delete files in my Google Drive account.</t>
  </si>
  <si>
    <t>I don't use eM Client for my Calendar tasks so I am a bit concerned that it has access to it. But I understand why that is because I could use eM Client for my Calendar taks even though I don't use it at this time. It does have to have access to the rest listed above and I am not concerned about those.</t>
  </si>
  <si>
    <t>I would remove certain apps from having access to my account. Especially those that don't really need to have access, for example the app that I removed from my phone.</t>
  </si>
  <si>
    <t>I would look for apps that I no longer use and if they still have access to my account and to what parts of my account.</t>
  </si>
  <si>
    <t>I would like a feature that allows me to easily remove certain apps from having access to my account.</t>
  </si>
  <si>
    <t>I will most likely remove access to some of those third parties and, for those that I keep, I will probably try to restrict their access to my personal information even further.</t>
  </si>
  <si>
    <t>I would look for any unexpected or new third parties and just make sure that all of them have very limited access to my personal information. I'd maybe continue to review this page over time to make sure nothing has changed.</t>
  </si>
  <si>
    <t>I think I would want to know exactly what kind of information those third parties have access to. Seeing that they can access all of my "public information" doesn't help me remember what information that includes - does it include my full name? Or birthday? Or photographs of me? I just feel a little uneducated about the whole situation, so I'm placing a lot of trust in something I know nothing about.</t>
  </si>
  <si>
    <t>i would remove wish from the listing as i don't use it</t>
  </si>
  <si>
    <t>i would review which apps i am using the most</t>
  </si>
  <si>
    <t>maybe a facts widget about privacy</t>
  </si>
  <si>
    <t>I don't have any concerns with windows holding these permissions.</t>
  </si>
  <si>
    <t>It might remove documents I don't want removed.</t>
  </si>
  <si>
    <t>To see if any apps have access that I do want to have access.</t>
  </si>
  <si>
    <t>no concerns. it just needs to be able to adjust things</t>
  </si>
  <si>
    <t>I'd like to see what all of my apps have access to.</t>
  </si>
  <si>
    <t>just to see if they have sneak updated anything</t>
  </si>
  <si>
    <t>none that i can think of.</t>
  </si>
  <si>
    <t>I don't know if I want them to be able to delete stuff from my Google Drive.</t>
  </si>
  <si>
    <t>I don't have any concerns about Quora holding these permissions because the things make Quora easier for me to use and I trust Quora.</t>
  </si>
  <si>
    <t>I would look for apps that I don't remember using and apps that are untrustworthy.</t>
  </si>
  <si>
    <t>There are none that I can think of.</t>
  </si>
  <si>
    <t>Old apps that I no longer use; analyze exactly what kind of access each app has in case I missed an access that I don't think the app needs; apps that I don't recognize;</t>
  </si>
  <si>
    <t>I'm not sure if it has it or not, but the ability to remove certain accesses that I don't think the app needs.</t>
  </si>
  <si>
    <t>See if things have changes and how many more apps are on there</t>
  </si>
  <si>
    <t>Approve permissions every X amount of days</t>
  </si>
  <si>
    <t>Less concerned about this company having these permission, I know they need my date of birth to deliver me wine.</t>
  </si>
  <si>
    <t>No, I gave these permissions so I can use other apps on my computer with my google account.</t>
  </si>
  <si>
    <t>They can act like they are me and send emails from my account. Sounds very unsecure.</t>
  </si>
  <si>
    <t>I would limit the amount of information different apps can view - especially with my personal information.</t>
  </si>
  <si>
    <t>Apps that I no longer use or apps that I am not familiar with.</t>
  </si>
  <si>
    <t>An easy way to remove access to my account.</t>
  </si>
  <si>
    <t>I don't feel sure they only see the files I use in whatsapp</t>
  </si>
  <si>
    <t>I wonder what personal info dropbox has exactly, and why they need it</t>
  </si>
  <si>
    <t>I would remove some apps I don't use often</t>
  </si>
  <si>
    <t>see if anything in the settings has changed, or any new apps are on there</t>
  </si>
  <si>
    <t>more information about how to tell if an app is trustworthy and why they need the personal info they collect</t>
  </si>
  <si>
    <t>Can't think of any necessary features.</t>
  </si>
  <si>
    <t>just makes me think of old worm emails that would get info about who you send and recieve emails from</t>
  </si>
  <si>
    <t>same asdragalia lost, it holds onto my save game for when i want to play the game or change phones</t>
  </si>
  <si>
    <t>i dont have concerns, its a game ive played for years, google play allows me to keep my play history and track achievements so i dont have to deal with transferring save data when i get a new phone</t>
  </si>
  <si>
    <t>remove apps that im unfamiliar with or dont use</t>
  </si>
  <si>
    <t>unused or unfamiliar extensions</t>
  </si>
  <si>
    <t>Nothing, I like that it's simple and not cluttered. It has everything it needs in my opinion</t>
  </si>
  <si>
    <t>I don't have any. I trust the service to keep my information secure.</t>
  </si>
  <si>
    <t>No specific concerns that I can think of.</t>
  </si>
  <si>
    <t>If the company gets hacked, someone can possibly delete my events and calendar settings.</t>
  </si>
  <si>
    <t>I'd like to remove services that I don't use anymore.</t>
  </si>
  <si>
    <t>Services that I don't use, as well as whether any changes have been made.</t>
  </si>
  <si>
    <t>Explanations provided by the services as to why they need the specific permissions they do.</t>
  </si>
  <si>
    <t>The ability to delete items on Google Drive is a bit strange, and I'm not sure why that is necessary.</t>
  </si>
  <si>
    <t>I'm still not sure why it would need to delete my play history?</t>
  </si>
  <si>
    <t>It's a little weird that it can delete Play Games activity, and it's not clear if it's restricted to just this one game.</t>
  </si>
  <si>
    <t>Apps that I don't use any more, maybe remove them.</t>
  </si>
  <si>
    <t>I think a history of when and what data was accessed would be nice.</t>
  </si>
  <si>
    <t>I'm not too concerned since I like being constantly updated with my deliveries</t>
  </si>
  <si>
    <t>Its a game I downloaded a long time ago and I didn't know it'd need access like that.</t>
  </si>
  <si>
    <t>I remember that whenever someone sent me an image or gif it would automatically save it onto my phone, so I'm a bit concerned about it.</t>
  </si>
  <si>
    <t>I would change settings that would increase security for any of my personal information.</t>
  </si>
  <si>
    <t>I would like to see things like what things these apps have access to or just whenever I last used them</t>
  </si>
  <si>
    <t>Just saying information about what apps have access to what or whenever I last used it.</t>
  </si>
  <si>
    <t>I would periodically review my settings to make sure apps that have access to my account are still needed.</t>
  </si>
  <si>
    <t>If the app that have access to my account, is something I will continue to use in the future.</t>
  </si>
  <si>
    <t>I would like to know when was the last time I accessed the app</t>
  </si>
  <si>
    <t>I have no concerns</t>
  </si>
  <si>
    <t>I want to understand better what full account access really means and does</t>
  </si>
  <si>
    <t>I am not sure why they need to manage my YouTube account or videos and I am concerned what they are actually accessing and managing.</t>
  </si>
  <si>
    <t>I will remove SocialToaster from having any access</t>
  </si>
  <si>
    <t>I would look to confirm which apps actually have access and confirm what access they have</t>
  </si>
  <si>
    <t>The ability to remove access right from this page</t>
  </si>
  <si>
    <t>I would remove access to several apps that have it.</t>
  </si>
  <si>
    <t>Apps that I don't want to have access to my information</t>
  </si>
  <si>
    <t>Auto removal of apps after 3 months of no use.</t>
  </si>
  <si>
    <t>I wonder why in the world Zoom would care about seeing my contacts and wanting to edit or even permanently delete them.</t>
  </si>
  <si>
    <t>I would unauthorize one of the apps from being able to access my account (Quora). I see no reason why Quora would need to have this information and am uncomfortable with having this site have access to it. While I'm sure at one point I authorized it, I don't remember doing so, and I don't remember why Quora thought it was necessary. Why would that site want to know all this stuff about me, anyway?</t>
  </si>
  <si>
    <t>I don't know how it got the permissions to do this in the first place. Plus I don't want any unnecessary parties to have access to my information.</t>
  </si>
  <si>
    <t>I would change the permissions that rakuten has.</t>
  </si>
  <si>
    <t>nothing.</t>
  </si>
  <si>
    <t>stop allowing some services that i hadn't noticed.</t>
  </si>
  <si>
    <t>What I have installed, and If I really need it.</t>
  </si>
  <si>
    <t>not sure</t>
  </si>
  <si>
    <t>I see it only has permission to view my YouTube account, which I am fine with since it is a public account anyway. I don't post anything or have anything on there that I don't want to the world to potentially see so I don't care who sees it.</t>
  </si>
  <si>
    <t>No concerns. It is a game and both of the permissions are valid.</t>
  </si>
  <si>
    <t>I no longer use the service and it seems like the app has access to more permission then I though based on the description given.</t>
  </si>
  <si>
    <t>I would go through and remove any apps that I no longer use or that have overreaching permissions.</t>
  </si>
  <si>
    <t>Apps that I no longer use or apps with suspicious permissions.</t>
  </si>
  <si>
    <t>The last time you used an app or service.</t>
  </si>
  <si>
    <t>i might get rid of a few apps that have access and limit access</t>
  </si>
  <si>
    <t>how many apps have access</t>
  </si>
  <si>
    <t>how they use the data</t>
  </si>
  <si>
    <t>I will remove the apps that have access to my account.</t>
  </si>
  <si>
    <t>I would like for any apps that have access to my account.</t>
  </si>
  <si>
    <t>What type of access these apps have to my account i.e. can they see my browsing history</t>
  </si>
  <si>
    <t>I would change how apps control what my email does</t>
  </si>
  <si>
    <t>I would look to see any third party logins in six months</t>
  </si>
  <si>
    <t>I want to see descriptions of what it does on my gmail account</t>
  </si>
  <si>
    <t>I'm always worried about personal details, but I am pleasantly surprized at how minimal the permissions are.</t>
  </si>
  <si>
    <t>I'm not sure what "see and download all of your Google Account email addresses" means, but I don't like the idea of a company downloading any personal information.</t>
  </si>
  <si>
    <t>It should only have access to documents I use their service on, because I don't have a bibliography on every document in my Drive.</t>
  </si>
  <si>
    <t>I will remove permissions for services I don't use anymore.</t>
  </si>
  <si>
    <t>Maybe a brief justification for the permissions each service uses.</t>
  </si>
  <si>
    <t>I do not know why the app has to associate itself with my personal data. I do recall seeing more ads for this app after I have downloaded it. Frankly, I am annoyed now that I notice this.</t>
  </si>
  <si>
    <t>I do not remember what this site is about, and why it has to see my contacts. I do not ever want my contacts to be knowledgeable about the websites I use because of my Google account, regardless of what kind of website it is.</t>
  </si>
  <si>
    <t>I do not know if the company can ever delete something I do not authorize, or use the personal info I have to sell to other places.</t>
  </si>
  <si>
    <t>I would look for the apps that I do not use anymore, and also review and reflect why some of these apps require to access different parts of my Google account. This may determine whether I keep some apps or not too.</t>
  </si>
  <si>
    <t>I would like to see an easy button for removal of some of these apps if I do not wish for them to be associated with my account anymore.</t>
  </si>
  <si>
    <t>i dont use it</t>
  </si>
  <si>
    <t>i dont have any</t>
  </si>
  <si>
    <t>i dont have any i just forgot i had it</t>
  </si>
  <si>
    <t>Again worried about it deleting some information I typed out onto a google document and me not realizing it until much later and having to redo it. I am worried about who has my email address and what they can do about it, but all the other information is public so my worry level is low</t>
  </si>
  <si>
    <t>It is worrying that it may mess with my email and delete some things. I wish it didn't have access to my contacts and calendar I dont use either one but it feels invasive and im worried about it deleting something or editing it.</t>
  </si>
  <si>
    <t>Worried that it might delete some of my info on a doc im working on when I use it, but honestly not a big deal.</t>
  </si>
  <si>
    <t>Mostly getting rid of accounts that I no longer use that are hooked up to my google account. I might also delete some google doc exentsions since I no longer use them.</t>
  </si>
  <si>
    <t>Maybe a last used date when you last used the app and a little notification that it hasnt been used in 1-5 months and that it's probably time to delete it.</t>
  </si>
  <si>
    <t>If any new apps are listed that I don't remember approving. Also, just as a safeguard for my data.</t>
  </si>
  <si>
    <t>I'm a bit concerned about their access to my Youtube Channel, since it seems a bit unnecessary and excessive.</t>
  </si>
  <si>
    <t>I'm a bit concerned about the extent in which they have the ability to access my extensions.</t>
  </si>
  <si>
    <t>I would look to make sure there haven't been any alterations to accesses.</t>
  </si>
  <si>
    <t>I would like it if the details about which permissions are granted for access were readily viewable and more extensively insightful, rather than viewable only when clicked.</t>
  </si>
  <si>
    <t>security and privacy related to personal information</t>
  </si>
  <si>
    <t>What they can see and change. How much info they have...</t>
  </si>
  <si>
    <t>I have no concerns.</t>
  </si>
  <si>
    <t>I am slightly concerned about the fact that mailtrack can delete emails.</t>
  </si>
  <si>
    <t>I don't have any concerns about it. I'd simply like to remove it because I don't use the app anymore.</t>
  </si>
  <si>
    <t>I would look for apps that I no longer use.</t>
  </si>
  <si>
    <t>I cannot think of any.</t>
  </si>
  <si>
    <t>I am just concerned that they might steal my money, it's a huge risk.</t>
  </si>
  <si>
    <t>I would change would they could see.</t>
  </si>
  <si>
    <t>If they have anything to do with money.</t>
  </si>
  <si>
    <t>I do not have any.</t>
  </si>
  <si>
    <t>About exactly what personal info it's using</t>
  </si>
  <si>
    <t>I would change what have permission to use my account.</t>
  </si>
  <si>
    <t>Websites and apps I no longer use that still have permission to use my account.</t>
  </si>
  <si>
    <t>I do not want any new features.</t>
  </si>
  <si>
    <t>less changing of settings and more removal of some apps that are no longer used.</t>
  </si>
  <si>
    <t>Which apps I use on a regular basis, which apps may warrant creation of a specific account for that purpose.</t>
  </si>
  <si>
    <t>DETAILED information about what is available to third party apps. not just "access to your personal information" but "access to: your full name, age, date of birth, street address, "...etc</t>
  </si>
  <si>
    <t>I don't have concerns about google, which is why I gave them access</t>
  </si>
  <si>
    <t>access to contact info, calendar info, access to emails</t>
  </si>
  <si>
    <t>If there are permissions given that I did not authorize.</t>
  </si>
  <si>
    <t>itt might be nice to know the date when permission was given</t>
  </si>
  <si>
    <t>If I have given permission to apps that I should not have given permission to use my Google account.</t>
  </si>
  <si>
    <t>A button to automatically deny access to apps.</t>
  </si>
  <si>
    <t>Again my biggest concern is the company using my data for their own profit</t>
  </si>
  <si>
    <t>I have a general idea of what they do with the information; my biggest concern is should they choose to monetize it for their own profit without my approval (i.e. sell to third-party advertisers).</t>
  </si>
  <si>
    <t>Not sure if it's there but it would be beneficial for a way to remove them; have yearly certifications required for these apps to remain there.</t>
  </si>
  <si>
    <t>None of them</t>
  </si>
  <si>
    <t>I would like to see what I can get rid of</t>
  </si>
  <si>
    <t>why and compose emails? like without asking me 1st? that's not ok at all especially for an app i don't remember giving permission to</t>
  </si>
  <si>
    <t>i need to go through and remove my info from sites i don't use like wayfair.</t>
  </si>
  <si>
    <t>i need to read what apps are seeing and what exactly i signed up for, plus check to see if anything has changed like they got more access without saying anything</t>
  </si>
  <si>
    <t>maybe how often that app has been used to see if it's really necessary for them to have my info. if i use them requently then fine but wayfair i only ever used once and forgot about it. same with kinedu</t>
  </si>
  <si>
    <t>none, really. Mostly that someone else would be able to bypass security functions to access my Drive.</t>
  </si>
  <si>
    <t>I made a deliberate choice to log in Xodo using my Google account, instead of continuing to use it without logging in. I trust it. My biggest concern might be their own security, and whether someone else could use their access to my account in a bad light.</t>
  </si>
  <si>
    <t>I'd look for apps that had permissions to access areas other than what I feel they are intended to access.</t>
  </si>
  <si>
    <t>Maybe slightly clarify the readability for those who aren't computer savvy. Mostly, I'd like to see a button on my gmail specifically that I could click to take me directly to the review page, so I could review periodically. (I forget that there are places I need to go in settings to find stuff.)</t>
  </si>
  <si>
    <t>I don't know what this is or remember using it. It may have been something I needed to download for telehealth but now I think I should delete it/remove permissions.</t>
  </si>
  <si>
    <t>I don't really have any concerns besides the potential of selling my personal information.</t>
  </si>
  <si>
    <t>I will probably review my list now and remove apps that I no longer use.</t>
  </si>
  <si>
    <t>Being able to sort by the type of access so if I wanted to change certain access across multiple apps, it would be easier.</t>
  </si>
  <si>
    <t>I don't remember authorizing Viki. Therefore, my concerns are that Viki even holds these permissions I don't remember allowing.</t>
  </si>
  <si>
    <t>My main concern is that of the privacy of my contacts and emails of others that I have stored within Dropbox or Google.</t>
  </si>
  <si>
    <t>I would re-consider certain privacy setting and uninstall certain apps I no longer use.</t>
  </si>
  <si>
    <t>Date usage, Privacy settings, and linked accounts.</t>
  </si>
  <si>
    <t>none.</t>
  </si>
  <si>
    <t>I don't have any concerns about Zoom accessing my calendar</t>
  </si>
  <si>
    <t>This makes it sound like Windows could just delete my emails or contacts on its own so that is concerning to me</t>
  </si>
  <si>
    <t>I'm not sure what other personal info it has access to; this doesn't seem necessary for the game to function</t>
  </si>
  <si>
    <t>I would remove some apps that I don't really use anymore</t>
  </si>
  <si>
    <t>I can't think of anything to add</t>
  </si>
  <si>
    <t>I do not have any pressing concerns.</t>
  </si>
  <si>
    <t>I am concerned that it can send emails.</t>
  </si>
  <si>
    <t>I am concerned that it can see and download ALL of my files.</t>
  </si>
  <si>
    <t>I would disable the apps that I no longer use.</t>
  </si>
  <si>
    <t>I would like a button that limits apps to just the minimal use necessary to run the app.</t>
  </si>
  <si>
    <t>If it shares my files with others.</t>
  </si>
  <si>
    <t>My only concern is if it shares my files with others.</t>
  </si>
  <si>
    <t>What information is shared</t>
  </si>
  <si>
    <t>This doesn't really bother me since it's really just tracking the time that I play the game and what I do while playing. Not a big deal.</t>
  </si>
  <si>
    <t>I'm not concerned because it really only has access to my games activity, which I was already tracking with mistplay anyways. So it doesn't really bother me.</t>
  </si>
  <si>
    <t>I don't really trust them as a company, however, I had gotten my account hacked and so that was part of why I ended up linking it. I wanted to be able to resecure my account and linking it this way was one way to ensure it couldn't get hacked again.</t>
  </si>
  <si>
    <t>I would go through and remove the apps that I no longer use or have installed because there isn't any reason for them to continue to have access to my account information.</t>
  </si>
  <si>
    <t>I wish that it knew that these things had been uninstalled from my phone and that it stated that somewhere. I wish it reminded me to remove their access when I uninstalled too.</t>
  </si>
  <si>
    <t>Tuya Smart connects to my Alexa device therefor it is obvious it has holds of certain permissions. My only concern is that it may share my personal info</t>
  </si>
  <si>
    <t>It concerns me that an application that I have never used before has my personal information at all.</t>
  </si>
  <si>
    <t>My primary concern is that my privacy and information may be leaked to other third-parties that may use my information to send me ads or unwanted information (spam mail).</t>
  </si>
  <si>
    <t>I will change the privacy settings for certain applications and uninstall the ones that I no longer use.</t>
  </si>
  <si>
    <t>The same information I was given today and re-evaluate how long I have used each application, what information it has access to and whether it is necessary for the applications to be given the permissions it has.</t>
  </si>
  <si>
    <t>It would be helpful to see when each application was downloaded</t>
  </si>
  <si>
    <t>zoom should only be able to modify events on my calendar that zoom has previously entered and whose dates or times or access urls may have vhanged.</t>
  </si>
  <si>
    <t>I've never worried about apple invading my privacy</t>
  </si>
  <si>
    <t>dropbox has held my personal photos. I hope these are always private. Dropbox shouldnt have access to my friends' email addresses and phone numbers and dates of birth and all the info i keep in personal contacts</t>
  </si>
  <si>
    <t>I would remove dropbox's access to my contacts</t>
  </si>
  <si>
    <t>I don't have any real concerns about Mailbird having access to this information, I know why they need the information and the app was very transparent about needing my permission to access this information. The only slight concern I would have is if the app had some sort of error or bug happen that would delete something that I did not request, however I have confidence in this app that this would be a very rare occurrence.</t>
  </si>
  <si>
    <t>Honestly everything about this feature seems fine to me, I cannot really think of any added features to benefit users.</t>
  </si>
  <si>
    <t>If any of the permissions, etc have changed</t>
  </si>
  <si>
    <t>I just don't really have a need for this extension anymore, and the fact that they have access to my sending of emails from GMail is concerning since the app is meant to help you just find email addresses at other companies.</t>
  </si>
  <si>
    <t>The only thing I'm concerned really about is the access to Google Drive. I mainly use this as an email tracker, so I don't understand why they need access to my files.</t>
  </si>
  <si>
    <t>I would delete Apollo, and maybe restrict Streak's access to my Google Drive.</t>
  </si>
  <si>
    <t>I will want to see what the functions of the app are, and compare the permissions it's asking for to see if they are truly necessary.</t>
  </si>
  <si>
    <t>A more detailed description of how these apps are going to use the permissions I have granted.</t>
  </si>
  <si>
    <t>I have little concern because I operate the OS, and macOS is pretty secure.</t>
  </si>
  <si>
    <t>I don't use Dropbox now, but may use it in the future. I have little concern with the app holding these permissions.</t>
  </si>
  <si>
    <t>I don't have a major concern, but may restrict Amazon's access to my Gmail account in the future for general safety reasons.</t>
  </si>
  <si>
    <t>I'd look to see what apps have been added to the account, and I may consider removing apps I do not use from the account.</t>
  </si>
  <si>
    <t>An easier way to access this information within my Google settings.</t>
  </si>
  <si>
    <t>I don't think some of the data that Lumin PDF is asking for is necessary for them to have access to. I'd be curious why they kind certain parts of my data necessary for me to access their site.</t>
  </si>
  <si>
    <t>I'm curious as to why Fetch finds these permissions essential to providing their services to their consumers. I don't think some of them are necessary like access to personal info that I make publicly available.</t>
  </si>
  <si>
    <t>I'm concerned Zoom might accidentally delete or include meetings on my schedule without my knowing. Other than that, I'm not very concerned having Zoom on my account. Having Zoom on my account is quite helpful and makes my life easier.</t>
  </si>
  <si>
    <t>I would probably delete some of the apps I gave access to my account for. I don't use them enough and they don't need my data.</t>
  </si>
  <si>
    <t>I would look at how often I'm using those apps and if they are serving me.</t>
  </si>
  <si>
    <t>I'm not sure at the moment.</t>
  </si>
  <si>
    <t>I am fine with them having this information. It does not bother me... again, as long as they are not selling it to another party.</t>
  </si>
  <si>
    <t>No concerns really. I don't see why they need my birthday, though.</t>
  </si>
  <si>
    <t>I am just concerned that they may sell my information to other companies.</t>
  </si>
  <si>
    <t>I would just like to check up on what parts of my information the app has.</t>
  </si>
  <si>
    <t>I would like them to share any news/data breaches within the apps as well and notify me if my account has been affected.</t>
  </si>
  <si>
    <t>None that I can think of</t>
  </si>
  <si>
    <t>I would likely look to see if there are new apps accessing my information since this survey was done.</t>
  </si>
  <si>
    <t>I'm actually pretty satisfied with the information available on this page.</t>
  </si>
  <si>
    <t>I don't have too many concerns. It is another shopping app that requires access to my gmail.</t>
  </si>
  <si>
    <t>I don't have any. I have a mac laptop and an apple phone and tablet. I use handoff multiple times a day, and cloud sync. I need my computer to communicate with my phone and tablet.</t>
  </si>
  <si>
    <t>It's a shopping tool app, and does require access to my email. I don't think I recall the "delete all your email from Gmail" though, so now I'm going to look into that.</t>
  </si>
  <si>
    <t>To see if anything has changed, I realize that companies are constantly changing their terms and policies.</t>
  </si>
  <si>
    <t>A direct, easy way to adjust what information is shared.</t>
  </si>
  <si>
    <t>Pirate Kings' permission doesn't seem like a security concern from my understanding.</t>
  </si>
  <si>
    <t>I don't think this app should use Google Drive for storing config data, and rather save it locally.</t>
  </si>
  <si>
    <t>I am not concerned with Clash Royale's single permission.</t>
  </si>
  <si>
    <t>I would remove the apps that I indicated earlier in the study.</t>
  </si>
  <si>
    <t>I would check which apps are on there and whether they need to be on there.</t>
  </si>
  <si>
    <t>No conerns</t>
  </si>
  <si>
    <t>None, It uses google play for many things.</t>
  </si>
  <si>
    <t>Why would they need access to drive? The app doesn't even use drive.</t>
  </si>
  <si>
    <t>The apps with access to google drive.</t>
  </si>
  <si>
    <t>What new apps with access, and any shady apps with weird access.</t>
  </si>
  <si>
    <t>Maybe this is a feature and I missed it but, I would like to revoke specific access like not allowing drive but allowing google play.</t>
  </si>
  <si>
    <t>Apps I do not want/use or trust</t>
  </si>
  <si>
    <t>Paid site information, verify my information is safe</t>
  </si>
  <si>
    <t>What information they can access and how long they have had this information.</t>
  </si>
  <si>
    <t>How to remove my information from said apps.</t>
  </si>
  <si>
    <t>No concerns. The tv has access but it's a Google App, so Google already has this information.</t>
  </si>
  <si>
    <t>This is one of my favorite features of Todoist. 2-way communication with Google calendar makes things very easier and I can organize things better this way.</t>
  </si>
  <si>
    <t>The control they have over contacts and the different thing they can do with contacts is concerning. Seeing contacts is actually really nice because then it helps you find connections and I would guess that's all they use that access for (and maybe to advertise to contacts) but still it seems like they wouldn't need anything more than the ability to see contacts.
 Personal info isn't too concerning, this seems pretty typical, but still surprising how easily LinkedIn can access it.</t>
  </si>
  <si>
    <t>I would like to review it more often to make sure apps I no longer use are updated and no longer have access. 
 Review to make sure that the access they have makes sense.</t>
  </si>
  <si>
    <t>If I still use the app. 
 If I still trust the app. 
 If I feel okay with the permissions the app has.</t>
  </si>
  <si>
    <t>Its a uneasy feeling knowing that these permissions could be exploited. Its similar to strangers having access to your house and your not there.</t>
  </si>
  <si>
    <t>What permissions are allowed and if anything was added that I was unaware of.</t>
  </si>
  <si>
    <t>Nothing.</t>
  </si>
  <si>
    <t>the information the apps have access to</t>
  </si>
  <si>
    <t>I would change the setting that allows me to sign into apps/websites with my Google account.</t>
  </si>
  <si>
    <t>I would just look at what apps are utilizing what and then I will ask myself how often I even use that app.</t>
  </si>
  <si>
    <t>An easy way to remove access. Kind of like a kill-switch.</t>
  </si>
  <si>
    <t>I would like to see all the apps that have access to my account. It would be important for me to know in case I notice something weird going on and I have to turn off access.</t>
  </si>
  <si>
    <t>I would want to know exactly what those apps have access to. Actually wish there was more information there. Seems like it is a little generic.</t>
  </si>
  <si>
    <t>It would be cool if you could just give access to certain things and not others. Like turn off contacts and leave email on.</t>
  </si>
  <si>
    <t>I am not sure why it needs to see my emails</t>
  </si>
  <si>
    <t>I am not sure why it needs to see my email</t>
  </si>
  <si>
    <t>I don't have any concerns - we actually pay wordstream to manage it</t>
  </si>
  <si>
    <t>There is one app which is chinese characters. I am not sure what one that is</t>
  </si>
  <si>
    <t>Apps I don't want to have particular access or that I dont know about</t>
  </si>
  <si>
    <t>I cannot think of any</t>
  </si>
  <si>
    <t>I would make sure that the apps that were listed were ones that I used and trusted.</t>
  </si>
  <si>
    <t>Maybe a time/date that they were given access.</t>
  </si>
  <si>
    <t>Don't remember giving access</t>
  </si>
  <si>
    <t>Not much in way of concerns other than contacts</t>
  </si>
  <si>
    <t>contacts and other private info</t>
  </si>
  <si>
    <t>Extent of access and which apps</t>
  </si>
  <si>
    <t>alerts</t>
  </si>
  <si>
    <t>i have no concerns</t>
  </si>
  <si>
    <t>dont care about this</t>
  </si>
  <si>
    <t>To see if something snuck in and authorized access</t>
  </si>
  <si>
    <t>Comments from other users if they have concerns about how the app is using their information</t>
  </si>
  <si>
    <t>I don't know who they're sharing my info with or if it's secure.</t>
  </si>
  <si>
    <t>I don't understand what they're doing with my Google Drive and I don't want them accessing my information in Drive. I don't know why a game would need to access Drive.</t>
  </si>
  <si>
    <t>Any apps I don't recognize/don't use anymore, and any permissions that grant more information/access than I'm comfortable providing</t>
  </si>
  <si>
    <t>Explanations of the more vague permissions</t>
  </si>
  <si>
    <t>Code 1</t>
  </si>
  <si>
    <t>Code 2</t>
  </si>
  <si>
    <t>Code 3</t>
  </si>
  <si>
    <t>Code 4</t>
  </si>
  <si>
    <t>Code 5</t>
  </si>
  <si>
    <t>Code 6</t>
  </si>
  <si>
    <t>Code 7</t>
  </si>
  <si>
    <t>Code 8</t>
  </si>
  <si>
    <t>unconcerned</t>
  </si>
  <si>
    <t>app_beneficial</t>
  </si>
  <si>
    <t>infrequent_use</t>
  </si>
  <si>
    <t>concerned</t>
  </si>
  <si>
    <t>concerned-&gt;unecessary_access_to_data</t>
  </si>
  <si>
    <t>concerned-&gt;misuse</t>
  </si>
  <si>
    <t>do_not_recall_authorizing</t>
  </si>
  <si>
    <t>do_not_recall_authorizing-&gt;app</t>
  </si>
  <si>
    <t>concerned-&gt;personal_data</t>
  </si>
  <si>
    <t>concerned-&gt;personal_data-&gt;photos</t>
  </si>
  <si>
    <t>concerned-&gt;permissions_after_deleted_app</t>
  </si>
  <si>
    <t>resigned</t>
  </si>
  <si>
    <t>concerned-&gt;personal_data-&gt;sensitive</t>
  </si>
  <si>
    <t>will_review_app_access</t>
  </si>
  <si>
    <t>will_remove_app_access</t>
  </si>
  <si>
    <t>unconcerned-&gt;low_permission_level</t>
  </si>
  <si>
    <t>trust_app</t>
  </si>
  <si>
    <t>concerned-&gt;tracking</t>
  </si>
  <si>
    <t>concerned-&gt;personal_data-&gt;selling_data</t>
  </si>
  <si>
    <t>concerned-&gt;permissions</t>
  </si>
  <si>
    <t>concerned-&gt;permissions-&gt;email</t>
  </si>
  <si>
    <t>concerned-&gt;data_leak</t>
  </si>
  <si>
    <t>concerned-&gt;permissions-&gt;send_messages</t>
  </si>
  <si>
    <t>concerned-&gt;permissions-&gt;delete</t>
  </si>
  <si>
    <t>do_not_recall_authorizing-&gt;permission</t>
  </si>
  <si>
    <t>concerned-&gt;permissions-&gt;google_drive</t>
  </si>
  <si>
    <t>concerned-&gt;privacy</t>
  </si>
  <si>
    <t>All Codes</t>
  </si>
  <si>
    <t>Primary Codes</t>
  </si>
  <si>
    <t>app_not_beneficial</t>
  </si>
  <si>
    <t>unknowns</t>
  </si>
  <si>
    <t>unknowns-&gt;how_data_used</t>
  </si>
  <si>
    <t>unconcerned-&gt;permissions_necessary</t>
  </si>
  <si>
    <t xml:space="preserve">
unknowns-&gt;what_permission_allows</t>
  </si>
  <si>
    <t>concerned-&gt;failure_to_update</t>
  </si>
  <si>
    <t>unknowns-&gt;associated_with_personal_info</t>
  </si>
  <si>
    <t>does_not_know_how_to_remove</t>
  </si>
  <si>
    <t>concerned-&gt;permissions-&gt;google_play</t>
  </si>
  <si>
    <t>unknowns-&gt;what_permission_allows</t>
  </si>
  <si>
    <t>concerned-&gt;personal_data-&gt;contacts</t>
  </si>
  <si>
    <t>concerned-&gt;permissions-&gt;contacts</t>
  </si>
  <si>
    <t>concerned-&gt;access_when_not_using_app</t>
  </si>
  <si>
    <t>concerned-&gt;personal_data-&gt;used_for_advertising</t>
  </si>
  <si>
    <t>unknowns-&gt;why_permissions_necessary</t>
  </si>
  <si>
    <t>concerned-&gt;permissions-&gt;edit</t>
  </si>
  <si>
    <t>unknowns-&gt;will_it_notify_on_data_delete</t>
  </si>
  <si>
    <t>concerned-&gt;permissions-&gt;calendar</t>
  </si>
  <si>
    <t>trade_off_for_convenience</t>
  </si>
  <si>
    <t>unknowns-&gt;how_long_data_stored</t>
  </si>
  <si>
    <t>unknowns-&gt;can_i_delete_my_data</t>
  </si>
  <si>
    <t>unknowns-&gt;who_can_access_data</t>
  </si>
  <si>
    <t>concerned-&gt;permissions-more_permissions_than_described</t>
  </si>
  <si>
    <t>concerned-&gt;permissions-&gt;extensions</t>
  </si>
  <si>
    <t>unconcerned-&gt;low_permission_level'</t>
  </si>
  <si>
    <t>remove_app_access</t>
  </si>
  <si>
    <t>remove_app_access-&gt;unused_apps</t>
  </si>
  <si>
    <t>change_permissions</t>
  </si>
  <si>
    <t>change_permissions-&gt;remove_unnecessary</t>
  </si>
  <si>
    <t>change_permissions-&gt;contacts</t>
  </si>
  <si>
    <t>remove_app_access-&gt;apps_with_account_access</t>
  </si>
  <si>
    <t>remove_app_access-&gt;all</t>
  </si>
  <si>
    <t>remove_app_access-&gt;unfamiliar_apps</t>
  </si>
  <si>
    <t>change_permissions-&gt;limit_access</t>
  </si>
  <si>
    <t>change_permissions-&gt;storage</t>
  </si>
  <si>
    <t>remove_app_access-&gt;specific_app</t>
  </si>
  <si>
    <t>use_separate_account_for_app_access</t>
  </si>
  <si>
    <t>remove_app_access-&gt;some_apps</t>
  </si>
  <si>
    <t>change_permissions-&gt;unused_apps</t>
  </si>
  <si>
    <t>review_app_access</t>
  </si>
  <si>
    <t>review_app_access-&gt;specific_app</t>
  </si>
  <si>
    <t>change_permissions-&gt;account_info</t>
  </si>
  <si>
    <t>review_what_data_used</t>
  </si>
  <si>
    <t>change_permissions-&gt;delete_files</t>
  </si>
  <si>
    <t>change_permissions-&gt;change_files</t>
  </si>
  <si>
    <t>change_permissions-&gt;sharing</t>
  </si>
  <si>
    <t>wants_to_protect_personal_data</t>
  </si>
  <si>
    <t>wants_to_protect_personal_data-&gt;leaks</t>
  </si>
  <si>
    <t>change_permissions-&gt;specific_app</t>
  </si>
  <si>
    <t>change_permissions-&gt;email</t>
  </si>
  <si>
    <t>change_permissions-&gt;calendar</t>
  </si>
  <si>
    <t>change_permissions-&gt;google_drive</t>
  </si>
  <si>
    <t>remove_app_access-&gt;apps_with_google_drive_access</t>
  </si>
  <si>
    <t>review_app_access-&gt;unused_apps</t>
  </si>
  <si>
    <t>change_sso_access</t>
  </si>
  <si>
    <t>review_app_access-&gt;all</t>
  </si>
  <si>
    <t>review_app_access-&gt;permissions</t>
  </si>
  <si>
    <t>review_app_access-&gt;permissions-&gt;account_info</t>
  </si>
  <si>
    <t>review_app_access-&gt;necessary_permissions_only</t>
  </si>
  <si>
    <t>review_app_access-&gt;what_data_is_accessible</t>
  </si>
  <si>
    <t>remove_app_accessreview_app_access</t>
  </si>
  <si>
    <t>review_app_access-&gt;do_not_remember_authorizing</t>
  </si>
  <si>
    <t>review_app_access-&gt;suspicious_apps</t>
  </si>
  <si>
    <t>review_app_access-&gt;accidentally_added</t>
  </si>
  <si>
    <t>assess_risks</t>
  </si>
  <si>
    <t>review_app_access-&gt;unncessary_access</t>
  </si>
  <si>
    <t>review_app_access-&gt;privacy</t>
  </si>
  <si>
    <t>review_app_access-&gt;how_much_access_allowed</t>
  </si>
  <si>
    <t>review_app_access-&gt;permissions_changed</t>
  </si>
  <si>
    <t>review_changes</t>
  </si>
  <si>
    <t>review_app_access-&gt;new_apps_with_access</t>
  </si>
  <si>
    <t>apps_with_access_page_useful</t>
  </si>
  <si>
    <t>uncertain</t>
  </si>
  <si>
    <t>review_app_access-&gt;unauthorized_apps</t>
  </si>
  <si>
    <t>review_app_access-&gt;permissions-&gt;contacts</t>
  </si>
  <si>
    <t>review_app_access-&gt;how_long_access</t>
  </si>
  <si>
    <t>review_app_access-&gt;account_login</t>
  </si>
  <si>
    <t>review_app_access-&gt;full_account_access</t>
  </si>
  <si>
    <t>review_app_access-&gt;unfamiliar_apps</t>
  </si>
  <si>
    <t>review_app_access-&gt;permissions-&gt;modify_data</t>
  </si>
  <si>
    <t>review_how_trusted_app_is</t>
  </si>
  <si>
    <t>review_app_access-&gt;most_used</t>
  </si>
  <si>
    <t>review_app_access-&gt;unauthorized_permissions</t>
  </si>
  <si>
    <t>review_changes-&gt;changed_without_notification</t>
  </si>
  <si>
    <t>more_transparency</t>
  </si>
  <si>
    <t>notifications</t>
  </si>
  <si>
    <t>notifications-&gt;reminders</t>
  </si>
  <si>
    <t>notifications-&gt;reminders-&gt;monthly</t>
  </si>
  <si>
    <t>notifications-&gt;reminders-&gt;by_date</t>
  </si>
  <si>
    <t>more_transparency-&gt;app_usage_log</t>
  </si>
  <si>
    <t>ability_to_limit_access</t>
  </si>
  <si>
    <t>ability_to_limit_access-&gt;temporarily_block_app_access</t>
  </si>
  <si>
    <t>permission_level_control</t>
  </si>
  <si>
    <t>easier_access_removal</t>
  </si>
  <si>
    <t>more_transparency-&gt;what_data_accessible</t>
  </si>
  <si>
    <t>notifications-&gt;to_review</t>
  </si>
  <si>
    <t>more_transparency-&gt;data_access_logs</t>
  </si>
  <si>
    <t>improved_user_interface</t>
  </si>
  <si>
    <t>improved_user_interface-&gt;filter_by_authorization_date</t>
  </si>
  <si>
    <t>unsure</t>
  </si>
  <si>
    <t>notifications-&gt;when_account_accessed</t>
  </si>
  <si>
    <t>more_transparency-&gt;misuse_reports</t>
  </si>
  <si>
    <t>improved_user_interface-&gt;sort_apps_by_permission_type</t>
  </si>
  <si>
    <t>more_transparency-&gt;detailed_permission_explanation</t>
  </si>
  <si>
    <t>more_transparency-&gt;listing_of_sites_indirectly_accessing</t>
  </si>
  <si>
    <t>improved_user_interface-&gt;easier_to_access_page</t>
  </si>
  <si>
    <t>improved_user_interface-&gt;specific_icons</t>
  </si>
  <si>
    <t>ability_to_secure_data</t>
  </si>
  <si>
    <t>ability_to_limit_access-&gt;remove_access_if_not_used</t>
  </si>
  <si>
    <t>permission_level_control-&gt;set_some_permissions_never_use</t>
  </si>
  <si>
    <t>more_transparency-&gt;when_access_authorized</t>
  </si>
  <si>
    <t>more_transparency-&gt;location_of_app_access</t>
  </si>
  <si>
    <t>more_transparency-&gt;what_parts_of_account_accessible</t>
  </si>
  <si>
    <t>more_transparency-&gt;vulnerability_alert</t>
  </si>
  <si>
    <t>more_transparency-&gt;what_app_needs_to_work</t>
  </si>
  <si>
    <t>more_transparency-&gt;permission_usage_log</t>
  </si>
  <si>
    <t>notifications-&gt;upon_changes</t>
  </si>
  <si>
    <t>improved_user_interface-&gt;edit_preferences_directly</t>
  </si>
  <si>
    <t>more_transparency-&gt;how_access_was_authorized</t>
  </si>
  <si>
    <t>improved_user_interface-&gt;order_by_date_authorized</t>
  </si>
  <si>
    <t>more_transparency-&gt;terms_and_conditions</t>
  </si>
  <si>
    <t>improved_user_interface-&gt;opt_out_option</t>
  </si>
  <si>
    <t>more_transparency-&gt;company_providing_app</t>
  </si>
  <si>
    <t>permission_level_control-&gt;remove_individual_permissions</t>
  </si>
  <si>
    <t>ability_to_limit_access-&gt;temporarily_allow_app_access</t>
  </si>
  <si>
    <t>improved_user_interface-&gt;color_code_based_on_level_of_access</t>
  </si>
  <si>
    <t>ability_to_limit_access-&gt;time_limits</t>
  </si>
  <si>
    <t>more_transparency-&gt;information_about_security</t>
  </si>
  <si>
    <t>more_transparency-&gt;which_app_accessed_the_most</t>
  </si>
  <si>
    <t>improved_user_interface-&gt;deletion_suggestions</t>
  </si>
  <si>
    <t>improved_user_interface-&gt;personalization</t>
  </si>
  <si>
    <t>improved_user_interface-&gt;add_app_description_text</t>
  </si>
  <si>
    <t>more_transparency-&gt;information_about_privacy</t>
  </si>
  <si>
    <t>require_reauthorization</t>
  </si>
  <si>
    <t>require_reauthorization-&gt;period_of_time</t>
  </si>
  <si>
    <t>require_reauthorization-&gt;unused_apps</t>
  </si>
  <si>
    <t>require_reauthorization-&gt;unused_apps-&gt;3_months</t>
  </si>
  <si>
    <t>more_transparency-&gt;how_data_used</t>
  </si>
  <si>
    <t>notifications-&gt;unused_apps</t>
  </si>
  <si>
    <t>require_reauthorization-&gt;yearly</t>
  </si>
  <si>
    <t>notifications-&gt;email</t>
  </si>
  <si>
    <t>ability_to_limit_access-&gt;minimum_necessary</t>
  </si>
  <si>
    <t>notifications-&gt;remove_access_after_app_removed</t>
  </si>
  <si>
    <t>notifications-&gt;data_breach</t>
  </si>
  <si>
    <t>ability_to_secure_data-&gt;limit_what_data_can_be_accessed</t>
  </si>
  <si>
    <t>more_transparency-&gt;how_to_remove_information</t>
  </si>
  <si>
    <t>user_reviews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</si>
</sst>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8.0"/>
      <color rgb="FF000000"/>
      <name val="&quot;Helvetica Neue&quot;"/>
    </font>
    <font/>
    <font>
      <b/>
    </font>
    <font>
      <sz val="8.0"/>
      <color rgb="FF000000"/>
      <name val="&quot;Helvetica Neue&quot;"/>
    </font>
    <font>
      <u/>
      <sz val="8.0"/>
      <color rgb="FF000000"/>
      <name val="&quot;Helvetica Neue&quot;"/>
    </font>
    <font>
      <b/>
      <name val="Arial"/>
    </font>
    <font>
      <color rgb="FF000000"/>
      <name val="&quot;Arial&quot;"/>
    </font>
    <font>
      <name val="Arial"/>
    </font>
    <font>
      <color rgb="FF000000"/>
      <name val="Arial"/>
    </font>
    <font>
      <sz val="11.0"/>
      <color rgb="FF000000"/>
      <name val="Inconsolata"/>
    </font>
  </fonts>
  <fills count="8">
    <fill>
      <patternFill patternType="none"/>
    </fill>
    <fill>
      <patternFill patternType="lightGray"/>
    </fill>
    <fill>
      <patternFill patternType="solid">
        <fgColor rgb="FFB0B3B2"/>
        <bgColor rgb="FFB0B3B2"/>
      </patternFill>
    </fill>
    <fill>
      <patternFill patternType="solid">
        <fgColor rgb="FFB7B7B7"/>
        <bgColor rgb="FFB7B7B7"/>
      </patternFill>
    </fill>
    <fill>
      <patternFill patternType="solid">
        <fgColor rgb="FFD4D4D4"/>
        <bgColor rgb="FFD4D4D4"/>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s>
  <borders count="5">
    <border/>
    <border>
      <left style="thin">
        <color rgb="FF000000"/>
      </left>
      <right style="thin">
        <color rgb="FF000000"/>
      </right>
      <top style="thin">
        <color rgb="FF000000"/>
      </top>
      <bottom style="thin">
        <color rgb="FF000000"/>
      </bottom>
    </border>
    <border>
      <right style="thin">
        <color rgb="FFCCCCCC"/>
      </right>
    </border>
    <border>
      <right style="thin">
        <color rgb="FFCCCCCC"/>
      </right>
      <top style="thin">
        <color rgb="FFCCCCCC"/>
      </top>
      <bottom style="thin">
        <color rgb="FFCCCCCC"/>
      </bottom>
    </border>
    <border>
      <left style="thin">
        <color rgb="FF000000"/>
      </lef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3" fontId="1" numFmtId="0" xfId="0" applyAlignment="1" applyBorder="1" applyFill="1" applyFont="1">
      <alignment readingOrder="0" shrinkToFit="0" vertical="top" wrapText="1"/>
    </xf>
    <xf borderId="0" fillId="0" fontId="2" numFmtId="0" xfId="0" applyAlignment="1" applyFont="1">
      <alignment readingOrder="0" shrinkToFit="0" wrapText="1"/>
    </xf>
    <xf borderId="1" fillId="0" fontId="1" numFmtId="0" xfId="0" applyAlignment="1" applyBorder="1" applyFont="1">
      <alignment readingOrder="0" shrinkToFit="0" vertical="top" wrapText="1"/>
    </xf>
    <xf borderId="0" fillId="0" fontId="3" numFmtId="0" xfId="0" applyAlignment="1" applyFont="1">
      <alignment readingOrder="0" shrinkToFit="0" wrapText="1"/>
    </xf>
    <xf borderId="0" fillId="0" fontId="3" numFmtId="0" xfId="0" applyFont="1"/>
    <xf borderId="0" fillId="0" fontId="3" numFmtId="0" xfId="0" applyAlignment="1" applyFont="1">
      <alignment readingOrder="0"/>
    </xf>
    <xf borderId="1" fillId="4" fontId="1" numFmtId="0" xfId="0" applyAlignment="1" applyBorder="1" applyFill="1" applyFont="1">
      <alignment readingOrder="0" shrinkToFit="0" vertical="top" wrapText="1"/>
    </xf>
    <xf borderId="1" fillId="0" fontId="4" numFmtId="0" xfId="0" applyAlignment="1" applyBorder="1" applyFont="1">
      <alignment readingOrder="0" shrinkToFit="0" vertical="top" wrapText="1"/>
    </xf>
    <xf borderId="1" fillId="0" fontId="2" numFmtId="0" xfId="0" applyAlignment="1" applyBorder="1" applyFont="1">
      <alignment shrinkToFit="0" vertical="top" wrapText="1"/>
    </xf>
    <xf borderId="0" fillId="0" fontId="2" numFmtId="0" xfId="0" applyAlignment="1" applyFont="1">
      <alignment shrinkToFit="0" wrapText="1"/>
    </xf>
    <xf borderId="1" fillId="0" fontId="2"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2" numFmtId="0" xfId="0" applyAlignment="1" applyBorder="1" applyFont="1">
      <alignment shrinkToFit="0" vertical="top" wrapText="1"/>
    </xf>
    <xf borderId="0" fillId="0" fontId="6" numFmtId="0" xfId="0" applyAlignment="1" applyFont="1">
      <alignment vertical="bottom"/>
    </xf>
    <xf borderId="0" fillId="0" fontId="6" numFmtId="0" xfId="0" applyAlignment="1" applyFont="1">
      <alignment shrinkToFit="0" vertical="bottom" wrapText="1"/>
    </xf>
    <xf borderId="1" fillId="0" fontId="2" numFmtId="0" xfId="0" applyBorder="1" applyFont="1"/>
    <xf borderId="1" fillId="0" fontId="2" numFmtId="0" xfId="0" applyAlignment="1" applyBorder="1" applyFont="1">
      <alignment shrinkToFit="0" wrapText="1"/>
    </xf>
    <xf borderId="0" fillId="0" fontId="7" numFmtId="0" xfId="0" applyAlignment="1" applyFont="1">
      <alignment readingOrder="0"/>
    </xf>
    <xf borderId="1" fillId="5" fontId="2" numFmtId="0" xfId="0" applyAlignment="1" applyBorder="1" applyFill="1" applyFont="1">
      <alignment shrinkToFit="0" wrapText="1"/>
    </xf>
    <xf borderId="0" fillId="0" fontId="8" numFmtId="0" xfId="0" applyAlignment="1" applyFont="1">
      <alignment shrinkToFit="0" vertical="bottom" wrapText="1"/>
    </xf>
    <xf borderId="0" fillId="0" fontId="8" numFmtId="0" xfId="0" applyAlignment="1" applyFont="1">
      <alignment vertical="bottom"/>
    </xf>
    <xf borderId="0" fillId="0" fontId="8" numFmtId="0" xfId="0" applyAlignment="1" applyFont="1">
      <alignment vertical="bottom"/>
    </xf>
    <xf borderId="0" fillId="0" fontId="9" numFmtId="0" xfId="0" applyAlignment="1" applyFont="1">
      <alignment readingOrder="0"/>
    </xf>
    <xf borderId="0" fillId="0" fontId="8" numFmtId="0" xfId="0" applyAlignment="1" applyFont="1">
      <alignment shrinkToFit="0" vertical="bottom" wrapText="1"/>
    </xf>
    <xf borderId="0" fillId="5" fontId="2" numFmtId="0" xfId="0" applyAlignment="1" applyFont="1">
      <alignment shrinkToFit="0" wrapText="1"/>
    </xf>
    <xf borderId="0" fillId="0" fontId="2" numFmtId="0" xfId="0" applyAlignment="1" applyFont="1">
      <alignment readingOrder="0"/>
    </xf>
    <xf borderId="0" fillId="0" fontId="8" numFmtId="0" xfId="0" applyAlignment="1" applyFont="1">
      <alignment vertical="bottom"/>
    </xf>
    <xf borderId="0" fillId="6" fontId="9" numFmtId="0" xfId="0" applyAlignment="1" applyFill="1" applyFont="1">
      <alignment horizontal="left" readingOrder="0"/>
    </xf>
    <xf borderId="0" fillId="0" fontId="2" numFmtId="0" xfId="0" applyFont="1"/>
    <xf borderId="0" fillId="0" fontId="8" numFmtId="0" xfId="0" applyAlignment="1" applyFont="1">
      <alignment readingOrder="0" vertical="bottom"/>
    </xf>
    <xf borderId="0" fillId="0" fontId="8" numFmtId="0" xfId="0" applyAlignment="1" applyFont="1">
      <alignment vertical="bottom"/>
    </xf>
    <xf borderId="0" fillId="0" fontId="9" numFmtId="0" xfId="0" applyAlignment="1" applyFont="1">
      <alignment readingOrder="0" vertical="bottom"/>
    </xf>
    <xf borderId="0" fillId="0" fontId="8" numFmtId="0" xfId="0" applyAlignment="1" applyFont="1">
      <alignment readingOrder="0" shrinkToFit="0" vertical="bottom" wrapText="1"/>
    </xf>
    <xf borderId="0" fillId="0" fontId="9" numFmtId="0" xfId="0" applyAlignment="1" applyFont="1">
      <alignment readingOrder="0" shrinkToFit="0" vertical="bottom" wrapText="1"/>
    </xf>
    <xf borderId="0" fillId="0" fontId="8" numFmtId="0" xfId="0" applyAlignment="1" applyFont="1">
      <alignment readingOrder="0" vertical="bottom"/>
    </xf>
    <xf borderId="0" fillId="0" fontId="7" numFmtId="0" xfId="0" applyAlignment="1" applyFont="1">
      <alignment readingOrder="0" shrinkToFit="0" wrapText="1"/>
    </xf>
    <xf borderId="0" fillId="0" fontId="9" numFmtId="0" xfId="0" applyAlignment="1" applyFont="1">
      <alignment readingOrder="0" shrinkToFit="0" wrapText="1"/>
    </xf>
    <xf borderId="0" fillId="7" fontId="2" numFmtId="0" xfId="0" applyAlignment="1" applyFill="1" applyFont="1">
      <alignment shrinkToFit="0" wrapText="1"/>
    </xf>
    <xf borderId="0" fillId="0" fontId="2" numFmtId="2" xfId="0" applyFont="1" applyNumberFormat="1"/>
    <xf borderId="0" fillId="0" fontId="6" numFmtId="0" xfId="0" applyAlignment="1" applyFont="1">
      <alignment horizontal="center" vertical="bottom"/>
    </xf>
    <xf borderId="1" fillId="0" fontId="2" numFmtId="0" xfId="0" applyAlignment="1" applyBorder="1" applyFont="1">
      <alignment horizontal="center"/>
    </xf>
    <xf borderId="0" fillId="6" fontId="9" numFmtId="0" xfId="0" applyAlignment="1" applyFont="1">
      <alignment horizontal="left" readingOrder="0"/>
    </xf>
    <xf quotePrefix="1" borderId="0" fillId="0" fontId="2" numFmtId="0" xfId="0" applyAlignment="1" applyFont="1">
      <alignment readingOrder="0" shrinkToFit="0" wrapText="1"/>
    </xf>
    <xf borderId="0" fillId="6" fontId="10" numFmtId="0" xfId="0" applyFont="1"/>
    <xf borderId="2" fillId="0" fontId="8" numFmtId="0" xfId="0" applyAlignment="1" applyBorder="1" applyFont="1">
      <alignment shrinkToFit="0" vertical="bottom" wrapText="1"/>
    </xf>
    <xf borderId="3" fillId="0" fontId="9" numFmtId="0" xfId="0" applyAlignment="1" applyBorder="1" applyFont="1">
      <alignment shrinkToFit="0" vertical="bottom" wrapText="1"/>
    </xf>
    <xf borderId="0" fillId="5" fontId="2" numFmtId="0" xfId="0" applyFont="1"/>
    <xf borderId="0" fillId="0" fontId="9" numFmtId="0" xfId="0" applyAlignment="1" applyFont="1">
      <alignment shrinkToFit="0" vertical="bottom" wrapText="1"/>
    </xf>
    <xf borderId="0" fillId="0" fontId="9" numFmtId="0" xfId="0" applyAlignment="1" applyFont="1">
      <alignment horizontal="left" readingOrder="0"/>
    </xf>
    <xf borderId="0" fillId="0" fontId="8" numFmtId="0" xfId="0" applyAlignment="1" applyFont="1">
      <alignment readingOrder="0" shrinkToFit="0" vertical="bottom" wrapText="1"/>
    </xf>
    <xf borderId="0" fillId="0" fontId="8" numFmtId="0" xfId="0" applyAlignment="1" applyFont="1">
      <alignment shrinkToFit="0" vertical="bottom" wrapText="1"/>
    </xf>
    <xf borderId="1" fillId="0" fontId="8" numFmtId="0" xfId="0" applyAlignment="1" applyBorder="1" applyFont="1">
      <alignment shrinkToFit="0" vertical="bottom" wrapText="0"/>
    </xf>
    <xf borderId="1" fillId="0" fontId="8" numFmtId="0" xfId="0" applyAlignment="1" applyBorder="1" applyFont="1">
      <alignment vertical="bottom"/>
    </xf>
    <xf borderId="0" fillId="0" fontId="8" numFmtId="0" xfId="0" applyAlignment="1" applyFont="1">
      <alignment vertical="bottom"/>
    </xf>
    <xf borderId="4" fillId="0" fontId="8"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unroll.m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7.57"/>
    <col customWidth="1" min="2" max="2" width="54.43"/>
    <col customWidth="1" min="3" max="12" width="35.86"/>
  </cols>
  <sheetData>
    <row r="1">
      <c r="A1" s="1" t="s">
        <v>0</v>
      </c>
      <c r="B1" s="2" t="s">
        <v>1</v>
      </c>
      <c r="C1" s="2" t="s">
        <v>2</v>
      </c>
      <c r="D1" s="2" t="s">
        <v>3</v>
      </c>
      <c r="E1" s="2" t="s">
        <v>4</v>
      </c>
      <c r="F1" s="2" t="s">
        <v>5</v>
      </c>
      <c r="G1" s="2" t="s">
        <v>6</v>
      </c>
      <c r="H1" s="3"/>
      <c r="I1" s="3"/>
      <c r="J1" s="3"/>
      <c r="K1" s="3"/>
      <c r="L1" s="3"/>
    </row>
    <row r="2">
      <c r="A2" s="4" t="s">
        <v>7</v>
      </c>
      <c r="B2" s="4" t="s">
        <v>8</v>
      </c>
      <c r="C2" s="4" t="s">
        <v>9</v>
      </c>
      <c r="D2" s="4" t="s">
        <v>10</v>
      </c>
      <c r="E2" s="4" t="s">
        <v>11</v>
      </c>
      <c r="F2" s="4" t="s">
        <v>12</v>
      </c>
      <c r="G2" s="4" t="s">
        <v>13</v>
      </c>
      <c r="H2" s="5"/>
      <c r="I2" s="5"/>
      <c r="J2" s="5"/>
      <c r="K2" s="5"/>
      <c r="L2" s="5"/>
      <c r="M2" s="6"/>
      <c r="N2" s="6"/>
      <c r="O2" s="6"/>
      <c r="P2" s="6"/>
      <c r="Q2" s="6"/>
      <c r="R2" s="7"/>
    </row>
    <row r="3">
      <c r="A3" s="8">
        <v>27.0</v>
      </c>
      <c r="B3" s="9" t="s">
        <v>14</v>
      </c>
      <c r="C3" s="9" t="s">
        <v>15</v>
      </c>
      <c r="D3" s="9" t="s">
        <v>16</v>
      </c>
      <c r="E3" s="10"/>
      <c r="F3" s="10"/>
      <c r="G3" s="9" t="s">
        <v>17</v>
      </c>
      <c r="H3" s="11"/>
      <c r="I3" s="11"/>
      <c r="J3" s="3"/>
      <c r="K3" s="3"/>
      <c r="L3" s="3"/>
    </row>
    <row r="4">
      <c r="A4" s="8">
        <v>29.0</v>
      </c>
      <c r="B4" s="9" t="s">
        <v>18</v>
      </c>
      <c r="C4" s="9" t="s">
        <v>19</v>
      </c>
      <c r="D4" s="9" t="s">
        <v>19</v>
      </c>
      <c r="E4" s="10"/>
      <c r="F4" s="9" t="s">
        <v>20</v>
      </c>
      <c r="G4" s="9" t="s">
        <v>21</v>
      </c>
      <c r="H4" s="3"/>
      <c r="I4" s="11"/>
      <c r="J4" s="11"/>
      <c r="K4" s="3"/>
      <c r="L4" s="3"/>
    </row>
    <row r="5">
      <c r="A5" s="8">
        <v>30.0</v>
      </c>
      <c r="B5" s="10"/>
      <c r="C5" s="10"/>
      <c r="D5" s="9" t="s">
        <v>22</v>
      </c>
      <c r="E5" s="9" t="s">
        <v>23</v>
      </c>
      <c r="F5" s="9" t="s">
        <v>24</v>
      </c>
      <c r="G5" s="9" t="s">
        <v>25</v>
      </c>
      <c r="H5" s="11"/>
      <c r="I5" s="3"/>
      <c r="J5" s="11"/>
      <c r="K5" s="3"/>
      <c r="L5" s="3"/>
    </row>
    <row r="6">
      <c r="A6" s="8">
        <v>31.0</v>
      </c>
      <c r="B6" s="9" t="s">
        <v>26</v>
      </c>
      <c r="C6" s="9" t="s">
        <v>18</v>
      </c>
      <c r="D6" s="9" t="s">
        <v>27</v>
      </c>
      <c r="E6" s="10"/>
      <c r="F6" s="9" t="s">
        <v>28</v>
      </c>
      <c r="G6" s="9" t="s">
        <v>29</v>
      </c>
      <c r="H6" s="11"/>
      <c r="I6" s="11"/>
      <c r="J6" s="3"/>
      <c r="K6" s="3"/>
      <c r="L6" s="3"/>
    </row>
    <row r="7">
      <c r="A7" s="8">
        <v>32.0</v>
      </c>
      <c r="B7" s="9" t="s">
        <v>30</v>
      </c>
      <c r="C7" s="10"/>
      <c r="D7" s="9" t="s">
        <v>31</v>
      </c>
      <c r="E7" s="10"/>
      <c r="F7" s="10"/>
      <c r="G7" s="9" t="s">
        <v>32</v>
      </c>
      <c r="H7" s="3"/>
      <c r="I7" s="11"/>
      <c r="J7" s="11"/>
      <c r="K7" s="3"/>
      <c r="L7" s="3"/>
    </row>
    <row r="8">
      <c r="A8" s="8">
        <v>34.0</v>
      </c>
      <c r="B8" s="10"/>
      <c r="C8" s="10"/>
      <c r="D8" s="10"/>
      <c r="E8" s="9" t="s">
        <v>33</v>
      </c>
      <c r="F8" s="9" t="s">
        <v>34</v>
      </c>
      <c r="G8" s="9" t="s">
        <v>35</v>
      </c>
      <c r="H8" s="11"/>
      <c r="I8" s="3"/>
      <c r="J8" s="11"/>
      <c r="K8" s="3"/>
      <c r="L8" s="3"/>
    </row>
    <row r="9">
      <c r="A9" s="8">
        <v>35.0</v>
      </c>
      <c r="B9" s="9" t="s">
        <v>36</v>
      </c>
      <c r="C9" s="9" t="s">
        <v>37</v>
      </c>
      <c r="D9" s="9" t="s">
        <v>38</v>
      </c>
      <c r="E9" s="9" t="s">
        <v>39</v>
      </c>
      <c r="F9" s="10"/>
      <c r="G9" s="9" t="s">
        <v>40</v>
      </c>
      <c r="H9" s="3"/>
      <c r="I9" s="11"/>
      <c r="J9" s="11"/>
      <c r="K9" s="3"/>
      <c r="L9" s="3"/>
    </row>
    <row r="10">
      <c r="A10" s="8">
        <v>36.0</v>
      </c>
      <c r="B10" s="9" t="s">
        <v>41</v>
      </c>
      <c r="C10" s="10"/>
      <c r="D10" s="9" t="s">
        <v>42</v>
      </c>
      <c r="E10" s="9" t="s">
        <v>43</v>
      </c>
      <c r="F10" s="9" t="s">
        <v>44</v>
      </c>
      <c r="G10" s="9" t="s">
        <v>45</v>
      </c>
      <c r="H10" s="11"/>
      <c r="I10" s="3"/>
      <c r="J10" s="11"/>
      <c r="K10" s="3"/>
      <c r="L10" s="3"/>
    </row>
    <row r="11">
      <c r="A11" s="8">
        <v>37.0</v>
      </c>
      <c r="B11" s="10"/>
      <c r="C11" s="10"/>
      <c r="D11" s="10"/>
      <c r="E11" s="10"/>
      <c r="F11" s="9" t="s">
        <v>46</v>
      </c>
      <c r="G11" s="9" t="s">
        <v>18</v>
      </c>
      <c r="H11" s="11"/>
      <c r="I11" s="3"/>
      <c r="J11" s="11"/>
      <c r="K11" s="3"/>
      <c r="L11" s="3"/>
    </row>
    <row r="12">
      <c r="A12" s="8">
        <v>38.0</v>
      </c>
      <c r="B12" s="9" t="s">
        <v>47</v>
      </c>
      <c r="C12" s="10"/>
      <c r="D12" s="9" t="s">
        <v>48</v>
      </c>
      <c r="E12" s="9" t="s">
        <v>49</v>
      </c>
      <c r="F12" s="10"/>
      <c r="G12" s="9" t="s">
        <v>50</v>
      </c>
      <c r="H12" s="11"/>
      <c r="I12" s="3"/>
      <c r="J12" s="11"/>
      <c r="K12" s="3"/>
      <c r="L12" s="3"/>
    </row>
    <row r="13">
      <c r="A13" s="8">
        <v>39.0</v>
      </c>
      <c r="B13" s="10"/>
      <c r="C13" s="10"/>
      <c r="D13" s="10"/>
      <c r="E13" s="10"/>
      <c r="F13" s="9" t="s">
        <v>51</v>
      </c>
      <c r="G13" s="9" t="s">
        <v>52</v>
      </c>
      <c r="H13" s="11"/>
      <c r="I13" s="3"/>
      <c r="J13" s="11"/>
      <c r="K13" s="3"/>
      <c r="L13" s="3"/>
    </row>
    <row r="14">
      <c r="A14" s="8">
        <v>40.0</v>
      </c>
      <c r="B14" s="9" t="s">
        <v>53</v>
      </c>
      <c r="C14" s="10"/>
      <c r="D14" s="9" t="s">
        <v>54</v>
      </c>
      <c r="E14" s="9" t="s">
        <v>55</v>
      </c>
      <c r="F14" s="9" t="s">
        <v>56</v>
      </c>
      <c r="G14" s="9" t="s">
        <v>57</v>
      </c>
      <c r="H14" s="11"/>
      <c r="I14" s="11"/>
      <c r="J14" s="3"/>
      <c r="K14" s="3"/>
      <c r="L14" s="3"/>
    </row>
    <row r="15">
      <c r="A15" s="8">
        <v>41.0</v>
      </c>
      <c r="B15" s="10"/>
      <c r="C15" s="10"/>
      <c r="D15" s="10"/>
      <c r="E15" s="10"/>
      <c r="F15" s="9" t="s">
        <v>58</v>
      </c>
      <c r="G15" s="9" t="s">
        <v>59</v>
      </c>
      <c r="H15" s="11"/>
      <c r="I15" s="11"/>
      <c r="J15" s="3"/>
      <c r="K15" s="3"/>
      <c r="L15" s="3"/>
    </row>
    <row r="16">
      <c r="A16" s="8">
        <v>42.0</v>
      </c>
      <c r="B16" s="9" t="s">
        <v>60</v>
      </c>
      <c r="C16" s="9" t="s">
        <v>61</v>
      </c>
      <c r="D16" s="9" t="s">
        <v>62</v>
      </c>
      <c r="E16" s="9" t="s">
        <v>63</v>
      </c>
      <c r="F16" s="10"/>
      <c r="G16" s="9" t="s">
        <v>64</v>
      </c>
      <c r="H16" s="3"/>
      <c r="I16" s="11"/>
      <c r="J16" s="11"/>
      <c r="K16" s="3"/>
      <c r="L16" s="3"/>
    </row>
    <row r="17">
      <c r="A17" s="8">
        <v>43.0</v>
      </c>
      <c r="B17" s="10"/>
      <c r="C17" s="10"/>
      <c r="D17" s="9" t="s">
        <v>65</v>
      </c>
      <c r="E17" s="10"/>
      <c r="F17" s="10"/>
      <c r="G17" s="9" t="s">
        <v>66</v>
      </c>
      <c r="H17" s="3"/>
      <c r="I17" s="11"/>
      <c r="J17" s="11"/>
      <c r="K17" s="3"/>
      <c r="L17" s="3"/>
    </row>
    <row r="18">
      <c r="A18" s="8">
        <v>44.0</v>
      </c>
      <c r="B18" s="9" t="s">
        <v>67</v>
      </c>
      <c r="C18" s="9" t="s">
        <v>68</v>
      </c>
      <c r="D18" s="9" t="s">
        <v>69</v>
      </c>
      <c r="E18" s="9" t="s">
        <v>70</v>
      </c>
      <c r="F18" s="9" t="s">
        <v>71</v>
      </c>
      <c r="G18" s="9" t="s">
        <v>72</v>
      </c>
      <c r="H18" s="11"/>
      <c r="I18" s="11"/>
      <c r="J18" s="3"/>
      <c r="K18" s="3"/>
      <c r="L18" s="3"/>
    </row>
    <row r="19">
      <c r="A19" s="8">
        <v>45.0</v>
      </c>
      <c r="B19" s="9" t="s">
        <v>73</v>
      </c>
      <c r="C19" s="9" t="s">
        <v>74</v>
      </c>
      <c r="D19" s="9" t="s">
        <v>75</v>
      </c>
      <c r="E19" s="9" t="s">
        <v>76</v>
      </c>
      <c r="F19" s="9" t="s">
        <v>77</v>
      </c>
      <c r="G19" s="9" t="s">
        <v>78</v>
      </c>
      <c r="H19" s="3"/>
      <c r="I19" s="11"/>
      <c r="J19" s="11"/>
      <c r="K19" s="3"/>
      <c r="L19" s="3"/>
    </row>
    <row r="20">
      <c r="A20" s="8">
        <v>46.0</v>
      </c>
      <c r="B20" s="10"/>
      <c r="C20" s="10"/>
      <c r="D20" s="10"/>
      <c r="E20" s="10"/>
      <c r="F20" s="9" t="s">
        <v>79</v>
      </c>
      <c r="G20" s="9" t="s">
        <v>80</v>
      </c>
      <c r="H20" s="11"/>
      <c r="I20" s="11"/>
      <c r="J20" s="3"/>
      <c r="K20" s="3"/>
      <c r="L20" s="3"/>
    </row>
    <row r="21">
      <c r="A21" s="8">
        <v>47.0</v>
      </c>
      <c r="B21" s="10"/>
      <c r="C21" s="10"/>
      <c r="D21" s="10"/>
      <c r="E21" s="9" t="s">
        <v>81</v>
      </c>
      <c r="F21" s="9" t="s">
        <v>82</v>
      </c>
      <c r="G21" s="9" t="s">
        <v>83</v>
      </c>
      <c r="H21" s="3"/>
      <c r="I21" s="11"/>
      <c r="J21" s="11"/>
      <c r="K21" s="3"/>
      <c r="L21" s="3"/>
    </row>
    <row r="22">
      <c r="A22" s="8">
        <v>48.0</v>
      </c>
      <c r="B22" s="10"/>
      <c r="C22" s="10"/>
      <c r="D22" s="10"/>
      <c r="E22" s="9" t="s">
        <v>84</v>
      </c>
      <c r="F22" s="9" t="s">
        <v>85</v>
      </c>
      <c r="G22" s="9" t="s">
        <v>86</v>
      </c>
      <c r="H22" s="11"/>
      <c r="I22" s="11"/>
      <c r="J22" s="3"/>
      <c r="K22" s="3"/>
      <c r="L22" s="3"/>
    </row>
    <row r="23">
      <c r="A23" s="8">
        <v>49.0</v>
      </c>
      <c r="B23" s="9" t="s">
        <v>87</v>
      </c>
      <c r="C23" s="9" t="s">
        <v>88</v>
      </c>
      <c r="D23" s="9" t="s">
        <v>89</v>
      </c>
      <c r="E23" s="9" t="s">
        <v>90</v>
      </c>
      <c r="F23" s="9" t="s">
        <v>91</v>
      </c>
      <c r="G23" s="9" t="s">
        <v>92</v>
      </c>
      <c r="H23" s="11"/>
      <c r="I23" s="11"/>
      <c r="J23" s="3"/>
      <c r="K23" s="3"/>
      <c r="L23" s="3"/>
    </row>
    <row r="24">
      <c r="A24" s="8">
        <v>50.0</v>
      </c>
      <c r="B24" s="10"/>
      <c r="C24" s="10"/>
      <c r="D24" s="9" t="s">
        <v>93</v>
      </c>
      <c r="E24" s="9" t="s">
        <v>94</v>
      </c>
      <c r="F24" s="9" t="s">
        <v>95</v>
      </c>
      <c r="G24" s="9" t="s">
        <v>96</v>
      </c>
      <c r="H24" s="11"/>
      <c r="I24" s="3"/>
      <c r="J24" s="11"/>
      <c r="K24" s="3"/>
      <c r="L24" s="3"/>
    </row>
    <row r="25">
      <c r="A25" s="8">
        <v>51.0</v>
      </c>
      <c r="B25" s="10"/>
      <c r="C25" s="10"/>
      <c r="D25" s="10"/>
      <c r="E25" s="10"/>
      <c r="F25" s="9" t="s">
        <v>97</v>
      </c>
      <c r="G25" s="9" t="s">
        <v>98</v>
      </c>
      <c r="H25" s="11"/>
      <c r="I25" s="3"/>
      <c r="J25" s="11"/>
      <c r="K25" s="3"/>
      <c r="L25" s="3"/>
    </row>
    <row r="26">
      <c r="A26" s="8">
        <v>52.0</v>
      </c>
      <c r="B26" s="9" t="s">
        <v>99</v>
      </c>
      <c r="C26" s="9" t="s">
        <v>100</v>
      </c>
      <c r="D26" s="9" t="s">
        <v>101</v>
      </c>
      <c r="E26" s="9" t="s">
        <v>102</v>
      </c>
      <c r="F26" s="9" t="s">
        <v>103</v>
      </c>
      <c r="G26" s="9" t="s">
        <v>104</v>
      </c>
      <c r="H26" s="11"/>
      <c r="I26" s="11"/>
      <c r="J26" s="3"/>
      <c r="K26" s="3"/>
      <c r="L26" s="3"/>
    </row>
    <row r="27">
      <c r="A27" s="8">
        <v>53.0</v>
      </c>
      <c r="B27" s="10"/>
      <c r="C27" s="10"/>
      <c r="D27" s="9" t="s">
        <v>105</v>
      </c>
      <c r="E27" s="10"/>
      <c r="F27" s="9" t="s">
        <v>106</v>
      </c>
      <c r="G27" s="9" t="s">
        <v>25</v>
      </c>
      <c r="H27" s="11"/>
      <c r="I27" s="11"/>
      <c r="J27" s="3"/>
      <c r="K27" s="3"/>
      <c r="L27" s="3"/>
    </row>
    <row r="28">
      <c r="A28" s="8">
        <v>54.0</v>
      </c>
      <c r="B28" s="10"/>
      <c r="C28" s="10"/>
      <c r="D28" s="10"/>
      <c r="E28" s="10"/>
      <c r="F28" s="9" t="s">
        <v>107</v>
      </c>
      <c r="G28" s="9" t="s">
        <v>108</v>
      </c>
      <c r="H28" s="11"/>
      <c r="I28" s="11"/>
      <c r="J28" s="3"/>
      <c r="K28" s="3"/>
      <c r="L28" s="3"/>
    </row>
    <row r="29">
      <c r="A29" s="8">
        <v>55.0</v>
      </c>
      <c r="B29" s="10"/>
      <c r="C29" s="10"/>
      <c r="D29" s="9" t="s">
        <v>109</v>
      </c>
      <c r="E29" s="10"/>
      <c r="F29" s="9" t="s">
        <v>110</v>
      </c>
      <c r="G29" s="9" t="s">
        <v>111</v>
      </c>
      <c r="H29" s="11"/>
      <c r="I29" s="3"/>
      <c r="J29" s="11"/>
      <c r="K29" s="3"/>
      <c r="L29" s="3"/>
    </row>
    <row r="30">
      <c r="A30" s="8">
        <v>56.0</v>
      </c>
      <c r="B30" s="10"/>
      <c r="C30" s="10"/>
      <c r="D30" s="10"/>
      <c r="E30" s="9" t="s">
        <v>112</v>
      </c>
      <c r="F30" s="9" t="s">
        <v>113</v>
      </c>
      <c r="G30" s="9" t="s">
        <v>114</v>
      </c>
      <c r="H30" s="3"/>
      <c r="I30" s="11"/>
      <c r="J30" s="11"/>
      <c r="K30" s="3"/>
      <c r="L30" s="3"/>
    </row>
    <row r="31">
      <c r="A31" s="8">
        <v>57.0</v>
      </c>
      <c r="B31" s="9" t="s">
        <v>115</v>
      </c>
      <c r="C31" s="10"/>
      <c r="D31" s="9" t="s">
        <v>116</v>
      </c>
      <c r="E31" s="10"/>
      <c r="F31" s="9" t="s">
        <v>117</v>
      </c>
      <c r="G31" s="9" t="s">
        <v>118</v>
      </c>
      <c r="H31" s="11"/>
      <c r="I31" s="11"/>
      <c r="J31" s="3"/>
      <c r="K31" s="3"/>
      <c r="L31" s="3"/>
    </row>
    <row r="32">
      <c r="A32" s="8">
        <v>58.0</v>
      </c>
      <c r="B32" s="9" t="s">
        <v>119</v>
      </c>
      <c r="C32" s="10"/>
      <c r="D32" s="9" t="s">
        <v>120</v>
      </c>
      <c r="E32" s="10"/>
      <c r="F32" s="10"/>
      <c r="G32" s="9" t="s">
        <v>121</v>
      </c>
      <c r="H32" s="11"/>
      <c r="I32" s="11"/>
      <c r="J32" s="3"/>
      <c r="K32" s="3"/>
      <c r="L32" s="3"/>
    </row>
    <row r="33">
      <c r="A33" s="8">
        <v>59.0</v>
      </c>
      <c r="B33" s="10"/>
      <c r="C33" s="10"/>
      <c r="D33" s="10"/>
      <c r="E33" s="9" t="s">
        <v>122</v>
      </c>
      <c r="F33" s="10"/>
      <c r="G33" s="9" t="s">
        <v>123</v>
      </c>
      <c r="H33" s="11"/>
      <c r="I33" s="3"/>
      <c r="J33" s="11"/>
      <c r="K33" s="3"/>
      <c r="L33" s="3"/>
    </row>
    <row r="34">
      <c r="A34" s="8">
        <v>60.0</v>
      </c>
      <c r="B34" s="10"/>
      <c r="C34" s="10"/>
      <c r="D34" s="10"/>
      <c r="E34" s="9" t="s">
        <v>124</v>
      </c>
      <c r="F34" s="9" t="s">
        <v>125</v>
      </c>
      <c r="G34" s="9" t="s">
        <v>126</v>
      </c>
      <c r="H34" s="11"/>
      <c r="I34" s="3"/>
      <c r="J34" s="11"/>
      <c r="K34" s="3"/>
      <c r="L34" s="3"/>
    </row>
    <row r="35">
      <c r="A35" s="8">
        <v>61.0</v>
      </c>
      <c r="B35" s="9" t="s">
        <v>127</v>
      </c>
      <c r="C35" s="9" t="s">
        <v>128</v>
      </c>
      <c r="D35" s="9" t="s">
        <v>129</v>
      </c>
      <c r="E35" s="10"/>
      <c r="F35" s="9" t="s">
        <v>130</v>
      </c>
      <c r="G35" s="9" t="s">
        <v>131</v>
      </c>
      <c r="H35" s="3"/>
      <c r="I35" s="11"/>
      <c r="J35" s="11"/>
      <c r="K35" s="3"/>
      <c r="L35" s="3"/>
    </row>
    <row r="36">
      <c r="A36" s="8">
        <v>62.0</v>
      </c>
      <c r="B36" s="9" t="s">
        <v>132</v>
      </c>
      <c r="C36" s="9" t="s">
        <v>25</v>
      </c>
      <c r="D36" s="9" t="s">
        <v>133</v>
      </c>
      <c r="E36" s="9" t="s">
        <v>134</v>
      </c>
      <c r="F36" s="10"/>
      <c r="G36" s="9" t="s">
        <v>18</v>
      </c>
      <c r="H36" s="3"/>
      <c r="I36" s="11"/>
      <c r="J36" s="11"/>
      <c r="K36" s="3"/>
      <c r="L36" s="3"/>
    </row>
    <row r="37">
      <c r="A37" s="8">
        <v>63.0</v>
      </c>
      <c r="B37" s="10"/>
      <c r="C37" s="10"/>
      <c r="D37" s="10"/>
      <c r="E37" s="9" t="s">
        <v>135</v>
      </c>
      <c r="F37" s="9" t="s">
        <v>136</v>
      </c>
      <c r="G37" s="9" t="s">
        <v>137</v>
      </c>
      <c r="H37" s="11"/>
      <c r="I37" s="3"/>
      <c r="J37" s="11"/>
      <c r="K37" s="3"/>
      <c r="L37" s="3"/>
    </row>
    <row r="38">
      <c r="A38" s="8">
        <v>64.0</v>
      </c>
      <c r="B38" s="9" t="s">
        <v>138</v>
      </c>
      <c r="C38" s="9" t="s">
        <v>138</v>
      </c>
      <c r="D38" s="9" t="s">
        <v>139</v>
      </c>
      <c r="E38" s="9" t="s">
        <v>140</v>
      </c>
      <c r="F38" s="9" t="s">
        <v>141</v>
      </c>
      <c r="G38" s="9" t="s">
        <v>142</v>
      </c>
      <c r="H38" s="11"/>
      <c r="I38" s="11"/>
      <c r="J38" s="3"/>
      <c r="K38" s="3"/>
      <c r="L38" s="3"/>
    </row>
    <row r="39">
      <c r="A39" s="8">
        <v>65.0</v>
      </c>
      <c r="B39" s="9" t="s">
        <v>143</v>
      </c>
      <c r="C39" s="9" t="s">
        <v>144</v>
      </c>
      <c r="D39" s="9" t="s">
        <v>145</v>
      </c>
      <c r="E39" s="9" t="s">
        <v>146</v>
      </c>
      <c r="F39" s="9" t="s">
        <v>147</v>
      </c>
      <c r="G39" s="9" t="s">
        <v>148</v>
      </c>
      <c r="H39" s="11"/>
      <c r="I39" s="11"/>
      <c r="J39" s="3"/>
      <c r="K39" s="3"/>
      <c r="L39" s="3"/>
    </row>
    <row r="40">
      <c r="A40" s="8">
        <v>66.0</v>
      </c>
      <c r="B40" s="10"/>
      <c r="C40" s="10"/>
      <c r="D40" s="10"/>
      <c r="E40" s="9" t="s">
        <v>149</v>
      </c>
      <c r="F40" s="9" t="s">
        <v>150</v>
      </c>
      <c r="G40" s="9" t="s">
        <v>151</v>
      </c>
      <c r="H40" s="11"/>
      <c r="I40" s="11"/>
      <c r="J40" s="3"/>
      <c r="K40" s="3"/>
      <c r="L40" s="3"/>
    </row>
    <row r="41">
      <c r="A41" s="8">
        <v>67.0</v>
      </c>
      <c r="B41" s="9" t="s">
        <v>152</v>
      </c>
      <c r="C41" s="10"/>
      <c r="D41" s="9" t="s">
        <v>153</v>
      </c>
      <c r="E41" s="10"/>
      <c r="F41" s="9" t="s">
        <v>154</v>
      </c>
      <c r="G41" s="9" t="s">
        <v>155</v>
      </c>
      <c r="H41" s="11"/>
      <c r="I41" s="11"/>
      <c r="J41" s="3"/>
      <c r="K41" s="3"/>
      <c r="L41" s="3"/>
    </row>
    <row r="42">
      <c r="A42" s="8">
        <v>68.0</v>
      </c>
      <c r="B42" s="10"/>
      <c r="C42" s="10"/>
      <c r="D42" s="9" t="s">
        <v>156</v>
      </c>
      <c r="E42" s="10"/>
      <c r="F42" s="10"/>
      <c r="G42" s="9" t="s">
        <v>157</v>
      </c>
      <c r="H42" s="11"/>
      <c r="I42" s="11"/>
      <c r="J42" s="3"/>
      <c r="K42" s="3"/>
      <c r="L42" s="3"/>
    </row>
    <row r="43">
      <c r="A43" s="8">
        <v>69.0</v>
      </c>
      <c r="B43" s="9" t="s">
        <v>158</v>
      </c>
      <c r="C43" s="9" t="s">
        <v>159</v>
      </c>
      <c r="D43" s="9" t="s">
        <v>160</v>
      </c>
      <c r="E43" s="9" t="s">
        <v>161</v>
      </c>
      <c r="F43" s="9" t="s">
        <v>162</v>
      </c>
      <c r="G43" s="9" t="s">
        <v>163</v>
      </c>
      <c r="H43" s="11"/>
      <c r="I43" s="11"/>
      <c r="J43" s="3"/>
      <c r="K43" s="3"/>
      <c r="L43" s="3"/>
    </row>
    <row r="44">
      <c r="A44" s="8">
        <v>70.0</v>
      </c>
      <c r="B44" s="10"/>
      <c r="C44" s="10"/>
      <c r="D44" s="10"/>
      <c r="E44" s="10"/>
      <c r="F44" s="9" t="s">
        <v>164</v>
      </c>
      <c r="G44" s="9" t="s">
        <v>165</v>
      </c>
      <c r="H44" s="11"/>
      <c r="I44" s="11"/>
      <c r="J44" s="3"/>
      <c r="K44" s="3"/>
      <c r="L44" s="3"/>
    </row>
    <row r="45">
      <c r="A45" s="8">
        <v>71.0</v>
      </c>
      <c r="B45" s="10"/>
      <c r="C45" s="10"/>
      <c r="D45" s="10"/>
      <c r="E45" s="9" t="s">
        <v>166</v>
      </c>
      <c r="F45" s="9" t="s">
        <v>167</v>
      </c>
      <c r="G45" s="9" t="s">
        <v>168</v>
      </c>
      <c r="H45" s="11"/>
      <c r="I45" s="11"/>
      <c r="J45" s="3"/>
      <c r="K45" s="3"/>
      <c r="L45" s="3"/>
    </row>
    <row r="46">
      <c r="A46" s="8">
        <v>72.0</v>
      </c>
      <c r="B46" s="9" t="s">
        <v>169</v>
      </c>
      <c r="C46" s="9" t="s">
        <v>170</v>
      </c>
      <c r="D46" s="9" t="s">
        <v>171</v>
      </c>
      <c r="E46" s="10"/>
      <c r="F46" s="9" t="s">
        <v>172</v>
      </c>
      <c r="G46" s="9" t="s">
        <v>173</v>
      </c>
      <c r="H46" s="11"/>
      <c r="I46" s="11"/>
      <c r="J46" s="3"/>
      <c r="K46" s="3"/>
      <c r="L46" s="3"/>
    </row>
    <row r="47">
      <c r="A47" s="8">
        <v>73.0</v>
      </c>
      <c r="B47" s="9" t="s">
        <v>174</v>
      </c>
      <c r="C47" s="9" t="s">
        <v>175</v>
      </c>
      <c r="D47" s="9" t="s">
        <v>176</v>
      </c>
      <c r="E47" s="9" t="s">
        <v>177</v>
      </c>
      <c r="F47" s="9" t="s">
        <v>178</v>
      </c>
      <c r="G47" s="9" t="s">
        <v>25</v>
      </c>
      <c r="H47" s="3"/>
      <c r="I47" s="11"/>
      <c r="J47" s="11"/>
      <c r="K47" s="3"/>
      <c r="L47" s="3"/>
    </row>
    <row r="48">
      <c r="A48" s="8">
        <v>74.0</v>
      </c>
      <c r="B48" s="10"/>
      <c r="C48" s="10"/>
      <c r="D48" s="9" t="s">
        <v>179</v>
      </c>
      <c r="E48" s="9" t="s">
        <v>180</v>
      </c>
      <c r="F48" s="9" t="s">
        <v>181</v>
      </c>
      <c r="G48" s="9" t="s">
        <v>182</v>
      </c>
      <c r="H48" s="11"/>
      <c r="I48" s="11"/>
      <c r="J48" s="3"/>
      <c r="K48" s="3"/>
      <c r="L48" s="3"/>
    </row>
    <row r="49">
      <c r="A49" s="8">
        <v>75.0</v>
      </c>
      <c r="B49" s="10"/>
      <c r="C49" s="10"/>
      <c r="D49" s="10"/>
      <c r="E49" s="10"/>
      <c r="F49" s="10"/>
      <c r="G49" s="9" t="s">
        <v>183</v>
      </c>
      <c r="H49" s="11"/>
      <c r="I49" s="11"/>
      <c r="J49" s="3"/>
      <c r="K49" s="3"/>
      <c r="L49" s="3"/>
    </row>
    <row r="50">
      <c r="A50" s="8">
        <v>76.0</v>
      </c>
      <c r="B50" s="9" t="s">
        <v>184</v>
      </c>
      <c r="C50" s="9" t="s">
        <v>185</v>
      </c>
      <c r="D50" s="9" t="s">
        <v>186</v>
      </c>
      <c r="E50" s="9" t="s">
        <v>187</v>
      </c>
      <c r="F50" s="9" t="s">
        <v>188</v>
      </c>
      <c r="G50" s="9" t="s">
        <v>189</v>
      </c>
      <c r="H50" s="3"/>
      <c r="I50" s="11"/>
      <c r="J50" s="11"/>
      <c r="K50" s="3"/>
      <c r="L50" s="3"/>
    </row>
    <row r="51">
      <c r="A51" s="8">
        <v>77.0</v>
      </c>
      <c r="B51" s="10"/>
      <c r="C51" s="10"/>
      <c r="D51" s="9" t="s">
        <v>190</v>
      </c>
      <c r="E51" s="10"/>
      <c r="F51" s="10"/>
      <c r="G51" s="9" t="s">
        <v>191</v>
      </c>
      <c r="H51" s="11"/>
      <c r="I51" s="11"/>
      <c r="J51" s="3"/>
      <c r="K51" s="3"/>
      <c r="L51" s="3"/>
    </row>
    <row r="52">
      <c r="A52" s="8">
        <v>78.0</v>
      </c>
      <c r="B52" s="9" t="s">
        <v>25</v>
      </c>
      <c r="C52" s="10"/>
      <c r="D52" s="9" t="s">
        <v>192</v>
      </c>
      <c r="E52" s="10"/>
      <c r="F52" s="9" t="s">
        <v>193</v>
      </c>
      <c r="G52" s="9" t="s">
        <v>194</v>
      </c>
      <c r="H52" s="11"/>
      <c r="I52" s="11"/>
      <c r="J52" s="3"/>
      <c r="K52" s="3"/>
      <c r="L52" s="3"/>
    </row>
    <row r="53">
      <c r="A53" s="8">
        <v>79.0</v>
      </c>
      <c r="B53" s="9" t="s">
        <v>195</v>
      </c>
      <c r="C53" s="10"/>
      <c r="D53" s="9" t="s">
        <v>196</v>
      </c>
      <c r="E53" s="10"/>
      <c r="F53" s="9" t="s">
        <v>197</v>
      </c>
      <c r="G53" s="9" t="s">
        <v>198</v>
      </c>
      <c r="H53" s="3"/>
      <c r="I53" s="11"/>
      <c r="J53" s="11"/>
      <c r="K53" s="3"/>
      <c r="L53" s="3"/>
    </row>
    <row r="54">
      <c r="A54" s="8">
        <v>80.0</v>
      </c>
      <c r="B54" s="9" t="s">
        <v>174</v>
      </c>
      <c r="C54" s="9" t="s">
        <v>199</v>
      </c>
      <c r="D54" s="9" t="s">
        <v>200</v>
      </c>
      <c r="E54" s="9" t="s">
        <v>201</v>
      </c>
      <c r="F54" s="9" t="s">
        <v>202</v>
      </c>
      <c r="G54" s="9" t="s">
        <v>25</v>
      </c>
      <c r="H54" s="11"/>
      <c r="I54" s="11"/>
      <c r="J54" s="3"/>
      <c r="K54" s="3"/>
      <c r="L54" s="3"/>
    </row>
    <row r="55">
      <c r="A55" s="8">
        <v>81.0</v>
      </c>
      <c r="B55" s="10"/>
      <c r="C55" s="10"/>
      <c r="D55" s="10"/>
      <c r="E55" s="10"/>
      <c r="F55" s="9" t="s">
        <v>203</v>
      </c>
      <c r="G55" s="9" t="s">
        <v>204</v>
      </c>
      <c r="H55" s="11"/>
      <c r="I55" s="3"/>
      <c r="J55" s="11"/>
      <c r="K55" s="3"/>
      <c r="L55" s="3"/>
    </row>
    <row r="56">
      <c r="A56" s="8">
        <v>82.0</v>
      </c>
      <c r="B56" s="9" t="s">
        <v>205</v>
      </c>
      <c r="C56" s="9" t="s">
        <v>206</v>
      </c>
      <c r="D56" s="9" t="s">
        <v>207</v>
      </c>
      <c r="E56" s="9" t="s">
        <v>208</v>
      </c>
      <c r="F56" s="9" t="s">
        <v>209</v>
      </c>
      <c r="G56" s="9" t="s">
        <v>210</v>
      </c>
      <c r="H56" s="11"/>
      <c r="I56" s="3"/>
      <c r="J56" s="11"/>
      <c r="K56" s="3"/>
      <c r="L56" s="3"/>
    </row>
    <row r="57">
      <c r="A57" s="8">
        <v>83.0</v>
      </c>
      <c r="B57" s="9" t="s">
        <v>72</v>
      </c>
      <c r="C57" s="9" t="s">
        <v>211</v>
      </c>
      <c r="D57" s="9" t="s">
        <v>72</v>
      </c>
      <c r="E57" s="9" t="s">
        <v>212</v>
      </c>
      <c r="F57" s="10"/>
      <c r="G57" s="9" t="s">
        <v>72</v>
      </c>
      <c r="H57" s="11"/>
      <c r="I57" s="11"/>
      <c r="J57" s="3"/>
      <c r="K57" s="3"/>
      <c r="L57" s="3"/>
    </row>
    <row r="58">
      <c r="A58" s="8">
        <v>84.0</v>
      </c>
      <c r="B58" s="10"/>
      <c r="C58" s="10"/>
      <c r="D58" s="10"/>
      <c r="E58" s="10"/>
      <c r="F58" s="9" t="s">
        <v>213</v>
      </c>
      <c r="G58" s="9" t="s">
        <v>214</v>
      </c>
      <c r="H58" s="3"/>
      <c r="I58" s="11"/>
      <c r="J58" s="11"/>
      <c r="K58" s="3"/>
      <c r="L58" s="3"/>
    </row>
    <row r="59">
      <c r="A59" s="8">
        <v>85.0</v>
      </c>
      <c r="B59" s="10"/>
      <c r="C59" s="10"/>
      <c r="D59" s="9" t="s">
        <v>215</v>
      </c>
      <c r="E59" s="9" t="s">
        <v>216</v>
      </c>
      <c r="F59" s="9" t="s">
        <v>217</v>
      </c>
      <c r="G59" s="9" t="s">
        <v>218</v>
      </c>
      <c r="H59" s="11"/>
      <c r="I59" s="3"/>
      <c r="J59" s="11"/>
      <c r="K59" s="3"/>
      <c r="L59" s="3"/>
    </row>
    <row r="60">
      <c r="A60" s="8">
        <v>86.0</v>
      </c>
      <c r="B60" s="9" t="s">
        <v>219</v>
      </c>
      <c r="C60" s="9" t="s">
        <v>220</v>
      </c>
      <c r="D60" s="9" t="s">
        <v>221</v>
      </c>
      <c r="E60" s="10"/>
      <c r="F60" s="10"/>
      <c r="G60" s="9" t="s">
        <v>222</v>
      </c>
      <c r="H60" s="3"/>
      <c r="I60" s="11"/>
      <c r="J60" s="11"/>
      <c r="K60" s="3"/>
      <c r="L60" s="3"/>
    </row>
    <row r="61">
      <c r="A61" s="8">
        <v>87.0</v>
      </c>
      <c r="B61" s="9" t="s">
        <v>223</v>
      </c>
      <c r="C61" s="9" t="s">
        <v>224</v>
      </c>
      <c r="D61" s="9" t="s">
        <v>225</v>
      </c>
      <c r="E61" s="9" t="s">
        <v>226</v>
      </c>
      <c r="F61" s="9" t="s">
        <v>227</v>
      </c>
      <c r="G61" s="9" t="s">
        <v>228</v>
      </c>
      <c r="H61" s="11"/>
      <c r="I61" s="11"/>
      <c r="J61" s="3"/>
      <c r="K61" s="3"/>
      <c r="L61" s="3"/>
    </row>
    <row r="62">
      <c r="A62" s="8">
        <v>88.0</v>
      </c>
      <c r="B62" s="10"/>
      <c r="C62" s="10"/>
      <c r="D62" s="9" t="s">
        <v>229</v>
      </c>
      <c r="E62" s="10"/>
      <c r="F62" s="10"/>
      <c r="G62" s="9" t="s">
        <v>230</v>
      </c>
      <c r="H62" s="11"/>
      <c r="I62" s="11"/>
      <c r="J62" s="3"/>
      <c r="K62" s="3"/>
      <c r="L62" s="3"/>
    </row>
    <row r="63">
      <c r="A63" s="8">
        <v>89.0</v>
      </c>
      <c r="B63" s="9" t="s">
        <v>231</v>
      </c>
      <c r="C63" s="9" t="s">
        <v>232</v>
      </c>
      <c r="D63" s="9" t="s">
        <v>233</v>
      </c>
      <c r="E63" s="9" t="s">
        <v>234</v>
      </c>
      <c r="F63" s="9" t="s">
        <v>235</v>
      </c>
      <c r="G63" s="9" t="s">
        <v>236</v>
      </c>
      <c r="H63" s="11"/>
      <c r="I63" s="11"/>
      <c r="J63" s="3"/>
      <c r="K63" s="3"/>
      <c r="L63" s="3"/>
    </row>
    <row r="64">
      <c r="A64" s="8">
        <v>90.0</v>
      </c>
      <c r="B64" s="9" t="s">
        <v>237</v>
      </c>
      <c r="C64" s="10"/>
      <c r="D64" s="9" t="s">
        <v>238</v>
      </c>
      <c r="E64" s="9" t="s">
        <v>239</v>
      </c>
      <c r="F64" s="9" t="s">
        <v>80</v>
      </c>
      <c r="G64" s="9" t="s">
        <v>240</v>
      </c>
      <c r="H64" s="11"/>
      <c r="I64" s="11"/>
      <c r="J64" s="3"/>
      <c r="K64" s="3"/>
      <c r="L64" s="3"/>
    </row>
    <row r="65">
      <c r="A65" s="8">
        <v>91.0</v>
      </c>
      <c r="B65" s="10"/>
      <c r="C65" s="10"/>
      <c r="D65" s="9" t="s">
        <v>241</v>
      </c>
      <c r="E65" s="10"/>
      <c r="F65" s="9" t="s">
        <v>242</v>
      </c>
      <c r="G65" s="9" t="s">
        <v>243</v>
      </c>
      <c r="H65" s="11"/>
      <c r="I65" s="11"/>
      <c r="J65" s="3"/>
      <c r="K65" s="3"/>
      <c r="L65" s="3"/>
    </row>
    <row r="66">
      <c r="A66" s="8">
        <v>92.0</v>
      </c>
      <c r="B66" s="9" t="s">
        <v>244</v>
      </c>
      <c r="C66" s="10"/>
      <c r="D66" s="9" t="s">
        <v>245</v>
      </c>
      <c r="E66" s="9" t="s">
        <v>246</v>
      </c>
      <c r="F66" s="10"/>
      <c r="G66" s="9" t="s">
        <v>247</v>
      </c>
      <c r="H66" s="11"/>
      <c r="I66" s="11"/>
      <c r="J66" s="3"/>
      <c r="K66" s="3"/>
      <c r="L66" s="3"/>
    </row>
    <row r="67">
      <c r="A67" s="8">
        <v>93.0</v>
      </c>
      <c r="B67" s="9" t="s">
        <v>18</v>
      </c>
      <c r="C67" s="9" t="s">
        <v>18</v>
      </c>
      <c r="D67" s="9" t="s">
        <v>18</v>
      </c>
      <c r="E67" s="10"/>
      <c r="F67" s="10"/>
      <c r="G67" s="9" t="s">
        <v>142</v>
      </c>
      <c r="H67" s="11"/>
      <c r="I67" s="11"/>
      <c r="J67" s="3"/>
      <c r="K67" s="3"/>
      <c r="L67" s="3"/>
    </row>
    <row r="68">
      <c r="A68" s="8">
        <v>94.0</v>
      </c>
      <c r="B68" s="10"/>
      <c r="C68" s="10"/>
      <c r="D68" s="10"/>
      <c r="E68" s="9" t="s">
        <v>248</v>
      </c>
      <c r="F68" s="9" t="s">
        <v>249</v>
      </c>
      <c r="G68" s="9" t="s">
        <v>250</v>
      </c>
      <c r="H68" s="3"/>
      <c r="I68" s="11"/>
      <c r="J68" s="11"/>
      <c r="K68" s="3"/>
      <c r="L68" s="3"/>
    </row>
    <row r="69">
      <c r="A69" s="8">
        <v>95.0</v>
      </c>
      <c r="B69" s="9" t="s">
        <v>251</v>
      </c>
      <c r="C69" s="9" t="s">
        <v>252</v>
      </c>
      <c r="D69" s="9" t="s">
        <v>253</v>
      </c>
      <c r="E69" s="10"/>
      <c r="F69" s="9" t="s">
        <v>254</v>
      </c>
      <c r="G69" s="9" t="s">
        <v>18</v>
      </c>
      <c r="H69" s="11"/>
      <c r="I69" s="11"/>
      <c r="J69" s="3"/>
      <c r="K69" s="3"/>
      <c r="L69" s="3"/>
    </row>
    <row r="70">
      <c r="A70" s="8">
        <v>96.0</v>
      </c>
      <c r="B70" s="9" t="s">
        <v>255</v>
      </c>
      <c r="C70" s="9" t="s">
        <v>256</v>
      </c>
      <c r="D70" s="9" t="s">
        <v>257</v>
      </c>
      <c r="E70" s="9" t="s">
        <v>258</v>
      </c>
      <c r="F70" s="9" t="s">
        <v>259</v>
      </c>
      <c r="G70" s="9" t="s">
        <v>260</v>
      </c>
      <c r="H70" s="11"/>
      <c r="I70" s="11"/>
      <c r="J70" s="3"/>
      <c r="K70" s="3"/>
      <c r="L70" s="3"/>
    </row>
    <row r="71">
      <c r="A71" s="8">
        <v>97.0</v>
      </c>
      <c r="B71" s="10"/>
      <c r="C71" s="10"/>
      <c r="D71" s="9" t="s">
        <v>261</v>
      </c>
      <c r="E71" s="10"/>
      <c r="F71" s="10"/>
      <c r="G71" s="9" t="s">
        <v>262</v>
      </c>
      <c r="H71" s="11"/>
      <c r="I71" s="3"/>
      <c r="J71" s="11"/>
      <c r="K71" s="3"/>
      <c r="L71" s="3"/>
    </row>
    <row r="72">
      <c r="A72" s="8">
        <v>98.0</v>
      </c>
      <c r="B72" s="10"/>
      <c r="C72" s="10"/>
      <c r="D72" s="9" t="s">
        <v>263</v>
      </c>
      <c r="E72" s="9" t="s">
        <v>264</v>
      </c>
      <c r="F72" s="9" t="s">
        <v>265</v>
      </c>
      <c r="G72" s="9" t="s">
        <v>25</v>
      </c>
      <c r="H72" s="11"/>
      <c r="I72" s="11"/>
      <c r="J72" s="3"/>
      <c r="K72" s="3"/>
      <c r="L72" s="3"/>
    </row>
    <row r="73">
      <c r="A73" s="8">
        <v>99.0</v>
      </c>
      <c r="B73" s="9" t="s">
        <v>266</v>
      </c>
      <c r="C73" s="9" t="s">
        <v>267</v>
      </c>
      <c r="D73" s="9" t="s">
        <v>268</v>
      </c>
      <c r="E73" s="10"/>
      <c r="F73" s="10"/>
      <c r="G73" s="9" t="s">
        <v>269</v>
      </c>
      <c r="H73" s="11"/>
      <c r="I73" s="11"/>
      <c r="J73" s="3"/>
      <c r="K73" s="3"/>
      <c r="L73" s="3"/>
    </row>
    <row r="74">
      <c r="A74" s="8">
        <v>100.0</v>
      </c>
      <c r="B74" s="10"/>
      <c r="C74" s="10"/>
      <c r="D74" s="10"/>
      <c r="E74" s="10"/>
      <c r="F74" s="10"/>
      <c r="G74" s="9" t="s">
        <v>270</v>
      </c>
      <c r="H74" s="11"/>
      <c r="I74" s="3"/>
      <c r="J74" s="11"/>
      <c r="K74" s="3"/>
      <c r="L74" s="3"/>
    </row>
    <row r="75">
      <c r="A75" s="8">
        <v>101.0</v>
      </c>
      <c r="B75" s="9" t="s">
        <v>271</v>
      </c>
      <c r="C75" s="9" t="s">
        <v>272</v>
      </c>
      <c r="D75" s="9" t="s">
        <v>273</v>
      </c>
      <c r="E75" s="10"/>
      <c r="F75" s="9" t="s">
        <v>274</v>
      </c>
      <c r="G75" s="9" t="s">
        <v>275</v>
      </c>
      <c r="H75" s="11"/>
      <c r="I75" s="3"/>
      <c r="J75" s="11"/>
      <c r="K75" s="3"/>
      <c r="L75" s="3"/>
    </row>
    <row r="76">
      <c r="A76" s="8">
        <v>102.0</v>
      </c>
      <c r="B76" s="9" t="s">
        <v>276</v>
      </c>
      <c r="C76" s="10"/>
      <c r="D76" s="10"/>
      <c r="E76" s="10"/>
      <c r="F76" s="9" t="s">
        <v>277</v>
      </c>
      <c r="G76" s="9" t="s">
        <v>278</v>
      </c>
      <c r="H76" s="11"/>
      <c r="I76" s="11"/>
      <c r="J76" s="3"/>
      <c r="K76" s="3"/>
      <c r="L76" s="3"/>
    </row>
    <row r="77">
      <c r="A77" s="8">
        <v>103.0</v>
      </c>
      <c r="B77" s="10"/>
      <c r="C77" s="10"/>
      <c r="D77" s="10"/>
      <c r="E77" s="9" t="s">
        <v>279</v>
      </c>
      <c r="F77" s="9" t="s">
        <v>280</v>
      </c>
      <c r="G77" s="9" t="s">
        <v>281</v>
      </c>
      <c r="H77" s="3"/>
      <c r="I77" s="11"/>
      <c r="J77" s="11"/>
      <c r="K77" s="3"/>
      <c r="L77" s="3"/>
    </row>
    <row r="78">
      <c r="A78" s="8">
        <v>104.0</v>
      </c>
      <c r="B78" s="10"/>
      <c r="C78" s="10"/>
      <c r="D78" s="9" t="s">
        <v>282</v>
      </c>
      <c r="E78" s="10"/>
      <c r="F78" s="10"/>
      <c r="G78" s="9" t="s">
        <v>283</v>
      </c>
      <c r="H78" s="11"/>
      <c r="I78" s="11"/>
      <c r="J78" s="3"/>
      <c r="K78" s="3"/>
      <c r="L78" s="3"/>
    </row>
    <row r="79">
      <c r="A79" s="8">
        <v>105.0</v>
      </c>
      <c r="B79" s="10"/>
      <c r="C79" s="10"/>
      <c r="D79" s="9" t="s">
        <v>284</v>
      </c>
      <c r="E79" s="10"/>
      <c r="F79" s="9" t="s">
        <v>285</v>
      </c>
      <c r="G79" s="9" t="s">
        <v>286</v>
      </c>
      <c r="H79" s="11"/>
      <c r="I79" s="11"/>
      <c r="J79" s="3"/>
      <c r="K79" s="3"/>
      <c r="L79" s="3"/>
    </row>
    <row r="80">
      <c r="A80" s="8">
        <v>106.0</v>
      </c>
      <c r="B80" s="9" t="s">
        <v>287</v>
      </c>
      <c r="C80" s="10"/>
      <c r="D80" s="9" t="s">
        <v>288</v>
      </c>
      <c r="E80" s="9" t="s">
        <v>289</v>
      </c>
      <c r="F80" s="9" t="s">
        <v>290</v>
      </c>
      <c r="G80" s="9" t="s">
        <v>18</v>
      </c>
      <c r="H80" s="11"/>
      <c r="I80" s="11"/>
      <c r="J80" s="3"/>
      <c r="K80" s="3"/>
      <c r="L80" s="3"/>
    </row>
    <row r="81">
      <c r="A81" s="8">
        <v>107.0</v>
      </c>
      <c r="B81" s="9" t="s">
        <v>291</v>
      </c>
      <c r="C81" s="9" t="s">
        <v>25</v>
      </c>
      <c r="D81" s="9" t="s">
        <v>292</v>
      </c>
      <c r="E81" s="9" t="s">
        <v>293</v>
      </c>
      <c r="F81" s="9" t="s">
        <v>294</v>
      </c>
      <c r="G81" s="9" t="s">
        <v>295</v>
      </c>
      <c r="H81" s="11"/>
      <c r="I81" s="11"/>
      <c r="J81" s="3"/>
      <c r="K81" s="3"/>
      <c r="L81" s="3"/>
    </row>
    <row r="82">
      <c r="A82" s="8">
        <v>108.0</v>
      </c>
      <c r="B82" s="10"/>
      <c r="C82" s="10"/>
      <c r="D82" s="9" t="s">
        <v>296</v>
      </c>
      <c r="E82" s="10"/>
      <c r="F82" s="10"/>
      <c r="G82" s="9" t="s">
        <v>297</v>
      </c>
      <c r="H82" s="11"/>
      <c r="I82" s="11"/>
      <c r="J82" s="3"/>
      <c r="K82" s="3"/>
      <c r="L82" s="3"/>
    </row>
    <row r="83">
      <c r="A83" s="8">
        <v>109.0</v>
      </c>
      <c r="B83" s="10"/>
      <c r="C83" s="10"/>
      <c r="D83" s="9" t="s">
        <v>298</v>
      </c>
      <c r="E83" s="10"/>
      <c r="F83" s="10"/>
      <c r="G83" s="9" t="s">
        <v>299</v>
      </c>
      <c r="H83" s="11"/>
      <c r="I83" s="3"/>
      <c r="J83" s="11"/>
      <c r="K83" s="3"/>
      <c r="L83" s="3"/>
    </row>
    <row r="84">
      <c r="A84" s="8">
        <v>110.0</v>
      </c>
      <c r="B84" s="10"/>
      <c r="C84" s="10"/>
      <c r="D84" s="10"/>
      <c r="E84" s="9" t="s">
        <v>300</v>
      </c>
      <c r="F84" s="9" t="s">
        <v>301</v>
      </c>
      <c r="G84" s="9" t="s">
        <v>302</v>
      </c>
      <c r="H84" s="3"/>
      <c r="I84" s="11"/>
      <c r="J84" s="11"/>
      <c r="K84" s="3"/>
      <c r="L84" s="3"/>
    </row>
    <row r="85">
      <c r="A85" s="8">
        <v>112.0</v>
      </c>
      <c r="B85" s="10"/>
      <c r="C85" s="10"/>
      <c r="D85" s="10"/>
      <c r="E85" s="10"/>
      <c r="F85" s="10"/>
      <c r="G85" s="9" t="s">
        <v>303</v>
      </c>
      <c r="H85" s="11"/>
      <c r="I85" s="11"/>
      <c r="J85" s="3"/>
      <c r="K85" s="3"/>
      <c r="L85" s="3"/>
    </row>
    <row r="86">
      <c r="A86" s="8">
        <v>113.0</v>
      </c>
      <c r="B86" s="10"/>
      <c r="C86" s="10"/>
      <c r="D86" s="10"/>
      <c r="E86" s="10"/>
      <c r="F86" s="10"/>
      <c r="G86" s="9" t="s">
        <v>304</v>
      </c>
      <c r="H86" s="11"/>
      <c r="I86" s="11"/>
      <c r="J86" s="3"/>
      <c r="K86" s="3"/>
      <c r="L86" s="3"/>
    </row>
    <row r="87">
      <c r="A87" s="8">
        <v>114.0</v>
      </c>
      <c r="B87" s="10"/>
      <c r="C87" s="10"/>
      <c r="D87" s="10"/>
      <c r="E87" s="10"/>
      <c r="F87" s="9" t="s">
        <v>305</v>
      </c>
      <c r="G87" s="9" t="s">
        <v>306</v>
      </c>
      <c r="H87" s="3"/>
      <c r="I87" s="11"/>
      <c r="J87" s="11"/>
      <c r="K87" s="3"/>
      <c r="L87" s="3"/>
    </row>
    <row r="88">
      <c r="A88" s="8">
        <v>115.0</v>
      </c>
      <c r="B88" s="9" t="s">
        <v>174</v>
      </c>
      <c r="C88" s="9" t="s">
        <v>307</v>
      </c>
      <c r="D88" s="9" t="s">
        <v>308</v>
      </c>
      <c r="E88" s="10"/>
      <c r="F88" s="9" t="s">
        <v>309</v>
      </c>
      <c r="G88" s="9" t="s">
        <v>310</v>
      </c>
      <c r="H88" s="3"/>
      <c r="I88" s="11"/>
      <c r="J88" s="11"/>
      <c r="K88" s="3"/>
      <c r="L88" s="3"/>
    </row>
    <row r="89">
      <c r="A89" s="8">
        <v>116.0</v>
      </c>
      <c r="B89" s="10"/>
      <c r="C89" s="10"/>
      <c r="D89" s="10"/>
      <c r="E89" s="10"/>
      <c r="F89" s="10"/>
      <c r="G89" s="9" t="s">
        <v>72</v>
      </c>
      <c r="H89" s="11"/>
      <c r="I89" s="3"/>
      <c r="J89" s="11"/>
      <c r="K89" s="3"/>
      <c r="L89" s="3"/>
    </row>
    <row r="90">
      <c r="A90" s="8">
        <v>117.0</v>
      </c>
      <c r="B90" s="10"/>
      <c r="C90" s="10"/>
      <c r="D90" s="10"/>
      <c r="E90" s="10"/>
      <c r="F90" s="9" t="s">
        <v>311</v>
      </c>
      <c r="G90" s="9" t="s">
        <v>312</v>
      </c>
      <c r="H90" s="11"/>
      <c r="I90" s="11"/>
      <c r="J90" s="3"/>
      <c r="K90" s="3"/>
      <c r="L90" s="3"/>
    </row>
    <row r="91">
      <c r="A91" s="8">
        <v>118.0</v>
      </c>
      <c r="B91" s="9" t="s">
        <v>313</v>
      </c>
      <c r="C91" s="9" t="s">
        <v>314</v>
      </c>
      <c r="D91" s="9" t="s">
        <v>315</v>
      </c>
      <c r="E91" s="10"/>
      <c r="F91" s="9" t="s">
        <v>316</v>
      </c>
      <c r="G91" s="10"/>
      <c r="H91" s="11"/>
      <c r="I91" s="11"/>
      <c r="J91" s="3"/>
      <c r="K91" s="3"/>
      <c r="L91" s="3"/>
    </row>
    <row r="92">
      <c r="A92" s="8">
        <v>120.0</v>
      </c>
      <c r="B92" s="9" t="s">
        <v>317</v>
      </c>
      <c r="C92" s="9" t="s">
        <v>318</v>
      </c>
      <c r="D92" s="9" t="s">
        <v>319</v>
      </c>
      <c r="E92" s="10"/>
      <c r="F92" s="10"/>
      <c r="G92" s="9" t="s">
        <v>320</v>
      </c>
      <c r="H92" s="11"/>
      <c r="I92" s="11"/>
      <c r="J92" s="3"/>
      <c r="K92" s="3"/>
      <c r="L92" s="3"/>
    </row>
    <row r="93">
      <c r="A93" s="8">
        <v>121.0</v>
      </c>
      <c r="B93" s="9" t="s">
        <v>321</v>
      </c>
      <c r="C93" s="9" t="s">
        <v>322</v>
      </c>
      <c r="D93" s="9" t="s">
        <v>323</v>
      </c>
      <c r="E93" s="10"/>
      <c r="F93" s="10"/>
      <c r="G93" s="9" t="s">
        <v>324</v>
      </c>
      <c r="H93" s="11"/>
      <c r="I93" s="11"/>
      <c r="J93" s="3"/>
      <c r="K93" s="3"/>
      <c r="L93" s="3"/>
    </row>
    <row r="94">
      <c r="A94" s="8">
        <v>122.0</v>
      </c>
      <c r="B94" s="9" t="s">
        <v>325</v>
      </c>
      <c r="C94" s="9" t="s">
        <v>326</v>
      </c>
      <c r="D94" s="9" t="s">
        <v>327</v>
      </c>
      <c r="E94" s="9" t="s">
        <v>328</v>
      </c>
      <c r="F94" s="10"/>
      <c r="G94" s="9" t="s">
        <v>329</v>
      </c>
      <c r="H94" s="11"/>
      <c r="I94" s="11"/>
      <c r="J94" s="3"/>
      <c r="K94" s="3"/>
      <c r="L94" s="3"/>
    </row>
    <row r="95">
      <c r="A95" s="8">
        <v>123.0</v>
      </c>
      <c r="B95" s="10"/>
      <c r="C95" s="10"/>
      <c r="D95" s="9" t="s">
        <v>330</v>
      </c>
      <c r="E95" s="10"/>
      <c r="F95" s="9" t="s">
        <v>331</v>
      </c>
      <c r="G95" s="9" t="s">
        <v>332</v>
      </c>
      <c r="H95" s="11"/>
      <c r="I95" s="3"/>
      <c r="J95" s="11"/>
      <c r="K95" s="3"/>
      <c r="L95" s="3"/>
    </row>
    <row r="96">
      <c r="A96" s="8">
        <v>124.0</v>
      </c>
      <c r="B96" s="10"/>
      <c r="C96" s="10"/>
      <c r="D96" s="10"/>
      <c r="E96" s="10"/>
      <c r="F96" s="9" t="s">
        <v>333</v>
      </c>
      <c r="G96" s="9" t="s">
        <v>334</v>
      </c>
      <c r="H96" s="11"/>
      <c r="I96" s="11"/>
      <c r="J96" s="3"/>
      <c r="K96" s="3"/>
      <c r="L96" s="3"/>
    </row>
    <row r="97">
      <c r="A97" s="8">
        <v>125.0</v>
      </c>
      <c r="B97" s="10"/>
      <c r="C97" s="10"/>
      <c r="D97" s="10"/>
      <c r="E97" s="10"/>
      <c r="F97" s="9" t="s">
        <v>335</v>
      </c>
      <c r="G97" s="9" t="s">
        <v>336</v>
      </c>
      <c r="H97" s="11"/>
      <c r="I97" s="3"/>
      <c r="J97" s="11"/>
      <c r="K97" s="3"/>
      <c r="L97" s="3"/>
    </row>
    <row r="98">
      <c r="A98" s="8">
        <v>126.0</v>
      </c>
      <c r="B98" s="10"/>
      <c r="C98" s="10"/>
      <c r="D98" s="9" t="s">
        <v>337</v>
      </c>
      <c r="E98" s="10"/>
      <c r="F98" s="10"/>
      <c r="G98" s="9" t="s">
        <v>338</v>
      </c>
      <c r="H98" s="3"/>
      <c r="I98" s="11"/>
      <c r="J98" s="11"/>
      <c r="K98" s="3"/>
      <c r="L98" s="3"/>
    </row>
    <row r="99">
      <c r="A99" s="8">
        <v>127.0</v>
      </c>
      <c r="B99" s="9" t="s">
        <v>339</v>
      </c>
      <c r="C99" s="10"/>
      <c r="D99" s="9" t="s">
        <v>340</v>
      </c>
      <c r="E99" s="9" t="s">
        <v>341</v>
      </c>
      <c r="F99" s="9" t="s">
        <v>342</v>
      </c>
      <c r="G99" s="9" t="s">
        <v>343</v>
      </c>
      <c r="H99" s="3"/>
      <c r="I99" s="11"/>
      <c r="J99" s="11"/>
      <c r="K99" s="3"/>
      <c r="L99" s="3"/>
    </row>
    <row r="100">
      <c r="A100" s="8">
        <v>128.0</v>
      </c>
      <c r="B100" s="9" t="s">
        <v>344</v>
      </c>
      <c r="C100" s="9" t="s">
        <v>174</v>
      </c>
      <c r="D100" s="9" t="s">
        <v>345</v>
      </c>
      <c r="E100" s="9" t="s">
        <v>346</v>
      </c>
      <c r="F100" s="9" t="s">
        <v>347</v>
      </c>
      <c r="G100" s="9" t="s">
        <v>25</v>
      </c>
      <c r="H100" s="3"/>
      <c r="I100" s="11"/>
      <c r="J100" s="11"/>
      <c r="K100" s="3"/>
      <c r="L100" s="3"/>
    </row>
    <row r="101">
      <c r="A101" s="8">
        <v>129.0</v>
      </c>
      <c r="B101" s="10"/>
      <c r="C101" s="10"/>
      <c r="D101" s="10"/>
      <c r="E101" s="9" t="s">
        <v>348</v>
      </c>
      <c r="F101" s="9" t="s">
        <v>349</v>
      </c>
      <c r="G101" s="12" t="s">
        <v>350</v>
      </c>
      <c r="H101" s="11"/>
      <c r="I101" s="3"/>
      <c r="J101" s="11"/>
      <c r="K101" s="3"/>
      <c r="L101" s="3"/>
    </row>
    <row r="102">
      <c r="A102" s="8">
        <v>130.0</v>
      </c>
      <c r="B102" s="10"/>
      <c r="C102" s="10"/>
      <c r="D102" s="10"/>
      <c r="E102" s="10"/>
      <c r="F102" s="9" t="s">
        <v>351</v>
      </c>
      <c r="G102" s="9" t="s">
        <v>352</v>
      </c>
      <c r="H102" s="11"/>
      <c r="I102" s="11"/>
      <c r="J102" s="3"/>
      <c r="K102" s="3"/>
      <c r="L102" s="3"/>
    </row>
    <row r="103">
      <c r="A103" s="8">
        <v>131.0</v>
      </c>
      <c r="B103" s="9" t="s">
        <v>353</v>
      </c>
      <c r="C103" s="9" t="s">
        <v>354</v>
      </c>
      <c r="D103" s="9" t="s">
        <v>355</v>
      </c>
      <c r="E103" s="9" t="s">
        <v>356</v>
      </c>
      <c r="F103" s="9" t="s">
        <v>357</v>
      </c>
      <c r="G103" s="9" t="s">
        <v>358</v>
      </c>
      <c r="H103" s="11"/>
      <c r="I103" s="3"/>
      <c r="J103" s="11"/>
      <c r="K103" s="3"/>
      <c r="L103" s="3"/>
    </row>
    <row r="104">
      <c r="A104" s="8">
        <v>132.0</v>
      </c>
      <c r="B104" s="9" t="s">
        <v>359</v>
      </c>
      <c r="C104" s="10"/>
      <c r="D104" s="9" t="s">
        <v>360</v>
      </c>
      <c r="E104" s="10"/>
      <c r="F104" s="9" t="s">
        <v>361</v>
      </c>
      <c r="G104" s="9" t="s">
        <v>362</v>
      </c>
      <c r="H104" s="3"/>
      <c r="I104" s="11"/>
      <c r="J104" s="11"/>
      <c r="K104" s="3"/>
      <c r="L104" s="3"/>
    </row>
    <row r="105">
      <c r="A105" s="8">
        <v>133.0</v>
      </c>
      <c r="B105" s="9" t="s">
        <v>363</v>
      </c>
      <c r="C105" s="9" t="s">
        <v>364</v>
      </c>
      <c r="D105" s="9" t="s">
        <v>365</v>
      </c>
      <c r="E105" s="9" t="s">
        <v>366</v>
      </c>
      <c r="F105" s="9" t="s">
        <v>367</v>
      </c>
      <c r="G105" s="9" t="s">
        <v>368</v>
      </c>
      <c r="H105" s="3"/>
      <c r="I105" s="11"/>
      <c r="J105" s="11"/>
      <c r="K105" s="3"/>
      <c r="L105" s="3"/>
    </row>
    <row r="106">
      <c r="A106" s="8">
        <v>134.0</v>
      </c>
      <c r="B106" s="9" t="s">
        <v>369</v>
      </c>
      <c r="C106" s="9" t="s">
        <v>370</v>
      </c>
      <c r="D106" s="9" t="s">
        <v>371</v>
      </c>
      <c r="E106" s="10"/>
      <c r="F106" s="10"/>
      <c r="G106" s="9" t="s">
        <v>372</v>
      </c>
      <c r="H106" s="11"/>
      <c r="I106" s="11"/>
      <c r="J106" s="3"/>
      <c r="K106" s="3"/>
      <c r="L106" s="3"/>
    </row>
    <row r="107">
      <c r="A107" s="8">
        <v>135.0</v>
      </c>
      <c r="B107" s="9" t="s">
        <v>373</v>
      </c>
      <c r="C107" s="10"/>
      <c r="D107" s="9" t="s">
        <v>374</v>
      </c>
      <c r="E107" s="9" t="s">
        <v>375</v>
      </c>
      <c r="F107" s="9" t="s">
        <v>376</v>
      </c>
      <c r="G107" s="9" t="s">
        <v>377</v>
      </c>
      <c r="H107" s="11"/>
      <c r="I107" s="11"/>
      <c r="J107" s="3"/>
      <c r="K107" s="3"/>
      <c r="L107" s="3"/>
    </row>
    <row r="108">
      <c r="A108" s="8">
        <v>136.0</v>
      </c>
      <c r="B108" s="10"/>
      <c r="C108" s="10"/>
      <c r="D108" s="9" t="s">
        <v>378</v>
      </c>
      <c r="E108" s="9" t="s">
        <v>379</v>
      </c>
      <c r="F108" s="9" t="s">
        <v>380</v>
      </c>
      <c r="G108" s="9" t="s">
        <v>72</v>
      </c>
      <c r="H108" s="3"/>
      <c r="I108" s="11"/>
      <c r="J108" s="11"/>
      <c r="K108" s="3"/>
      <c r="L108" s="3"/>
    </row>
    <row r="109">
      <c r="A109" s="8">
        <v>137.0</v>
      </c>
      <c r="B109" s="10"/>
      <c r="C109" s="10"/>
      <c r="D109" s="10"/>
      <c r="E109" s="10"/>
      <c r="F109" s="9" t="s">
        <v>381</v>
      </c>
      <c r="G109" s="9" t="s">
        <v>382</v>
      </c>
      <c r="H109" s="11"/>
      <c r="I109" s="3"/>
      <c r="J109" s="11"/>
      <c r="K109" s="3"/>
      <c r="L109" s="3"/>
    </row>
    <row r="110">
      <c r="A110" s="8">
        <v>138.0</v>
      </c>
      <c r="B110" s="9" t="s">
        <v>18</v>
      </c>
      <c r="C110" s="9" t="s">
        <v>18</v>
      </c>
      <c r="D110" s="9" t="s">
        <v>18</v>
      </c>
      <c r="E110" s="10"/>
      <c r="F110" s="10"/>
      <c r="G110" s="9" t="s">
        <v>383</v>
      </c>
      <c r="H110" s="11"/>
      <c r="I110" s="11"/>
      <c r="J110" s="3"/>
      <c r="K110" s="3"/>
      <c r="L110" s="3"/>
    </row>
    <row r="111">
      <c r="A111" s="8">
        <v>139.0</v>
      </c>
      <c r="B111" s="10"/>
      <c r="C111" s="10"/>
      <c r="D111" s="9" t="s">
        <v>384</v>
      </c>
      <c r="E111" s="10"/>
      <c r="F111" s="10"/>
      <c r="G111" s="9" t="s">
        <v>385</v>
      </c>
      <c r="H111" s="11"/>
      <c r="I111" s="3"/>
      <c r="J111" s="11"/>
      <c r="K111" s="3"/>
      <c r="L111" s="3"/>
    </row>
    <row r="112">
      <c r="A112" s="8">
        <v>140.0</v>
      </c>
      <c r="B112" s="9" t="s">
        <v>386</v>
      </c>
      <c r="C112" s="9" t="s">
        <v>387</v>
      </c>
      <c r="D112" s="9" t="s">
        <v>388</v>
      </c>
      <c r="E112" s="10"/>
      <c r="F112" s="10"/>
      <c r="G112" s="9" t="s">
        <v>389</v>
      </c>
      <c r="H112" s="3"/>
      <c r="I112" s="11"/>
      <c r="J112" s="11"/>
      <c r="K112" s="3"/>
      <c r="L112" s="3"/>
    </row>
    <row r="113">
      <c r="A113" s="8">
        <v>141.0</v>
      </c>
      <c r="B113" s="10"/>
      <c r="C113" s="10"/>
      <c r="D113" s="9" t="s">
        <v>18</v>
      </c>
      <c r="E113" s="9" t="s">
        <v>390</v>
      </c>
      <c r="F113" s="9" t="s">
        <v>391</v>
      </c>
      <c r="G113" s="9" t="s">
        <v>18</v>
      </c>
      <c r="H113" s="11"/>
      <c r="I113" s="3"/>
      <c r="J113" s="11"/>
      <c r="K113" s="3"/>
      <c r="L113" s="3"/>
    </row>
    <row r="114">
      <c r="A114" s="8">
        <v>143.0</v>
      </c>
      <c r="B114" s="9" t="s">
        <v>392</v>
      </c>
      <c r="C114" s="9" t="s">
        <v>393</v>
      </c>
      <c r="D114" s="9" t="s">
        <v>394</v>
      </c>
      <c r="E114" s="9" t="s">
        <v>395</v>
      </c>
      <c r="F114" s="10"/>
      <c r="G114" s="9" t="s">
        <v>25</v>
      </c>
      <c r="H114" s="11"/>
      <c r="I114" s="3"/>
      <c r="J114" s="11"/>
      <c r="K114" s="3"/>
      <c r="L114" s="3"/>
    </row>
    <row r="115">
      <c r="A115" s="8">
        <v>144.0</v>
      </c>
      <c r="B115" s="9" t="s">
        <v>396</v>
      </c>
      <c r="C115" s="10"/>
      <c r="D115" s="9" t="s">
        <v>397</v>
      </c>
      <c r="E115" s="9" t="s">
        <v>398</v>
      </c>
      <c r="F115" s="9" t="s">
        <v>399</v>
      </c>
      <c r="G115" s="9" t="s">
        <v>400</v>
      </c>
      <c r="H115" s="11"/>
      <c r="I115" s="3"/>
      <c r="J115" s="11"/>
      <c r="K115" s="3"/>
      <c r="L115" s="3"/>
    </row>
    <row r="116">
      <c r="A116" s="8">
        <v>145.0</v>
      </c>
      <c r="B116" s="10"/>
      <c r="C116" s="10"/>
      <c r="D116" s="10"/>
      <c r="E116" s="10"/>
      <c r="F116" s="9" t="s">
        <v>401</v>
      </c>
      <c r="G116" s="9" t="s">
        <v>402</v>
      </c>
      <c r="H116" s="11"/>
      <c r="I116" s="11"/>
      <c r="J116" s="3"/>
      <c r="K116" s="3"/>
      <c r="L116" s="3"/>
    </row>
    <row r="117">
      <c r="A117" s="8">
        <v>146.0</v>
      </c>
      <c r="B117" s="10"/>
      <c r="C117" s="10"/>
      <c r="D117" s="10"/>
      <c r="E117" s="10"/>
      <c r="F117" s="9" t="s">
        <v>403</v>
      </c>
      <c r="G117" s="9" t="s">
        <v>404</v>
      </c>
      <c r="H117" s="3"/>
      <c r="I117" s="11"/>
      <c r="J117" s="11"/>
      <c r="K117" s="3"/>
      <c r="L117" s="3"/>
    </row>
    <row r="118">
      <c r="A118" s="8">
        <v>147.0</v>
      </c>
      <c r="B118" s="9" t="s">
        <v>405</v>
      </c>
      <c r="C118" s="9" t="s">
        <v>406</v>
      </c>
      <c r="D118" s="9" t="s">
        <v>407</v>
      </c>
      <c r="E118" s="10"/>
      <c r="F118" s="9" t="s">
        <v>408</v>
      </c>
      <c r="G118" s="9" t="s">
        <v>18</v>
      </c>
      <c r="H118" s="11"/>
      <c r="I118" s="11"/>
      <c r="J118" s="3"/>
      <c r="K118" s="3"/>
      <c r="L118" s="3"/>
    </row>
    <row r="119">
      <c r="A119" s="8">
        <v>148.0</v>
      </c>
      <c r="B119" s="10"/>
      <c r="C119" s="10"/>
      <c r="D119" s="10"/>
      <c r="E119" s="9" t="s">
        <v>409</v>
      </c>
      <c r="F119" s="10"/>
      <c r="G119" s="9" t="s">
        <v>410</v>
      </c>
      <c r="H119" s="11"/>
      <c r="I119" s="11"/>
      <c r="J119" s="3"/>
      <c r="K119" s="3"/>
      <c r="L119" s="3"/>
    </row>
    <row r="120">
      <c r="A120" s="8">
        <v>149.0</v>
      </c>
      <c r="B120" s="9" t="s">
        <v>411</v>
      </c>
      <c r="C120" s="9" t="s">
        <v>412</v>
      </c>
      <c r="D120" s="13" t="s">
        <v>413</v>
      </c>
      <c r="E120" s="10"/>
      <c r="F120" s="9" t="s">
        <v>414</v>
      </c>
      <c r="G120" s="9" t="s">
        <v>415</v>
      </c>
      <c r="H120" s="11"/>
      <c r="I120" s="11"/>
      <c r="J120" s="3"/>
      <c r="K120" s="3"/>
      <c r="L120" s="3"/>
    </row>
    <row r="121">
      <c r="A121" s="8">
        <v>150.0</v>
      </c>
      <c r="B121" s="10"/>
      <c r="C121" s="10"/>
      <c r="D121" s="10"/>
      <c r="E121" s="9" t="s">
        <v>416</v>
      </c>
      <c r="F121" s="9" t="s">
        <v>417</v>
      </c>
      <c r="G121" s="9" t="s">
        <v>418</v>
      </c>
      <c r="H121" s="11"/>
      <c r="I121" s="11"/>
      <c r="J121" s="3"/>
      <c r="K121" s="3"/>
      <c r="L121" s="3"/>
    </row>
    <row r="122">
      <c r="A122" s="8">
        <v>151.0</v>
      </c>
      <c r="B122" s="10"/>
      <c r="C122" s="10"/>
      <c r="D122" s="10"/>
      <c r="E122" s="10"/>
      <c r="F122" s="10"/>
      <c r="G122" s="9" t="s">
        <v>419</v>
      </c>
      <c r="H122" s="11"/>
      <c r="I122" s="11"/>
      <c r="J122" s="3"/>
      <c r="K122" s="3"/>
      <c r="L122" s="3"/>
    </row>
    <row r="123">
      <c r="A123" s="8">
        <v>152.0</v>
      </c>
      <c r="B123" s="9" t="s">
        <v>420</v>
      </c>
      <c r="C123" s="10"/>
      <c r="D123" s="10"/>
      <c r="E123" s="10"/>
      <c r="F123" s="9" t="s">
        <v>421</v>
      </c>
      <c r="G123" s="9" t="s">
        <v>72</v>
      </c>
      <c r="H123" s="11"/>
      <c r="I123" s="3"/>
      <c r="J123" s="11"/>
      <c r="K123" s="3"/>
      <c r="L123" s="3"/>
    </row>
    <row r="124">
      <c r="A124" s="8">
        <v>153.0</v>
      </c>
      <c r="B124" s="9" t="s">
        <v>422</v>
      </c>
      <c r="C124" s="10"/>
      <c r="D124" s="9" t="s">
        <v>423</v>
      </c>
      <c r="E124" s="9" t="s">
        <v>424</v>
      </c>
      <c r="F124" s="9" t="s">
        <v>425</v>
      </c>
      <c r="G124" s="9" t="s">
        <v>426</v>
      </c>
      <c r="H124" s="11"/>
      <c r="I124" s="11"/>
      <c r="J124" s="3"/>
      <c r="K124" s="3"/>
      <c r="L124" s="3"/>
    </row>
    <row r="125">
      <c r="A125" s="8">
        <v>154.0</v>
      </c>
      <c r="B125" s="9" t="s">
        <v>25</v>
      </c>
      <c r="C125" s="9" t="s">
        <v>25</v>
      </c>
      <c r="D125" s="9" t="s">
        <v>25</v>
      </c>
      <c r="E125" s="9" t="s">
        <v>427</v>
      </c>
      <c r="F125" s="9" t="s">
        <v>428</v>
      </c>
      <c r="G125" s="9" t="s">
        <v>429</v>
      </c>
      <c r="H125" s="11"/>
      <c r="I125" s="11"/>
      <c r="J125" s="3"/>
      <c r="K125" s="3"/>
      <c r="L125" s="3"/>
    </row>
    <row r="126">
      <c r="A126" s="8">
        <v>155.0</v>
      </c>
      <c r="B126" s="9" t="s">
        <v>430</v>
      </c>
      <c r="C126" s="9" t="s">
        <v>431</v>
      </c>
      <c r="D126" s="9" t="s">
        <v>432</v>
      </c>
      <c r="E126" s="9" t="s">
        <v>433</v>
      </c>
      <c r="F126" s="9" t="s">
        <v>434</v>
      </c>
      <c r="G126" s="9" t="s">
        <v>435</v>
      </c>
      <c r="H126" s="11"/>
      <c r="I126" s="3"/>
      <c r="J126" s="11"/>
      <c r="K126" s="3"/>
      <c r="L126" s="3"/>
    </row>
    <row r="127">
      <c r="A127" s="8">
        <v>156.0</v>
      </c>
      <c r="B127" s="10"/>
      <c r="C127" s="10"/>
      <c r="D127" s="9" t="s">
        <v>436</v>
      </c>
      <c r="E127" s="10"/>
      <c r="F127" s="10"/>
      <c r="G127" s="9" t="s">
        <v>214</v>
      </c>
      <c r="H127" s="11"/>
      <c r="I127" s="11"/>
      <c r="J127" s="3"/>
      <c r="K127" s="3"/>
      <c r="L127" s="3"/>
    </row>
    <row r="128">
      <c r="A128" s="8">
        <v>157.0</v>
      </c>
      <c r="B128" s="9" t="s">
        <v>437</v>
      </c>
      <c r="C128" s="9" t="s">
        <v>438</v>
      </c>
      <c r="D128" s="9" t="s">
        <v>439</v>
      </c>
      <c r="E128" s="10"/>
      <c r="F128" s="9" t="s">
        <v>440</v>
      </c>
      <c r="G128" s="9" t="s">
        <v>441</v>
      </c>
      <c r="H128" s="3"/>
      <c r="I128" s="11"/>
      <c r="J128" s="11"/>
      <c r="K128" s="3"/>
      <c r="L128" s="3"/>
    </row>
    <row r="129">
      <c r="A129" s="8">
        <v>158.0</v>
      </c>
      <c r="B129" s="9" t="s">
        <v>442</v>
      </c>
      <c r="C129" s="10"/>
      <c r="D129" s="9" t="s">
        <v>443</v>
      </c>
      <c r="E129" s="9" t="s">
        <v>444</v>
      </c>
      <c r="F129" s="9" t="s">
        <v>445</v>
      </c>
      <c r="G129" s="9" t="s">
        <v>446</v>
      </c>
      <c r="H129" s="3"/>
      <c r="I129" s="11"/>
      <c r="J129" s="11"/>
      <c r="K129" s="3"/>
      <c r="L129" s="3"/>
    </row>
    <row r="130">
      <c r="A130" s="8">
        <v>159.0</v>
      </c>
      <c r="B130" s="10"/>
      <c r="C130" s="10"/>
      <c r="D130" s="10"/>
      <c r="E130" s="10"/>
      <c r="F130" s="9" t="s">
        <v>447</v>
      </c>
      <c r="G130" s="9" t="s">
        <v>448</v>
      </c>
      <c r="H130" s="3"/>
      <c r="I130" s="11"/>
      <c r="J130" s="11"/>
      <c r="K130" s="3"/>
      <c r="L130" s="3"/>
    </row>
    <row r="131">
      <c r="A131" s="8">
        <v>160.0</v>
      </c>
      <c r="B131" s="10"/>
      <c r="C131" s="10"/>
      <c r="D131" s="10"/>
      <c r="E131" s="9" t="s">
        <v>449</v>
      </c>
      <c r="F131" s="9" t="s">
        <v>450</v>
      </c>
      <c r="G131" s="9" t="s">
        <v>451</v>
      </c>
      <c r="H131" s="11"/>
      <c r="I131" s="3"/>
      <c r="J131" s="11"/>
      <c r="K131" s="3"/>
      <c r="L131" s="3"/>
    </row>
    <row r="132">
      <c r="A132" s="8">
        <v>161.0</v>
      </c>
      <c r="B132" s="9" t="s">
        <v>452</v>
      </c>
      <c r="C132" s="9" t="s">
        <v>453</v>
      </c>
      <c r="D132" s="9" t="s">
        <v>454</v>
      </c>
      <c r="E132" s="10"/>
      <c r="F132" s="10"/>
      <c r="G132" s="9" t="s">
        <v>455</v>
      </c>
      <c r="H132" s="3"/>
      <c r="I132" s="11"/>
      <c r="J132" s="11"/>
      <c r="K132" s="3"/>
      <c r="L132" s="3"/>
    </row>
    <row r="133">
      <c r="A133" s="8">
        <v>162.0</v>
      </c>
      <c r="B133" s="9" t="s">
        <v>456</v>
      </c>
      <c r="C133" s="9" t="s">
        <v>457</v>
      </c>
      <c r="D133" s="9" t="s">
        <v>458</v>
      </c>
      <c r="E133" s="9" t="s">
        <v>459</v>
      </c>
      <c r="F133" s="9" t="s">
        <v>460</v>
      </c>
      <c r="G133" s="9" t="s">
        <v>461</v>
      </c>
      <c r="H133" s="11"/>
      <c r="I133" s="11"/>
      <c r="J133" s="3"/>
      <c r="K133" s="3"/>
      <c r="L133" s="3"/>
    </row>
    <row r="134">
      <c r="A134" s="8">
        <v>163.0</v>
      </c>
      <c r="B134" s="10"/>
      <c r="C134" s="10"/>
      <c r="D134" s="10"/>
      <c r="E134" s="10"/>
      <c r="F134" s="10"/>
      <c r="G134" s="9" t="s">
        <v>462</v>
      </c>
      <c r="H134" s="11"/>
      <c r="I134" s="11"/>
      <c r="J134" s="3"/>
      <c r="K134" s="3"/>
      <c r="L134" s="3"/>
    </row>
    <row r="135">
      <c r="A135" s="8">
        <v>164.0</v>
      </c>
      <c r="B135" s="9" t="s">
        <v>463</v>
      </c>
      <c r="C135" s="9" t="s">
        <v>464</v>
      </c>
      <c r="D135" s="9" t="s">
        <v>465</v>
      </c>
      <c r="E135" s="10"/>
      <c r="F135" s="10"/>
      <c r="G135" s="9" t="s">
        <v>466</v>
      </c>
      <c r="H135" s="11"/>
      <c r="I135" s="3"/>
      <c r="J135" s="11"/>
      <c r="K135" s="3"/>
      <c r="L135" s="3"/>
    </row>
    <row r="136">
      <c r="A136" s="8">
        <v>165.0</v>
      </c>
      <c r="B136" s="9" t="s">
        <v>467</v>
      </c>
      <c r="C136" s="9" t="s">
        <v>468</v>
      </c>
      <c r="D136" s="9" t="s">
        <v>469</v>
      </c>
      <c r="E136" s="9" t="s">
        <v>470</v>
      </c>
      <c r="F136" s="9" t="s">
        <v>471</v>
      </c>
      <c r="G136" s="9" t="s">
        <v>472</v>
      </c>
      <c r="H136" s="11"/>
      <c r="I136" s="11"/>
      <c r="J136" s="3"/>
      <c r="K136" s="3"/>
      <c r="L136" s="3"/>
    </row>
    <row r="137">
      <c r="A137" s="8">
        <v>166.0</v>
      </c>
      <c r="B137" s="9" t="s">
        <v>473</v>
      </c>
      <c r="C137" s="9" t="s">
        <v>474</v>
      </c>
      <c r="D137" s="9" t="s">
        <v>475</v>
      </c>
      <c r="E137" s="9" t="s">
        <v>476</v>
      </c>
      <c r="F137" s="9" t="s">
        <v>477</v>
      </c>
      <c r="G137" s="9" t="s">
        <v>478</v>
      </c>
      <c r="H137" s="11"/>
      <c r="I137" s="11"/>
      <c r="J137" s="3"/>
      <c r="K137" s="3"/>
      <c r="L137" s="3"/>
    </row>
    <row r="138">
      <c r="A138" s="8">
        <v>167.0</v>
      </c>
      <c r="B138" s="10"/>
      <c r="C138" s="10"/>
      <c r="D138" s="10"/>
      <c r="E138" s="9" t="s">
        <v>479</v>
      </c>
      <c r="F138" s="9" t="s">
        <v>480</v>
      </c>
      <c r="G138" s="9" t="s">
        <v>481</v>
      </c>
      <c r="H138" s="3"/>
      <c r="I138" s="11"/>
      <c r="J138" s="11"/>
      <c r="K138" s="3"/>
      <c r="L138" s="3"/>
    </row>
    <row r="139">
      <c r="A139" s="8">
        <v>168.0</v>
      </c>
      <c r="B139" s="10"/>
      <c r="C139" s="10"/>
      <c r="D139" s="10"/>
      <c r="E139" s="9" t="s">
        <v>482</v>
      </c>
      <c r="F139" s="9" t="s">
        <v>483</v>
      </c>
      <c r="G139" s="9" t="s">
        <v>484</v>
      </c>
      <c r="H139" s="11"/>
      <c r="I139" s="11"/>
      <c r="J139" s="3"/>
      <c r="K139" s="3"/>
      <c r="L139" s="3"/>
    </row>
    <row r="140">
      <c r="A140" s="8">
        <v>169.0</v>
      </c>
      <c r="B140" s="9" t="s">
        <v>485</v>
      </c>
      <c r="C140" s="10"/>
      <c r="D140" s="9" t="s">
        <v>486</v>
      </c>
      <c r="E140" s="10"/>
      <c r="F140" s="9" t="s">
        <v>487</v>
      </c>
      <c r="G140" s="9" t="s">
        <v>25</v>
      </c>
      <c r="H140" s="11"/>
      <c r="I140" s="3"/>
      <c r="J140" s="11"/>
      <c r="K140" s="3"/>
      <c r="L140" s="3"/>
    </row>
    <row r="141">
      <c r="A141" s="8">
        <v>170.0</v>
      </c>
      <c r="B141" s="9" t="s">
        <v>18</v>
      </c>
      <c r="C141" s="9" t="s">
        <v>18</v>
      </c>
      <c r="D141" s="9" t="s">
        <v>488</v>
      </c>
      <c r="E141" s="9" t="s">
        <v>489</v>
      </c>
      <c r="F141" s="9" t="s">
        <v>490</v>
      </c>
      <c r="G141" s="9" t="s">
        <v>491</v>
      </c>
      <c r="H141" s="11"/>
      <c r="I141" s="11"/>
      <c r="J141" s="3"/>
      <c r="K141" s="3"/>
      <c r="L141" s="3"/>
    </row>
    <row r="142">
      <c r="A142" s="8">
        <v>171.0</v>
      </c>
      <c r="B142" s="9" t="s">
        <v>492</v>
      </c>
      <c r="C142" s="10"/>
      <c r="D142" s="9" t="s">
        <v>493</v>
      </c>
      <c r="E142" s="10"/>
      <c r="F142" s="9" t="s">
        <v>494</v>
      </c>
      <c r="G142" s="9" t="s">
        <v>495</v>
      </c>
      <c r="H142" s="11"/>
      <c r="I142" s="11"/>
      <c r="J142" s="3"/>
      <c r="K142" s="3"/>
      <c r="L142" s="3"/>
    </row>
    <row r="143">
      <c r="A143" s="8">
        <v>172.0</v>
      </c>
      <c r="B143" s="10"/>
      <c r="C143" s="10"/>
      <c r="D143" s="10"/>
      <c r="E143" s="10"/>
      <c r="F143" s="9" t="s">
        <v>496</v>
      </c>
      <c r="G143" s="9" t="s">
        <v>497</v>
      </c>
      <c r="H143" s="11"/>
      <c r="I143" s="3"/>
      <c r="J143" s="11"/>
      <c r="K143" s="3"/>
      <c r="L143" s="3"/>
    </row>
    <row r="144">
      <c r="A144" s="8">
        <v>173.0</v>
      </c>
      <c r="B144" s="9" t="s">
        <v>25</v>
      </c>
      <c r="C144" s="10"/>
      <c r="D144" s="9" t="s">
        <v>25</v>
      </c>
      <c r="E144" s="10"/>
      <c r="F144" s="9" t="s">
        <v>498</v>
      </c>
      <c r="G144" s="9" t="s">
        <v>499</v>
      </c>
      <c r="H144" s="11"/>
      <c r="I144" s="3"/>
      <c r="J144" s="11"/>
      <c r="K144" s="3"/>
      <c r="L144" s="3"/>
    </row>
    <row r="145">
      <c r="A145" s="8">
        <v>174.0</v>
      </c>
      <c r="B145" s="9" t="s">
        <v>500</v>
      </c>
      <c r="C145" s="9" t="s">
        <v>501</v>
      </c>
      <c r="D145" s="9" t="s">
        <v>502</v>
      </c>
      <c r="E145" s="9" t="s">
        <v>503</v>
      </c>
      <c r="F145" s="9" t="s">
        <v>504</v>
      </c>
      <c r="G145" s="9" t="s">
        <v>505</v>
      </c>
      <c r="H145" s="11"/>
      <c r="I145" s="11"/>
      <c r="J145" s="3"/>
      <c r="K145" s="3"/>
      <c r="L145" s="3"/>
    </row>
    <row r="146">
      <c r="A146" s="8">
        <v>175.0</v>
      </c>
      <c r="B146" s="9" t="s">
        <v>506</v>
      </c>
      <c r="C146" s="10"/>
      <c r="D146" s="9" t="s">
        <v>507</v>
      </c>
      <c r="E146" s="9" t="s">
        <v>508</v>
      </c>
      <c r="F146" s="9" t="s">
        <v>509</v>
      </c>
      <c r="G146" s="9" t="s">
        <v>510</v>
      </c>
      <c r="H146" s="3"/>
      <c r="I146" s="11"/>
      <c r="J146" s="11"/>
      <c r="K146" s="3"/>
      <c r="L146" s="3"/>
    </row>
    <row r="147">
      <c r="A147" s="8">
        <v>176.0</v>
      </c>
      <c r="B147" s="10"/>
      <c r="C147" s="10"/>
      <c r="D147" s="10"/>
      <c r="E147" s="10"/>
      <c r="F147" s="10"/>
      <c r="G147" s="9" t="s">
        <v>511</v>
      </c>
      <c r="H147" s="11"/>
      <c r="I147" s="11"/>
      <c r="J147" s="3"/>
      <c r="K147" s="3"/>
      <c r="L147" s="3"/>
    </row>
    <row r="148">
      <c r="A148" s="8">
        <v>178.0</v>
      </c>
      <c r="B148" s="9" t="s">
        <v>512</v>
      </c>
      <c r="C148" s="9" t="s">
        <v>513</v>
      </c>
      <c r="D148" s="9" t="s">
        <v>514</v>
      </c>
      <c r="E148" s="9" t="s">
        <v>515</v>
      </c>
      <c r="F148" s="9" t="s">
        <v>516</v>
      </c>
      <c r="G148" s="9" t="s">
        <v>214</v>
      </c>
      <c r="H148" s="3"/>
      <c r="I148" s="11"/>
      <c r="J148" s="11"/>
      <c r="K148" s="3"/>
      <c r="L148" s="3"/>
    </row>
    <row r="149">
      <c r="A149" s="8">
        <v>179.0</v>
      </c>
      <c r="B149" s="10"/>
      <c r="C149" s="10"/>
      <c r="D149" s="10"/>
      <c r="E149" s="10"/>
      <c r="F149" s="10"/>
      <c r="G149" s="9" t="s">
        <v>517</v>
      </c>
      <c r="H149" s="3"/>
      <c r="I149" s="11"/>
      <c r="J149" s="11"/>
      <c r="K149" s="3"/>
      <c r="L149" s="3"/>
    </row>
    <row r="150">
      <c r="A150" s="8">
        <v>180.0</v>
      </c>
      <c r="B150" s="9" t="s">
        <v>518</v>
      </c>
      <c r="C150" s="9" t="s">
        <v>519</v>
      </c>
      <c r="D150" s="9" t="s">
        <v>520</v>
      </c>
      <c r="E150" s="9" t="s">
        <v>521</v>
      </c>
      <c r="F150" s="9" t="s">
        <v>522</v>
      </c>
      <c r="G150" s="9" t="s">
        <v>523</v>
      </c>
      <c r="H150" s="3"/>
      <c r="I150" s="11"/>
      <c r="J150" s="11"/>
      <c r="K150" s="3"/>
      <c r="L150" s="3"/>
    </row>
    <row r="151">
      <c r="A151" s="8">
        <v>181.0</v>
      </c>
      <c r="B151" s="9" t="s">
        <v>524</v>
      </c>
      <c r="C151" s="9" t="s">
        <v>525</v>
      </c>
      <c r="D151" s="9" t="s">
        <v>526</v>
      </c>
      <c r="E151" s="10"/>
      <c r="F151" s="9" t="s">
        <v>527</v>
      </c>
      <c r="G151" s="9" t="s">
        <v>528</v>
      </c>
      <c r="H151" s="11"/>
      <c r="I151" s="3"/>
      <c r="J151" s="11"/>
      <c r="K151" s="3"/>
      <c r="L151" s="3"/>
    </row>
    <row r="152">
      <c r="A152" s="8">
        <v>182.0</v>
      </c>
      <c r="B152" s="9" t="s">
        <v>529</v>
      </c>
      <c r="C152" s="9" t="s">
        <v>530</v>
      </c>
      <c r="D152" s="9" t="s">
        <v>531</v>
      </c>
      <c r="E152" s="9" t="s">
        <v>532</v>
      </c>
      <c r="F152" s="9" t="s">
        <v>533</v>
      </c>
      <c r="G152" s="9" t="s">
        <v>534</v>
      </c>
      <c r="H152" s="11"/>
      <c r="I152" s="11"/>
      <c r="J152" s="3"/>
      <c r="K152" s="3"/>
      <c r="L152" s="3"/>
    </row>
    <row r="153">
      <c r="A153" s="8">
        <v>183.0</v>
      </c>
      <c r="B153" s="10"/>
      <c r="C153" s="10"/>
      <c r="D153" s="10"/>
      <c r="E153" s="9" t="s">
        <v>535</v>
      </c>
      <c r="F153" s="9" t="s">
        <v>536</v>
      </c>
      <c r="G153" s="9" t="s">
        <v>537</v>
      </c>
      <c r="H153" s="3"/>
      <c r="I153" s="11"/>
      <c r="J153" s="11"/>
      <c r="K153" s="3"/>
      <c r="L153" s="3"/>
    </row>
    <row r="154">
      <c r="A154" s="8">
        <v>184.0</v>
      </c>
      <c r="B154" s="9" t="s">
        <v>538</v>
      </c>
      <c r="C154" s="9" t="s">
        <v>539</v>
      </c>
      <c r="D154" s="9" t="s">
        <v>540</v>
      </c>
      <c r="E154" s="9" t="s">
        <v>541</v>
      </c>
      <c r="F154" s="9" t="s">
        <v>542</v>
      </c>
      <c r="G154" s="9" t="s">
        <v>543</v>
      </c>
      <c r="H154" s="3"/>
      <c r="I154" s="11"/>
      <c r="J154" s="11"/>
      <c r="K154" s="3"/>
      <c r="L154" s="3"/>
    </row>
    <row r="155">
      <c r="A155" s="8">
        <v>185.0</v>
      </c>
      <c r="B155" s="10"/>
      <c r="C155" s="10"/>
      <c r="D155" s="10"/>
      <c r="E155" s="10"/>
      <c r="F155" s="10"/>
      <c r="G155" s="9" t="s">
        <v>18</v>
      </c>
      <c r="H155" s="11"/>
      <c r="I155" s="3"/>
      <c r="J155" s="11"/>
      <c r="K155" s="3"/>
      <c r="L155" s="3"/>
    </row>
    <row r="156">
      <c r="A156" s="8">
        <v>186.0</v>
      </c>
      <c r="B156" s="10"/>
      <c r="C156" s="10"/>
      <c r="D156" s="14"/>
      <c r="E156" s="9" t="s">
        <v>544</v>
      </c>
      <c r="F156" s="9" t="s">
        <v>545</v>
      </c>
      <c r="G156" s="9" t="s">
        <v>546</v>
      </c>
      <c r="H156" s="11"/>
      <c r="I156" s="11"/>
      <c r="J156" s="11"/>
      <c r="K156" s="11"/>
      <c r="L156" s="11"/>
    </row>
    <row r="157">
      <c r="A157" s="8">
        <v>187.0</v>
      </c>
      <c r="B157" s="10"/>
      <c r="C157" s="10"/>
      <c r="D157" s="9" t="s">
        <v>547</v>
      </c>
      <c r="E157" s="9" t="s">
        <v>548</v>
      </c>
      <c r="F157" s="10"/>
      <c r="G157" s="9" t="s">
        <v>230</v>
      </c>
      <c r="H157" s="11"/>
      <c r="I157" s="11"/>
      <c r="J157" s="11"/>
      <c r="K157" s="11"/>
      <c r="L157" s="11"/>
    </row>
    <row r="158">
      <c r="A158" s="8">
        <v>188.0</v>
      </c>
      <c r="B158" s="10"/>
      <c r="C158" s="10"/>
      <c r="D158" s="9" t="s">
        <v>549</v>
      </c>
      <c r="E158" s="9" t="s">
        <v>550</v>
      </c>
      <c r="F158" s="10"/>
      <c r="G158" s="9" t="s">
        <v>551</v>
      </c>
      <c r="H158" s="11"/>
      <c r="I158" s="11"/>
      <c r="J158" s="11"/>
      <c r="K158" s="11"/>
      <c r="L158" s="11"/>
    </row>
    <row r="159">
      <c r="A159" s="8">
        <v>189.0</v>
      </c>
      <c r="B159" s="10"/>
      <c r="C159" s="10"/>
      <c r="D159" s="14"/>
      <c r="E159" s="9" t="s">
        <v>552</v>
      </c>
      <c r="F159" s="9" t="s">
        <v>553</v>
      </c>
      <c r="G159" s="9" t="s">
        <v>554</v>
      </c>
      <c r="H159" s="11"/>
      <c r="I159" s="11"/>
      <c r="J159" s="11"/>
      <c r="K159" s="11"/>
      <c r="L159" s="11"/>
    </row>
    <row r="160">
      <c r="A160" s="8">
        <v>190.0</v>
      </c>
      <c r="B160" s="9" t="s">
        <v>555</v>
      </c>
      <c r="C160" s="9" t="s">
        <v>556</v>
      </c>
      <c r="D160" s="9" t="s">
        <v>557</v>
      </c>
      <c r="E160" s="9" t="s">
        <v>558</v>
      </c>
      <c r="F160" s="9" t="s">
        <v>559</v>
      </c>
      <c r="G160" s="9" t="s">
        <v>560</v>
      </c>
      <c r="H160" s="11"/>
      <c r="I160" s="11"/>
      <c r="J160" s="11"/>
      <c r="K160" s="11"/>
      <c r="L160" s="11"/>
    </row>
    <row r="161">
      <c r="A161" s="8">
        <v>191.0</v>
      </c>
      <c r="B161" s="10"/>
      <c r="C161" s="10"/>
      <c r="D161" s="14"/>
      <c r="E161" s="9" t="s">
        <v>561</v>
      </c>
      <c r="F161" s="9" t="s">
        <v>562</v>
      </c>
      <c r="G161" s="9" t="s">
        <v>563</v>
      </c>
      <c r="H161" s="11"/>
      <c r="I161" s="11"/>
      <c r="J161" s="11"/>
      <c r="K161" s="11"/>
      <c r="L161" s="11"/>
    </row>
    <row r="162">
      <c r="A162" s="8">
        <v>192.0</v>
      </c>
      <c r="B162" s="10"/>
      <c r="C162" s="10"/>
      <c r="D162" s="14"/>
      <c r="E162" s="10"/>
      <c r="F162" s="10"/>
      <c r="G162" s="9" t="s">
        <v>18</v>
      </c>
      <c r="H162" s="11"/>
      <c r="I162" s="11"/>
      <c r="J162" s="11"/>
      <c r="K162" s="11"/>
      <c r="L162" s="11"/>
    </row>
    <row r="163">
      <c r="A163" s="8">
        <v>193.0</v>
      </c>
      <c r="B163" s="10"/>
      <c r="C163" s="10"/>
      <c r="D163" s="14"/>
      <c r="E163" s="9" t="s">
        <v>564</v>
      </c>
      <c r="F163" s="9" t="s">
        <v>565</v>
      </c>
      <c r="G163" s="9" t="s">
        <v>566</v>
      </c>
      <c r="H163" s="11"/>
      <c r="I163" s="11"/>
      <c r="J163" s="11"/>
      <c r="K163" s="11"/>
      <c r="L163" s="11"/>
    </row>
    <row r="164">
      <c r="A164" s="8">
        <v>194.0</v>
      </c>
      <c r="B164" s="10"/>
      <c r="C164" s="10"/>
      <c r="D164" s="14"/>
      <c r="E164" s="9" t="s">
        <v>567</v>
      </c>
      <c r="F164" s="9" t="s">
        <v>568</v>
      </c>
      <c r="G164" s="9" t="s">
        <v>569</v>
      </c>
      <c r="H164" s="11"/>
      <c r="I164" s="11"/>
      <c r="J164" s="11"/>
      <c r="K164" s="11"/>
      <c r="L164" s="11"/>
    </row>
    <row r="165">
      <c r="A165" s="8">
        <v>195.0</v>
      </c>
      <c r="B165" s="9" t="s">
        <v>570</v>
      </c>
      <c r="C165" s="9" t="s">
        <v>571</v>
      </c>
      <c r="D165" s="9" t="s">
        <v>572</v>
      </c>
      <c r="E165" s="9" t="s">
        <v>573</v>
      </c>
      <c r="F165" s="10"/>
      <c r="G165" s="9" t="s">
        <v>574</v>
      </c>
      <c r="H165" s="11"/>
      <c r="I165" s="11"/>
      <c r="J165" s="11"/>
      <c r="K165" s="11"/>
      <c r="L165" s="11"/>
    </row>
    <row r="166">
      <c r="A166" s="8">
        <v>196.0</v>
      </c>
      <c r="B166" s="9" t="s">
        <v>575</v>
      </c>
      <c r="C166" s="9" t="s">
        <v>576</v>
      </c>
      <c r="D166" s="9" t="s">
        <v>577</v>
      </c>
      <c r="E166" s="10"/>
      <c r="F166" s="9" t="s">
        <v>578</v>
      </c>
      <c r="G166" s="9" t="s">
        <v>579</v>
      </c>
      <c r="H166" s="11"/>
      <c r="I166" s="11"/>
      <c r="J166" s="11"/>
      <c r="K166" s="11"/>
      <c r="L166" s="11"/>
    </row>
    <row r="167">
      <c r="A167" s="8">
        <v>197.0</v>
      </c>
      <c r="B167" s="9" t="s">
        <v>580</v>
      </c>
      <c r="C167" s="9" t="s">
        <v>581</v>
      </c>
      <c r="D167" s="9" t="s">
        <v>582</v>
      </c>
      <c r="E167" s="10"/>
      <c r="F167" s="10"/>
      <c r="G167" s="9" t="s">
        <v>18</v>
      </c>
      <c r="H167" s="11"/>
      <c r="I167" s="11"/>
      <c r="J167" s="11"/>
      <c r="K167" s="11"/>
      <c r="L167" s="11"/>
    </row>
    <row r="168">
      <c r="A168" s="8">
        <v>198.0</v>
      </c>
      <c r="B168" s="9" t="s">
        <v>583</v>
      </c>
      <c r="C168" s="9" t="s">
        <v>584</v>
      </c>
      <c r="D168" s="9" t="s">
        <v>585</v>
      </c>
      <c r="E168" s="9" t="s">
        <v>586</v>
      </c>
      <c r="F168" s="10"/>
      <c r="G168" s="9" t="s">
        <v>587</v>
      </c>
      <c r="H168" s="11"/>
      <c r="I168" s="11"/>
      <c r="J168" s="11"/>
      <c r="K168" s="11"/>
      <c r="L168" s="11"/>
    </row>
    <row r="169">
      <c r="A169" s="8">
        <v>199.0</v>
      </c>
      <c r="B169" s="10"/>
      <c r="C169" s="10"/>
      <c r="D169" s="10"/>
      <c r="E169" s="10"/>
      <c r="F169" s="9" t="s">
        <v>588</v>
      </c>
      <c r="G169" s="9" t="s">
        <v>72</v>
      </c>
      <c r="H169" s="11"/>
      <c r="I169" s="11"/>
      <c r="J169" s="11"/>
      <c r="K169" s="11"/>
      <c r="L169" s="11"/>
    </row>
    <row r="170">
      <c r="A170" s="8">
        <v>200.0</v>
      </c>
      <c r="B170" s="9" t="s">
        <v>589</v>
      </c>
      <c r="C170" s="10"/>
      <c r="D170" s="9" t="s">
        <v>590</v>
      </c>
      <c r="E170" s="10"/>
      <c r="F170" s="9" t="s">
        <v>591</v>
      </c>
      <c r="G170" s="9" t="s">
        <v>592</v>
      </c>
      <c r="H170" s="11"/>
      <c r="I170" s="11"/>
      <c r="J170" s="11"/>
      <c r="K170" s="11"/>
      <c r="L170" s="11"/>
    </row>
    <row r="171">
      <c r="A171" s="8">
        <v>201.0</v>
      </c>
      <c r="B171" s="9" t="s">
        <v>178</v>
      </c>
      <c r="C171" s="9" t="s">
        <v>18</v>
      </c>
      <c r="D171" s="9" t="s">
        <v>593</v>
      </c>
      <c r="E171" s="10"/>
      <c r="F171" s="9" t="s">
        <v>594</v>
      </c>
      <c r="G171" s="9" t="s">
        <v>18</v>
      </c>
      <c r="H171" s="11"/>
      <c r="I171" s="11"/>
      <c r="J171" s="11"/>
      <c r="K171" s="11"/>
      <c r="L171" s="11"/>
    </row>
    <row r="172">
      <c r="A172" s="8">
        <v>202.0</v>
      </c>
      <c r="B172" s="9" t="s">
        <v>595</v>
      </c>
      <c r="C172" s="9" t="s">
        <v>596</v>
      </c>
      <c r="D172" s="9" t="s">
        <v>597</v>
      </c>
      <c r="E172" s="10"/>
      <c r="F172" s="9" t="s">
        <v>598</v>
      </c>
      <c r="G172" s="9" t="s">
        <v>599</v>
      </c>
      <c r="H172" s="11"/>
      <c r="I172" s="11"/>
      <c r="J172" s="11"/>
      <c r="K172" s="11"/>
      <c r="L172" s="11"/>
    </row>
    <row r="173">
      <c r="A173" s="8">
        <v>203.0</v>
      </c>
      <c r="B173" s="10"/>
      <c r="C173" s="10"/>
      <c r="D173" s="9" t="s">
        <v>600</v>
      </c>
      <c r="E173" s="9" t="s">
        <v>601</v>
      </c>
      <c r="F173" s="9" t="s">
        <v>602</v>
      </c>
      <c r="G173" s="9" t="s">
        <v>25</v>
      </c>
      <c r="H173" s="11"/>
      <c r="I173" s="11"/>
      <c r="J173" s="11"/>
      <c r="K173" s="11"/>
      <c r="L173" s="11"/>
    </row>
    <row r="174">
      <c r="A174" s="8">
        <v>204.0</v>
      </c>
      <c r="B174" s="9" t="s">
        <v>603</v>
      </c>
      <c r="C174" s="9" t="s">
        <v>603</v>
      </c>
      <c r="D174" s="9" t="s">
        <v>604</v>
      </c>
      <c r="E174" s="9" t="s">
        <v>605</v>
      </c>
      <c r="F174" s="9" t="s">
        <v>606</v>
      </c>
      <c r="G174" s="9" t="s">
        <v>607</v>
      </c>
      <c r="H174" s="11"/>
      <c r="I174" s="11"/>
      <c r="J174" s="11"/>
      <c r="K174" s="11"/>
      <c r="L174" s="11"/>
    </row>
    <row r="175">
      <c r="A175" s="8">
        <v>205.0</v>
      </c>
      <c r="B175" s="10"/>
      <c r="C175" s="10"/>
      <c r="D175" s="14"/>
      <c r="E175" s="9" t="s">
        <v>608</v>
      </c>
      <c r="F175" s="9" t="s">
        <v>609</v>
      </c>
      <c r="G175" s="9" t="s">
        <v>610</v>
      </c>
      <c r="H175" s="11"/>
      <c r="I175" s="11"/>
      <c r="J175" s="11"/>
      <c r="K175" s="11"/>
      <c r="L175" s="11"/>
    </row>
    <row r="176">
      <c r="A176" s="8">
        <v>206.0</v>
      </c>
      <c r="B176" s="9" t="s">
        <v>18</v>
      </c>
      <c r="C176" s="9" t="s">
        <v>18</v>
      </c>
      <c r="D176" s="9" t="s">
        <v>611</v>
      </c>
      <c r="E176" s="9" t="s">
        <v>612</v>
      </c>
      <c r="F176" s="9" t="s">
        <v>613</v>
      </c>
      <c r="G176" s="9" t="s">
        <v>614</v>
      </c>
      <c r="H176" s="11"/>
      <c r="I176" s="11"/>
      <c r="J176" s="11"/>
      <c r="K176" s="11"/>
      <c r="L176" s="11"/>
    </row>
    <row r="177">
      <c r="A177" s="8">
        <v>207.0</v>
      </c>
      <c r="B177" s="10"/>
      <c r="C177" s="10"/>
      <c r="D177" s="14"/>
      <c r="E177" s="14"/>
      <c r="F177" s="9" t="s">
        <v>615</v>
      </c>
      <c r="G177" s="9" t="s">
        <v>616</v>
      </c>
      <c r="H177" s="11"/>
      <c r="I177" s="11"/>
      <c r="J177" s="11"/>
      <c r="K177" s="11"/>
      <c r="L177" s="11"/>
    </row>
    <row r="178">
      <c r="A178" s="8">
        <v>208.0</v>
      </c>
      <c r="B178" s="9" t="s">
        <v>617</v>
      </c>
      <c r="C178" s="10"/>
      <c r="D178" s="9" t="s">
        <v>618</v>
      </c>
      <c r="E178" s="14"/>
      <c r="F178" s="14"/>
      <c r="G178" s="9" t="s">
        <v>619</v>
      </c>
      <c r="H178" s="11"/>
      <c r="I178" s="11"/>
      <c r="J178" s="11"/>
      <c r="K178" s="11"/>
      <c r="L178" s="11"/>
    </row>
    <row r="179">
      <c r="A179" s="8">
        <v>209.0</v>
      </c>
      <c r="B179" s="9" t="s">
        <v>25</v>
      </c>
      <c r="C179" s="9" t="s">
        <v>620</v>
      </c>
      <c r="D179" s="9" t="s">
        <v>174</v>
      </c>
      <c r="E179" s="10"/>
      <c r="F179" s="9" t="s">
        <v>621</v>
      </c>
      <c r="G179" s="9" t="s">
        <v>25</v>
      </c>
      <c r="H179" s="11"/>
      <c r="I179" s="11"/>
      <c r="J179" s="11"/>
      <c r="K179" s="11"/>
      <c r="L179" s="11"/>
    </row>
    <row r="180">
      <c r="A180" s="8">
        <v>210.0</v>
      </c>
      <c r="B180" s="10"/>
      <c r="C180" s="10"/>
      <c r="D180" s="9" t="s">
        <v>622</v>
      </c>
      <c r="E180" s="9" t="s">
        <v>623</v>
      </c>
      <c r="F180" s="9" t="s">
        <v>624</v>
      </c>
      <c r="G180" s="9" t="s">
        <v>625</v>
      </c>
      <c r="H180" s="11"/>
      <c r="I180" s="11"/>
      <c r="J180" s="11"/>
      <c r="K180" s="11"/>
      <c r="L180" s="11"/>
    </row>
    <row r="181">
      <c r="A181" s="8">
        <v>211.0</v>
      </c>
      <c r="B181" s="9" t="s">
        <v>626</v>
      </c>
      <c r="C181" s="10"/>
      <c r="D181" s="9" t="s">
        <v>627</v>
      </c>
      <c r="E181" s="10"/>
      <c r="F181" s="9" t="s">
        <v>628</v>
      </c>
      <c r="G181" s="9" t="s">
        <v>629</v>
      </c>
      <c r="H181" s="11"/>
      <c r="I181" s="11"/>
      <c r="J181" s="11"/>
      <c r="K181" s="11"/>
      <c r="L181" s="11"/>
    </row>
    <row r="182">
      <c r="A182" s="8">
        <v>212.0</v>
      </c>
      <c r="B182" s="9" t="s">
        <v>230</v>
      </c>
      <c r="C182" s="9" t="s">
        <v>630</v>
      </c>
      <c r="D182" s="9" t="s">
        <v>631</v>
      </c>
      <c r="E182" s="9" t="s">
        <v>632</v>
      </c>
      <c r="F182" s="10"/>
      <c r="G182" s="9" t="s">
        <v>633</v>
      </c>
      <c r="H182" s="11"/>
      <c r="I182" s="11"/>
      <c r="J182" s="11"/>
      <c r="K182" s="11"/>
      <c r="L182" s="11"/>
    </row>
    <row r="183">
      <c r="A183" s="8">
        <v>213.0</v>
      </c>
      <c r="B183" s="9" t="s">
        <v>634</v>
      </c>
      <c r="C183" s="10"/>
      <c r="D183" s="9" t="s">
        <v>635</v>
      </c>
      <c r="E183" s="9" t="s">
        <v>636</v>
      </c>
      <c r="F183" s="9" t="s">
        <v>637</v>
      </c>
      <c r="G183" s="9" t="s">
        <v>638</v>
      </c>
      <c r="H183" s="11"/>
      <c r="I183" s="11"/>
      <c r="J183" s="11"/>
      <c r="K183" s="11"/>
      <c r="L183" s="11"/>
    </row>
    <row r="184">
      <c r="A184" s="8">
        <v>214.0</v>
      </c>
      <c r="B184" s="9" t="s">
        <v>639</v>
      </c>
      <c r="C184" s="9" t="s">
        <v>640</v>
      </c>
      <c r="D184" s="9" t="s">
        <v>641</v>
      </c>
      <c r="E184" s="9" t="s">
        <v>642</v>
      </c>
      <c r="F184" s="10"/>
      <c r="G184" s="9" t="s">
        <v>643</v>
      </c>
      <c r="H184" s="11"/>
      <c r="I184" s="11"/>
      <c r="J184" s="11"/>
      <c r="K184" s="11"/>
      <c r="L184" s="11"/>
    </row>
    <row r="185">
      <c r="A185" s="8">
        <v>216.0</v>
      </c>
      <c r="B185" s="9" t="s">
        <v>644</v>
      </c>
      <c r="C185" s="9" t="s">
        <v>645</v>
      </c>
      <c r="D185" s="9" t="s">
        <v>646</v>
      </c>
      <c r="E185" s="9" t="s">
        <v>647</v>
      </c>
      <c r="F185" s="10"/>
      <c r="G185" s="9" t="s">
        <v>648</v>
      </c>
      <c r="H185" s="11"/>
      <c r="I185" s="11"/>
      <c r="J185" s="11"/>
      <c r="K185" s="11"/>
      <c r="L185" s="11"/>
    </row>
    <row r="186">
      <c r="A186" s="8">
        <v>218.0</v>
      </c>
      <c r="B186" s="9" t="s">
        <v>649</v>
      </c>
      <c r="C186" s="9" t="s">
        <v>230</v>
      </c>
      <c r="D186" s="9" t="s">
        <v>650</v>
      </c>
      <c r="E186" s="9" t="s">
        <v>651</v>
      </c>
      <c r="F186" s="9" t="s">
        <v>651</v>
      </c>
      <c r="G186" s="9" t="s">
        <v>80</v>
      </c>
      <c r="H186" s="11"/>
      <c r="I186" s="11"/>
      <c r="J186" s="11"/>
      <c r="K186" s="11"/>
      <c r="L186" s="11"/>
    </row>
    <row r="187">
      <c r="A187" s="8">
        <v>219.0</v>
      </c>
      <c r="B187" s="9" t="s">
        <v>652</v>
      </c>
      <c r="C187" s="9" t="s">
        <v>653</v>
      </c>
      <c r="D187" s="9" t="s">
        <v>654</v>
      </c>
      <c r="E187" s="9" t="s">
        <v>655</v>
      </c>
      <c r="F187" s="10"/>
      <c r="G187" s="9" t="s">
        <v>656</v>
      </c>
      <c r="H187" s="11"/>
      <c r="I187" s="11"/>
      <c r="J187" s="11"/>
      <c r="K187" s="11"/>
      <c r="L187" s="11"/>
    </row>
    <row r="188">
      <c r="A188" s="8">
        <v>220.0</v>
      </c>
      <c r="B188" s="9" t="s">
        <v>657</v>
      </c>
      <c r="C188" s="9" t="s">
        <v>658</v>
      </c>
      <c r="D188" s="9" t="s">
        <v>659</v>
      </c>
      <c r="E188" s="9" t="s">
        <v>660</v>
      </c>
      <c r="F188" s="9" t="s">
        <v>661</v>
      </c>
      <c r="G188" s="9" t="s">
        <v>662</v>
      </c>
      <c r="H188" s="11"/>
      <c r="I188" s="11"/>
      <c r="J188" s="11"/>
      <c r="K188" s="11"/>
      <c r="L188" s="11"/>
    </row>
    <row r="189">
      <c r="A189" s="8">
        <v>221.0</v>
      </c>
      <c r="B189" s="9" t="s">
        <v>663</v>
      </c>
      <c r="C189" s="9" t="s">
        <v>664</v>
      </c>
      <c r="D189" s="9" t="s">
        <v>665</v>
      </c>
      <c r="E189" s="9" t="s">
        <v>666</v>
      </c>
      <c r="F189" s="10"/>
      <c r="G189" s="9" t="s">
        <v>18</v>
      </c>
      <c r="H189" s="11"/>
      <c r="I189" s="11"/>
      <c r="J189" s="11"/>
      <c r="K189" s="11"/>
      <c r="L189" s="11"/>
    </row>
    <row r="190">
      <c r="A190" s="8">
        <v>222.0</v>
      </c>
      <c r="B190" s="10"/>
      <c r="C190" s="10"/>
      <c r="D190" s="9" t="s">
        <v>667</v>
      </c>
      <c r="E190" s="14"/>
      <c r="F190" s="10"/>
      <c r="G190" s="9" t="s">
        <v>668</v>
      </c>
      <c r="H190" s="11"/>
      <c r="I190" s="11"/>
      <c r="J190" s="11"/>
      <c r="K190" s="11"/>
      <c r="L190" s="11"/>
    </row>
    <row r="191">
      <c r="A191" s="8">
        <v>223.0</v>
      </c>
      <c r="B191" s="10"/>
      <c r="C191" s="10"/>
      <c r="D191" s="14"/>
      <c r="E191" s="10"/>
      <c r="F191" s="9" t="s">
        <v>669</v>
      </c>
      <c r="G191" s="9" t="s">
        <v>214</v>
      </c>
      <c r="H191" s="11"/>
      <c r="I191" s="11"/>
      <c r="J191" s="11"/>
      <c r="K191" s="11"/>
      <c r="L191" s="11"/>
    </row>
    <row r="192">
      <c r="A192" s="8">
        <v>224.0</v>
      </c>
      <c r="B192" s="9" t="s">
        <v>670</v>
      </c>
      <c r="C192" s="10"/>
      <c r="D192" s="9" t="s">
        <v>671</v>
      </c>
      <c r="E192" s="9" t="s">
        <v>672</v>
      </c>
      <c r="F192" s="9" t="s">
        <v>673</v>
      </c>
      <c r="G192" s="9" t="s">
        <v>674</v>
      </c>
      <c r="H192" s="11"/>
      <c r="I192" s="11"/>
      <c r="J192" s="11"/>
      <c r="K192" s="11"/>
      <c r="L192" s="11"/>
    </row>
    <row r="193">
      <c r="A193" s="8">
        <v>225.0</v>
      </c>
      <c r="B193" s="9" t="s">
        <v>675</v>
      </c>
      <c r="C193" s="9" t="s">
        <v>676</v>
      </c>
      <c r="D193" s="9" t="s">
        <v>677</v>
      </c>
      <c r="E193" s="10"/>
      <c r="F193" s="9" t="s">
        <v>678</v>
      </c>
      <c r="G193" s="9" t="s">
        <v>679</v>
      </c>
      <c r="H193" s="11"/>
      <c r="I193" s="11"/>
      <c r="J193" s="11"/>
      <c r="K193" s="11"/>
      <c r="L193" s="11"/>
    </row>
    <row r="194">
      <c r="A194" s="8">
        <v>226.0</v>
      </c>
      <c r="B194" s="9" t="s">
        <v>680</v>
      </c>
      <c r="C194" s="9" t="s">
        <v>681</v>
      </c>
      <c r="D194" s="9" t="s">
        <v>682</v>
      </c>
      <c r="E194" s="9" t="s">
        <v>683</v>
      </c>
      <c r="F194" s="9" t="s">
        <v>684</v>
      </c>
      <c r="G194" s="9" t="s">
        <v>685</v>
      </c>
      <c r="H194" s="11"/>
      <c r="I194" s="11"/>
      <c r="J194" s="11"/>
      <c r="K194" s="11"/>
      <c r="L194" s="11"/>
    </row>
    <row r="195">
      <c r="A195" s="8">
        <v>227.0</v>
      </c>
      <c r="B195" s="9" t="s">
        <v>686</v>
      </c>
      <c r="C195" s="9" t="s">
        <v>687</v>
      </c>
      <c r="D195" s="9" t="s">
        <v>688</v>
      </c>
      <c r="E195" s="10"/>
      <c r="F195" s="9" t="s">
        <v>689</v>
      </c>
      <c r="G195" s="9" t="s">
        <v>690</v>
      </c>
      <c r="H195" s="11"/>
      <c r="I195" s="11"/>
      <c r="J195" s="11"/>
      <c r="K195" s="11"/>
      <c r="L195" s="11"/>
    </row>
    <row r="196">
      <c r="A196" s="8">
        <v>228.0</v>
      </c>
      <c r="B196" s="10"/>
      <c r="C196" s="10"/>
      <c r="D196" s="14"/>
      <c r="E196" s="10"/>
      <c r="F196" s="10"/>
      <c r="G196" s="9" t="s">
        <v>25</v>
      </c>
      <c r="H196" s="11"/>
      <c r="I196" s="11"/>
      <c r="J196" s="11"/>
      <c r="K196" s="11"/>
      <c r="L196" s="11"/>
    </row>
    <row r="197">
      <c r="A197" s="8">
        <v>229.0</v>
      </c>
      <c r="B197" s="10"/>
      <c r="C197" s="10"/>
      <c r="D197" s="14"/>
      <c r="E197" s="14"/>
      <c r="F197" s="10"/>
      <c r="G197" s="9" t="s">
        <v>691</v>
      </c>
      <c r="H197" s="11"/>
      <c r="I197" s="11"/>
      <c r="J197" s="11"/>
      <c r="K197" s="11"/>
      <c r="L197" s="11"/>
    </row>
    <row r="198">
      <c r="A198" s="8">
        <v>230.0</v>
      </c>
      <c r="B198" s="10"/>
      <c r="C198" s="10"/>
      <c r="D198" s="14"/>
      <c r="E198" s="10"/>
      <c r="F198" s="9" t="s">
        <v>692</v>
      </c>
      <c r="G198" s="9" t="s">
        <v>693</v>
      </c>
      <c r="H198" s="11"/>
      <c r="I198" s="11"/>
      <c r="J198" s="11"/>
      <c r="K198" s="11"/>
      <c r="L198" s="11"/>
    </row>
    <row r="199">
      <c r="A199" s="8">
        <v>231.0</v>
      </c>
      <c r="B199" s="9" t="s">
        <v>694</v>
      </c>
      <c r="C199" s="9" t="s">
        <v>695</v>
      </c>
      <c r="D199" s="9" t="s">
        <v>696</v>
      </c>
      <c r="E199" s="10"/>
      <c r="F199" s="9" t="s">
        <v>697</v>
      </c>
      <c r="G199" s="9" t="s">
        <v>698</v>
      </c>
      <c r="H199" s="11"/>
      <c r="I199" s="11"/>
      <c r="J199" s="11"/>
      <c r="K199" s="11"/>
      <c r="L199" s="11"/>
    </row>
    <row r="200">
      <c r="A200" s="8">
        <v>232.0</v>
      </c>
      <c r="B200" s="9" t="s">
        <v>699</v>
      </c>
      <c r="C200" s="9" t="s">
        <v>700</v>
      </c>
      <c r="D200" s="9" t="s">
        <v>701</v>
      </c>
      <c r="E200" s="9" t="s">
        <v>702</v>
      </c>
      <c r="F200" s="9" t="s">
        <v>703</v>
      </c>
      <c r="G200" s="9" t="s">
        <v>214</v>
      </c>
      <c r="H200" s="11"/>
      <c r="I200" s="11"/>
      <c r="J200" s="11"/>
      <c r="K200" s="11"/>
      <c r="L200" s="11"/>
    </row>
    <row r="201">
      <c r="A201" s="8">
        <v>233.0</v>
      </c>
      <c r="B201" s="9" t="s">
        <v>229</v>
      </c>
      <c r="C201" s="9" t="s">
        <v>229</v>
      </c>
      <c r="D201" s="9" t="s">
        <v>229</v>
      </c>
      <c r="E201" s="10"/>
      <c r="F201" s="10"/>
      <c r="G201" s="9" t="s">
        <v>25</v>
      </c>
      <c r="H201" s="11"/>
      <c r="I201" s="11"/>
      <c r="J201" s="11"/>
      <c r="K201" s="11"/>
      <c r="L201" s="11"/>
    </row>
    <row r="202">
      <c r="A202" s="8">
        <v>234.0</v>
      </c>
      <c r="B202" s="9" t="s">
        <v>704</v>
      </c>
      <c r="C202" s="10"/>
      <c r="D202" s="10"/>
      <c r="E202" s="10"/>
      <c r="F202" s="10"/>
      <c r="G202" s="9" t="s">
        <v>80</v>
      </c>
      <c r="H202" s="11"/>
      <c r="I202" s="11"/>
      <c r="J202" s="11"/>
      <c r="K202" s="11"/>
      <c r="L202" s="11"/>
    </row>
    <row r="203">
      <c r="A203" s="8">
        <v>235.0</v>
      </c>
      <c r="B203" s="9" t="s">
        <v>705</v>
      </c>
      <c r="C203" s="9" t="s">
        <v>25</v>
      </c>
      <c r="D203" s="9" t="s">
        <v>706</v>
      </c>
      <c r="E203" s="9" t="s">
        <v>707</v>
      </c>
      <c r="F203" s="9" t="s">
        <v>708</v>
      </c>
      <c r="G203" s="9" t="s">
        <v>709</v>
      </c>
      <c r="H203" s="11"/>
      <c r="I203" s="11"/>
      <c r="J203" s="11"/>
      <c r="K203" s="11"/>
      <c r="L203" s="11"/>
    </row>
    <row r="204">
      <c r="A204" s="8">
        <v>236.0</v>
      </c>
      <c r="B204" s="10"/>
      <c r="C204" s="10"/>
      <c r="D204" s="14"/>
      <c r="E204" s="10"/>
      <c r="F204" s="9" t="s">
        <v>710</v>
      </c>
      <c r="G204" s="9" t="s">
        <v>711</v>
      </c>
      <c r="H204" s="11"/>
      <c r="I204" s="11"/>
      <c r="J204" s="11"/>
      <c r="K204" s="11"/>
      <c r="L204" s="11"/>
    </row>
    <row r="205">
      <c r="A205" s="8">
        <v>237.0</v>
      </c>
      <c r="B205" s="10"/>
      <c r="C205" s="10"/>
      <c r="D205" s="10"/>
      <c r="E205" s="10"/>
      <c r="F205" s="9" t="s">
        <v>712</v>
      </c>
      <c r="G205" s="9" t="s">
        <v>713</v>
      </c>
      <c r="H205" s="11"/>
      <c r="I205" s="11"/>
      <c r="J205" s="11"/>
      <c r="K205" s="11"/>
      <c r="L205" s="11"/>
    </row>
    <row r="206">
      <c r="A206" s="8">
        <v>238.0</v>
      </c>
      <c r="B206" s="9" t="s">
        <v>714</v>
      </c>
      <c r="C206" s="9" t="s">
        <v>715</v>
      </c>
      <c r="D206" s="9" t="s">
        <v>716</v>
      </c>
      <c r="E206" s="9" t="s">
        <v>717</v>
      </c>
      <c r="F206" s="9" t="s">
        <v>718</v>
      </c>
      <c r="G206" s="9" t="s">
        <v>230</v>
      </c>
      <c r="H206" s="11"/>
      <c r="I206" s="11"/>
      <c r="J206" s="11"/>
      <c r="K206" s="11"/>
      <c r="L206" s="11"/>
    </row>
    <row r="207">
      <c r="A207" s="8">
        <v>239.0</v>
      </c>
      <c r="B207" s="10"/>
      <c r="C207" s="10"/>
      <c r="D207" s="9" t="s">
        <v>719</v>
      </c>
      <c r="E207" s="10"/>
      <c r="F207" s="9" t="s">
        <v>720</v>
      </c>
      <c r="G207" s="9" t="s">
        <v>721</v>
      </c>
      <c r="H207" s="11"/>
      <c r="I207" s="11"/>
      <c r="J207" s="11"/>
      <c r="K207" s="11"/>
      <c r="L207" s="11"/>
    </row>
    <row r="208">
      <c r="A208" s="8">
        <v>240.0</v>
      </c>
      <c r="B208" s="10"/>
      <c r="C208" s="10"/>
      <c r="D208" s="10"/>
      <c r="E208" s="10"/>
      <c r="F208" s="9" t="s">
        <v>722</v>
      </c>
      <c r="G208" s="9" t="s">
        <v>554</v>
      </c>
      <c r="H208" s="11"/>
      <c r="I208" s="11"/>
      <c r="J208" s="11"/>
      <c r="K208" s="11"/>
      <c r="L208" s="11"/>
    </row>
    <row r="209">
      <c r="A209" s="8">
        <v>241.0</v>
      </c>
      <c r="B209" s="10"/>
      <c r="C209" s="10"/>
      <c r="D209" s="14"/>
      <c r="E209" s="9" t="s">
        <v>723</v>
      </c>
      <c r="F209" s="9" t="s">
        <v>724</v>
      </c>
      <c r="G209" s="9" t="s">
        <v>725</v>
      </c>
      <c r="H209" s="11"/>
      <c r="I209" s="11"/>
      <c r="J209" s="11"/>
      <c r="K209" s="11"/>
      <c r="L209" s="11"/>
    </row>
    <row r="210">
      <c r="A210" s="8">
        <v>242.0</v>
      </c>
      <c r="B210" s="10"/>
      <c r="C210" s="10"/>
      <c r="D210" s="14"/>
      <c r="E210" s="9" t="s">
        <v>726</v>
      </c>
      <c r="F210" s="9" t="s">
        <v>727</v>
      </c>
      <c r="G210" s="9" t="s">
        <v>728</v>
      </c>
      <c r="H210" s="11"/>
      <c r="I210" s="11"/>
      <c r="J210" s="11"/>
      <c r="K210" s="11"/>
      <c r="L210" s="11"/>
    </row>
    <row r="211">
      <c r="A211" s="8">
        <v>243.0</v>
      </c>
      <c r="B211" s="9" t="s">
        <v>729</v>
      </c>
      <c r="C211" s="9" t="s">
        <v>730</v>
      </c>
      <c r="D211" s="9" t="s">
        <v>731</v>
      </c>
      <c r="E211" s="9" t="s">
        <v>732</v>
      </c>
      <c r="F211" s="9" t="s">
        <v>733</v>
      </c>
      <c r="G211" s="9" t="s">
        <v>734</v>
      </c>
      <c r="H211" s="11"/>
      <c r="I211" s="11"/>
      <c r="J211" s="11"/>
      <c r="K211" s="11"/>
      <c r="L211" s="11"/>
    </row>
    <row r="212">
      <c r="A212" s="8">
        <v>244.0</v>
      </c>
      <c r="B212" s="10"/>
      <c r="C212" s="10"/>
      <c r="D212" s="14"/>
      <c r="E212" s="10"/>
      <c r="F212" s="9" t="s">
        <v>735</v>
      </c>
      <c r="G212" s="9" t="s">
        <v>736</v>
      </c>
      <c r="H212" s="11"/>
      <c r="I212" s="11"/>
      <c r="J212" s="11"/>
      <c r="K212" s="11"/>
      <c r="L212" s="11"/>
    </row>
    <row r="213">
      <c r="A213" s="8">
        <v>245.0</v>
      </c>
      <c r="B213" s="9" t="s">
        <v>18</v>
      </c>
      <c r="C213" s="9" t="s">
        <v>737</v>
      </c>
      <c r="D213" s="9" t="s">
        <v>738</v>
      </c>
      <c r="E213" s="9" t="s">
        <v>739</v>
      </c>
      <c r="F213" s="9" t="s">
        <v>740</v>
      </c>
      <c r="G213" s="9" t="s">
        <v>741</v>
      </c>
      <c r="H213" s="11"/>
      <c r="I213" s="11"/>
      <c r="J213" s="11"/>
      <c r="K213" s="11"/>
      <c r="L213" s="11"/>
    </row>
    <row r="214">
      <c r="A214" s="8">
        <v>246.0</v>
      </c>
      <c r="B214" s="9" t="s">
        <v>423</v>
      </c>
      <c r="C214" s="10"/>
      <c r="D214" s="9" t="s">
        <v>742</v>
      </c>
      <c r="E214" s="10"/>
      <c r="F214" s="10"/>
      <c r="G214" s="9" t="s">
        <v>743</v>
      </c>
      <c r="H214" s="11"/>
      <c r="I214" s="11"/>
      <c r="J214" s="11"/>
      <c r="K214" s="11"/>
      <c r="L214" s="11"/>
    </row>
    <row r="215">
      <c r="A215" s="8">
        <v>247.0</v>
      </c>
      <c r="B215" s="10"/>
      <c r="C215" s="10"/>
      <c r="D215" s="14"/>
      <c r="E215" s="10"/>
      <c r="F215" s="9" t="s">
        <v>744</v>
      </c>
      <c r="G215" s="9" t="s">
        <v>745</v>
      </c>
      <c r="H215" s="11"/>
      <c r="I215" s="11"/>
      <c r="J215" s="11"/>
      <c r="K215" s="11"/>
      <c r="L215" s="11"/>
    </row>
    <row r="216">
      <c r="A216" s="8">
        <v>248.0</v>
      </c>
      <c r="B216" s="9" t="s">
        <v>746</v>
      </c>
      <c r="C216" s="10"/>
      <c r="D216" s="9" t="s">
        <v>747</v>
      </c>
      <c r="E216" s="10"/>
      <c r="F216" s="9" t="s">
        <v>748</v>
      </c>
      <c r="G216" s="9" t="s">
        <v>749</v>
      </c>
      <c r="H216" s="11"/>
      <c r="I216" s="11"/>
      <c r="J216" s="11"/>
      <c r="K216" s="11"/>
      <c r="L216" s="11"/>
    </row>
    <row r="217">
      <c r="A217" s="8"/>
      <c r="B217" s="10"/>
      <c r="C217" s="10"/>
      <c r="D217" s="9"/>
      <c r="E217" s="10"/>
      <c r="F217" s="10"/>
      <c r="G217" s="9"/>
      <c r="H217" s="11"/>
      <c r="I217" s="11"/>
      <c r="J217" s="11"/>
      <c r="K217" s="11"/>
      <c r="L217" s="11"/>
    </row>
    <row r="218">
      <c r="A218" s="8"/>
      <c r="B218" s="9"/>
      <c r="C218" s="9"/>
      <c r="D218" s="14"/>
      <c r="E218" s="14"/>
      <c r="F218" s="10"/>
      <c r="G218" s="9"/>
      <c r="H218" s="11"/>
      <c r="I218" s="11"/>
      <c r="J218" s="11"/>
      <c r="K218" s="11"/>
      <c r="L218" s="11"/>
    </row>
    <row r="219">
      <c r="A219" s="8"/>
      <c r="B219" s="9"/>
      <c r="C219" s="9"/>
      <c r="D219" s="14"/>
      <c r="E219" s="10"/>
      <c r="F219" s="10"/>
      <c r="G219" s="9"/>
      <c r="H219" s="11"/>
      <c r="I219" s="11"/>
      <c r="J219" s="11"/>
      <c r="K219" s="11"/>
      <c r="L219" s="11"/>
    </row>
    <row r="220">
      <c r="A220" s="8"/>
      <c r="B220" s="9"/>
      <c r="C220" s="9"/>
      <c r="D220" s="10"/>
      <c r="E220" s="9"/>
      <c r="F220" s="9"/>
      <c r="G220" s="10"/>
      <c r="H220" s="11"/>
      <c r="I220" s="11"/>
      <c r="J220" s="11"/>
      <c r="K220" s="11"/>
      <c r="L220" s="11"/>
    </row>
    <row r="221">
      <c r="A221" s="8"/>
      <c r="B221" s="9"/>
      <c r="C221" s="9"/>
      <c r="D221" s="14"/>
      <c r="E221" s="14"/>
      <c r="F221" s="10"/>
      <c r="G221" s="9"/>
      <c r="H221" s="11"/>
      <c r="I221" s="11"/>
      <c r="J221" s="11"/>
      <c r="K221" s="11"/>
      <c r="L221" s="11"/>
    </row>
    <row r="222">
      <c r="A222" s="8"/>
      <c r="B222" s="9"/>
      <c r="C222" s="9"/>
      <c r="D222" s="14"/>
      <c r="E222" s="9"/>
      <c r="F222" s="9"/>
      <c r="G222" s="14"/>
      <c r="H222" s="11"/>
      <c r="I222" s="11"/>
      <c r="J222" s="11"/>
      <c r="K222" s="11"/>
      <c r="L222" s="11"/>
    </row>
    <row r="223">
      <c r="A223" s="8"/>
      <c r="B223" s="9"/>
      <c r="C223" s="9"/>
      <c r="D223" s="14"/>
      <c r="E223" s="10"/>
      <c r="F223" s="10"/>
      <c r="G223" s="9"/>
      <c r="H223" s="11"/>
      <c r="I223" s="11"/>
      <c r="J223" s="11"/>
      <c r="K223" s="11"/>
      <c r="L223" s="11"/>
    </row>
    <row r="224">
      <c r="A224" s="8"/>
      <c r="B224" s="9"/>
      <c r="C224" s="9"/>
      <c r="D224" s="14"/>
      <c r="E224" s="9"/>
      <c r="F224" s="9"/>
      <c r="G224" s="14"/>
      <c r="H224" s="11"/>
      <c r="I224" s="11"/>
      <c r="J224" s="11"/>
      <c r="K224" s="11"/>
      <c r="L224" s="11"/>
    </row>
    <row r="225">
      <c r="A225" s="8"/>
      <c r="B225" s="9"/>
      <c r="C225" s="9"/>
      <c r="D225" s="14"/>
      <c r="E225" s="9"/>
      <c r="F225" s="9"/>
      <c r="G225" s="14"/>
      <c r="H225" s="11"/>
      <c r="I225" s="11"/>
      <c r="J225" s="11"/>
      <c r="K225" s="11"/>
      <c r="L225" s="11"/>
    </row>
    <row r="226">
      <c r="A226" s="8"/>
      <c r="B226" s="9"/>
      <c r="C226" s="9"/>
      <c r="D226" s="14"/>
      <c r="E226" s="9"/>
      <c r="F226" s="9"/>
      <c r="G226" s="14"/>
      <c r="H226" s="11"/>
      <c r="I226" s="11"/>
      <c r="J226" s="11"/>
      <c r="K226" s="11"/>
      <c r="L226" s="11"/>
    </row>
    <row r="227">
      <c r="A227" s="8"/>
      <c r="B227" s="9"/>
      <c r="C227" s="9"/>
      <c r="D227" s="14"/>
      <c r="E227" s="10"/>
      <c r="F227" s="10"/>
      <c r="G227" s="9"/>
      <c r="H227" s="11"/>
      <c r="I227" s="11"/>
      <c r="J227" s="11"/>
      <c r="K227" s="11"/>
      <c r="L227" s="11"/>
    </row>
    <row r="228">
      <c r="A228" s="8"/>
      <c r="B228" s="9"/>
      <c r="C228" s="9"/>
      <c r="D228" s="14"/>
      <c r="E228" s="10"/>
      <c r="F228" s="10"/>
      <c r="G228" s="9"/>
      <c r="H228" s="11"/>
      <c r="I228" s="11"/>
      <c r="J228" s="11"/>
      <c r="K228" s="11"/>
      <c r="L228" s="11"/>
    </row>
    <row r="229">
      <c r="A229" s="8"/>
      <c r="B229" s="9"/>
      <c r="C229" s="9"/>
      <c r="D229" s="14"/>
      <c r="E229" s="9"/>
      <c r="F229" s="9"/>
      <c r="G229" s="14"/>
      <c r="H229" s="11"/>
      <c r="I229" s="11"/>
      <c r="J229" s="11"/>
      <c r="K229" s="11"/>
      <c r="L229" s="11"/>
    </row>
    <row r="230">
      <c r="A230" s="8"/>
      <c r="B230" s="9"/>
      <c r="C230" s="9"/>
      <c r="D230" s="14"/>
      <c r="E230" s="14"/>
      <c r="F230" s="10"/>
      <c r="G230" s="9"/>
      <c r="H230" s="11"/>
      <c r="I230" s="11"/>
      <c r="J230" s="11"/>
      <c r="K230" s="11"/>
      <c r="L230" s="11"/>
    </row>
    <row r="231">
      <c r="A231" s="8"/>
      <c r="B231" s="9"/>
      <c r="C231" s="9"/>
      <c r="D231" s="14"/>
      <c r="E231" s="9"/>
      <c r="F231" s="9"/>
      <c r="G231" s="14"/>
      <c r="H231" s="11"/>
      <c r="I231" s="11"/>
      <c r="J231" s="11"/>
      <c r="K231" s="11"/>
      <c r="L231" s="11"/>
    </row>
    <row r="232">
      <c r="A232" s="8"/>
      <c r="B232" s="9"/>
      <c r="C232" s="9"/>
      <c r="D232" s="14"/>
      <c r="E232" s="9"/>
      <c r="F232" s="9"/>
      <c r="G232" s="14"/>
      <c r="H232" s="11"/>
      <c r="I232" s="11"/>
      <c r="J232" s="11"/>
      <c r="K232" s="11"/>
      <c r="L232" s="11"/>
    </row>
    <row r="233">
      <c r="A233" s="8"/>
      <c r="B233" s="9"/>
      <c r="C233" s="9"/>
      <c r="D233" s="14"/>
      <c r="E233" s="14"/>
      <c r="F233" s="10"/>
      <c r="G233" s="9"/>
      <c r="H233" s="11"/>
      <c r="I233" s="11"/>
      <c r="J233" s="11"/>
      <c r="K233" s="11"/>
      <c r="L233" s="11"/>
    </row>
    <row r="234">
      <c r="A234" s="8"/>
      <c r="B234" s="10"/>
      <c r="C234" s="10"/>
      <c r="D234" s="9"/>
      <c r="E234" s="10"/>
      <c r="F234" s="10"/>
      <c r="G234" s="9"/>
      <c r="H234" s="11"/>
      <c r="I234" s="11"/>
      <c r="J234" s="11"/>
      <c r="K234" s="11"/>
      <c r="L234" s="11"/>
    </row>
    <row r="235">
      <c r="A235" s="8"/>
      <c r="B235" s="9"/>
      <c r="C235" s="9"/>
      <c r="D235" s="14"/>
      <c r="E235" s="10"/>
      <c r="F235" s="10"/>
      <c r="G235" s="9"/>
      <c r="H235" s="11"/>
      <c r="I235" s="11"/>
      <c r="J235" s="11"/>
      <c r="K235" s="11"/>
      <c r="L235" s="11"/>
    </row>
    <row r="236">
      <c r="A236" s="8"/>
      <c r="B236" s="9"/>
      <c r="C236" s="9"/>
      <c r="D236" s="14"/>
      <c r="E236" s="14"/>
      <c r="F236" s="10"/>
      <c r="G236" s="9"/>
      <c r="H236" s="11"/>
      <c r="I236" s="11"/>
      <c r="J236" s="11"/>
      <c r="K236" s="11"/>
      <c r="L236" s="11"/>
    </row>
    <row r="237">
      <c r="A237" s="8"/>
      <c r="B237" s="9"/>
      <c r="C237" s="9"/>
      <c r="D237" s="10"/>
      <c r="E237" s="9"/>
      <c r="F237" s="9"/>
      <c r="G237" s="10"/>
      <c r="H237" s="11"/>
      <c r="I237" s="11"/>
      <c r="J237" s="11"/>
      <c r="K237" s="11"/>
      <c r="L237" s="11"/>
    </row>
    <row r="238">
      <c r="A238" s="8"/>
      <c r="B238" s="9"/>
      <c r="C238" s="9"/>
      <c r="D238" s="14"/>
      <c r="E238" s="9"/>
      <c r="F238" s="9"/>
      <c r="G238" s="14"/>
      <c r="H238" s="11"/>
      <c r="I238" s="11"/>
      <c r="J238" s="11"/>
      <c r="K238" s="11"/>
      <c r="L238" s="11"/>
    </row>
    <row r="239">
      <c r="A239" s="8"/>
      <c r="B239" s="10"/>
      <c r="C239" s="10"/>
      <c r="D239" s="14"/>
      <c r="E239" s="14"/>
      <c r="F239" s="10"/>
      <c r="G239" s="14"/>
      <c r="H239" s="11"/>
      <c r="I239" s="11"/>
      <c r="J239" s="11"/>
      <c r="K239" s="11"/>
      <c r="L239" s="11"/>
    </row>
    <row r="240">
      <c r="A240" s="8"/>
      <c r="B240" s="9"/>
      <c r="C240" s="9"/>
      <c r="D240" s="14"/>
      <c r="E240" s="10"/>
      <c r="F240" s="10"/>
      <c r="G240" s="9"/>
      <c r="H240" s="11"/>
      <c r="I240" s="11"/>
      <c r="J240" s="11"/>
      <c r="K240" s="11"/>
      <c r="L240" s="11"/>
    </row>
    <row r="241">
      <c r="A241" s="8"/>
      <c r="B241" s="9"/>
      <c r="C241" s="9"/>
      <c r="D241" s="14"/>
      <c r="E241" s="9"/>
      <c r="F241" s="9"/>
      <c r="G241" s="14"/>
      <c r="H241" s="11"/>
      <c r="I241" s="11"/>
      <c r="J241" s="11"/>
      <c r="K241" s="11"/>
      <c r="L241" s="11"/>
    </row>
    <row r="242">
      <c r="A242" s="8"/>
      <c r="B242" s="9"/>
      <c r="C242" s="9"/>
      <c r="D242" s="14"/>
      <c r="E242" s="9"/>
      <c r="F242" s="9"/>
      <c r="G242" s="14"/>
      <c r="H242" s="11"/>
      <c r="I242" s="11"/>
      <c r="J242" s="11"/>
      <c r="K242" s="11"/>
      <c r="L242" s="11"/>
    </row>
    <row r="243">
      <c r="A243" s="8"/>
      <c r="B243" s="9"/>
      <c r="C243" s="9"/>
      <c r="D243" s="14"/>
      <c r="E243" s="9"/>
      <c r="F243" s="9"/>
      <c r="G243" s="14"/>
      <c r="H243" s="11"/>
      <c r="I243" s="11"/>
      <c r="J243" s="11"/>
      <c r="K243" s="11"/>
      <c r="L243" s="11"/>
    </row>
    <row r="244">
      <c r="A244" s="8"/>
      <c r="B244" s="9"/>
      <c r="C244" s="9"/>
      <c r="D244" s="14"/>
      <c r="E244" s="9"/>
      <c r="F244" s="9"/>
      <c r="G244" s="14"/>
      <c r="H244" s="11"/>
      <c r="I244" s="11"/>
      <c r="J244" s="11"/>
      <c r="K244" s="11"/>
      <c r="L244" s="11"/>
    </row>
    <row r="245">
      <c r="A245" s="8"/>
      <c r="B245" s="9"/>
      <c r="C245" s="9"/>
      <c r="D245" s="14"/>
      <c r="E245" s="9"/>
      <c r="F245" s="9"/>
      <c r="G245" s="14"/>
      <c r="H245" s="11"/>
      <c r="I245" s="11"/>
      <c r="J245" s="11"/>
      <c r="K245" s="11"/>
      <c r="L245" s="11"/>
    </row>
    <row r="246">
      <c r="A246" s="8"/>
      <c r="B246" s="9"/>
      <c r="C246" s="9"/>
      <c r="D246" s="14"/>
      <c r="E246" s="9"/>
      <c r="F246" s="9"/>
      <c r="G246" s="14"/>
      <c r="H246" s="11"/>
      <c r="I246" s="11"/>
      <c r="J246" s="11"/>
      <c r="K246" s="11"/>
      <c r="L246" s="11"/>
    </row>
    <row r="247">
      <c r="A247" s="8"/>
      <c r="B247" s="10"/>
      <c r="C247" s="10"/>
      <c r="D247" s="9"/>
      <c r="E247" s="10"/>
      <c r="F247" s="10"/>
      <c r="G247" s="9"/>
      <c r="H247" s="11"/>
      <c r="I247" s="11"/>
      <c r="J247" s="11"/>
      <c r="K247" s="11"/>
      <c r="L247" s="11"/>
    </row>
    <row r="248">
      <c r="A248" s="8"/>
      <c r="B248" s="9"/>
      <c r="C248" s="9"/>
      <c r="D248" s="14"/>
      <c r="E248" s="9"/>
      <c r="F248" s="9"/>
      <c r="G248" s="14"/>
      <c r="H248" s="11"/>
      <c r="I248" s="11"/>
      <c r="J248" s="11"/>
      <c r="K248" s="11"/>
      <c r="L248" s="11"/>
    </row>
    <row r="249">
      <c r="A249" s="8"/>
      <c r="B249" s="9"/>
      <c r="C249" s="9"/>
      <c r="D249" s="14"/>
      <c r="E249" s="10"/>
      <c r="F249" s="10"/>
      <c r="G249" s="9"/>
      <c r="H249" s="11"/>
      <c r="I249" s="11"/>
      <c r="J249" s="11"/>
      <c r="K249" s="11"/>
      <c r="L249" s="11"/>
    </row>
    <row r="250">
      <c r="A250" s="8"/>
      <c r="B250" s="9"/>
      <c r="C250" s="9"/>
      <c r="D250" s="10"/>
      <c r="E250" s="9"/>
      <c r="F250" s="9"/>
      <c r="G250" s="10"/>
      <c r="H250" s="11"/>
      <c r="I250" s="11"/>
      <c r="J250" s="11"/>
      <c r="K250" s="11"/>
      <c r="L250" s="11"/>
    </row>
    <row r="251">
      <c r="A251" s="8"/>
      <c r="B251" s="9"/>
      <c r="C251" s="9"/>
      <c r="D251" s="14"/>
      <c r="E251" s="9"/>
      <c r="F251" s="9"/>
      <c r="G251" s="14"/>
      <c r="H251" s="11"/>
      <c r="I251" s="11"/>
      <c r="J251" s="11"/>
      <c r="K251" s="11"/>
      <c r="L251" s="11"/>
    </row>
    <row r="252">
      <c r="A252" s="8"/>
      <c r="B252" s="9"/>
      <c r="C252" s="9"/>
      <c r="D252" s="14"/>
      <c r="E252" s="14"/>
      <c r="F252" s="10"/>
      <c r="G252" s="9"/>
      <c r="H252" s="11"/>
      <c r="I252" s="11"/>
      <c r="J252" s="11"/>
      <c r="K252" s="11"/>
      <c r="L252" s="11"/>
    </row>
    <row r="253">
      <c r="A253" s="8"/>
      <c r="B253" s="9"/>
      <c r="C253" s="9"/>
      <c r="D253" s="14"/>
      <c r="E253" s="9"/>
      <c r="F253" s="9"/>
      <c r="G253" s="14"/>
      <c r="H253" s="11"/>
      <c r="I253" s="11"/>
      <c r="J253" s="11"/>
      <c r="K253" s="11"/>
      <c r="L253" s="11"/>
    </row>
    <row r="254">
      <c r="A254" s="8"/>
      <c r="B254" s="9"/>
      <c r="C254" s="9"/>
      <c r="D254" s="14"/>
      <c r="E254" s="9"/>
      <c r="F254" s="9"/>
      <c r="G254" s="14"/>
      <c r="H254" s="11"/>
      <c r="I254" s="11"/>
      <c r="J254" s="11"/>
      <c r="K254" s="11"/>
      <c r="L254" s="11"/>
    </row>
    <row r="255">
      <c r="A255" s="8"/>
      <c r="B255" s="9"/>
      <c r="C255" s="9"/>
      <c r="D255" s="14"/>
      <c r="E255" s="9"/>
      <c r="F255" s="9"/>
      <c r="G255" s="14"/>
      <c r="H255" s="11"/>
      <c r="I255" s="11"/>
      <c r="J255" s="11"/>
      <c r="K255" s="11"/>
      <c r="L255" s="11"/>
    </row>
    <row r="256">
      <c r="A256" s="8"/>
      <c r="B256" s="9"/>
      <c r="C256" s="9"/>
      <c r="D256" s="14"/>
      <c r="E256" s="9"/>
      <c r="F256" s="9"/>
      <c r="G256" s="14"/>
      <c r="H256" s="11"/>
      <c r="I256" s="11"/>
      <c r="J256" s="11"/>
      <c r="K256" s="11"/>
      <c r="L256" s="11"/>
    </row>
    <row r="257">
      <c r="A257" s="8"/>
      <c r="B257" s="10"/>
      <c r="C257" s="10"/>
      <c r="D257" s="9"/>
      <c r="E257" s="10"/>
      <c r="F257" s="10"/>
      <c r="G257" s="9"/>
      <c r="H257" s="11"/>
      <c r="I257" s="11"/>
      <c r="J257" s="11"/>
      <c r="K257" s="11"/>
      <c r="L257" s="11"/>
    </row>
    <row r="258">
      <c r="A258" s="8"/>
      <c r="B258" s="9"/>
      <c r="C258" s="9"/>
      <c r="D258" s="14"/>
      <c r="E258" s="10"/>
      <c r="F258" s="10"/>
      <c r="G258" s="9"/>
      <c r="H258" s="11"/>
      <c r="I258" s="11"/>
      <c r="J258" s="11"/>
      <c r="K258" s="11"/>
      <c r="L258" s="11"/>
    </row>
    <row r="259">
      <c r="A259" s="8"/>
      <c r="B259" s="9"/>
      <c r="C259" s="9"/>
      <c r="D259" s="14"/>
      <c r="E259" s="9"/>
      <c r="F259" s="9"/>
      <c r="G259" s="14"/>
      <c r="H259" s="11"/>
      <c r="I259" s="11"/>
      <c r="J259" s="11"/>
      <c r="K259" s="11"/>
      <c r="L259" s="11"/>
    </row>
    <row r="260">
      <c r="A260" s="8"/>
      <c r="B260" s="9"/>
      <c r="C260" s="9"/>
      <c r="D260" s="10"/>
      <c r="E260" s="14"/>
      <c r="F260" s="14"/>
      <c r="G260" s="9"/>
      <c r="H260" s="11"/>
      <c r="I260" s="11"/>
      <c r="J260" s="11"/>
      <c r="K260" s="11"/>
      <c r="L260" s="11"/>
    </row>
    <row r="261">
      <c r="A261" s="8"/>
      <c r="B261" s="10"/>
      <c r="C261" s="10"/>
      <c r="D261" s="9"/>
      <c r="E261" s="14"/>
      <c r="F261" s="10"/>
      <c r="G261" s="9"/>
      <c r="H261" s="11"/>
      <c r="I261" s="11"/>
      <c r="J261" s="11"/>
      <c r="K261" s="11"/>
      <c r="L261" s="11"/>
    </row>
    <row r="262">
      <c r="A262" s="8"/>
      <c r="B262" s="9"/>
      <c r="C262" s="9"/>
      <c r="D262" s="14"/>
      <c r="E262" s="10"/>
      <c r="F262" s="10"/>
      <c r="G262" s="9"/>
      <c r="H262" s="11"/>
      <c r="I262" s="11"/>
      <c r="J262" s="11"/>
      <c r="K262" s="11"/>
      <c r="L262" s="11"/>
    </row>
    <row r="263">
      <c r="A263" s="8"/>
      <c r="B263" s="9"/>
      <c r="C263" s="9"/>
      <c r="D263" s="14"/>
      <c r="E263" s="9"/>
      <c r="F263" s="9"/>
      <c r="G263" s="14"/>
      <c r="H263" s="11"/>
      <c r="I263" s="11"/>
      <c r="J263" s="11"/>
      <c r="K263" s="11"/>
      <c r="L263" s="11"/>
    </row>
    <row r="264">
      <c r="A264" s="8"/>
      <c r="B264" s="9"/>
      <c r="C264" s="9"/>
      <c r="D264" s="10"/>
      <c r="E264" s="9"/>
      <c r="F264" s="9"/>
      <c r="G264" s="10"/>
      <c r="H264" s="11"/>
      <c r="I264" s="11"/>
      <c r="J264" s="11"/>
      <c r="K264" s="11"/>
      <c r="L264" s="11"/>
    </row>
    <row r="265">
      <c r="A265" s="8"/>
      <c r="B265" s="9"/>
      <c r="C265" s="9"/>
      <c r="D265" s="14"/>
      <c r="E265" s="9"/>
      <c r="F265" s="9"/>
      <c r="G265" s="14"/>
      <c r="H265" s="11"/>
      <c r="I265" s="11"/>
      <c r="J265" s="11"/>
      <c r="K265" s="11"/>
      <c r="L265" s="11"/>
    </row>
    <row r="266">
      <c r="A266" s="8"/>
      <c r="B266" s="10"/>
      <c r="C266" s="10"/>
      <c r="D266" s="9"/>
      <c r="E266" s="10"/>
      <c r="F266" s="10"/>
      <c r="G266" s="9"/>
      <c r="H266" s="11"/>
      <c r="I266" s="11"/>
      <c r="J266" s="11"/>
      <c r="K266" s="11"/>
      <c r="L266" s="11"/>
    </row>
    <row r="267">
      <c r="A267" s="8"/>
      <c r="B267" s="13"/>
      <c r="C267" s="9"/>
      <c r="D267" s="14"/>
      <c r="E267" s="10"/>
      <c r="F267" s="10"/>
      <c r="G267" s="9"/>
      <c r="H267" s="11"/>
      <c r="I267" s="11"/>
      <c r="J267" s="11"/>
      <c r="K267" s="11"/>
      <c r="L267" s="11"/>
    </row>
    <row r="268">
      <c r="A268" s="8"/>
      <c r="B268" s="9"/>
      <c r="C268" s="9"/>
      <c r="D268" s="14"/>
      <c r="E268" s="9"/>
      <c r="F268" s="9"/>
      <c r="G268" s="14"/>
      <c r="H268" s="11"/>
      <c r="I268" s="11"/>
      <c r="J268" s="11"/>
      <c r="K268" s="11"/>
      <c r="L268" s="11"/>
    </row>
    <row r="269">
      <c r="A269" s="8"/>
      <c r="B269" s="9"/>
      <c r="C269" s="9"/>
      <c r="D269" s="10"/>
      <c r="E269" s="14"/>
      <c r="F269" s="14"/>
      <c r="G269" s="9"/>
      <c r="H269" s="11"/>
      <c r="I269" s="11"/>
      <c r="J269" s="11"/>
      <c r="K269" s="11"/>
      <c r="L269" s="11"/>
    </row>
    <row r="270">
      <c r="A270" s="8"/>
      <c r="B270" s="9"/>
      <c r="C270" s="9"/>
      <c r="D270" s="14"/>
      <c r="E270" s="14"/>
      <c r="F270" s="10"/>
      <c r="G270" s="9"/>
      <c r="H270" s="11"/>
      <c r="I270" s="11"/>
      <c r="J270" s="11"/>
      <c r="K270" s="11"/>
      <c r="L270" s="11"/>
    </row>
    <row r="271">
      <c r="A271" s="8"/>
      <c r="B271" s="9"/>
      <c r="C271" s="9"/>
      <c r="D271" s="14"/>
      <c r="E271" s="9"/>
      <c r="F271" s="9"/>
      <c r="G271" s="14"/>
      <c r="H271" s="11"/>
      <c r="I271" s="11"/>
      <c r="J271" s="11"/>
      <c r="K271" s="11"/>
      <c r="L271" s="11"/>
    </row>
    <row r="272">
      <c r="A272" s="8"/>
      <c r="B272" s="9"/>
      <c r="C272" s="9"/>
      <c r="D272" s="14"/>
      <c r="E272" s="9"/>
      <c r="F272" s="9"/>
      <c r="G272" s="14"/>
      <c r="H272" s="11"/>
      <c r="I272" s="11"/>
      <c r="J272" s="11"/>
      <c r="K272" s="11"/>
      <c r="L272" s="11"/>
    </row>
    <row r="273">
      <c r="A273" s="8"/>
      <c r="B273" s="9"/>
      <c r="C273" s="9"/>
      <c r="D273" s="14"/>
      <c r="E273" s="14"/>
      <c r="F273" s="10"/>
      <c r="G273" s="9"/>
      <c r="H273" s="11"/>
      <c r="I273" s="11"/>
      <c r="J273" s="11"/>
      <c r="K273" s="11"/>
      <c r="L273" s="11"/>
    </row>
    <row r="274">
      <c r="A274" s="8"/>
      <c r="B274" s="9"/>
      <c r="C274" s="9"/>
      <c r="D274" s="14"/>
      <c r="E274" s="10"/>
      <c r="F274" s="10"/>
      <c r="G274" s="9"/>
      <c r="H274" s="11"/>
      <c r="I274" s="11"/>
      <c r="J274" s="11"/>
      <c r="K274" s="11"/>
      <c r="L274" s="11"/>
    </row>
    <row r="275">
      <c r="A275" s="8"/>
      <c r="B275" s="9"/>
      <c r="C275" s="9"/>
      <c r="D275" s="14"/>
      <c r="E275" s="10"/>
      <c r="F275" s="10"/>
      <c r="G275" s="9"/>
      <c r="H275" s="11"/>
      <c r="I275" s="11"/>
      <c r="J275" s="11"/>
      <c r="K275" s="11"/>
      <c r="L275" s="11"/>
    </row>
    <row r="276">
      <c r="A276" s="8"/>
      <c r="B276" s="9"/>
      <c r="C276" s="9"/>
      <c r="D276" s="14"/>
      <c r="E276" s="14"/>
      <c r="F276" s="10"/>
      <c r="G276" s="9"/>
      <c r="H276" s="11"/>
      <c r="I276" s="11"/>
      <c r="J276" s="11"/>
      <c r="K276" s="11"/>
      <c r="L276" s="11"/>
    </row>
    <row r="277">
      <c r="A277" s="8"/>
      <c r="B277" s="9"/>
      <c r="C277" s="9"/>
      <c r="D277" s="14"/>
      <c r="E277" s="9"/>
      <c r="F277" s="9"/>
      <c r="G277" s="14"/>
      <c r="H277" s="11"/>
      <c r="I277" s="11"/>
      <c r="J277" s="11"/>
      <c r="K277" s="11"/>
      <c r="L277" s="11"/>
    </row>
    <row r="278">
      <c r="A278" s="8"/>
      <c r="B278" s="9"/>
      <c r="C278" s="9"/>
      <c r="D278" s="14"/>
      <c r="E278" s="9"/>
      <c r="F278" s="9"/>
      <c r="G278" s="14"/>
      <c r="H278" s="11"/>
      <c r="I278" s="11"/>
      <c r="J278" s="11"/>
      <c r="K278" s="11"/>
      <c r="L278" s="11"/>
    </row>
    <row r="279">
      <c r="A279" s="8"/>
      <c r="B279" s="9"/>
      <c r="C279" s="9"/>
      <c r="D279" s="14"/>
      <c r="E279" s="14"/>
      <c r="F279" s="10"/>
      <c r="G279" s="9"/>
      <c r="H279" s="11"/>
      <c r="I279" s="11"/>
      <c r="J279" s="11"/>
      <c r="K279" s="11"/>
      <c r="L279" s="11"/>
    </row>
    <row r="280">
      <c r="A280" s="8"/>
      <c r="B280" s="10"/>
      <c r="C280" s="10"/>
      <c r="D280" s="9"/>
      <c r="E280" s="10"/>
      <c r="F280" s="10"/>
      <c r="G280" s="9"/>
      <c r="H280" s="11"/>
      <c r="I280" s="11"/>
      <c r="J280" s="11"/>
      <c r="K280" s="11"/>
      <c r="L280" s="11"/>
    </row>
    <row r="281">
      <c r="A281" s="8"/>
      <c r="B281" s="13"/>
      <c r="C281" s="9"/>
      <c r="D281" s="14"/>
      <c r="E281" s="9"/>
      <c r="F281" s="9"/>
      <c r="G281" s="14"/>
      <c r="H281" s="11"/>
      <c r="I281" s="11"/>
      <c r="J281" s="11"/>
      <c r="K281" s="11"/>
      <c r="L281" s="11"/>
    </row>
    <row r="282">
      <c r="A282" s="8"/>
      <c r="B282" s="9"/>
      <c r="C282" s="9"/>
      <c r="D282" s="14"/>
      <c r="E282" s="14"/>
      <c r="F282" s="10"/>
      <c r="G282" s="9"/>
      <c r="H282" s="11"/>
      <c r="I282" s="11"/>
      <c r="J282" s="11"/>
      <c r="K282" s="11"/>
      <c r="L282" s="11"/>
    </row>
    <row r="283">
      <c r="A283" s="8"/>
      <c r="B283" s="13"/>
      <c r="C283" s="9"/>
      <c r="D283" s="10"/>
      <c r="E283" s="9"/>
      <c r="F283" s="9"/>
      <c r="G283" s="10"/>
      <c r="H283" s="11"/>
      <c r="I283" s="11"/>
      <c r="J283" s="11"/>
      <c r="K283" s="11"/>
      <c r="L283" s="11"/>
    </row>
    <row r="284">
      <c r="A284" s="8"/>
      <c r="B284" s="9"/>
      <c r="C284" s="9"/>
      <c r="D284" s="14"/>
      <c r="E284" s="10"/>
      <c r="F284" s="10"/>
      <c r="G284" s="9"/>
      <c r="H284" s="11"/>
      <c r="I284" s="11"/>
      <c r="J284" s="11"/>
      <c r="K284" s="11"/>
      <c r="L284" s="11"/>
    </row>
    <row r="285">
      <c r="A285" s="8"/>
      <c r="B285" s="9"/>
      <c r="C285" s="9"/>
      <c r="D285" s="14"/>
      <c r="E285" s="9"/>
      <c r="F285" s="9"/>
      <c r="G285" s="14"/>
      <c r="H285" s="11"/>
      <c r="I285" s="11"/>
      <c r="J285" s="11"/>
      <c r="K285" s="11"/>
      <c r="L285" s="11"/>
    </row>
    <row r="286">
      <c r="A286" s="8"/>
      <c r="B286" s="10"/>
      <c r="C286" s="10"/>
      <c r="D286" s="9"/>
      <c r="E286" s="10"/>
      <c r="F286" s="10"/>
      <c r="G286" s="9"/>
      <c r="H286" s="11"/>
      <c r="I286" s="11"/>
      <c r="J286" s="11"/>
      <c r="K286" s="11"/>
      <c r="L286" s="11"/>
    </row>
    <row r="287">
      <c r="A287" s="8"/>
      <c r="B287" s="9"/>
      <c r="C287" s="9"/>
      <c r="D287" s="14"/>
      <c r="E287" s="14"/>
      <c r="F287" s="10"/>
      <c r="G287" s="9"/>
      <c r="H287" s="11"/>
      <c r="I287" s="11"/>
      <c r="J287" s="11"/>
      <c r="K287" s="11"/>
      <c r="L287" s="11"/>
    </row>
    <row r="288">
      <c r="A288" s="8"/>
      <c r="B288" s="9"/>
      <c r="C288" s="9"/>
      <c r="D288" s="14"/>
      <c r="E288" s="10"/>
      <c r="F288" s="10"/>
      <c r="G288" s="9"/>
      <c r="H288" s="11"/>
      <c r="I288" s="11"/>
      <c r="J288" s="11"/>
      <c r="K288" s="11"/>
      <c r="L288" s="11"/>
    </row>
    <row r="289">
      <c r="A289" s="8"/>
      <c r="B289" s="9"/>
      <c r="C289" s="9"/>
      <c r="D289" s="10"/>
      <c r="E289" s="14"/>
      <c r="F289" s="14"/>
      <c r="G289" s="9"/>
      <c r="H289" s="11"/>
      <c r="I289" s="11"/>
      <c r="J289" s="11"/>
      <c r="K289" s="11"/>
      <c r="L289" s="11"/>
    </row>
    <row r="290">
      <c r="A290" s="8"/>
      <c r="B290" s="9"/>
      <c r="C290" s="9"/>
      <c r="D290" s="14"/>
      <c r="E290" s="14"/>
      <c r="F290" s="10"/>
      <c r="G290" s="9"/>
      <c r="H290" s="11"/>
      <c r="I290" s="11"/>
      <c r="J290" s="11"/>
      <c r="K290" s="11"/>
      <c r="L290" s="11"/>
    </row>
    <row r="291">
      <c r="A291" s="8"/>
      <c r="B291" s="10"/>
      <c r="C291" s="10"/>
      <c r="D291" s="9"/>
      <c r="E291" s="14"/>
      <c r="F291" s="10"/>
      <c r="G291" s="9"/>
      <c r="H291" s="11"/>
      <c r="I291" s="11"/>
      <c r="J291" s="11"/>
      <c r="K291" s="11"/>
      <c r="L291" s="11"/>
    </row>
    <row r="292">
      <c r="A292" s="8"/>
      <c r="B292" s="9"/>
      <c r="C292" s="9"/>
      <c r="D292" s="14"/>
      <c r="E292" s="14"/>
      <c r="F292" s="10"/>
      <c r="G292" s="9"/>
      <c r="H292" s="11"/>
      <c r="I292" s="11"/>
      <c r="J292" s="11"/>
      <c r="K292" s="11"/>
      <c r="L292" s="11"/>
    </row>
    <row r="293">
      <c r="A293" s="8"/>
      <c r="B293" s="9"/>
      <c r="C293" s="9"/>
      <c r="D293" s="14"/>
      <c r="E293" s="14"/>
      <c r="F293" s="10"/>
      <c r="G293" s="9"/>
      <c r="H293" s="11"/>
      <c r="I293" s="11"/>
      <c r="J293" s="11"/>
      <c r="K293" s="11"/>
      <c r="L293" s="11"/>
    </row>
    <row r="294">
      <c r="A294" s="8"/>
      <c r="B294" s="13"/>
      <c r="C294" s="9"/>
      <c r="D294" s="10"/>
      <c r="E294" s="9"/>
      <c r="F294" s="9"/>
      <c r="G294" s="10"/>
      <c r="H294" s="11"/>
      <c r="I294" s="11"/>
      <c r="J294" s="11"/>
      <c r="K294" s="11"/>
      <c r="L294" s="11"/>
    </row>
    <row r="295">
      <c r="A295" s="8"/>
      <c r="B295" s="9"/>
      <c r="C295" s="9"/>
      <c r="D295" s="14"/>
      <c r="E295" s="14"/>
      <c r="F295" s="10"/>
      <c r="G295" s="9"/>
      <c r="H295" s="11"/>
      <c r="I295" s="11"/>
      <c r="J295" s="11"/>
      <c r="K295" s="11"/>
      <c r="L295" s="11"/>
    </row>
    <row r="296">
      <c r="A296" s="8"/>
      <c r="B296" s="10"/>
      <c r="C296" s="10"/>
      <c r="D296" s="9"/>
      <c r="E296" s="14"/>
      <c r="F296" s="10"/>
      <c r="G296" s="9"/>
      <c r="H296" s="11"/>
      <c r="I296" s="11"/>
      <c r="J296" s="11"/>
      <c r="K296" s="11"/>
      <c r="L296" s="11"/>
    </row>
    <row r="297">
      <c r="A297" s="8"/>
      <c r="B297" s="9"/>
      <c r="C297" s="9"/>
      <c r="D297" s="14"/>
      <c r="E297" s="9"/>
      <c r="F297" s="9"/>
      <c r="G297" s="14"/>
      <c r="H297" s="11"/>
      <c r="I297" s="11"/>
      <c r="J297" s="11"/>
      <c r="K297" s="11"/>
      <c r="L297" s="11"/>
    </row>
    <row r="298">
      <c r="A298" s="8"/>
      <c r="B298" s="9"/>
      <c r="C298" s="9"/>
      <c r="D298" s="14"/>
      <c r="E298" s="14"/>
      <c r="F298" s="10"/>
      <c r="G298" s="9"/>
      <c r="H298" s="11"/>
      <c r="I298" s="11"/>
      <c r="J298" s="11"/>
      <c r="K298" s="11"/>
      <c r="L298" s="11"/>
    </row>
    <row r="299">
      <c r="A299" s="8"/>
      <c r="B299" s="14"/>
      <c r="C299" s="14"/>
      <c r="D299" s="9"/>
      <c r="E299" s="14"/>
      <c r="F299" s="14"/>
      <c r="G299" s="9"/>
      <c r="H299" s="11"/>
      <c r="I299" s="11"/>
      <c r="J299" s="11"/>
      <c r="K299" s="11"/>
      <c r="L299" s="11"/>
    </row>
    <row r="300">
      <c r="A300" s="8"/>
      <c r="B300" s="9"/>
      <c r="C300" s="9"/>
      <c r="D300" s="14"/>
      <c r="E300" s="9"/>
      <c r="F300" s="9"/>
      <c r="G300" s="14"/>
      <c r="H300" s="11"/>
      <c r="I300" s="11"/>
      <c r="J300" s="11"/>
      <c r="K300" s="11"/>
      <c r="L300" s="11"/>
    </row>
    <row r="301">
      <c r="A301" s="8"/>
      <c r="B301" s="9"/>
      <c r="C301" s="9"/>
      <c r="D301" s="14"/>
      <c r="E301" s="9"/>
      <c r="F301" s="9"/>
      <c r="G301" s="14"/>
      <c r="H301" s="11"/>
      <c r="I301" s="11"/>
      <c r="J301" s="11"/>
      <c r="K301" s="11"/>
      <c r="L301" s="11"/>
    </row>
    <row r="302">
      <c r="A302" s="8"/>
      <c r="B302" s="9"/>
      <c r="C302" s="9"/>
      <c r="D302" s="10"/>
      <c r="E302" s="9"/>
      <c r="F302" s="9"/>
      <c r="G302" s="10"/>
      <c r="H302" s="11"/>
      <c r="I302" s="11"/>
      <c r="J302" s="11"/>
      <c r="K302" s="11"/>
      <c r="L302" s="11"/>
    </row>
    <row r="303">
      <c r="A303" s="8"/>
      <c r="B303" s="9"/>
      <c r="C303" s="9"/>
      <c r="D303" s="14"/>
      <c r="E303" s="10"/>
      <c r="F303" s="10"/>
      <c r="G303" s="9"/>
      <c r="H303" s="11"/>
      <c r="I303" s="11"/>
      <c r="J303" s="11"/>
      <c r="K303" s="11"/>
      <c r="L303" s="11"/>
    </row>
    <row r="304">
      <c r="A304" s="8"/>
      <c r="B304" s="9"/>
      <c r="C304" s="9"/>
      <c r="D304" s="14"/>
      <c r="E304" s="10"/>
      <c r="F304" s="10"/>
      <c r="G304" s="9"/>
      <c r="H304" s="11"/>
      <c r="I304" s="11"/>
      <c r="J304" s="11"/>
      <c r="K304" s="11"/>
      <c r="L304" s="11"/>
    </row>
    <row r="305">
      <c r="A305" s="8"/>
      <c r="B305" s="9"/>
      <c r="C305" s="9"/>
      <c r="D305" s="14"/>
      <c r="E305" s="9"/>
      <c r="F305" s="9"/>
      <c r="G305" s="14"/>
      <c r="H305" s="11"/>
      <c r="I305" s="11"/>
      <c r="J305" s="11"/>
      <c r="K305" s="11"/>
      <c r="L305" s="11"/>
    </row>
    <row r="306">
      <c r="A306" s="8"/>
      <c r="B306" s="9"/>
      <c r="C306" s="9"/>
      <c r="D306" s="14"/>
      <c r="E306" s="9"/>
      <c r="F306" s="9"/>
      <c r="G306" s="14"/>
      <c r="H306" s="11"/>
      <c r="I306" s="11"/>
      <c r="J306" s="11"/>
      <c r="K306" s="11"/>
      <c r="L306" s="11"/>
    </row>
    <row r="307">
      <c r="A307" s="8"/>
      <c r="B307" s="10"/>
      <c r="C307" s="10"/>
      <c r="D307" s="9"/>
      <c r="E307" s="14"/>
      <c r="F307" s="10"/>
      <c r="G307" s="9"/>
      <c r="H307" s="11"/>
      <c r="I307" s="11"/>
      <c r="J307" s="11"/>
      <c r="K307" s="11"/>
      <c r="L307" s="11"/>
    </row>
    <row r="308">
      <c r="A308" s="8"/>
      <c r="B308" s="9"/>
      <c r="C308" s="9"/>
      <c r="D308" s="14"/>
      <c r="E308" s="9"/>
      <c r="F308" s="9"/>
      <c r="G308" s="14"/>
      <c r="H308" s="11"/>
      <c r="I308" s="11"/>
      <c r="J308" s="11"/>
      <c r="K308" s="11"/>
      <c r="L308" s="11"/>
    </row>
    <row r="309">
      <c r="A309" s="8"/>
      <c r="B309" s="9"/>
      <c r="C309" s="9"/>
      <c r="D309" s="14"/>
      <c r="E309" s="10"/>
      <c r="F309" s="10"/>
      <c r="G309" s="9"/>
      <c r="H309" s="11"/>
      <c r="I309" s="11"/>
      <c r="J309" s="11"/>
      <c r="K309" s="11"/>
      <c r="L309" s="11"/>
    </row>
    <row r="310">
      <c r="A310" s="8"/>
      <c r="B310" s="9"/>
      <c r="C310" s="9"/>
      <c r="D310" s="10"/>
      <c r="E310" s="9"/>
      <c r="F310" s="9"/>
      <c r="G310" s="10"/>
      <c r="H310" s="11"/>
      <c r="I310" s="11"/>
      <c r="J310" s="11"/>
      <c r="K310" s="11"/>
      <c r="L310" s="11"/>
    </row>
    <row r="311">
      <c r="A311" s="8"/>
      <c r="B311" s="10"/>
      <c r="C311" s="10"/>
      <c r="D311" s="9"/>
      <c r="E311" s="10"/>
      <c r="F311" s="10"/>
      <c r="G311" s="9"/>
      <c r="H311" s="11"/>
      <c r="I311" s="11"/>
      <c r="J311" s="11"/>
      <c r="K311" s="11"/>
      <c r="L311" s="11"/>
    </row>
    <row r="312">
      <c r="A312" s="8"/>
      <c r="B312" s="9"/>
      <c r="C312" s="9"/>
      <c r="D312" s="14"/>
      <c r="E312" s="9"/>
      <c r="F312" s="9"/>
      <c r="G312" s="14"/>
      <c r="H312" s="11"/>
      <c r="I312" s="11"/>
      <c r="J312" s="11"/>
      <c r="K312" s="11"/>
      <c r="L312" s="11"/>
    </row>
    <row r="313">
      <c r="A313" s="8"/>
      <c r="B313" s="10"/>
      <c r="C313" s="10"/>
      <c r="D313" s="9"/>
      <c r="E313" s="9"/>
      <c r="F313" s="9"/>
      <c r="G313" s="14"/>
      <c r="H313" s="11"/>
      <c r="I313" s="11"/>
      <c r="J313" s="11"/>
      <c r="K313" s="11"/>
      <c r="L313" s="11"/>
    </row>
    <row r="314">
      <c r="A314" s="8"/>
      <c r="B314" s="9"/>
      <c r="C314" s="9"/>
      <c r="D314" s="10"/>
      <c r="E314" s="9"/>
      <c r="F314" s="9"/>
      <c r="G314" s="10"/>
      <c r="H314" s="11"/>
      <c r="I314" s="11"/>
      <c r="J314" s="11"/>
      <c r="K314" s="11"/>
      <c r="L314" s="11"/>
    </row>
    <row r="315">
      <c r="A315" s="8"/>
      <c r="B315" s="9"/>
      <c r="C315" s="9"/>
      <c r="D315" s="14"/>
      <c r="E315" s="9"/>
      <c r="F315" s="9"/>
      <c r="G315" s="14"/>
      <c r="H315" s="11"/>
      <c r="I315" s="11"/>
      <c r="J315" s="11"/>
      <c r="K315" s="11"/>
      <c r="L315" s="11"/>
    </row>
    <row r="316">
      <c r="A316" s="8"/>
      <c r="B316" s="9"/>
      <c r="C316" s="9"/>
      <c r="D316" s="10"/>
      <c r="E316" s="9"/>
      <c r="F316" s="9"/>
      <c r="G316" s="10"/>
      <c r="H316" s="11"/>
      <c r="I316" s="11"/>
      <c r="J316" s="11"/>
      <c r="K316" s="11"/>
      <c r="L316" s="11"/>
    </row>
    <row r="317">
      <c r="A317" s="8"/>
      <c r="B317" s="9"/>
      <c r="C317" s="9"/>
      <c r="D317" s="14"/>
      <c r="E317" s="9"/>
      <c r="F317" s="9"/>
      <c r="G317" s="14"/>
      <c r="H317" s="11"/>
      <c r="I317" s="11"/>
      <c r="J317" s="11"/>
      <c r="K317" s="11"/>
      <c r="L317" s="11"/>
    </row>
    <row r="318">
      <c r="A318" s="8"/>
      <c r="B318" s="9"/>
      <c r="C318" s="9"/>
      <c r="D318" s="14"/>
      <c r="E318" s="9"/>
      <c r="F318" s="9"/>
      <c r="G318" s="14"/>
      <c r="H318" s="11"/>
      <c r="I318" s="11"/>
      <c r="J318" s="11"/>
      <c r="K318" s="11"/>
      <c r="L318" s="11"/>
    </row>
    <row r="319">
      <c r="A319" s="8"/>
      <c r="B319" s="9"/>
      <c r="C319" s="9"/>
      <c r="D319" s="14"/>
      <c r="E319" s="9"/>
      <c r="F319" s="9"/>
      <c r="G319" s="14"/>
      <c r="H319" s="11"/>
      <c r="I319" s="11"/>
      <c r="J319" s="11"/>
      <c r="K319" s="11"/>
      <c r="L319" s="11"/>
    </row>
    <row r="320">
      <c r="A320" s="8"/>
      <c r="B320" s="9"/>
      <c r="C320" s="9"/>
      <c r="D320" s="14"/>
      <c r="E320" s="9"/>
      <c r="F320" s="9"/>
      <c r="G320" s="14"/>
      <c r="H320" s="11"/>
      <c r="I320" s="11"/>
      <c r="J320" s="11"/>
      <c r="K320" s="11"/>
      <c r="L320" s="11"/>
    </row>
    <row r="321">
      <c r="A321" s="8"/>
      <c r="B321" s="9"/>
      <c r="C321" s="9"/>
      <c r="D321" s="14"/>
      <c r="E321" s="9"/>
      <c r="F321" s="9"/>
      <c r="G321" s="14"/>
      <c r="H321" s="11"/>
      <c r="I321" s="11"/>
      <c r="J321" s="11"/>
      <c r="K321" s="11"/>
      <c r="L321" s="11"/>
    </row>
    <row r="322">
      <c r="A322" s="8"/>
      <c r="B322" s="9"/>
      <c r="C322" s="9"/>
      <c r="D322" s="14"/>
      <c r="E322" s="10"/>
      <c r="F322" s="10"/>
      <c r="G322" s="9"/>
      <c r="H322" s="11"/>
      <c r="I322" s="11"/>
      <c r="J322" s="11"/>
      <c r="K322" s="11"/>
      <c r="L322" s="11"/>
    </row>
    <row r="323">
      <c r="A323" s="8"/>
      <c r="B323" s="9"/>
      <c r="C323" s="9"/>
      <c r="D323" s="14"/>
      <c r="E323" s="9"/>
      <c r="F323" s="9"/>
      <c r="G323" s="14"/>
      <c r="H323" s="11"/>
      <c r="I323" s="11"/>
      <c r="J323" s="11"/>
      <c r="K323" s="11"/>
      <c r="L323" s="11"/>
    </row>
    <row r="324">
      <c r="A324" s="8"/>
      <c r="B324" s="9"/>
      <c r="C324" s="9"/>
      <c r="D324" s="14"/>
      <c r="E324" s="10"/>
      <c r="F324" s="10"/>
      <c r="G324" s="9"/>
      <c r="H324" s="11"/>
      <c r="I324" s="11"/>
      <c r="J324" s="11"/>
      <c r="K324" s="11"/>
      <c r="L324" s="11"/>
    </row>
    <row r="325">
      <c r="A325" s="8"/>
      <c r="B325" s="9"/>
      <c r="C325" s="9"/>
      <c r="D325" s="14"/>
      <c r="E325" s="14"/>
      <c r="F325" s="10"/>
      <c r="G325" s="9"/>
      <c r="H325" s="11"/>
      <c r="I325" s="11"/>
      <c r="J325" s="11"/>
      <c r="K325" s="11"/>
      <c r="L325" s="11"/>
    </row>
    <row r="326">
      <c r="A326" s="8"/>
      <c r="B326" s="9"/>
      <c r="C326" s="9"/>
      <c r="D326" s="14"/>
      <c r="E326" s="10"/>
      <c r="F326" s="10"/>
      <c r="G326" s="9"/>
      <c r="H326" s="11"/>
      <c r="I326" s="11"/>
      <c r="J326" s="11"/>
      <c r="K326" s="11"/>
      <c r="L326" s="11"/>
    </row>
    <row r="327">
      <c r="A327" s="8"/>
      <c r="B327" s="9"/>
      <c r="C327" s="9"/>
      <c r="D327" s="14"/>
      <c r="E327" s="9"/>
      <c r="F327" s="9"/>
      <c r="G327" s="14"/>
      <c r="H327" s="11"/>
      <c r="I327" s="11"/>
      <c r="J327" s="11"/>
      <c r="K327" s="11"/>
      <c r="L327" s="11"/>
    </row>
    <row r="328">
      <c r="A328" s="8"/>
      <c r="B328" s="9"/>
      <c r="C328" s="9"/>
      <c r="D328" s="14"/>
      <c r="E328" s="14"/>
      <c r="F328" s="10"/>
      <c r="G328" s="9"/>
      <c r="H328" s="11"/>
      <c r="I328" s="11"/>
      <c r="J328" s="11"/>
      <c r="K328" s="11"/>
      <c r="L328" s="11"/>
    </row>
    <row r="329">
      <c r="A329" s="8"/>
      <c r="B329" s="9"/>
      <c r="C329" s="9"/>
      <c r="D329" s="14"/>
      <c r="E329" s="14"/>
      <c r="F329" s="10"/>
      <c r="G329" s="9"/>
      <c r="H329" s="11"/>
      <c r="I329" s="11"/>
      <c r="J329" s="11"/>
      <c r="K329" s="11"/>
      <c r="L329" s="11"/>
    </row>
    <row r="330">
      <c r="A330" s="8"/>
      <c r="B330" s="9"/>
      <c r="C330" s="9"/>
      <c r="D330" s="14"/>
      <c r="E330" s="9"/>
      <c r="F330" s="9"/>
      <c r="G330" s="14"/>
      <c r="H330" s="11"/>
      <c r="I330" s="11"/>
      <c r="J330" s="11"/>
      <c r="K330" s="11"/>
      <c r="L330" s="11"/>
    </row>
    <row r="331">
      <c r="A331" s="8"/>
      <c r="B331" s="10"/>
      <c r="C331" s="10"/>
      <c r="D331" s="9"/>
      <c r="E331" s="9"/>
      <c r="F331" s="9"/>
      <c r="G331" s="14"/>
      <c r="H331" s="11"/>
      <c r="I331" s="11"/>
      <c r="J331" s="11"/>
      <c r="K331" s="11"/>
      <c r="L331" s="11"/>
    </row>
    <row r="332">
      <c r="A332" s="8"/>
      <c r="B332" s="9"/>
      <c r="C332" s="9"/>
      <c r="D332" s="14"/>
      <c r="E332" s="9"/>
      <c r="F332" s="9"/>
      <c r="G332" s="14"/>
      <c r="H332" s="11"/>
      <c r="I332" s="11"/>
      <c r="J332" s="11"/>
      <c r="K332" s="11"/>
      <c r="L332" s="11"/>
    </row>
    <row r="333">
      <c r="A333" s="8"/>
      <c r="B333" s="9"/>
      <c r="C333" s="9"/>
      <c r="D333" s="14"/>
      <c r="E333" s="10"/>
      <c r="F333" s="10"/>
      <c r="G333" s="9"/>
      <c r="H333" s="11"/>
      <c r="I333" s="11"/>
      <c r="J333" s="11"/>
      <c r="K333" s="11"/>
      <c r="L333" s="11"/>
    </row>
    <row r="334">
      <c r="A334" s="8"/>
      <c r="B334" s="9"/>
      <c r="C334" s="9"/>
      <c r="D334" s="10"/>
      <c r="E334" s="9"/>
      <c r="F334" s="9"/>
      <c r="G334" s="10"/>
      <c r="H334" s="11"/>
      <c r="I334" s="11"/>
      <c r="J334" s="11"/>
      <c r="K334" s="11"/>
      <c r="L334" s="11"/>
    </row>
    <row r="335">
      <c r="A335" s="8"/>
      <c r="B335" s="9"/>
      <c r="C335" s="9"/>
      <c r="D335" s="14"/>
      <c r="E335" s="9"/>
      <c r="F335" s="9"/>
      <c r="G335" s="14"/>
      <c r="H335" s="11"/>
      <c r="I335" s="11"/>
      <c r="J335" s="11"/>
      <c r="K335" s="11"/>
      <c r="L335" s="11"/>
    </row>
    <row r="336">
      <c r="A336" s="8"/>
      <c r="B336" s="9"/>
      <c r="C336" s="9"/>
      <c r="D336" s="14"/>
      <c r="E336" s="9"/>
      <c r="F336" s="9"/>
      <c r="G336" s="14"/>
      <c r="H336" s="11"/>
      <c r="I336" s="11"/>
      <c r="J336" s="11"/>
      <c r="K336" s="11"/>
      <c r="L336" s="11"/>
    </row>
    <row r="337">
      <c r="A337" s="8"/>
      <c r="B337" s="9"/>
      <c r="C337" s="9"/>
      <c r="D337" s="14"/>
      <c r="E337" s="9"/>
      <c r="F337" s="9"/>
      <c r="G337" s="14"/>
      <c r="H337" s="11"/>
      <c r="I337" s="11"/>
      <c r="J337" s="11"/>
      <c r="K337" s="11"/>
      <c r="L337" s="11"/>
    </row>
    <row r="338">
      <c r="A338" s="8"/>
      <c r="B338" s="9"/>
      <c r="C338" s="9"/>
      <c r="D338" s="14"/>
      <c r="E338" s="9"/>
      <c r="F338" s="9"/>
      <c r="G338" s="14"/>
      <c r="H338" s="11"/>
      <c r="I338" s="11"/>
      <c r="J338" s="11"/>
      <c r="K338" s="11"/>
      <c r="L338" s="11"/>
    </row>
    <row r="339">
      <c r="A339" s="8"/>
      <c r="B339" s="9"/>
      <c r="C339" s="9"/>
      <c r="D339" s="14"/>
      <c r="E339" s="9"/>
      <c r="F339" s="9"/>
      <c r="G339" s="14"/>
      <c r="H339" s="11"/>
      <c r="I339" s="11"/>
      <c r="J339" s="11"/>
      <c r="K339" s="11"/>
      <c r="L339" s="11"/>
    </row>
    <row r="340">
      <c r="A340" s="8"/>
      <c r="B340" s="9"/>
      <c r="C340" s="9"/>
      <c r="D340" s="14"/>
      <c r="E340" s="9"/>
      <c r="F340" s="9"/>
      <c r="G340" s="14"/>
      <c r="H340" s="11"/>
      <c r="I340" s="11"/>
      <c r="J340" s="11"/>
      <c r="K340" s="11"/>
      <c r="L340" s="11"/>
    </row>
    <row r="341">
      <c r="A341" s="8"/>
      <c r="B341" s="9"/>
      <c r="C341" s="9"/>
      <c r="D341" s="14"/>
      <c r="E341" s="10"/>
      <c r="F341" s="10"/>
      <c r="G341" s="9"/>
      <c r="H341" s="11"/>
      <c r="I341" s="11"/>
      <c r="J341" s="11"/>
      <c r="K341" s="11"/>
      <c r="L341" s="11"/>
    </row>
    <row r="342">
      <c r="A342" s="8"/>
      <c r="B342" s="9"/>
      <c r="C342" s="9"/>
      <c r="D342" s="14"/>
      <c r="E342" s="10"/>
      <c r="F342" s="10"/>
      <c r="G342" s="9"/>
      <c r="H342" s="11"/>
      <c r="I342" s="11"/>
      <c r="J342" s="11"/>
      <c r="K342" s="11"/>
      <c r="L342" s="11"/>
    </row>
    <row r="343">
      <c r="A343" s="8"/>
      <c r="B343" s="9"/>
      <c r="C343" s="9"/>
      <c r="D343" s="14"/>
      <c r="E343" s="9"/>
      <c r="F343" s="9"/>
      <c r="G343" s="14"/>
      <c r="H343" s="11"/>
      <c r="I343" s="11"/>
      <c r="J343" s="11"/>
      <c r="K343" s="11"/>
      <c r="L343" s="11"/>
    </row>
    <row r="344">
      <c r="A344" s="8"/>
      <c r="B344" s="9"/>
      <c r="C344" s="9"/>
      <c r="D344" s="14"/>
      <c r="E344" s="14"/>
      <c r="F344" s="10"/>
      <c r="G344" s="9"/>
      <c r="H344" s="11"/>
      <c r="I344" s="11"/>
      <c r="J344" s="11"/>
      <c r="K344" s="11"/>
      <c r="L344" s="11"/>
    </row>
    <row r="345">
      <c r="A345" s="8"/>
      <c r="B345" s="9"/>
      <c r="C345" s="9"/>
      <c r="D345" s="14"/>
      <c r="E345" s="9"/>
      <c r="F345" s="9"/>
      <c r="G345" s="14"/>
      <c r="H345" s="11"/>
      <c r="I345" s="11"/>
      <c r="J345" s="11"/>
      <c r="K345" s="11"/>
      <c r="L345" s="11"/>
    </row>
    <row r="346">
      <c r="A346" s="8"/>
      <c r="B346" s="9"/>
      <c r="C346" s="9"/>
      <c r="D346" s="14"/>
      <c r="E346" s="10"/>
      <c r="F346" s="10"/>
      <c r="G346" s="9"/>
      <c r="H346" s="11"/>
      <c r="I346" s="11"/>
      <c r="J346" s="11"/>
      <c r="K346" s="11"/>
      <c r="L346" s="11"/>
    </row>
    <row r="347">
      <c r="A347" s="8"/>
      <c r="B347" s="9"/>
      <c r="C347" s="9"/>
      <c r="D347" s="14"/>
      <c r="E347" s="9"/>
      <c r="F347" s="9"/>
      <c r="G347" s="14"/>
      <c r="H347" s="11"/>
      <c r="I347" s="11"/>
      <c r="J347" s="11"/>
      <c r="K347" s="11"/>
      <c r="L347" s="11"/>
    </row>
    <row r="348">
      <c r="A348" s="8"/>
      <c r="B348" s="9"/>
      <c r="C348" s="9"/>
      <c r="D348" s="14"/>
      <c r="E348" s="9"/>
      <c r="F348" s="9"/>
      <c r="G348" s="14"/>
      <c r="H348" s="11"/>
      <c r="I348" s="11"/>
      <c r="J348" s="11"/>
      <c r="K348" s="11"/>
      <c r="L348" s="11"/>
    </row>
    <row r="349">
      <c r="A349" s="8"/>
      <c r="B349" s="9"/>
      <c r="C349" s="9"/>
      <c r="D349" s="14"/>
      <c r="E349" s="9"/>
      <c r="F349" s="9"/>
      <c r="G349" s="14"/>
      <c r="H349" s="11"/>
      <c r="I349" s="11"/>
      <c r="J349" s="11"/>
      <c r="K349" s="11"/>
      <c r="L349" s="11"/>
    </row>
    <row r="350">
      <c r="A350" s="8"/>
      <c r="B350" s="9"/>
      <c r="C350" s="9"/>
      <c r="D350" s="14"/>
      <c r="E350" s="10"/>
      <c r="F350" s="10"/>
      <c r="G350" s="9"/>
      <c r="H350" s="11"/>
      <c r="I350" s="11"/>
      <c r="J350" s="11"/>
      <c r="K350" s="11"/>
      <c r="L350" s="11"/>
    </row>
    <row r="351">
      <c r="A351" s="8"/>
      <c r="B351" s="9"/>
      <c r="C351" s="9"/>
      <c r="D351" s="14"/>
      <c r="E351" s="10"/>
      <c r="F351" s="10"/>
      <c r="G351" s="9"/>
      <c r="H351" s="11"/>
      <c r="I351" s="11"/>
      <c r="J351" s="11"/>
      <c r="K351" s="11"/>
      <c r="L351" s="11"/>
    </row>
    <row r="352">
      <c r="A352" s="8"/>
      <c r="B352" s="9"/>
      <c r="C352" s="9"/>
      <c r="D352" s="14"/>
      <c r="E352" s="10"/>
      <c r="F352" s="10"/>
      <c r="G352" s="9"/>
      <c r="H352" s="11"/>
      <c r="I352" s="11"/>
      <c r="J352" s="11"/>
      <c r="K352" s="11"/>
      <c r="L352" s="11"/>
    </row>
    <row r="353">
      <c r="A353" s="8"/>
      <c r="B353" s="9"/>
      <c r="C353" s="9"/>
      <c r="D353" s="14"/>
      <c r="E353" s="9"/>
      <c r="F353" s="9"/>
      <c r="G353" s="14"/>
      <c r="H353" s="11"/>
      <c r="I353" s="11"/>
      <c r="J353" s="11"/>
      <c r="K353" s="11"/>
      <c r="L353" s="11"/>
    </row>
    <row r="354">
      <c r="A354" s="8"/>
      <c r="B354" s="9"/>
      <c r="C354" s="9"/>
      <c r="D354" s="14"/>
      <c r="E354" s="9"/>
      <c r="F354" s="9"/>
      <c r="G354" s="14"/>
      <c r="H354" s="11"/>
      <c r="I354" s="11"/>
      <c r="J354" s="11"/>
      <c r="K354" s="11"/>
      <c r="L354" s="11"/>
    </row>
    <row r="355">
      <c r="A355" s="8"/>
      <c r="B355" s="9"/>
      <c r="C355" s="9"/>
      <c r="D355" s="14"/>
      <c r="E355" s="9"/>
      <c r="F355" s="9"/>
      <c r="G355" s="14"/>
      <c r="H355" s="11"/>
      <c r="I355" s="11"/>
      <c r="J355" s="11"/>
      <c r="K355" s="11"/>
      <c r="L355" s="11"/>
    </row>
    <row r="356">
      <c r="A356" s="8"/>
      <c r="B356" s="9"/>
      <c r="C356" s="9"/>
      <c r="D356" s="14"/>
      <c r="E356" s="10"/>
      <c r="F356" s="10"/>
      <c r="G356" s="9"/>
      <c r="H356" s="11"/>
      <c r="I356" s="11"/>
      <c r="J356" s="11"/>
      <c r="K356" s="11"/>
      <c r="L356" s="11"/>
    </row>
    <row r="357">
      <c r="A357" s="8"/>
      <c r="B357" s="9"/>
      <c r="C357" s="9"/>
      <c r="D357" s="14"/>
      <c r="E357" s="9"/>
      <c r="F357" s="9"/>
      <c r="G357" s="14"/>
      <c r="H357" s="11"/>
      <c r="I357" s="11"/>
      <c r="J357" s="11"/>
      <c r="K357" s="11"/>
      <c r="L357" s="11"/>
    </row>
    <row r="358">
      <c r="A358" s="8"/>
      <c r="B358" s="9"/>
      <c r="C358" s="9"/>
      <c r="D358" s="14"/>
      <c r="E358" s="9"/>
      <c r="F358" s="9"/>
      <c r="G358" s="14"/>
      <c r="H358" s="11"/>
      <c r="I358" s="11"/>
      <c r="J358" s="11"/>
      <c r="K358" s="11"/>
      <c r="L358" s="11"/>
    </row>
    <row r="359">
      <c r="A359" s="8"/>
      <c r="B359" s="9"/>
      <c r="C359" s="9"/>
      <c r="D359" s="14"/>
      <c r="E359" s="9"/>
      <c r="F359" s="9"/>
      <c r="G359" s="14"/>
      <c r="H359" s="11"/>
      <c r="I359" s="11"/>
      <c r="J359" s="11"/>
      <c r="K359" s="11"/>
      <c r="L359" s="11"/>
    </row>
    <row r="360">
      <c r="A360" s="8"/>
      <c r="B360" s="9"/>
      <c r="C360" s="9"/>
      <c r="D360" s="14"/>
      <c r="E360" s="10"/>
      <c r="F360" s="10"/>
      <c r="G360" s="9"/>
      <c r="H360" s="11"/>
      <c r="I360" s="11"/>
      <c r="J360" s="11"/>
      <c r="K360" s="11"/>
      <c r="L360" s="11"/>
    </row>
    <row r="361">
      <c r="A361" s="8"/>
      <c r="B361" s="9"/>
      <c r="C361" s="9"/>
      <c r="D361" s="14"/>
      <c r="E361" s="9"/>
      <c r="F361" s="9"/>
      <c r="G361" s="14"/>
      <c r="H361" s="11"/>
      <c r="I361" s="11"/>
      <c r="J361" s="11"/>
      <c r="K361" s="11"/>
      <c r="L361" s="11"/>
    </row>
    <row r="362">
      <c r="A362" s="8"/>
      <c r="B362" s="9"/>
      <c r="C362" s="9"/>
      <c r="D362" s="14"/>
      <c r="E362" s="9"/>
      <c r="F362" s="9"/>
      <c r="G362" s="14"/>
      <c r="H362" s="11"/>
      <c r="I362" s="11"/>
      <c r="J362" s="11"/>
      <c r="K362" s="11"/>
      <c r="L362" s="11"/>
    </row>
    <row r="363">
      <c r="A363" s="8"/>
      <c r="B363" s="9"/>
      <c r="C363" s="9"/>
      <c r="D363" s="14"/>
      <c r="E363" s="9"/>
      <c r="F363" s="9"/>
      <c r="G363" s="14"/>
      <c r="H363" s="11"/>
      <c r="I363" s="11"/>
      <c r="J363" s="11"/>
      <c r="K363" s="11"/>
      <c r="L363" s="11"/>
    </row>
    <row r="364">
      <c r="A364" s="8"/>
      <c r="B364" s="10"/>
      <c r="C364" s="10"/>
      <c r="D364" s="9"/>
      <c r="E364" s="10"/>
      <c r="F364" s="10"/>
      <c r="G364" s="9"/>
      <c r="H364" s="11"/>
      <c r="I364" s="11"/>
      <c r="J364" s="11"/>
      <c r="K364" s="11"/>
      <c r="L364" s="11"/>
    </row>
    <row r="365">
      <c r="A365" s="8"/>
      <c r="B365" s="9"/>
      <c r="C365" s="9"/>
      <c r="D365" s="14"/>
      <c r="E365" s="10"/>
      <c r="F365" s="10"/>
      <c r="G365" s="9"/>
      <c r="H365" s="11"/>
      <c r="I365" s="11"/>
      <c r="J365" s="11"/>
      <c r="K365" s="11"/>
      <c r="L365" s="11"/>
    </row>
    <row r="366">
      <c r="A366" s="8"/>
      <c r="B366" s="9"/>
      <c r="C366" s="9"/>
      <c r="D366" s="14"/>
      <c r="E366" s="10"/>
      <c r="F366" s="10"/>
      <c r="G366" s="9"/>
      <c r="H366" s="11"/>
      <c r="I366" s="11"/>
      <c r="J366" s="11"/>
      <c r="K366" s="11"/>
      <c r="L366" s="11"/>
    </row>
    <row r="367">
      <c r="A367" s="8"/>
      <c r="B367" s="9"/>
      <c r="C367" s="9"/>
      <c r="D367" s="10"/>
      <c r="E367" s="14"/>
      <c r="F367" s="14"/>
      <c r="G367" s="9"/>
      <c r="H367" s="11"/>
      <c r="I367" s="11"/>
      <c r="J367" s="11"/>
      <c r="K367" s="11"/>
      <c r="L367" s="11"/>
    </row>
    <row r="368">
      <c r="A368" s="8"/>
      <c r="B368" s="9"/>
      <c r="C368" s="9"/>
      <c r="D368" s="14"/>
      <c r="E368" s="9"/>
      <c r="F368" s="9"/>
      <c r="G368" s="14"/>
      <c r="H368" s="11"/>
      <c r="I368" s="11"/>
      <c r="J368" s="11"/>
      <c r="K368" s="11"/>
      <c r="L368" s="11"/>
    </row>
    <row r="369">
      <c r="A369" s="8"/>
      <c r="B369" s="9"/>
      <c r="C369" s="9"/>
      <c r="D369" s="14"/>
      <c r="E369" s="14"/>
      <c r="F369" s="10"/>
      <c r="G369" s="9"/>
      <c r="H369" s="11"/>
      <c r="I369" s="11"/>
      <c r="J369" s="11"/>
      <c r="K369" s="11"/>
      <c r="L369" s="11"/>
    </row>
    <row r="370">
      <c r="A370" s="8"/>
      <c r="B370" s="9"/>
      <c r="C370" s="9"/>
      <c r="D370" s="14"/>
      <c r="E370" s="9"/>
      <c r="F370" s="9"/>
      <c r="G370" s="14"/>
      <c r="H370" s="11"/>
      <c r="I370" s="11"/>
      <c r="J370" s="11"/>
      <c r="K370" s="11"/>
      <c r="L370" s="11"/>
    </row>
    <row r="371">
      <c r="A371" s="8"/>
      <c r="B371" s="9"/>
      <c r="C371" s="9"/>
      <c r="D371" s="14"/>
      <c r="E371" s="9"/>
      <c r="F371" s="9"/>
      <c r="G371" s="14"/>
      <c r="H371" s="11"/>
      <c r="I371" s="11"/>
      <c r="J371" s="11"/>
      <c r="K371" s="11"/>
      <c r="L371" s="11"/>
    </row>
    <row r="372">
      <c r="A372" s="8"/>
      <c r="B372" s="9"/>
      <c r="C372" s="9"/>
      <c r="D372" s="14"/>
      <c r="E372" s="9"/>
      <c r="F372" s="9"/>
      <c r="G372" s="14"/>
      <c r="H372" s="11"/>
      <c r="I372" s="11"/>
      <c r="J372" s="11"/>
      <c r="K372" s="11"/>
      <c r="L372" s="11"/>
    </row>
    <row r="373">
      <c r="A373" s="8"/>
      <c r="B373" s="9"/>
      <c r="C373" s="9"/>
      <c r="D373" s="14"/>
      <c r="E373" s="10"/>
      <c r="F373" s="10"/>
      <c r="G373" s="9"/>
      <c r="H373" s="11"/>
      <c r="I373" s="11"/>
      <c r="J373" s="11"/>
      <c r="K373" s="11"/>
      <c r="L373" s="11"/>
    </row>
    <row r="374">
      <c r="A374" s="8"/>
      <c r="B374" s="9"/>
      <c r="C374" s="9"/>
      <c r="D374" s="14"/>
      <c r="E374" s="9"/>
      <c r="F374" s="9"/>
      <c r="G374" s="14"/>
      <c r="H374" s="11"/>
      <c r="I374" s="11"/>
      <c r="J374" s="11"/>
      <c r="K374" s="11"/>
      <c r="L374" s="11"/>
    </row>
    <row r="375">
      <c r="A375" s="8"/>
      <c r="B375" s="9"/>
      <c r="C375" s="9"/>
      <c r="D375" s="14"/>
      <c r="E375" s="9"/>
      <c r="F375" s="9"/>
      <c r="G375" s="14"/>
      <c r="H375" s="11"/>
      <c r="I375" s="11"/>
      <c r="J375" s="11"/>
      <c r="K375" s="11"/>
      <c r="L375" s="11"/>
    </row>
    <row r="376">
      <c r="A376" s="8"/>
      <c r="B376" s="9"/>
      <c r="C376" s="9"/>
      <c r="D376" s="14"/>
      <c r="E376" s="14"/>
      <c r="F376" s="10"/>
      <c r="G376" s="9"/>
      <c r="H376" s="11"/>
      <c r="I376" s="11"/>
      <c r="J376" s="11"/>
      <c r="K376" s="11"/>
      <c r="L376" s="11"/>
    </row>
    <row r="377">
      <c r="A377" s="8"/>
      <c r="B377" s="9"/>
      <c r="C377" s="9"/>
      <c r="D377" s="14"/>
      <c r="E377" s="10"/>
      <c r="F377" s="10"/>
      <c r="G377" s="9"/>
      <c r="H377" s="11"/>
      <c r="I377" s="11"/>
      <c r="J377" s="11"/>
      <c r="K377" s="11"/>
      <c r="L377" s="11"/>
    </row>
    <row r="378">
      <c r="A378" s="8"/>
      <c r="B378" s="9"/>
      <c r="C378" s="9"/>
      <c r="D378" s="14"/>
      <c r="E378" s="9"/>
      <c r="F378" s="9"/>
      <c r="G378" s="14"/>
      <c r="H378" s="11"/>
      <c r="I378" s="11"/>
      <c r="J378" s="11"/>
      <c r="K378" s="11"/>
      <c r="L378" s="11"/>
    </row>
    <row r="379">
      <c r="A379" s="8"/>
      <c r="B379" s="9"/>
      <c r="C379" s="9"/>
      <c r="D379" s="14"/>
      <c r="E379" s="9"/>
      <c r="F379" s="9"/>
      <c r="G379" s="14"/>
      <c r="H379" s="11"/>
      <c r="I379" s="11"/>
      <c r="J379" s="11"/>
      <c r="K379" s="11"/>
      <c r="L379" s="11"/>
    </row>
    <row r="380">
      <c r="A380" s="8"/>
      <c r="B380" s="9"/>
      <c r="C380" s="9"/>
      <c r="D380" s="14"/>
      <c r="E380" s="9"/>
      <c r="F380" s="9"/>
      <c r="G380" s="14"/>
      <c r="H380" s="11"/>
      <c r="I380" s="11"/>
      <c r="J380" s="11"/>
      <c r="K380" s="11"/>
      <c r="L380" s="11"/>
    </row>
    <row r="381">
      <c r="A381" s="8"/>
      <c r="B381" s="9"/>
      <c r="C381" s="9"/>
      <c r="D381" s="14"/>
      <c r="E381" s="9"/>
      <c r="F381" s="9"/>
      <c r="G381" s="14"/>
      <c r="H381" s="11"/>
      <c r="I381" s="11"/>
      <c r="J381" s="11"/>
      <c r="K381" s="11"/>
      <c r="L381" s="11"/>
    </row>
    <row r="382">
      <c r="A382" s="8"/>
      <c r="B382" s="9"/>
      <c r="C382" s="9"/>
      <c r="D382" s="14"/>
      <c r="E382" s="9"/>
      <c r="F382" s="9"/>
      <c r="G382" s="14"/>
      <c r="H382" s="11"/>
      <c r="I382" s="11"/>
      <c r="J382" s="11"/>
      <c r="K382" s="11"/>
      <c r="L382" s="11"/>
    </row>
    <row r="383">
      <c r="A383" s="8"/>
      <c r="B383" s="9"/>
      <c r="C383" s="9"/>
      <c r="D383" s="14"/>
      <c r="E383" s="9"/>
      <c r="F383" s="9"/>
      <c r="G383" s="14"/>
      <c r="H383" s="11"/>
      <c r="I383" s="11"/>
      <c r="J383" s="11"/>
      <c r="K383" s="11"/>
      <c r="L383" s="11"/>
    </row>
    <row r="384">
      <c r="A384" s="8"/>
      <c r="B384" s="9"/>
      <c r="C384" s="9"/>
      <c r="D384" s="14"/>
      <c r="E384" s="9"/>
      <c r="F384" s="9"/>
      <c r="G384" s="14"/>
      <c r="H384" s="11"/>
      <c r="I384" s="11"/>
      <c r="J384" s="11"/>
      <c r="K384" s="11"/>
      <c r="L384" s="11"/>
    </row>
    <row r="385">
      <c r="A385" s="8"/>
      <c r="B385" s="9"/>
      <c r="C385" s="9"/>
      <c r="D385" s="14"/>
      <c r="E385" s="9"/>
      <c r="F385" s="9"/>
      <c r="G385" s="14"/>
      <c r="H385" s="11"/>
      <c r="I385" s="11"/>
      <c r="J385" s="11"/>
      <c r="K385" s="11"/>
      <c r="L385" s="11"/>
    </row>
    <row r="386">
      <c r="A386" s="8"/>
      <c r="B386" s="9"/>
      <c r="C386" s="9"/>
      <c r="D386" s="14"/>
      <c r="E386" s="9"/>
      <c r="F386" s="9"/>
      <c r="G386" s="14"/>
      <c r="H386" s="11"/>
      <c r="I386" s="11"/>
      <c r="J386" s="11"/>
      <c r="K386" s="11"/>
      <c r="L386" s="11"/>
    </row>
    <row r="387">
      <c r="A387" s="8"/>
      <c r="B387" s="9"/>
      <c r="C387" s="9"/>
      <c r="D387" s="14"/>
      <c r="E387" s="10"/>
      <c r="F387" s="10"/>
      <c r="G387" s="9"/>
      <c r="H387" s="11"/>
      <c r="I387" s="11"/>
      <c r="J387" s="11"/>
      <c r="K387" s="11"/>
      <c r="L387" s="11"/>
    </row>
    <row r="388">
      <c r="A388" s="8"/>
      <c r="B388" s="9"/>
      <c r="C388" s="9"/>
      <c r="D388" s="14"/>
      <c r="E388" s="10"/>
      <c r="F388" s="10"/>
      <c r="G388" s="9"/>
      <c r="H388" s="11"/>
      <c r="I388" s="11"/>
      <c r="J388" s="11"/>
      <c r="K388" s="11"/>
      <c r="L388" s="11"/>
    </row>
    <row r="389">
      <c r="A389" s="8"/>
      <c r="B389" s="9"/>
      <c r="C389" s="9"/>
      <c r="D389" s="14"/>
      <c r="E389" s="9"/>
      <c r="F389" s="9"/>
      <c r="G389" s="14"/>
      <c r="H389" s="11"/>
      <c r="I389" s="11"/>
      <c r="J389" s="11"/>
      <c r="K389" s="11"/>
      <c r="L389" s="11"/>
    </row>
    <row r="390">
      <c r="A390" s="8"/>
      <c r="B390" s="9"/>
      <c r="C390" s="9"/>
      <c r="D390" s="14"/>
      <c r="E390" s="9"/>
      <c r="F390" s="9"/>
      <c r="G390" s="14"/>
      <c r="H390" s="11"/>
      <c r="I390" s="11"/>
      <c r="J390" s="11"/>
      <c r="K390" s="11"/>
      <c r="L390" s="11"/>
    </row>
    <row r="391">
      <c r="A391" s="8"/>
      <c r="B391" s="9"/>
      <c r="C391" s="9"/>
      <c r="D391" s="14"/>
      <c r="E391" s="9"/>
      <c r="F391" s="9"/>
      <c r="G391" s="14"/>
      <c r="H391" s="11"/>
      <c r="I391" s="11"/>
      <c r="J391" s="11"/>
      <c r="K391" s="11"/>
      <c r="L391" s="11"/>
    </row>
    <row r="392">
      <c r="A392" s="8"/>
      <c r="B392" s="10"/>
      <c r="C392" s="10"/>
      <c r="D392" s="9"/>
      <c r="E392" s="10"/>
      <c r="F392" s="10"/>
      <c r="G392" s="9"/>
      <c r="H392" s="11"/>
      <c r="I392" s="11"/>
      <c r="J392" s="11"/>
      <c r="K392" s="11"/>
      <c r="L392" s="11"/>
    </row>
    <row r="393">
      <c r="A393" s="8"/>
      <c r="B393" s="9"/>
      <c r="C393" s="9"/>
      <c r="D393" s="14"/>
      <c r="E393" s="10"/>
      <c r="F393" s="10"/>
      <c r="G393" s="9"/>
      <c r="H393" s="11"/>
      <c r="I393" s="11"/>
      <c r="J393" s="11"/>
      <c r="K393" s="11"/>
      <c r="L393" s="11"/>
    </row>
    <row r="394">
      <c r="A394" s="8"/>
      <c r="B394" s="9"/>
      <c r="C394" s="9"/>
      <c r="D394" s="14"/>
      <c r="E394" s="10"/>
      <c r="F394" s="10"/>
      <c r="G394" s="9"/>
      <c r="H394" s="11"/>
      <c r="I394" s="11"/>
      <c r="J394" s="11"/>
      <c r="K394" s="11"/>
      <c r="L394" s="11"/>
    </row>
    <row r="395">
      <c r="A395" s="8"/>
      <c r="B395" s="9"/>
      <c r="C395" s="9"/>
      <c r="D395" s="10"/>
      <c r="E395" s="14"/>
      <c r="F395" s="14"/>
      <c r="G395" s="9"/>
      <c r="H395" s="11"/>
      <c r="I395" s="11"/>
      <c r="J395" s="11"/>
      <c r="K395" s="11"/>
      <c r="L395" s="11"/>
    </row>
    <row r="396">
      <c r="A396" s="8"/>
      <c r="B396" s="9"/>
      <c r="C396" s="9"/>
      <c r="D396" s="14"/>
      <c r="E396" s="9"/>
      <c r="F396" s="9"/>
      <c r="G396" s="14"/>
      <c r="H396" s="11"/>
      <c r="I396" s="11"/>
      <c r="J396" s="11"/>
      <c r="K396" s="11"/>
      <c r="L396" s="11"/>
    </row>
    <row r="397">
      <c r="A397" s="8"/>
      <c r="B397" s="9"/>
      <c r="C397" s="9"/>
      <c r="D397" s="14"/>
      <c r="E397" s="9"/>
      <c r="F397" s="9"/>
      <c r="G397" s="14"/>
      <c r="H397" s="11"/>
      <c r="I397" s="11"/>
      <c r="J397" s="11"/>
      <c r="K397" s="11"/>
      <c r="L397" s="11"/>
    </row>
    <row r="398">
      <c r="A398" s="8"/>
      <c r="B398" s="9"/>
      <c r="C398" s="9"/>
      <c r="D398" s="14"/>
      <c r="E398" s="14"/>
      <c r="F398" s="10"/>
      <c r="G398" s="9"/>
      <c r="H398" s="11"/>
      <c r="I398" s="11"/>
      <c r="J398" s="11"/>
      <c r="K398" s="11"/>
      <c r="L398" s="11"/>
    </row>
    <row r="399">
      <c r="A399" s="8"/>
      <c r="B399" s="9"/>
      <c r="C399" s="9"/>
      <c r="D399" s="14"/>
      <c r="E399" s="10"/>
      <c r="F399" s="10"/>
      <c r="G399" s="12"/>
      <c r="H399" s="11"/>
      <c r="I399" s="11"/>
      <c r="J399" s="11"/>
      <c r="K399" s="11"/>
      <c r="L399" s="11"/>
    </row>
    <row r="400">
      <c r="A400" s="8"/>
      <c r="B400" s="9"/>
      <c r="C400" s="9"/>
      <c r="D400" s="14"/>
      <c r="E400" s="10"/>
      <c r="F400" s="10"/>
      <c r="G400" s="9"/>
      <c r="H400" s="11"/>
      <c r="I400" s="11"/>
      <c r="J400" s="11"/>
      <c r="K400" s="11"/>
      <c r="L400" s="11"/>
    </row>
    <row r="401">
      <c r="A401" s="8"/>
      <c r="B401" s="9"/>
      <c r="C401" s="9"/>
      <c r="D401" s="14"/>
      <c r="E401" s="14"/>
      <c r="F401" s="10"/>
      <c r="G401" s="9"/>
      <c r="H401" s="11"/>
      <c r="I401" s="11"/>
      <c r="J401" s="11"/>
      <c r="K401" s="11"/>
      <c r="L401" s="11"/>
    </row>
    <row r="402">
      <c r="A402" s="8"/>
      <c r="B402" s="9"/>
      <c r="C402" s="9"/>
      <c r="D402" s="14"/>
      <c r="E402" s="9"/>
      <c r="F402" s="9"/>
      <c r="G402" s="14"/>
      <c r="H402" s="11"/>
      <c r="I402" s="11"/>
      <c r="J402" s="11"/>
      <c r="K402" s="11"/>
      <c r="L402" s="11"/>
    </row>
    <row r="403">
      <c r="A403" s="8"/>
      <c r="B403" s="9"/>
      <c r="C403" s="9"/>
      <c r="D403" s="14"/>
      <c r="E403" s="9"/>
      <c r="F403" s="9"/>
      <c r="G403" s="14"/>
      <c r="H403" s="11"/>
      <c r="I403" s="11"/>
      <c r="J403" s="11"/>
      <c r="K403" s="11"/>
      <c r="L403" s="11"/>
    </row>
    <row r="404">
      <c r="A404" s="8"/>
      <c r="B404" s="9"/>
      <c r="C404" s="9"/>
      <c r="D404" s="14"/>
      <c r="E404" s="9"/>
      <c r="F404" s="9"/>
      <c r="G404" s="14"/>
      <c r="H404" s="11"/>
      <c r="I404" s="11"/>
      <c r="J404" s="11"/>
      <c r="K404" s="11"/>
      <c r="L404" s="11"/>
    </row>
    <row r="405">
      <c r="A405" s="8"/>
      <c r="B405" s="9"/>
      <c r="C405" s="9"/>
      <c r="D405" s="14"/>
      <c r="E405" s="10"/>
      <c r="F405" s="10"/>
      <c r="G405" s="9"/>
      <c r="H405" s="11"/>
      <c r="I405" s="11"/>
      <c r="J405" s="11"/>
      <c r="K405" s="11"/>
      <c r="L405" s="11"/>
    </row>
    <row r="406">
      <c r="A406" s="8"/>
      <c r="B406" s="9"/>
      <c r="C406" s="9"/>
      <c r="D406" s="14"/>
      <c r="E406" s="10"/>
      <c r="F406" s="10"/>
      <c r="G406" s="9"/>
      <c r="H406" s="11"/>
      <c r="I406" s="11"/>
      <c r="J406" s="11"/>
      <c r="K406" s="11"/>
      <c r="L406" s="11"/>
    </row>
    <row r="407">
      <c r="A407" s="8"/>
      <c r="B407" s="9"/>
      <c r="C407" s="9"/>
      <c r="D407" s="14"/>
      <c r="E407" s="10"/>
      <c r="F407" s="10"/>
      <c r="G407" s="9"/>
      <c r="H407" s="11"/>
      <c r="I407" s="11"/>
      <c r="J407" s="11"/>
      <c r="K407" s="11"/>
      <c r="L407" s="11"/>
    </row>
    <row r="408">
      <c r="A408" s="8"/>
      <c r="B408" s="9"/>
      <c r="C408" s="9"/>
      <c r="D408" s="14"/>
      <c r="E408" s="9"/>
      <c r="F408" s="9"/>
      <c r="G408" s="14"/>
      <c r="H408" s="11"/>
      <c r="I408" s="11"/>
      <c r="J408" s="11"/>
      <c r="K408" s="11"/>
      <c r="L408" s="11"/>
    </row>
    <row r="409">
      <c r="A409" s="8"/>
      <c r="B409" s="9"/>
      <c r="C409" s="9"/>
      <c r="D409" s="14"/>
      <c r="E409" s="9"/>
      <c r="F409" s="9"/>
      <c r="G409" s="14"/>
      <c r="H409" s="11"/>
      <c r="I409" s="11"/>
      <c r="J409" s="11"/>
      <c r="K409" s="11"/>
      <c r="L409" s="11"/>
    </row>
    <row r="410">
      <c r="A410" s="8"/>
      <c r="B410" s="9"/>
      <c r="C410" s="9"/>
      <c r="D410" s="14"/>
      <c r="E410" s="9"/>
      <c r="F410" s="9"/>
      <c r="G410" s="14"/>
      <c r="H410" s="11"/>
      <c r="I410" s="11"/>
      <c r="J410" s="11"/>
      <c r="K410" s="11"/>
      <c r="L410" s="11"/>
    </row>
    <row r="411">
      <c r="A411" s="8"/>
      <c r="B411" s="9"/>
      <c r="C411" s="9"/>
      <c r="D411" s="14"/>
      <c r="E411" s="10"/>
      <c r="F411" s="10"/>
      <c r="G411" s="9"/>
      <c r="H411" s="11"/>
      <c r="I411" s="11"/>
      <c r="J411" s="11"/>
      <c r="K411" s="11"/>
      <c r="L411" s="11"/>
    </row>
    <row r="412">
      <c r="A412" s="8"/>
      <c r="B412" s="9"/>
      <c r="C412" s="9"/>
      <c r="D412" s="14"/>
      <c r="E412" s="9"/>
      <c r="F412" s="9"/>
      <c r="G412" s="14"/>
      <c r="H412" s="11"/>
      <c r="I412" s="11"/>
      <c r="J412" s="11"/>
      <c r="K412" s="11"/>
      <c r="L412" s="11"/>
    </row>
    <row r="413">
      <c r="A413" s="8"/>
      <c r="B413" s="9"/>
      <c r="C413" s="9"/>
      <c r="D413" s="14"/>
      <c r="E413" s="9"/>
      <c r="F413" s="9"/>
      <c r="G413" s="14"/>
      <c r="H413" s="11"/>
      <c r="I413" s="11"/>
      <c r="J413" s="11"/>
      <c r="K413" s="11"/>
      <c r="L413" s="11"/>
    </row>
    <row r="414">
      <c r="A414" s="8"/>
      <c r="B414" s="9"/>
      <c r="C414" s="9"/>
      <c r="D414" s="14"/>
      <c r="E414" s="9"/>
      <c r="F414" s="9"/>
      <c r="G414" s="14"/>
      <c r="H414" s="11"/>
      <c r="I414" s="11"/>
      <c r="J414" s="11"/>
      <c r="K414" s="11"/>
      <c r="L414" s="11"/>
    </row>
    <row r="415">
      <c r="A415" s="8"/>
      <c r="B415" s="13"/>
      <c r="C415" s="9"/>
      <c r="D415" s="14"/>
      <c r="E415" s="9"/>
      <c r="F415" s="9"/>
      <c r="G415" s="14"/>
      <c r="H415" s="11"/>
      <c r="I415" s="11"/>
      <c r="J415" s="11"/>
      <c r="K415" s="11"/>
      <c r="L415" s="11"/>
    </row>
    <row r="416">
      <c r="A416" s="8"/>
      <c r="B416" s="9"/>
      <c r="C416" s="9"/>
      <c r="D416" s="14"/>
      <c r="E416" s="9"/>
      <c r="F416" s="9"/>
      <c r="G416" s="14"/>
      <c r="H416" s="11"/>
      <c r="I416" s="11"/>
      <c r="J416" s="11"/>
      <c r="K416" s="11"/>
      <c r="L416" s="11"/>
    </row>
    <row r="417">
      <c r="A417" s="8"/>
      <c r="B417" s="9"/>
      <c r="C417" s="9"/>
      <c r="D417" s="14"/>
      <c r="E417" s="10"/>
      <c r="F417" s="10"/>
      <c r="G417" s="9"/>
      <c r="H417" s="11"/>
      <c r="I417" s="11"/>
      <c r="J417" s="11"/>
      <c r="K417" s="11"/>
      <c r="L417" s="11"/>
    </row>
    <row r="418">
      <c r="A418" s="8"/>
      <c r="B418" s="9"/>
      <c r="C418" s="9"/>
      <c r="D418" s="14"/>
      <c r="E418" s="10"/>
      <c r="F418" s="10"/>
      <c r="G418" s="9"/>
      <c r="H418" s="11"/>
      <c r="I418" s="11"/>
      <c r="J418" s="11"/>
      <c r="K418" s="11"/>
      <c r="L418" s="11"/>
    </row>
    <row r="419">
      <c r="A419" s="8"/>
      <c r="B419" s="9"/>
      <c r="C419" s="9"/>
      <c r="D419" s="14"/>
      <c r="E419" s="9"/>
      <c r="F419" s="9"/>
      <c r="G419" s="14"/>
      <c r="H419" s="11"/>
      <c r="I419" s="11"/>
      <c r="J419" s="11"/>
      <c r="K419" s="11"/>
      <c r="L419" s="11"/>
    </row>
    <row r="420">
      <c r="A420" s="8"/>
      <c r="B420" s="9"/>
      <c r="C420" s="9"/>
      <c r="D420" s="14"/>
      <c r="E420" s="9"/>
      <c r="F420" s="9"/>
      <c r="G420" s="14"/>
      <c r="H420" s="11"/>
      <c r="I420" s="11"/>
      <c r="J420" s="11"/>
      <c r="K420" s="11"/>
      <c r="L420" s="11"/>
    </row>
    <row r="421">
      <c r="A421" s="8"/>
      <c r="B421" s="9"/>
      <c r="C421" s="9"/>
      <c r="D421" s="14"/>
      <c r="E421" s="14"/>
      <c r="F421" s="10"/>
      <c r="G421" s="9"/>
      <c r="H421" s="11"/>
      <c r="I421" s="11"/>
      <c r="J421" s="11"/>
      <c r="K421" s="11"/>
      <c r="L421" s="11"/>
    </row>
    <row r="422">
      <c r="A422" s="8"/>
      <c r="B422" s="9"/>
      <c r="C422" s="9"/>
      <c r="D422" s="14"/>
      <c r="E422" s="9"/>
      <c r="F422" s="9"/>
      <c r="G422" s="14"/>
      <c r="H422" s="11"/>
      <c r="I422" s="11"/>
      <c r="J422" s="11"/>
      <c r="K422" s="11"/>
      <c r="L422" s="11"/>
    </row>
    <row r="423">
      <c r="A423" s="8"/>
      <c r="B423" s="10"/>
      <c r="C423" s="10"/>
      <c r="D423" s="9"/>
      <c r="E423" s="10"/>
      <c r="F423" s="10"/>
      <c r="G423" s="9"/>
      <c r="H423" s="11"/>
      <c r="I423" s="11"/>
      <c r="J423" s="11"/>
      <c r="K423" s="11"/>
      <c r="L423" s="11"/>
    </row>
    <row r="424">
      <c r="A424" s="8"/>
      <c r="B424" s="9"/>
      <c r="C424" s="9"/>
      <c r="D424" s="14"/>
      <c r="E424" s="14"/>
      <c r="F424" s="10"/>
      <c r="G424" s="9"/>
      <c r="H424" s="11"/>
      <c r="I424" s="11"/>
      <c r="J424" s="11"/>
      <c r="K424" s="11"/>
      <c r="L424" s="11"/>
    </row>
    <row r="425">
      <c r="A425" s="8"/>
      <c r="B425" s="9"/>
      <c r="C425" s="9"/>
      <c r="D425" s="14"/>
      <c r="E425" s="9"/>
      <c r="F425" s="9"/>
      <c r="G425" s="14"/>
      <c r="H425" s="11"/>
      <c r="I425" s="11"/>
      <c r="J425" s="11"/>
      <c r="K425" s="11"/>
      <c r="L425" s="11"/>
    </row>
    <row r="426">
      <c r="A426" s="8"/>
      <c r="B426" s="9"/>
      <c r="C426" s="9"/>
      <c r="D426" s="10"/>
      <c r="E426" s="14"/>
      <c r="F426" s="14"/>
      <c r="G426" s="9"/>
      <c r="H426" s="11"/>
      <c r="I426" s="11"/>
      <c r="J426" s="11"/>
      <c r="K426" s="11"/>
      <c r="L426" s="11"/>
    </row>
    <row r="427">
      <c r="A427" s="8"/>
      <c r="B427" s="9"/>
      <c r="C427" s="9"/>
      <c r="D427" s="14"/>
      <c r="E427" s="9"/>
      <c r="F427" s="9"/>
      <c r="G427" s="14"/>
      <c r="H427" s="11"/>
      <c r="I427" s="11"/>
      <c r="J427" s="11"/>
      <c r="K427" s="11"/>
      <c r="L427" s="11"/>
    </row>
    <row r="428">
      <c r="A428" s="8"/>
      <c r="B428" s="9"/>
      <c r="C428" s="9"/>
      <c r="D428" s="14"/>
      <c r="E428" s="10"/>
      <c r="F428" s="10"/>
      <c r="G428" s="9"/>
      <c r="H428" s="11"/>
      <c r="I428" s="11"/>
      <c r="J428" s="11"/>
      <c r="K428" s="11"/>
      <c r="L428" s="11"/>
    </row>
    <row r="429">
      <c r="A429" s="8"/>
      <c r="B429" s="9"/>
      <c r="C429" s="9"/>
      <c r="D429" s="14"/>
      <c r="E429" s="9"/>
      <c r="F429" s="9"/>
      <c r="G429" s="14"/>
      <c r="H429" s="11"/>
      <c r="I429" s="11"/>
      <c r="J429" s="11"/>
      <c r="K429" s="11"/>
      <c r="L429" s="11"/>
    </row>
    <row r="430">
      <c r="A430" s="8"/>
      <c r="B430" s="9"/>
      <c r="C430" s="9"/>
      <c r="D430" s="14"/>
      <c r="E430" s="9"/>
      <c r="F430" s="9"/>
      <c r="G430" s="14"/>
      <c r="H430" s="11"/>
      <c r="I430" s="11"/>
      <c r="J430" s="11"/>
      <c r="K430" s="11"/>
      <c r="L430" s="11"/>
    </row>
    <row r="431">
      <c r="A431" s="8"/>
      <c r="B431" s="10"/>
      <c r="C431" s="10"/>
      <c r="D431" s="9"/>
      <c r="E431" s="14"/>
      <c r="F431" s="10"/>
      <c r="G431" s="9"/>
      <c r="H431" s="11"/>
      <c r="I431" s="11"/>
      <c r="J431" s="11"/>
      <c r="K431" s="11"/>
      <c r="L431" s="11"/>
    </row>
    <row r="432">
      <c r="A432" s="8"/>
      <c r="B432" s="9"/>
      <c r="C432" s="9"/>
      <c r="D432" s="14"/>
      <c r="E432" s="9"/>
      <c r="F432" s="9"/>
      <c r="G432" s="14"/>
      <c r="H432" s="11"/>
      <c r="I432" s="11"/>
      <c r="J432" s="11"/>
      <c r="K432" s="11"/>
      <c r="L432" s="11"/>
    </row>
    <row r="433">
      <c r="A433" s="8"/>
      <c r="B433" s="9"/>
      <c r="C433" s="9"/>
      <c r="D433" s="14"/>
      <c r="E433" s="9"/>
      <c r="F433" s="9"/>
      <c r="G433" s="14"/>
      <c r="H433" s="11"/>
      <c r="I433" s="11"/>
      <c r="J433" s="11"/>
      <c r="K433" s="11"/>
      <c r="L433" s="11"/>
    </row>
    <row r="434">
      <c r="A434" s="8"/>
      <c r="B434" s="9"/>
      <c r="C434" s="9"/>
      <c r="D434" s="10"/>
      <c r="E434" s="9"/>
      <c r="F434" s="9"/>
      <c r="G434" s="10"/>
      <c r="H434" s="11"/>
      <c r="I434" s="11"/>
      <c r="J434" s="11"/>
      <c r="K434" s="11"/>
      <c r="L434" s="11"/>
    </row>
    <row r="435">
      <c r="A435" s="9"/>
      <c r="B435" s="9"/>
      <c r="C435" s="9"/>
      <c r="D435" s="14"/>
      <c r="E435" s="9"/>
      <c r="F435" s="9"/>
      <c r="G435" s="14"/>
      <c r="H435" s="11"/>
      <c r="I435" s="11"/>
      <c r="J435" s="11"/>
      <c r="K435" s="11"/>
      <c r="L435" s="11"/>
    </row>
    <row r="436">
      <c r="A436" s="9"/>
      <c r="B436" s="9"/>
      <c r="C436" s="9"/>
      <c r="D436" s="14"/>
      <c r="E436" s="9"/>
      <c r="F436" s="9"/>
      <c r="G436" s="14"/>
      <c r="H436" s="11"/>
      <c r="I436" s="11"/>
      <c r="J436" s="11"/>
      <c r="K436" s="11"/>
      <c r="L436" s="11"/>
    </row>
    <row r="437">
      <c r="A437" s="9"/>
      <c r="B437" s="9"/>
      <c r="C437" s="9"/>
      <c r="D437" s="14"/>
      <c r="E437" s="9"/>
      <c r="F437" s="9"/>
      <c r="G437" s="14"/>
      <c r="H437" s="11"/>
      <c r="I437" s="11"/>
      <c r="J437" s="11"/>
      <c r="K437" s="11"/>
      <c r="L437" s="11"/>
    </row>
    <row r="438">
      <c r="B438" s="11"/>
      <c r="C438" s="11"/>
      <c r="D438" s="11"/>
      <c r="E438" s="11"/>
      <c r="F438" s="11"/>
      <c r="G438" s="11"/>
      <c r="H438" s="11"/>
      <c r="I438" s="11"/>
      <c r="J438" s="11"/>
      <c r="K438" s="11"/>
      <c r="L438" s="11"/>
    </row>
    <row r="439">
      <c r="B439" s="11"/>
      <c r="C439" s="11"/>
      <c r="D439" s="11"/>
      <c r="E439" s="11"/>
      <c r="F439" s="11"/>
      <c r="G439" s="11"/>
      <c r="H439" s="11"/>
      <c r="I439" s="11"/>
      <c r="J439" s="11"/>
      <c r="K439" s="11"/>
      <c r="L439" s="11"/>
    </row>
    <row r="440">
      <c r="B440" s="11"/>
      <c r="C440" s="11"/>
      <c r="D440" s="11"/>
      <c r="E440" s="11"/>
      <c r="F440" s="11"/>
      <c r="G440" s="11"/>
      <c r="H440" s="11"/>
      <c r="I440" s="11"/>
      <c r="J440" s="11"/>
      <c r="K440" s="11"/>
      <c r="L440" s="11"/>
    </row>
    <row r="441">
      <c r="B441" s="11"/>
      <c r="C441" s="11"/>
      <c r="D441" s="11"/>
      <c r="E441" s="11"/>
      <c r="F441" s="11"/>
      <c r="G441" s="11"/>
      <c r="H441" s="11"/>
      <c r="I441" s="11"/>
      <c r="J441" s="11"/>
      <c r="K441" s="11"/>
      <c r="L441" s="11"/>
    </row>
    <row r="442">
      <c r="B442" s="11"/>
      <c r="C442" s="11"/>
      <c r="D442" s="11"/>
      <c r="E442" s="11"/>
      <c r="F442" s="11"/>
      <c r="G442" s="11"/>
      <c r="H442" s="11"/>
      <c r="I442" s="11"/>
      <c r="J442" s="11"/>
      <c r="K442" s="11"/>
      <c r="L442" s="11"/>
    </row>
    <row r="443">
      <c r="B443" s="11"/>
      <c r="C443" s="11"/>
      <c r="D443" s="11"/>
      <c r="E443" s="11"/>
      <c r="F443" s="11"/>
      <c r="G443" s="11"/>
      <c r="H443" s="11"/>
      <c r="I443" s="11"/>
      <c r="J443" s="11"/>
      <c r="K443" s="11"/>
      <c r="L443" s="11"/>
    </row>
    <row r="444">
      <c r="B444" s="11"/>
      <c r="C444" s="11"/>
      <c r="D444" s="11"/>
      <c r="E444" s="11"/>
      <c r="F444" s="11"/>
      <c r="G444" s="11"/>
      <c r="H444" s="11"/>
      <c r="I444" s="11"/>
      <c r="J444" s="11"/>
      <c r="K444" s="11"/>
      <c r="L444" s="11"/>
    </row>
    <row r="445">
      <c r="B445" s="11"/>
      <c r="C445" s="11"/>
      <c r="D445" s="11"/>
      <c r="E445" s="11"/>
      <c r="F445" s="11"/>
      <c r="G445" s="11"/>
      <c r="H445" s="11"/>
      <c r="I445" s="11"/>
      <c r="J445" s="11"/>
      <c r="K445" s="11"/>
      <c r="L445" s="11"/>
    </row>
    <row r="446">
      <c r="B446" s="11"/>
      <c r="C446" s="11"/>
      <c r="D446" s="11"/>
      <c r="E446" s="11"/>
      <c r="F446" s="11"/>
      <c r="G446" s="11"/>
      <c r="H446" s="11"/>
      <c r="I446" s="11"/>
      <c r="J446" s="11"/>
      <c r="K446" s="11"/>
      <c r="L446" s="11"/>
    </row>
    <row r="447">
      <c r="B447" s="11"/>
      <c r="C447" s="11"/>
      <c r="D447" s="11"/>
      <c r="E447" s="11"/>
      <c r="F447" s="11"/>
      <c r="G447" s="11"/>
      <c r="H447" s="11"/>
      <c r="I447" s="11"/>
      <c r="J447" s="11"/>
      <c r="K447" s="11"/>
      <c r="L447" s="11"/>
    </row>
    <row r="448">
      <c r="B448" s="11"/>
      <c r="C448" s="11"/>
      <c r="D448" s="11"/>
      <c r="E448" s="11"/>
      <c r="F448" s="11"/>
      <c r="G448" s="11"/>
      <c r="H448" s="11"/>
      <c r="I448" s="11"/>
      <c r="J448" s="11"/>
      <c r="K448" s="11"/>
      <c r="L448" s="11"/>
    </row>
    <row r="449">
      <c r="B449" s="11"/>
      <c r="C449" s="11"/>
      <c r="D449" s="11"/>
      <c r="E449" s="11"/>
      <c r="F449" s="11"/>
      <c r="G449" s="11"/>
      <c r="H449" s="11"/>
      <c r="I449" s="11"/>
      <c r="J449" s="11"/>
      <c r="K449" s="11"/>
      <c r="L449" s="11"/>
    </row>
    <row r="450">
      <c r="B450" s="11"/>
      <c r="C450" s="11"/>
      <c r="D450" s="11"/>
      <c r="E450" s="11"/>
      <c r="F450" s="11"/>
      <c r="G450" s="11"/>
      <c r="H450" s="11"/>
      <c r="I450" s="11"/>
      <c r="J450" s="11"/>
      <c r="K450" s="11"/>
      <c r="L450" s="11"/>
    </row>
    <row r="451">
      <c r="B451" s="11"/>
      <c r="C451" s="11"/>
      <c r="D451" s="11"/>
      <c r="E451" s="11"/>
      <c r="F451" s="11"/>
      <c r="G451" s="11"/>
      <c r="H451" s="11"/>
      <c r="I451" s="11"/>
      <c r="J451" s="11"/>
      <c r="K451" s="11"/>
      <c r="L451" s="11"/>
    </row>
    <row r="452">
      <c r="B452" s="11"/>
      <c r="C452" s="11"/>
      <c r="D452" s="11"/>
      <c r="E452" s="11"/>
      <c r="F452" s="11"/>
      <c r="G452" s="11"/>
      <c r="H452" s="11"/>
      <c r="I452" s="11"/>
      <c r="J452" s="11"/>
      <c r="K452" s="11"/>
      <c r="L452" s="11"/>
    </row>
    <row r="453">
      <c r="B453" s="11"/>
      <c r="C453" s="11"/>
      <c r="D453" s="11"/>
      <c r="E453" s="11"/>
      <c r="F453" s="11"/>
      <c r="G453" s="11"/>
      <c r="H453" s="11"/>
      <c r="I453" s="11"/>
      <c r="J453" s="11"/>
      <c r="K453" s="11"/>
      <c r="L453" s="11"/>
    </row>
    <row r="454">
      <c r="B454" s="11"/>
      <c r="C454" s="11"/>
      <c r="D454" s="11"/>
      <c r="E454" s="11"/>
      <c r="F454" s="11"/>
      <c r="G454" s="11"/>
      <c r="H454" s="11"/>
      <c r="I454" s="11"/>
      <c r="J454" s="11"/>
      <c r="K454" s="11"/>
      <c r="L454" s="11"/>
    </row>
    <row r="455">
      <c r="B455" s="11"/>
      <c r="C455" s="11"/>
      <c r="D455" s="11"/>
      <c r="E455" s="11"/>
      <c r="F455" s="11"/>
      <c r="G455" s="11"/>
      <c r="H455" s="11"/>
      <c r="I455" s="11"/>
      <c r="J455" s="11"/>
      <c r="K455" s="11"/>
      <c r="L455" s="11"/>
    </row>
    <row r="456">
      <c r="B456" s="11"/>
      <c r="C456" s="11"/>
      <c r="D456" s="11"/>
      <c r="E456" s="11"/>
      <c r="F456" s="11"/>
      <c r="G456" s="11"/>
      <c r="H456" s="11"/>
      <c r="I456" s="11"/>
      <c r="J456" s="11"/>
      <c r="K456" s="11"/>
      <c r="L456" s="11"/>
    </row>
    <row r="457">
      <c r="B457" s="11"/>
      <c r="C457" s="11"/>
      <c r="D457" s="11"/>
      <c r="E457" s="11"/>
      <c r="F457" s="11"/>
      <c r="G457" s="11"/>
      <c r="H457" s="11"/>
      <c r="I457" s="11"/>
      <c r="J457" s="11"/>
      <c r="K457" s="11"/>
      <c r="L457" s="11"/>
    </row>
    <row r="458">
      <c r="B458" s="11"/>
      <c r="C458" s="11"/>
      <c r="D458" s="11"/>
      <c r="E458" s="11"/>
      <c r="F458" s="11"/>
      <c r="G458" s="11"/>
      <c r="H458" s="11"/>
      <c r="I458" s="11"/>
      <c r="J458" s="11"/>
      <c r="K458" s="11"/>
      <c r="L458" s="11"/>
    </row>
    <row r="459">
      <c r="B459" s="11"/>
      <c r="C459" s="11"/>
      <c r="D459" s="11"/>
      <c r="E459" s="11"/>
      <c r="F459" s="11"/>
      <c r="G459" s="11"/>
      <c r="H459" s="11"/>
      <c r="I459" s="11"/>
      <c r="J459" s="11"/>
      <c r="K459" s="11"/>
      <c r="L459" s="11"/>
    </row>
    <row r="460">
      <c r="B460" s="11"/>
      <c r="C460" s="11"/>
      <c r="D460" s="11"/>
      <c r="E460" s="11"/>
      <c r="F460" s="11"/>
      <c r="G460" s="11"/>
      <c r="H460" s="11"/>
      <c r="I460" s="11"/>
      <c r="J460" s="11"/>
      <c r="K460" s="11"/>
      <c r="L460" s="11"/>
    </row>
    <row r="461">
      <c r="B461" s="11"/>
      <c r="C461" s="11"/>
      <c r="D461" s="11"/>
      <c r="E461" s="11"/>
      <c r="F461" s="11"/>
      <c r="G461" s="11"/>
      <c r="H461" s="11"/>
      <c r="I461" s="11"/>
      <c r="J461" s="11"/>
      <c r="K461" s="11"/>
      <c r="L461" s="11"/>
    </row>
    <row r="462">
      <c r="B462" s="11"/>
      <c r="C462" s="11"/>
      <c r="D462" s="11"/>
      <c r="E462" s="11"/>
      <c r="F462" s="11"/>
      <c r="G462" s="11"/>
      <c r="H462" s="11"/>
      <c r="I462" s="11"/>
      <c r="J462" s="11"/>
      <c r="K462" s="11"/>
      <c r="L462" s="11"/>
    </row>
    <row r="463">
      <c r="B463" s="11"/>
      <c r="C463" s="11"/>
      <c r="D463" s="11"/>
      <c r="E463" s="11"/>
      <c r="F463" s="11"/>
      <c r="G463" s="11"/>
      <c r="H463" s="11"/>
      <c r="I463" s="11"/>
      <c r="J463" s="11"/>
      <c r="K463" s="11"/>
      <c r="L463" s="11"/>
    </row>
    <row r="464">
      <c r="B464" s="11"/>
      <c r="C464" s="11"/>
      <c r="D464" s="11"/>
      <c r="E464" s="11"/>
      <c r="F464" s="11"/>
      <c r="G464" s="11"/>
      <c r="H464" s="11"/>
      <c r="I464" s="11"/>
      <c r="J464" s="11"/>
      <c r="K464" s="11"/>
      <c r="L464" s="11"/>
    </row>
    <row r="465">
      <c r="B465" s="11"/>
      <c r="C465" s="11"/>
      <c r="D465" s="11"/>
      <c r="E465" s="11"/>
      <c r="F465" s="11"/>
      <c r="G465" s="11"/>
      <c r="H465" s="11"/>
      <c r="I465" s="11"/>
      <c r="J465" s="11"/>
      <c r="K465" s="11"/>
      <c r="L465" s="11"/>
    </row>
    <row r="466">
      <c r="B466" s="11"/>
      <c r="C466" s="11"/>
      <c r="D466" s="11"/>
      <c r="E466" s="11"/>
      <c r="F466" s="11"/>
      <c r="G466" s="11"/>
      <c r="H466" s="11"/>
      <c r="I466" s="11"/>
      <c r="J466" s="11"/>
      <c r="K466" s="11"/>
      <c r="L466" s="11"/>
    </row>
    <row r="467">
      <c r="B467" s="11"/>
      <c r="C467" s="11"/>
      <c r="D467" s="11"/>
      <c r="E467" s="11"/>
      <c r="F467" s="11"/>
      <c r="G467" s="11"/>
      <c r="H467" s="11"/>
      <c r="I467" s="11"/>
      <c r="J467" s="11"/>
      <c r="K467" s="11"/>
      <c r="L467" s="11"/>
    </row>
    <row r="468">
      <c r="B468" s="11"/>
      <c r="C468" s="11"/>
      <c r="D468" s="11"/>
      <c r="E468" s="11"/>
      <c r="F468" s="11"/>
      <c r="G468" s="11"/>
      <c r="H468" s="11"/>
      <c r="I468" s="11"/>
      <c r="J468" s="11"/>
      <c r="K468" s="11"/>
      <c r="L468" s="11"/>
    </row>
    <row r="469">
      <c r="B469" s="11"/>
      <c r="C469" s="11"/>
      <c r="D469" s="11"/>
      <c r="E469" s="11"/>
      <c r="F469" s="11"/>
      <c r="G469" s="11"/>
      <c r="H469" s="11"/>
      <c r="I469" s="11"/>
      <c r="J469" s="11"/>
      <c r="K469" s="11"/>
      <c r="L469" s="11"/>
    </row>
    <row r="470">
      <c r="B470" s="11"/>
      <c r="C470" s="11"/>
      <c r="D470" s="11"/>
      <c r="E470" s="11"/>
      <c r="F470" s="11"/>
      <c r="G470" s="11"/>
      <c r="H470" s="11"/>
      <c r="I470" s="11"/>
      <c r="J470" s="11"/>
      <c r="K470" s="11"/>
      <c r="L470" s="11"/>
    </row>
    <row r="471">
      <c r="B471" s="11"/>
      <c r="C471" s="11"/>
      <c r="D471" s="11"/>
      <c r="E471" s="11"/>
      <c r="F471" s="11"/>
      <c r="G471" s="11"/>
      <c r="H471" s="11"/>
      <c r="I471" s="11"/>
      <c r="J471" s="11"/>
      <c r="K471" s="11"/>
      <c r="L471" s="11"/>
    </row>
    <row r="472">
      <c r="B472" s="11"/>
      <c r="C472" s="11"/>
      <c r="D472" s="11"/>
      <c r="E472" s="11"/>
      <c r="F472" s="11"/>
      <c r="G472" s="11"/>
      <c r="H472" s="11"/>
      <c r="I472" s="11"/>
      <c r="J472" s="11"/>
      <c r="K472" s="11"/>
      <c r="L472" s="11"/>
    </row>
    <row r="473">
      <c r="B473" s="11"/>
      <c r="C473" s="11"/>
      <c r="D473" s="11"/>
      <c r="E473" s="11"/>
      <c r="F473" s="11"/>
      <c r="G473" s="11"/>
      <c r="H473" s="11"/>
      <c r="I473" s="11"/>
      <c r="J473" s="11"/>
      <c r="K473" s="11"/>
      <c r="L473" s="11"/>
    </row>
    <row r="474">
      <c r="B474" s="11"/>
      <c r="C474" s="11"/>
      <c r="D474" s="11"/>
      <c r="E474" s="11"/>
      <c r="F474" s="11"/>
      <c r="G474" s="11"/>
      <c r="H474" s="11"/>
      <c r="I474" s="11"/>
      <c r="J474" s="11"/>
      <c r="K474" s="11"/>
      <c r="L474" s="11"/>
    </row>
    <row r="475">
      <c r="B475" s="11"/>
      <c r="C475" s="11"/>
      <c r="D475" s="11"/>
      <c r="E475" s="11"/>
      <c r="F475" s="11"/>
      <c r="G475" s="11"/>
      <c r="H475" s="11"/>
      <c r="I475" s="11"/>
      <c r="J475" s="11"/>
      <c r="K475" s="11"/>
      <c r="L475" s="11"/>
    </row>
    <row r="476">
      <c r="B476" s="11"/>
      <c r="C476" s="11"/>
      <c r="D476" s="11"/>
      <c r="E476" s="11"/>
      <c r="F476" s="11"/>
      <c r="G476" s="11"/>
      <c r="H476" s="11"/>
      <c r="I476" s="11"/>
      <c r="J476" s="11"/>
      <c r="K476" s="11"/>
      <c r="L476" s="11"/>
    </row>
    <row r="477">
      <c r="B477" s="11"/>
      <c r="C477" s="11"/>
      <c r="D477" s="11"/>
      <c r="E477" s="11"/>
      <c r="F477" s="11"/>
      <c r="G477" s="11"/>
      <c r="H477" s="11"/>
      <c r="I477" s="11"/>
      <c r="J477" s="11"/>
      <c r="K477" s="11"/>
      <c r="L477" s="11"/>
    </row>
    <row r="478">
      <c r="B478" s="11"/>
      <c r="C478" s="11"/>
      <c r="D478" s="11"/>
      <c r="E478" s="11"/>
      <c r="F478" s="11"/>
      <c r="G478" s="11"/>
      <c r="H478" s="11"/>
      <c r="I478" s="11"/>
      <c r="J478" s="11"/>
      <c r="K478" s="11"/>
      <c r="L478" s="11"/>
    </row>
    <row r="479">
      <c r="B479" s="11"/>
      <c r="C479" s="11"/>
      <c r="D479" s="11"/>
      <c r="E479" s="11"/>
      <c r="F479" s="11"/>
      <c r="G479" s="11"/>
      <c r="H479" s="11"/>
      <c r="I479" s="11"/>
      <c r="J479" s="11"/>
      <c r="K479" s="11"/>
      <c r="L479" s="11"/>
    </row>
    <row r="480">
      <c r="B480" s="11"/>
      <c r="C480" s="11"/>
      <c r="D480" s="11"/>
      <c r="E480" s="11"/>
      <c r="F480" s="11"/>
      <c r="G480" s="11"/>
      <c r="H480" s="11"/>
      <c r="I480" s="11"/>
      <c r="J480" s="11"/>
      <c r="K480" s="11"/>
      <c r="L480" s="11"/>
    </row>
    <row r="481">
      <c r="B481" s="11"/>
      <c r="C481" s="11"/>
      <c r="D481" s="11"/>
      <c r="E481" s="11"/>
      <c r="F481" s="11"/>
      <c r="G481" s="11"/>
      <c r="H481" s="11"/>
      <c r="I481" s="11"/>
      <c r="J481" s="11"/>
      <c r="K481" s="11"/>
      <c r="L481" s="11"/>
    </row>
    <row r="482">
      <c r="B482" s="11"/>
      <c r="C482" s="11"/>
      <c r="D482" s="11"/>
      <c r="E482" s="11"/>
      <c r="F482" s="11"/>
      <c r="G482" s="11"/>
      <c r="H482" s="11"/>
      <c r="I482" s="11"/>
      <c r="J482" s="11"/>
      <c r="K482" s="11"/>
      <c r="L482" s="11"/>
    </row>
    <row r="483">
      <c r="B483" s="11"/>
      <c r="C483" s="11"/>
      <c r="D483" s="11"/>
      <c r="E483" s="11"/>
      <c r="F483" s="11"/>
      <c r="G483" s="11"/>
      <c r="H483" s="11"/>
      <c r="I483" s="11"/>
      <c r="J483" s="11"/>
      <c r="K483" s="11"/>
      <c r="L483" s="11"/>
    </row>
    <row r="484">
      <c r="B484" s="11"/>
      <c r="C484" s="11"/>
      <c r="D484" s="11"/>
      <c r="E484" s="11"/>
      <c r="F484" s="11"/>
      <c r="G484" s="11"/>
      <c r="H484" s="11"/>
      <c r="I484" s="11"/>
      <c r="J484" s="11"/>
      <c r="K484" s="11"/>
      <c r="L484" s="11"/>
    </row>
    <row r="485">
      <c r="B485" s="11"/>
      <c r="C485" s="11"/>
      <c r="D485" s="11"/>
      <c r="E485" s="11"/>
      <c r="F485" s="11"/>
      <c r="G485" s="11"/>
      <c r="H485" s="11"/>
      <c r="I485" s="11"/>
      <c r="J485" s="11"/>
      <c r="K485" s="11"/>
      <c r="L485" s="11"/>
    </row>
    <row r="486">
      <c r="B486" s="11"/>
      <c r="C486" s="11"/>
      <c r="D486" s="11"/>
      <c r="E486" s="11"/>
      <c r="F486" s="11"/>
      <c r="G486" s="11"/>
      <c r="H486" s="11"/>
      <c r="I486" s="11"/>
      <c r="J486" s="11"/>
      <c r="K486" s="11"/>
      <c r="L486" s="11"/>
    </row>
    <row r="487">
      <c r="B487" s="11"/>
      <c r="C487" s="11"/>
      <c r="D487" s="11"/>
      <c r="E487" s="11"/>
      <c r="F487" s="11"/>
      <c r="G487" s="11"/>
      <c r="H487" s="11"/>
      <c r="I487" s="11"/>
      <c r="J487" s="11"/>
      <c r="K487" s="11"/>
      <c r="L487" s="11"/>
    </row>
    <row r="488">
      <c r="B488" s="11"/>
      <c r="C488" s="11"/>
      <c r="D488" s="11"/>
      <c r="E488" s="11"/>
      <c r="F488" s="11"/>
      <c r="G488" s="11"/>
      <c r="H488" s="11"/>
      <c r="I488" s="11"/>
      <c r="J488" s="11"/>
      <c r="K488" s="11"/>
      <c r="L488" s="11"/>
    </row>
    <row r="489">
      <c r="B489" s="11"/>
      <c r="C489" s="11"/>
      <c r="D489" s="11"/>
      <c r="E489" s="11"/>
      <c r="F489" s="11"/>
      <c r="G489" s="11"/>
      <c r="H489" s="11"/>
      <c r="I489" s="11"/>
      <c r="J489" s="11"/>
      <c r="K489" s="11"/>
      <c r="L489" s="11"/>
    </row>
    <row r="490">
      <c r="B490" s="11"/>
      <c r="C490" s="11"/>
      <c r="D490" s="11"/>
      <c r="E490" s="11"/>
      <c r="F490" s="11"/>
      <c r="G490" s="11"/>
      <c r="H490" s="11"/>
      <c r="I490" s="11"/>
      <c r="J490" s="11"/>
      <c r="K490" s="11"/>
      <c r="L490" s="11"/>
    </row>
    <row r="491">
      <c r="B491" s="11"/>
      <c r="C491" s="11"/>
      <c r="D491" s="11"/>
      <c r="E491" s="11"/>
      <c r="F491" s="11"/>
      <c r="G491" s="11"/>
      <c r="H491" s="11"/>
      <c r="I491" s="11"/>
      <c r="J491" s="11"/>
      <c r="K491" s="11"/>
      <c r="L491" s="11"/>
    </row>
    <row r="492">
      <c r="B492" s="11"/>
      <c r="C492" s="11"/>
      <c r="D492" s="11"/>
      <c r="E492" s="11"/>
      <c r="F492" s="11"/>
      <c r="G492" s="11"/>
      <c r="H492" s="11"/>
      <c r="I492" s="11"/>
      <c r="J492" s="11"/>
      <c r="K492" s="11"/>
      <c r="L492" s="11"/>
    </row>
    <row r="493">
      <c r="B493" s="11"/>
      <c r="C493" s="11"/>
      <c r="D493" s="11"/>
      <c r="E493" s="11"/>
      <c r="F493" s="11"/>
      <c r="G493" s="11"/>
      <c r="H493" s="11"/>
      <c r="I493" s="11"/>
      <c r="J493" s="11"/>
      <c r="K493" s="11"/>
      <c r="L493" s="11"/>
    </row>
    <row r="494">
      <c r="B494" s="11"/>
      <c r="C494" s="11"/>
      <c r="D494" s="11"/>
      <c r="E494" s="11"/>
      <c r="F494" s="11"/>
      <c r="G494" s="11"/>
      <c r="H494" s="11"/>
      <c r="I494" s="11"/>
      <c r="J494" s="11"/>
      <c r="K494" s="11"/>
      <c r="L494" s="11"/>
    </row>
    <row r="495">
      <c r="B495" s="11"/>
      <c r="C495" s="11"/>
      <c r="D495" s="11"/>
      <c r="E495" s="11"/>
      <c r="F495" s="11"/>
      <c r="G495" s="11"/>
      <c r="H495" s="11"/>
      <c r="I495" s="11"/>
      <c r="J495" s="11"/>
      <c r="K495" s="11"/>
      <c r="L495" s="11"/>
    </row>
    <row r="496">
      <c r="B496" s="11"/>
      <c r="C496" s="11"/>
      <c r="D496" s="11"/>
      <c r="E496" s="11"/>
      <c r="F496" s="11"/>
      <c r="G496" s="11"/>
      <c r="H496" s="11"/>
      <c r="I496" s="11"/>
      <c r="J496" s="11"/>
      <c r="K496" s="11"/>
      <c r="L496" s="11"/>
    </row>
    <row r="497">
      <c r="B497" s="11"/>
      <c r="C497" s="11"/>
      <c r="D497" s="11"/>
      <c r="E497" s="11"/>
      <c r="F497" s="11"/>
      <c r="G497" s="11"/>
      <c r="H497" s="11"/>
      <c r="I497" s="11"/>
      <c r="J497" s="11"/>
      <c r="K497" s="11"/>
      <c r="L497" s="11"/>
    </row>
    <row r="498">
      <c r="B498" s="11"/>
      <c r="C498" s="11"/>
      <c r="D498" s="11"/>
      <c r="E498" s="11"/>
      <c r="F498" s="11"/>
      <c r="G498" s="11"/>
      <c r="H498" s="11"/>
      <c r="I498" s="11"/>
      <c r="J498" s="11"/>
      <c r="K498" s="11"/>
      <c r="L498" s="11"/>
    </row>
    <row r="499">
      <c r="B499" s="11"/>
      <c r="C499" s="11"/>
      <c r="D499" s="11"/>
      <c r="E499" s="11"/>
      <c r="F499" s="11"/>
      <c r="G499" s="11"/>
      <c r="H499" s="11"/>
      <c r="I499" s="11"/>
      <c r="J499" s="11"/>
      <c r="K499" s="11"/>
      <c r="L499" s="11"/>
    </row>
    <row r="500">
      <c r="B500" s="11"/>
      <c r="C500" s="11"/>
      <c r="D500" s="11"/>
      <c r="E500" s="11"/>
      <c r="F500" s="11"/>
      <c r="G500" s="11"/>
      <c r="H500" s="11"/>
      <c r="I500" s="11"/>
      <c r="J500" s="11"/>
      <c r="K500" s="11"/>
      <c r="L500" s="11"/>
    </row>
    <row r="501">
      <c r="B501" s="11"/>
      <c r="C501" s="11"/>
      <c r="D501" s="11"/>
      <c r="E501" s="11"/>
      <c r="F501" s="11"/>
      <c r="G501" s="11"/>
      <c r="H501" s="11"/>
      <c r="I501" s="11"/>
      <c r="J501" s="11"/>
      <c r="K501" s="11"/>
      <c r="L501" s="11"/>
    </row>
    <row r="502">
      <c r="B502" s="11"/>
      <c r="C502" s="11"/>
      <c r="D502" s="11"/>
      <c r="E502" s="11"/>
      <c r="F502" s="11"/>
      <c r="G502" s="11"/>
      <c r="H502" s="11"/>
      <c r="I502" s="11"/>
      <c r="J502" s="11"/>
      <c r="K502" s="11"/>
      <c r="L502" s="11"/>
    </row>
    <row r="503">
      <c r="B503" s="11"/>
      <c r="C503" s="11"/>
      <c r="D503" s="11"/>
      <c r="E503" s="11"/>
      <c r="F503" s="11"/>
      <c r="G503" s="11"/>
      <c r="H503" s="11"/>
      <c r="I503" s="11"/>
      <c r="J503" s="11"/>
      <c r="K503" s="11"/>
      <c r="L503" s="11"/>
    </row>
    <row r="504">
      <c r="B504" s="11"/>
      <c r="C504" s="11"/>
      <c r="D504" s="11"/>
      <c r="E504" s="11"/>
      <c r="F504" s="11"/>
      <c r="G504" s="11"/>
      <c r="H504" s="11"/>
      <c r="I504" s="11"/>
      <c r="J504" s="11"/>
      <c r="K504" s="11"/>
      <c r="L504" s="11"/>
    </row>
    <row r="505">
      <c r="B505" s="11"/>
      <c r="C505" s="11"/>
      <c r="D505" s="11"/>
      <c r="E505" s="11"/>
      <c r="F505" s="11"/>
      <c r="G505" s="11"/>
      <c r="H505" s="11"/>
      <c r="I505" s="11"/>
      <c r="J505" s="11"/>
      <c r="K505" s="11"/>
      <c r="L505" s="11"/>
    </row>
    <row r="506">
      <c r="B506" s="11"/>
      <c r="C506" s="11"/>
      <c r="D506" s="11"/>
      <c r="E506" s="11"/>
      <c r="F506" s="11"/>
      <c r="G506" s="11"/>
      <c r="H506" s="11"/>
      <c r="I506" s="11"/>
      <c r="J506" s="11"/>
      <c r="K506" s="11"/>
      <c r="L506" s="11"/>
    </row>
    <row r="507">
      <c r="B507" s="11"/>
      <c r="C507" s="11"/>
      <c r="D507" s="11"/>
      <c r="E507" s="11"/>
      <c r="F507" s="11"/>
      <c r="G507" s="11"/>
      <c r="H507" s="11"/>
      <c r="I507" s="11"/>
      <c r="J507" s="11"/>
      <c r="K507" s="11"/>
      <c r="L507" s="11"/>
    </row>
    <row r="508">
      <c r="B508" s="11"/>
      <c r="C508" s="11"/>
      <c r="D508" s="11"/>
      <c r="E508" s="11"/>
      <c r="F508" s="11"/>
      <c r="G508" s="11"/>
      <c r="H508" s="11"/>
      <c r="I508" s="11"/>
      <c r="J508" s="11"/>
      <c r="K508" s="11"/>
      <c r="L508" s="11"/>
    </row>
    <row r="509">
      <c r="B509" s="11"/>
      <c r="C509" s="11"/>
      <c r="D509" s="11"/>
      <c r="E509" s="11"/>
      <c r="F509" s="11"/>
      <c r="G509" s="11"/>
      <c r="H509" s="11"/>
      <c r="I509" s="11"/>
      <c r="J509" s="11"/>
      <c r="K509" s="11"/>
      <c r="L509" s="11"/>
    </row>
    <row r="510">
      <c r="B510" s="11"/>
      <c r="C510" s="11"/>
      <c r="D510" s="11"/>
      <c r="E510" s="11"/>
      <c r="F510" s="11"/>
      <c r="G510" s="11"/>
      <c r="H510" s="11"/>
      <c r="I510" s="11"/>
      <c r="J510" s="11"/>
      <c r="K510" s="11"/>
      <c r="L510" s="11"/>
    </row>
    <row r="511">
      <c r="B511" s="11"/>
      <c r="C511" s="11"/>
      <c r="D511" s="11"/>
      <c r="E511" s="11"/>
      <c r="F511" s="11"/>
      <c r="G511" s="11"/>
      <c r="H511" s="11"/>
      <c r="I511" s="11"/>
      <c r="J511" s="11"/>
      <c r="K511" s="11"/>
      <c r="L511" s="11"/>
    </row>
    <row r="512">
      <c r="B512" s="11"/>
      <c r="C512" s="11"/>
      <c r="D512" s="11"/>
      <c r="E512" s="11"/>
      <c r="F512" s="11"/>
      <c r="G512" s="11"/>
      <c r="H512" s="11"/>
      <c r="I512" s="11"/>
      <c r="J512" s="11"/>
      <c r="K512" s="11"/>
      <c r="L512" s="11"/>
    </row>
    <row r="513">
      <c r="B513" s="11"/>
      <c r="C513" s="11"/>
      <c r="D513" s="11"/>
      <c r="E513" s="11"/>
      <c r="F513" s="11"/>
      <c r="G513" s="11"/>
      <c r="H513" s="11"/>
      <c r="I513" s="11"/>
      <c r="J513" s="11"/>
      <c r="K513" s="11"/>
      <c r="L513" s="11"/>
    </row>
    <row r="514">
      <c r="B514" s="11"/>
      <c r="C514" s="11"/>
      <c r="D514" s="11"/>
      <c r="E514" s="11"/>
      <c r="F514" s="11"/>
      <c r="G514" s="11"/>
      <c r="H514" s="11"/>
      <c r="I514" s="11"/>
      <c r="J514" s="11"/>
      <c r="K514" s="11"/>
      <c r="L514" s="11"/>
    </row>
    <row r="515">
      <c r="B515" s="11"/>
      <c r="C515" s="11"/>
      <c r="D515" s="11"/>
      <c r="E515" s="11"/>
      <c r="F515" s="11"/>
      <c r="G515" s="11"/>
      <c r="H515" s="11"/>
      <c r="I515" s="11"/>
      <c r="J515" s="11"/>
      <c r="K515" s="11"/>
      <c r="L515" s="11"/>
    </row>
    <row r="516">
      <c r="B516" s="11"/>
      <c r="C516" s="11"/>
      <c r="D516" s="11"/>
      <c r="E516" s="11"/>
      <c r="F516" s="11"/>
      <c r="G516" s="11"/>
      <c r="H516" s="11"/>
      <c r="I516" s="11"/>
      <c r="J516" s="11"/>
      <c r="K516" s="11"/>
      <c r="L516" s="11"/>
    </row>
    <row r="517">
      <c r="B517" s="11"/>
      <c r="C517" s="11"/>
      <c r="D517" s="11"/>
      <c r="E517" s="11"/>
      <c r="F517" s="11"/>
      <c r="G517" s="11"/>
      <c r="H517" s="11"/>
      <c r="I517" s="11"/>
      <c r="J517" s="11"/>
      <c r="K517" s="11"/>
      <c r="L517" s="11"/>
    </row>
    <row r="518">
      <c r="B518" s="11"/>
      <c r="C518" s="11"/>
      <c r="D518" s="11"/>
      <c r="E518" s="11"/>
      <c r="F518" s="11"/>
      <c r="G518" s="11"/>
      <c r="H518" s="11"/>
      <c r="I518" s="11"/>
      <c r="J518" s="11"/>
      <c r="K518" s="11"/>
      <c r="L518" s="11"/>
    </row>
    <row r="519">
      <c r="B519" s="11"/>
      <c r="C519" s="11"/>
      <c r="D519" s="11"/>
      <c r="E519" s="11"/>
      <c r="F519" s="11"/>
      <c r="G519" s="11"/>
      <c r="H519" s="11"/>
      <c r="I519" s="11"/>
      <c r="J519" s="11"/>
      <c r="K519" s="11"/>
      <c r="L519" s="11"/>
    </row>
    <row r="520">
      <c r="B520" s="11"/>
      <c r="C520" s="11"/>
      <c r="D520" s="11"/>
      <c r="E520" s="11"/>
      <c r="F520" s="11"/>
      <c r="G520" s="11"/>
      <c r="H520" s="11"/>
      <c r="I520" s="11"/>
      <c r="J520" s="11"/>
      <c r="K520" s="11"/>
      <c r="L520" s="11"/>
    </row>
    <row r="521">
      <c r="B521" s="11"/>
      <c r="C521" s="11"/>
      <c r="D521" s="11"/>
      <c r="E521" s="11"/>
      <c r="F521" s="11"/>
      <c r="G521" s="11"/>
      <c r="H521" s="11"/>
      <c r="I521" s="11"/>
      <c r="J521" s="11"/>
      <c r="K521" s="11"/>
      <c r="L521" s="11"/>
    </row>
    <row r="522">
      <c r="B522" s="11"/>
      <c r="C522" s="11"/>
      <c r="D522" s="11"/>
      <c r="E522" s="11"/>
      <c r="F522" s="11"/>
      <c r="G522" s="11"/>
      <c r="H522" s="11"/>
      <c r="I522" s="11"/>
      <c r="J522" s="11"/>
      <c r="K522" s="11"/>
      <c r="L522" s="11"/>
    </row>
    <row r="523">
      <c r="B523" s="11"/>
      <c r="C523" s="11"/>
      <c r="D523" s="11"/>
      <c r="E523" s="11"/>
      <c r="F523" s="11"/>
      <c r="G523" s="11"/>
      <c r="H523" s="11"/>
      <c r="I523" s="11"/>
      <c r="J523" s="11"/>
      <c r="K523" s="11"/>
      <c r="L523" s="11"/>
    </row>
    <row r="524">
      <c r="B524" s="11"/>
      <c r="C524" s="11"/>
      <c r="D524" s="11"/>
      <c r="E524" s="11"/>
      <c r="F524" s="11"/>
      <c r="G524" s="11"/>
      <c r="H524" s="11"/>
      <c r="I524" s="11"/>
      <c r="J524" s="11"/>
      <c r="K524" s="11"/>
      <c r="L524" s="11"/>
    </row>
    <row r="525">
      <c r="B525" s="11"/>
      <c r="C525" s="11"/>
      <c r="D525" s="11"/>
      <c r="E525" s="11"/>
      <c r="F525" s="11"/>
      <c r="G525" s="11"/>
      <c r="H525" s="11"/>
      <c r="I525" s="11"/>
      <c r="J525" s="11"/>
      <c r="K525" s="11"/>
      <c r="L525" s="11"/>
    </row>
    <row r="526">
      <c r="B526" s="11"/>
      <c r="C526" s="11"/>
      <c r="D526" s="11"/>
      <c r="E526" s="11"/>
      <c r="F526" s="11"/>
      <c r="G526" s="11"/>
      <c r="H526" s="11"/>
      <c r="I526" s="11"/>
      <c r="J526" s="11"/>
      <c r="K526" s="11"/>
      <c r="L526" s="11"/>
    </row>
    <row r="527">
      <c r="B527" s="11"/>
      <c r="C527" s="11"/>
      <c r="D527" s="11"/>
      <c r="E527" s="11"/>
      <c r="F527" s="11"/>
      <c r="G527" s="11"/>
      <c r="H527" s="11"/>
      <c r="I527" s="11"/>
      <c r="J527" s="11"/>
      <c r="K527" s="11"/>
      <c r="L527" s="11"/>
    </row>
    <row r="528">
      <c r="B528" s="11"/>
      <c r="C528" s="11"/>
      <c r="D528" s="11"/>
      <c r="E528" s="11"/>
      <c r="F528" s="11"/>
      <c r="G528" s="11"/>
      <c r="H528" s="11"/>
      <c r="I528" s="11"/>
      <c r="J528" s="11"/>
      <c r="K528" s="11"/>
      <c r="L528" s="11"/>
    </row>
    <row r="529">
      <c r="B529" s="11"/>
      <c r="C529" s="11"/>
      <c r="D529" s="11"/>
      <c r="E529" s="11"/>
      <c r="F529" s="11"/>
      <c r="G529" s="11"/>
      <c r="H529" s="11"/>
      <c r="I529" s="11"/>
      <c r="J529" s="11"/>
      <c r="K529" s="11"/>
      <c r="L529" s="11"/>
    </row>
    <row r="530">
      <c r="B530" s="11"/>
      <c r="C530" s="11"/>
      <c r="D530" s="11"/>
      <c r="E530" s="11"/>
      <c r="F530" s="11"/>
      <c r="G530" s="11"/>
      <c r="H530" s="11"/>
      <c r="I530" s="11"/>
      <c r="J530" s="11"/>
      <c r="K530" s="11"/>
      <c r="L530" s="11"/>
    </row>
    <row r="531">
      <c r="B531" s="11"/>
      <c r="C531" s="11"/>
      <c r="D531" s="11"/>
      <c r="E531" s="11"/>
      <c r="F531" s="11"/>
      <c r="G531" s="11"/>
      <c r="H531" s="11"/>
      <c r="I531" s="11"/>
      <c r="J531" s="11"/>
      <c r="K531" s="11"/>
      <c r="L531" s="11"/>
    </row>
    <row r="532">
      <c r="B532" s="11"/>
      <c r="C532" s="11"/>
      <c r="D532" s="11"/>
      <c r="E532" s="11"/>
      <c r="F532" s="11"/>
      <c r="G532" s="11"/>
      <c r="H532" s="11"/>
      <c r="I532" s="11"/>
      <c r="J532" s="11"/>
      <c r="K532" s="11"/>
      <c r="L532" s="11"/>
    </row>
    <row r="533">
      <c r="B533" s="11"/>
      <c r="C533" s="11"/>
      <c r="D533" s="11"/>
      <c r="E533" s="11"/>
      <c r="F533" s="11"/>
      <c r="G533" s="11"/>
      <c r="H533" s="11"/>
      <c r="I533" s="11"/>
      <c r="J533" s="11"/>
      <c r="K533" s="11"/>
      <c r="L533" s="11"/>
    </row>
    <row r="534">
      <c r="B534" s="11"/>
      <c r="C534" s="11"/>
      <c r="D534" s="11"/>
      <c r="E534" s="11"/>
      <c r="F534" s="11"/>
      <c r="G534" s="11"/>
      <c r="H534" s="11"/>
      <c r="I534" s="11"/>
      <c r="J534" s="11"/>
      <c r="K534" s="11"/>
      <c r="L534" s="11"/>
    </row>
    <row r="535">
      <c r="B535" s="11"/>
      <c r="C535" s="11"/>
      <c r="D535" s="11"/>
      <c r="E535" s="11"/>
      <c r="F535" s="11"/>
      <c r="G535" s="11"/>
      <c r="H535" s="11"/>
      <c r="I535" s="11"/>
      <c r="J535" s="11"/>
      <c r="K535" s="11"/>
      <c r="L535" s="11"/>
    </row>
    <row r="536">
      <c r="B536" s="11"/>
      <c r="C536" s="11"/>
      <c r="D536" s="11"/>
      <c r="E536" s="11"/>
      <c r="F536" s="11"/>
      <c r="G536" s="11"/>
      <c r="H536" s="11"/>
      <c r="I536" s="11"/>
      <c r="J536" s="11"/>
      <c r="K536" s="11"/>
      <c r="L536" s="11"/>
    </row>
    <row r="537">
      <c r="B537" s="11"/>
      <c r="C537" s="11"/>
      <c r="D537" s="11"/>
      <c r="E537" s="11"/>
      <c r="F537" s="11"/>
      <c r="G537" s="11"/>
      <c r="H537" s="11"/>
      <c r="I537" s="11"/>
      <c r="J537" s="11"/>
      <c r="K537" s="11"/>
      <c r="L537" s="11"/>
    </row>
    <row r="538">
      <c r="B538" s="11"/>
      <c r="C538" s="11"/>
      <c r="D538" s="11"/>
      <c r="E538" s="11"/>
      <c r="F538" s="11"/>
      <c r="G538" s="11"/>
      <c r="H538" s="11"/>
      <c r="I538" s="11"/>
      <c r="J538" s="11"/>
      <c r="K538" s="11"/>
      <c r="L538" s="11"/>
    </row>
    <row r="539">
      <c r="B539" s="11"/>
      <c r="C539" s="11"/>
      <c r="D539" s="11"/>
      <c r="E539" s="11"/>
      <c r="F539" s="11"/>
      <c r="G539" s="11"/>
      <c r="H539" s="11"/>
      <c r="I539" s="11"/>
      <c r="J539" s="11"/>
      <c r="K539" s="11"/>
      <c r="L539" s="11"/>
    </row>
    <row r="540">
      <c r="B540" s="11"/>
      <c r="C540" s="11"/>
      <c r="D540" s="11"/>
      <c r="E540" s="11"/>
      <c r="F540" s="11"/>
      <c r="G540" s="11"/>
      <c r="H540" s="11"/>
      <c r="I540" s="11"/>
      <c r="J540" s="11"/>
      <c r="K540" s="11"/>
      <c r="L540" s="11"/>
    </row>
    <row r="541">
      <c r="B541" s="11"/>
      <c r="C541" s="11"/>
      <c r="D541" s="11"/>
      <c r="E541" s="11"/>
      <c r="F541" s="11"/>
      <c r="G541" s="11"/>
      <c r="H541" s="11"/>
      <c r="I541" s="11"/>
      <c r="J541" s="11"/>
      <c r="K541" s="11"/>
      <c r="L541" s="11"/>
    </row>
    <row r="542">
      <c r="B542" s="11"/>
      <c r="C542" s="11"/>
      <c r="D542" s="11"/>
      <c r="E542" s="11"/>
      <c r="F542" s="11"/>
      <c r="G542" s="11"/>
      <c r="H542" s="11"/>
      <c r="I542" s="11"/>
      <c r="J542" s="11"/>
      <c r="K542" s="11"/>
      <c r="L542" s="11"/>
    </row>
    <row r="543">
      <c r="B543" s="11"/>
      <c r="C543" s="11"/>
      <c r="D543" s="11"/>
      <c r="E543" s="11"/>
      <c r="F543" s="11"/>
      <c r="G543" s="11"/>
      <c r="H543" s="11"/>
      <c r="I543" s="11"/>
      <c r="J543" s="11"/>
      <c r="K543" s="11"/>
      <c r="L543" s="11"/>
    </row>
    <row r="544">
      <c r="B544" s="11"/>
      <c r="C544" s="11"/>
      <c r="D544" s="11"/>
      <c r="E544" s="11"/>
      <c r="F544" s="11"/>
      <c r="G544" s="11"/>
      <c r="H544" s="11"/>
      <c r="I544" s="11"/>
      <c r="J544" s="11"/>
      <c r="K544" s="11"/>
      <c r="L544" s="11"/>
    </row>
    <row r="545">
      <c r="B545" s="11"/>
      <c r="C545" s="11"/>
      <c r="D545" s="11"/>
      <c r="E545" s="11"/>
      <c r="F545" s="11"/>
      <c r="G545" s="11"/>
      <c r="H545" s="11"/>
      <c r="I545" s="11"/>
      <c r="J545" s="11"/>
      <c r="K545" s="11"/>
      <c r="L545" s="11"/>
    </row>
    <row r="546">
      <c r="B546" s="11"/>
      <c r="C546" s="11"/>
      <c r="D546" s="11"/>
      <c r="E546" s="11"/>
      <c r="F546" s="11"/>
      <c r="G546" s="11"/>
      <c r="H546" s="11"/>
      <c r="I546" s="11"/>
      <c r="J546" s="11"/>
      <c r="K546" s="11"/>
      <c r="L546" s="11"/>
    </row>
    <row r="547">
      <c r="B547" s="11"/>
      <c r="C547" s="11"/>
      <c r="D547" s="11"/>
      <c r="E547" s="11"/>
      <c r="F547" s="11"/>
      <c r="G547" s="11"/>
      <c r="H547" s="11"/>
      <c r="I547" s="11"/>
      <c r="J547" s="11"/>
      <c r="K547" s="11"/>
      <c r="L547" s="11"/>
    </row>
    <row r="548">
      <c r="B548" s="11"/>
      <c r="C548" s="11"/>
      <c r="D548" s="11"/>
      <c r="E548" s="11"/>
      <c r="F548" s="11"/>
      <c r="G548" s="11"/>
      <c r="H548" s="11"/>
      <c r="I548" s="11"/>
      <c r="J548" s="11"/>
      <c r="K548" s="11"/>
      <c r="L548" s="11"/>
    </row>
    <row r="549">
      <c r="B549" s="11"/>
      <c r="C549" s="11"/>
      <c r="D549" s="11"/>
      <c r="E549" s="11"/>
      <c r="F549" s="11"/>
      <c r="G549" s="11"/>
      <c r="H549" s="11"/>
      <c r="I549" s="11"/>
      <c r="J549" s="11"/>
      <c r="K549" s="11"/>
      <c r="L549" s="11"/>
    </row>
    <row r="550">
      <c r="B550" s="11"/>
      <c r="C550" s="11"/>
      <c r="D550" s="11"/>
      <c r="E550" s="11"/>
      <c r="F550" s="11"/>
      <c r="G550" s="11"/>
      <c r="H550" s="11"/>
      <c r="I550" s="11"/>
      <c r="J550" s="11"/>
      <c r="K550" s="11"/>
      <c r="L550" s="11"/>
    </row>
    <row r="551">
      <c r="B551" s="11"/>
      <c r="C551" s="11"/>
      <c r="D551" s="11"/>
      <c r="E551" s="11"/>
      <c r="F551" s="11"/>
      <c r="G551" s="11"/>
      <c r="H551" s="11"/>
      <c r="I551" s="11"/>
      <c r="J551" s="11"/>
      <c r="K551" s="11"/>
      <c r="L551" s="11"/>
    </row>
    <row r="552">
      <c r="B552" s="11"/>
      <c r="C552" s="11"/>
      <c r="D552" s="11"/>
      <c r="E552" s="11"/>
      <c r="F552" s="11"/>
      <c r="G552" s="11"/>
      <c r="H552" s="11"/>
      <c r="I552" s="11"/>
      <c r="J552" s="11"/>
      <c r="K552" s="11"/>
      <c r="L552" s="11"/>
    </row>
    <row r="553">
      <c r="B553" s="11"/>
      <c r="C553" s="11"/>
      <c r="D553" s="11"/>
      <c r="E553" s="11"/>
      <c r="F553" s="11"/>
      <c r="G553" s="11"/>
      <c r="H553" s="11"/>
      <c r="I553" s="11"/>
      <c r="J553" s="11"/>
      <c r="K553" s="11"/>
      <c r="L553" s="11"/>
    </row>
    <row r="554">
      <c r="B554" s="11"/>
      <c r="C554" s="11"/>
      <c r="D554" s="11"/>
      <c r="E554" s="11"/>
      <c r="F554" s="11"/>
      <c r="G554" s="11"/>
      <c r="H554" s="11"/>
      <c r="I554" s="11"/>
      <c r="J554" s="11"/>
      <c r="K554" s="11"/>
      <c r="L554" s="11"/>
    </row>
    <row r="555">
      <c r="B555" s="11"/>
      <c r="C555" s="11"/>
      <c r="D555" s="11"/>
      <c r="E555" s="11"/>
      <c r="F555" s="11"/>
      <c r="G555" s="11"/>
      <c r="H555" s="11"/>
      <c r="I555" s="11"/>
      <c r="J555" s="11"/>
      <c r="K555" s="11"/>
      <c r="L555" s="11"/>
    </row>
    <row r="556">
      <c r="B556" s="11"/>
      <c r="C556" s="11"/>
      <c r="D556" s="11"/>
      <c r="E556" s="11"/>
      <c r="F556" s="11"/>
      <c r="G556" s="11"/>
      <c r="H556" s="11"/>
      <c r="I556" s="11"/>
      <c r="J556" s="11"/>
      <c r="K556" s="11"/>
      <c r="L556" s="11"/>
    </row>
    <row r="557">
      <c r="B557" s="11"/>
      <c r="C557" s="11"/>
      <c r="D557" s="11"/>
      <c r="E557" s="11"/>
      <c r="F557" s="11"/>
      <c r="G557" s="11"/>
      <c r="H557" s="11"/>
      <c r="I557" s="11"/>
      <c r="J557" s="11"/>
      <c r="K557" s="11"/>
      <c r="L557" s="11"/>
    </row>
    <row r="558">
      <c r="B558" s="11"/>
      <c r="C558" s="11"/>
      <c r="D558" s="11"/>
      <c r="E558" s="11"/>
      <c r="F558" s="11"/>
      <c r="G558" s="11"/>
      <c r="H558" s="11"/>
      <c r="I558" s="11"/>
      <c r="J558" s="11"/>
      <c r="K558" s="11"/>
      <c r="L558" s="11"/>
    </row>
    <row r="559">
      <c r="B559" s="11"/>
      <c r="C559" s="11"/>
      <c r="D559" s="11"/>
      <c r="E559" s="11"/>
      <c r="F559" s="11"/>
      <c r="G559" s="11"/>
      <c r="H559" s="11"/>
      <c r="I559" s="11"/>
      <c r="J559" s="11"/>
      <c r="K559" s="11"/>
      <c r="L559" s="11"/>
    </row>
    <row r="560">
      <c r="B560" s="11"/>
      <c r="C560" s="11"/>
      <c r="D560" s="11"/>
      <c r="E560" s="11"/>
      <c r="F560" s="11"/>
      <c r="G560" s="11"/>
      <c r="H560" s="11"/>
      <c r="I560" s="11"/>
      <c r="J560" s="11"/>
      <c r="K560" s="11"/>
      <c r="L560" s="11"/>
    </row>
    <row r="561">
      <c r="B561" s="11"/>
      <c r="C561" s="11"/>
      <c r="D561" s="11"/>
      <c r="E561" s="11"/>
      <c r="F561" s="11"/>
      <c r="G561" s="11"/>
      <c r="H561" s="11"/>
      <c r="I561" s="11"/>
      <c r="J561" s="11"/>
      <c r="K561" s="11"/>
      <c r="L561" s="11"/>
    </row>
    <row r="562">
      <c r="B562" s="11"/>
      <c r="C562" s="11"/>
      <c r="D562" s="11"/>
      <c r="E562" s="11"/>
      <c r="F562" s="11"/>
      <c r="G562" s="11"/>
      <c r="H562" s="11"/>
      <c r="I562" s="11"/>
      <c r="J562" s="11"/>
      <c r="K562" s="11"/>
      <c r="L562" s="11"/>
    </row>
    <row r="563">
      <c r="B563" s="11"/>
      <c r="C563" s="11"/>
      <c r="D563" s="11"/>
      <c r="E563" s="11"/>
      <c r="F563" s="11"/>
      <c r="G563" s="11"/>
      <c r="H563" s="11"/>
      <c r="I563" s="11"/>
      <c r="J563" s="11"/>
      <c r="K563" s="11"/>
      <c r="L563" s="11"/>
    </row>
    <row r="564">
      <c r="B564" s="11"/>
      <c r="C564" s="11"/>
      <c r="D564" s="11"/>
      <c r="E564" s="11"/>
      <c r="F564" s="11"/>
      <c r="G564" s="11"/>
      <c r="H564" s="11"/>
      <c r="I564" s="11"/>
      <c r="J564" s="11"/>
      <c r="K564" s="11"/>
      <c r="L564" s="11"/>
    </row>
    <row r="565">
      <c r="B565" s="11"/>
      <c r="C565" s="11"/>
      <c r="D565" s="11"/>
      <c r="E565" s="11"/>
      <c r="F565" s="11"/>
      <c r="G565" s="11"/>
      <c r="H565" s="11"/>
      <c r="I565" s="11"/>
      <c r="J565" s="11"/>
      <c r="K565" s="11"/>
      <c r="L565" s="11"/>
    </row>
    <row r="566">
      <c r="B566" s="11"/>
      <c r="C566" s="11"/>
      <c r="D566" s="11"/>
      <c r="E566" s="11"/>
      <c r="F566" s="11"/>
      <c r="G566" s="11"/>
      <c r="H566" s="11"/>
      <c r="I566" s="11"/>
      <c r="J566" s="11"/>
      <c r="K566" s="11"/>
      <c r="L566" s="11"/>
    </row>
    <row r="567">
      <c r="B567" s="11"/>
      <c r="C567" s="11"/>
      <c r="D567" s="11"/>
      <c r="E567" s="11"/>
      <c r="F567" s="11"/>
      <c r="G567" s="11"/>
      <c r="H567" s="11"/>
      <c r="I567" s="11"/>
      <c r="J567" s="11"/>
      <c r="K567" s="11"/>
      <c r="L567" s="11"/>
    </row>
    <row r="568">
      <c r="B568" s="11"/>
      <c r="C568" s="11"/>
      <c r="D568" s="11"/>
      <c r="E568" s="11"/>
      <c r="F568" s="11"/>
      <c r="G568" s="11"/>
      <c r="H568" s="11"/>
      <c r="I568" s="11"/>
      <c r="J568" s="11"/>
      <c r="K568" s="11"/>
      <c r="L568" s="11"/>
    </row>
    <row r="569">
      <c r="B569" s="11"/>
      <c r="C569" s="11"/>
      <c r="D569" s="11"/>
      <c r="E569" s="11"/>
      <c r="F569" s="11"/>
      <c r="G569" s="11"/>
      <c r="H569" s="11"/>
      <c r="I569" s="11"/>
      <c r="J569" s="11"/>
      <c r="K569" s="11"/>
      <c r="L569" s="11"/>
    </row>
    <row r="570">
      <c r="B570" s="11"/>
      <c r="C570" s="11"/>
      <c r="D570" s="11"/>
      <c r="E570" s="11"/>
      <c r="F570" s="11"/>
      <c r="G570" s="11"/>
      <c r="H570" s="11"/>
      <c r="I570" s="11"/>
      <c r="J570" s="11"/>
      <c r="K570" s="11"/>
      <c r="L570" s="11"/>
    </row>
    <row r="571">
      <c r="B571" s="11"/>
      <c r="C571" s="11"/>
      <c r="D571" s="11"/>
      <c r="E571" s="11"/>
      <c r="F571" s="11"/>
      <c r="G571" s="11"/>
      <c r="H571" s="11"/>
      <c r="I571" s="11"/>
      <c r="J571" s="11"/>
      <c r="K571" s="11"/>
      <c r="L571" s="11"/>
    </row>
    <row r="572">
      <c r="B572" s="11"/>
      <c r="C572" s="11"/>
      <c r="D572" s="11"/>
      <c r="E572" s="11"/>
      <c r="F572" s="11"/>
      <c r="G572" s="11"/>
      <c r="H572" s="11"/>
      <c r="I572" s="11"/>
      <c r="J572" s="11"/>
      <c r="K572" s="11"/>
      <c r="L572" s="11"/>
    </row>
    <row r="573">
      <c r="B573" s="11"/>
      <c r="C573" s="11"/>
      <c r="D573" s="11"/>
      <c r="E573" s="11"/>
      <c r="F573" s="11"/>
      <c r="G573" s="11"/>
      <c r="H573" s="11"/>
      <c r="I573" s="11"/>
      <c r="J573" s="11"/>
      <c r="K573" s="11"/>
      <c r="L573" s="11"/>
    </row>
    <row r="574">
      <c r="B574" s="11"/>
      <c r="C574" s="11"/>
      <c r="D574" s="11"/>
      <c r="E574" s="11"/>
      <c r="F574" s="11"/>
      <c r="G574" s="11"/>
      <c r="H574" s="11"/>
      <c r="I574" s="11"/>
      <c r="J574" s="11"/>
      <c r="K574" s="11"/>
      <c r="L574" s="11"/>
    </row>
    <row r="575">
      <c r="B575" s="11"/>
      <c r="C575" s="11"/>
      <c r="D575" s="11"/>
      <c r="E575" s="11"/>
      <c r="F575" s="11"/>
      <c r="G575" s="11"/>
      <c r="H575" s="11"/>
      <c r="I575" s="11"/>
      <c r="J575" s="11"/>
      <c r="K575" s="11"/>
      <c r="L575" s="11"/>
    </row>
    <row r="576">
      <c r="B576" s="11"/>
      <c r="C576" s="11"/>
      <c r="D576" s="11"/>
      <c r="E576" s="11"/>
      <c r="F576" s="11"/>
      <c r="G576" s="11"/>
      <c r="H576" s="11"/>
      <c r="I576" s="11"/>
      <c r="J576" s="11"/>
      <c r="K576" s="11"/>
      <c r="L576" s="11"/>
    </row>
    <row r="577">
      <c r="B577" s="11"/>
      <c r="C577" s="11"/>
      <c r="D577" s="11"/>
      <c r="E577" s="11"/>
      <c r="F577" s="11"/>
      <c r="G577" s="11"/>
      <c r="H577" s="11"/>
      <c r="I577" s="11"/>
      <c r="J577" s="11"/>
      <c r="K577" s="11"/>
      <c r="L577" s="11"/>
    </row>
    <row r="578">
      <c r="B578" s="11"/>
      <c r="C578" s="11"/>
      <c r="D578" s="11"/>
      <c r="E578" s="11"/>
      <c r="F578" s="11"/>
      <c r="G578" s="11"/>
      <c r="H578" s="11"/>
      <c r="I578" s="11"/>
      <c r="J578" s="11"/>
      <c r="K578" s="11"/>
      <c r="L578" s="11"/>
    </row>
    <row r="579">
      <c r="B579" s="11"/>
      <c r="C579" s="11"/>
      <c r="D579" s="11"/>
      <c r="E579" s="11"/>
      <c r="F579" s="11"/>
      <c r="G579" s="11"/>
      <c r="H579" s="11"/>
      <c r="I579" s="11"/>
      <c r="J579" s="11"/>
      <c r="K579" s="11"/>
      <c r="L579" s="11"/>
    </row>
    <row r="580">
      <c r="B580" s="11"/>
      <c r="C580" s="11"/>
      <c r="D580" s="11"/>
      <c r="E580" s="11"/>
      <c r="F580" s="11"/>
      <c r="G580" s="11"/>
      <c r="H580" s="11"/>
      <c r="I580" s="11"/>
      <c r="J580" s="11"/>
      <c r="K580" s="11"/>
      <c r="L580" s="11"/>
    </row>
    <row r="581">
      <c r="B581" s="11"/>
      <c r="C581" s="11"/>
      <c r="D581" s="11"/>
      <c r="E581" s="11"/>
      <c r="F581" s="11"/>
      <c r="G581" s="11"/>
      <c r="H581" s="11"/>
      <c r="I581" s="11"/>
      <c r="J581" s="11"/>
      <c r="K581" s="11"/>
      <c r="L581" s="11"/>
    </row>
    <row r="582">
      <c r="B582" s="11"/>
      <c r="C582" s="11"/>
      <c r="D582" s="11"/>
      <c r="E582" s="11"/>
      <c r="F582" s="11"/>
      <c r="G582" s="11"/>
      <c r="H582" s="11"/>
      <c r="I582" s="11"/>
      <c r="J582" s="11"/>
      <c r="K582" s="11"/>
      <c r="L582" s="11"/>
    </row>
    <row r="583">
      <c r="B583" s="11"/>
      <c r="C583" s="11"/>
      <c r="D583" s="11"/>
      <c r="E583" s="11"/>
      <c r="F583" s="11"/>
      <c r="G583" s="11"/>
      <c r="H583" s="11"/>
      <c r="I583" s="11"/>
      <c r="J583" s="11"/>
      <c r="K583" s="11"/>
      <c r="L583" s="11"/>
    </row>
    <row r="584">
      <c r="B584" s="11"/>
      <c r="C584" s="11"/>
      <c r="D584" s="11"/>
      <c r="E584" s="11"/>
      <c r="F584" s="11"/>
      <c r="G584" s="11"/>
      <c r="H584" s="11"/>
      <c r="I584" s="11"/>
      <c r="J584" s="11"/>
      <c r="K584" s="11"/>
      <c r="L584" s="11"/>
    </row>
    <row r="585">
      <c r="B585" s="11"/>
      <c r="C585" s="11"/>
      <c r="D585" s="11"/>
      <c r="E585" s="11"/>
      <c r="F585" s="11"/>
      <c r="G585" s="11"/>
      <c r="H585" s="11"/>
      <c r="I585" s="11"/>
      <c r="J585" s="11"/>
      <c r="K585" s="11"/>
      <c r="L585" s="11"/>
    </row>
    <row r="586">
      <c r="B586" s="11"/>
      <c r="C586" s="11"/>
      <c r="D586" s="11"/>
      <c r="E586" s="11"/>
      <c r="F586" s="11"/>
      <c r="G586" s="11"/>
      <c r="H586" s="11"/>
      <c r="I586" s="11"/>
      <c r="J586" s="11"/>
      <c r="K586" s="11"/>
      <c r="L586" s="11"/>
    </row>
    <row r="587">
      <c r="B587" s="11"/>
      <c r="C587" s="11"/>
      <c r="D587" s="11"/>
      <c r="E587" s="11"/>
      <c r="F587" s="11"/>
      <c r="G587" s="11"/>
      <c r="H587" s="11"/>
      <c r="I587" s="11"/>
      <c r="J587" s="11"/>
      <c r="K587" s="11"/>
      <c r="L587" s="11"/>
    </row>
    <row r="588">
      <c r="B588" s="11"/>
      <c r="C588" s="11"/>
      <c r="D588" s="11"/>
      <c r="E588" s="11"/>
      <c r="F588" s="11"/>
      <c r="G588" s="11"/>
      <c r="H588" s="11"/>
      <c r="I588" s="11"/>
      <c r="J588" s="11"/>
      <c r="K588" s="11"/>
      <c r="L588" s="11"/>
    </row>
    <row r="589">
      <c r="B589" s="11"/>
      <c r="C589" s="11"/>
      <c r="D589" s="11"/>
      <c r="E589" s="11"/>
      <c r="F589" s="11"/>
      <c r="G589" s="11"/>
      <c r="H589" s="11"/>
      <c r="I589" s="11"/>
      <c r="J589" s="11"/>
      <c r="K589" s="11"/>
      <c r="L589" s="11"/>
    </row>
    <row r="590">
      <c r="B590" s="11"/>
      <c r="C590" s="11"/>
      <c r="D590" s="11"/>
      <c r="E590" s="11"/>
      <c r="F590" s="11"/>
      <c r="G590" s="11"/>
      <c r="H590" s="11"/>
      <c r="I590" s="11"/>
      <c r="J590" s="11"/>
      <c r="K590" s="11"/>
      <c r="L590" s="11"/>
    </row>
    <row r="591">
      <c r="B591" s="11"/>
      <c r="C591" s="11"/>
      <c r="D591" s="11"/>
      <c r="E591" s="11"/>
      <c r="F591" s="11"/>
      <c r="G591" s="11"/>
      <c r="H591" s="11"/>
      <c r="I591" s="11"/>
      <c r="J591" s="11"/>
      <c r="K591" s="11"/>
      <c r="L591" s="11"/>
    </row>
    <row r="592">
      <c r="B592" s="11"/>
      <c r="C592" s="11"/>
      <c r="D592" s="11"/>
      <c r="E592" s="11"/>
      <c r="F592" s="11"/>
      <c r="G592" s="11"/>
      <c r="H592" s="11"/>
      <c r="I592" s="11"/>
      <c r="J592" s="11"/>
      <c r="K592" s="11"/>
      <c r="L592" s="11"/>
    </row>
    <row r="593">
      <c r="B593" s="11"/>
      <c r="C593" s="11"/>
      <c r="D593" s="11"/>
      <c r="E593" s="11"/>
      <c r="F593" s="11"/>
      <c r="G593" s="11"/>
      <c r="H593" s="11"/>
      <c r="I593" s="11"/>
      <c r="J593" s="11"/>
      <c r="K593" s="11"/>
      <c r="L593" s="11"/>
    </row>
    <row r="594">
      <c r="B594" s="11"/>
      <c r="C594" s="11"/>
      <c r="D594" s="11"/>
      <c r="E594" s="11"/>
      <c r="F594" s="11"/>
      <c r="G594" s="11"/>
      <c r="H594" s="11"/>
      <c r="I594" s="11"/>
      <c r="J594" s="11"/>
      <c r="K594" s="11"/>
      <c r="L594" s="11"/>
    </row>
    <row r="595">
      <c r="B595" s="11"/>
      <c r="C595" s="11"/>
      <c r="D595" s="11"/>
      <c r="E595" s="11"/>
      <c r="F595" s="11"/>
      <c r="G595" s="11"/>
      <c r="H595" s="11"/>
      <c r="I595" s="11"/>
      <c r="J595" s="11"/>
      <c r="K595" s="11"/>
      <c r="L595" s="11"/>
    </row>
    <row r="596">
      <c r="B596" s="11"/>
      <c r="C596" s="11"/>
      <c r="D596" s="11"/>
      <c r="E596" s="11"/>
      <c r="F596" s="11"/>
      <c r="G596" s="11"/>
      <c r="H596" s="11"/>
      <c r="I596" s="11"/>
      <c r="J596" s="11"/>
      <c r="K596" s="11"/>
      <c r="L596" s="11"/>
    </row>
    <row r="597">
      <c r="B597" s="11"/>
      <c r="C597" s="11"/>
      <c r="D597" s="11"/>
      <c r="E597" s="11"/>
      <c r="F597" s="11"/>
      <c r="G597" s="11"/>
      <c r="H597" s="11"/>
      <c r="I597" s="11"/>
      <c r="J597" s="11"/>
      <c r="K597" s="11"/>
      <c r="L597" s="11"/>
    </row>
    <row r="598">
      <c r="B598" s="11"/>
      <c r="C598" s="11"/>
      <c r="D598" s="11"/>
      <c r="E598" s="11"/>
      <c r="F598" s="11"/>
      <c r="G598" s="11"/>
      <c r="H598" s="11"/>
      <c r="I598" s="11"/>
      <c r="J598" s="11"/>
      <c r="K598" s="11"/>
      <c r="L598" s="11"/>
    </row>
    <row r="599">
      <c r="B599" s="11"/>
      <c r="C599" s="11"/>
      <c r="D599" s="11"/>
      <c r="E599" s="11"/>
      <c r="F599" s="11"/>
      <c r="G599" s="11"/>
      <c r="H599" s="11"/>
      <c r="I599" s="11"/>
      <c r="J599" s="11"/>
      <c r="K599" s="11"/>
      <c r="L599" s="11"/>
    </row>
    <row r="600">
      <c r="B600" s="11"/>
      <c r="C600" s="11"/>
      <c r="D600" s="11"/>
      <c r="E600" s="11"/>
      <c r="F600" s="11"/>
      <c r="G600" s="11"/>
      <c r="H600" s="11"/>
      <c r="I600" s="11"/>
      <c r="J600" s="11"/>
      <c r="K600" s="11"/>
      <c r="L600" s="11"/>
    </row>
    <row r="601">
      <c r="B601" s="11"/>
      <c r="C601" s="11"/>
      <c r="D601" s="11"/>
      <c r="E601" s="11"/>
      <c r="F601" s="11"/>
      <c r="G601" s="11"/>
      <c r="H601" s="11"/>
      <c r="I601" s="11"/>
      <c r="J601" s="11"/>
      <c r="K601" s="11"/>
      <c r="L601" s="11"/>
    </row>
    <row r="602">
      <c r="B602" s="11"/>
      <c r="C602" s="11"/>
      <c r="D602" s="11"/>
      <c r="E602" s="11"/>
      <c r="F602" s="11"/>
      <c r="G602" s="11"/>
      <c r="H602" s="11"/>
      <c r="I602" s="11"/>
      <c r="J602" s="11"/>
      <c r="K602" s="11"/>
      <c r="L602" s="11"/>
    </row>
    <row r="603">
      <c r="B603" s="11"/>
      <c r="C603" s="11"/>
      <c r="D603" s="11"/>
      <c r="E603" s="11"/>
      <c r="F603" s="11"/>
      <c r="G603" s="11"/>
      <c r="H603" s="11"/>
      <c r="I603" s="11"/>
      <c r="J603" s="11"/>
      <c r="K603" s="11"/>
      <c r="L603" s="11"/>
    </row>
    <row r="604">
      <c r="B604" s="11"/>
      <c r="C604" s="11"/>
      <c r="D604" s="11"/>
      <c r="E604" s="11"/>
      <c r="F604" s="11"/>
      <c r="G604" s="11"/>
      <c r="H604" s="11"/>
      <c r="I604" s="11"/>
      <c r="J604" s="11"/>
      <c r="K604" s="11"/>
      <c r="L604" s="11"/>
    </row>
    <row r="605">
      <c r="B605" s="11"/>
      <c r="C605" s="11"/>
      <c r="D605" s="11"/>
      <c r="E605" s="11"/>
      <c r="F605" s="11"/>
      <c r="G605" s="11"/>
      <c r="H605" s="11"/>
      <c r="I605" s="11"/>
      <c r="J605" s="11"/>
      <c r="K605" s="11"/>
      <c r="L605" s="11"/>
    </row>
    <row r="606">
      <c r="B606" s="11"/>
      <c r="C606" s="11"/>
      <c r="D606" s="11"/>
      <c r="E606" s="11"/>
      <c r="F606" s="11"/>
      <c r="G606" s="11"/>
      <c r="H606" s="11"/>
      <c r="I606" s="11"/>
      <c r="J606" s="11"/>
      <c r="K606" s="11"/>
      <c r="L606" s="11"/>
    </row>
    <row r="607">
      <c r="B607" s="11"/>
      <c r="C607" s="11"/>
      <c r="D607" s="11"/>
      <c r="E607" s="11"/>
      <c r="F607" s="11"/>
      <c r="G607" s="11"/>
      <c r="H607" s="11"/>
      <c r="I607" s="11"/>
      <c r="J607" s="11"/>
      <c r="K607" s="11"/>
      <c r="L607" s="11"/>
    </row>
    <row r="608">
      <c r="B608" s="11"/>
      <c r="C608" s="11"/>
      <c r="D608" s="11"/>
      <c r="E608" s="11"/>
      <c r="F608" s="11"/>
      <c r="G608" s="11"/>
      <c r="H608" s="11"/>
      <c r="I608" s="11"/>
      <c r="J608" s="11"/>
      <c r="K608" s="11"/>
      <c r="L608" s="11"/>
    </row>
    <row r="609">
      <c r="B609" s="11"/>
      <c r="C609" s="11"/>
      <c r="D609" s="11"/>
      <c r="E609" s="11"/>
      <c r="F609" s="11"/>
      <c r="G609" s="11"/>
      <c r="H609" s="11"/>
      <c r="I609" s="11"/>
      <c r="J609" s="11"/>
      <c r="K609" s="11"/>
      <c r="L609" s="11"/>
    </row>
    <row r="610">
      <c r="B610" s="11"/>
      <c r="C610" s="11"/>
      <c r="D610" s="11"/>
      <c r="E610" s="11"/>
      <c r="F610" s="11"/>
      <c r="G610" s="11"/>
      <c r="H610" s="11"/>
      <c r="I610" s="11"/>
      <c r="J610" s="11"/>
      <c r="K610" s="11"/>
      <c r="L610" s="11"/>
    </row>
    <row r="611">
      <c r="B611" s="11"/>
      <c r="C611" s="11"/>
      <c r="D611" s="11"/>
      <c r="E611" s="11"/>
      <c r="F611" s="11"/>
      <c r="G611" s="11"/>
      <c r="H611" s="11"/>
      <c r="I611" s="11"/>
      <c r="J611" s="11"/>
      <c r="K611" s="11"/>
      <c r="L611" s="11"/>
    </row>
    <row r="612">
      <c r="B612" s="11"/>
      <c r="C612" s="11"/>
      <c r="D612" s="11"/>
      <c r="E612" s="11"/>
      <c r="F612" s="11"/>
      <c r="G612" s="11"/>
      <c r="H612" s="11"/>
      <c r="I612" s="11"/>
      <c r="J612" s="11"/>
      <c r="K612" s="11"/>
      <c r="L612" s="11"/>
    </row>
    <row r="613">
      <c r="B613" s="11"/>
      <c r="C613" s="11"/>
      <c r="D613" s="11"/>
      <c r="E613" s="11"/>
      <c r="F613" s="11"/>
      <c r="G613" s="11"/>
      <c r="H613" s="11"/>
      <c r="I613" s="11"/>
      <c r="J613" s="11"/>
      <c r="K613" s="11"/>
      <c r="L613" s="11"/>
    </row>
    <row r="614">
      <c r="B614" s="11"/>
      <c r="C614" s="11"/>
      <c r="D614" s="11"/>
      <c r="E614" s="11"/>
      <c r="F614" s="11"/>
      <c r="G614" s="11"/>
      <c r="H614" s="11"/>
      <c r="I614" s="11"/>
      <c r="J614" s="11"/>
      <c r="K614" s="11"/>
      <c r="L614" s="11"/>
    </row>
    <row r="615">
      <c r="B615" s="11"/>
      <c r="C615" s="11"/>
      <c r="D615" s="11"/>
      <c r="E615" s="11"/>
      <c r="F615" s="11"/>
      <c r="G615" s="11"/>
      <c r="H615" s="11"/>
      <c r="I615" s="11"/>
      <c r="J615" s="11"/>
      <c r="K615" s="11"/>
      <c r="L615" s="11"/>
    </row>
    <row r="616">
      <c r="B616" s="11"/>
      <c r="C616" s="11"/>
      <c r="D616" s="11"/>
      <c r="E616" s="11"/>
      <c r="F616" s="11"/>
      <c r="G616" s="11"/>
      <c r="H616" s="11"/>
      <c r="I616" s="11"/>
      <c r="J616" s="11"/>
      <c r="K616" s="11"/>
      <c r="L616" s="11"/>
    </row>
    <row r="617">
      <c r="B617" s="11"/>
      <c r="C617" s="11"/>
      <c r="D617" s="11"/>
      <c r="E617" s="11"/>
      <c r="F617" s="11"/>
      <c r="G617" s="11"/>
      <c r="H617" s="11"/>
      <c r="I617" s="11"/>
      <c r="J617" s="11"/>
      <c r="K617" s="11"/>
      <c r="L617" s="11"/>
    </row>
    <row r="618">
      <c r="B618" s="11"/>
      <c r="C618" s="11"/>
      <c r="D618" s="11"/>
      <c r="E618" s="11"/>
      <c r="F618" s="11"/>
      <c r="G618" s="11"/>
      <c r="H618" s="11"/>
      <c r="I618" s="11"/>
      <c r="J618" s="11"/>
      <c r="K618" s="11"/>
      <c r="L618" s="11"/>
    </row>
    <row r="619">
      <c r="B619" s="11"/>
      <c r="C619" s="11"/>
      <c r="D619" s="11"/>
      <c r="E619" s="11"/>
      <c r="F619" s="11"/>
      <c r="G619" s="11"/>
      <c r="H619" s="11"/>
      <c r="I619" s="11"/>
      <c r="J619" s="11"/>
      <c r="K619" s="11"/>
      <c r="L619" s="11"/>
    </row>
    <row r="620">
      <c r="B620" s="11"/>
      <c r="C620" s="11"/>
      <c r="D620" s="11"/>
      <c r="E620" s="11"/>
      <c r="F620" s="11"/>
      <c r="G620" s="11"/>
      <c r="H620" s="11"/>
      <c r="I620" s="11"/>
      <c r="J620" s="11"/>
      <c r="K620" s="11"/>
      <c r="L620" s="11"/>
    </row>
    <row r="621">
      <c r="B621" s="11"/>
      <c r="C621" s="11"/>
      <c r="D621" s="11"/>
      <c r="E621" s="11"/>
      <c r="F621" s="11"/>
      <c r="G621" s="11"/>
      <c r="H621" s="11"/>
      <c r="I621" s="11"/>
      <c r="J621" s="11"/>
      <c r="K621" s="11"/>
      <c r="L621" s="11"/>
    </row>
    <row r="622">
      <c r="B622" s="11"/>
      <c r="C622" s="11"/>
      <c r="D622" s="11"/>
      <c r="E622" s="11"/>
      <c r="F622" s="11"/>
      <c r="G622" s="11"/>
      <c r="H622" s="11"/>
      <c r="I622" s="11"/>
      <c r="J622" s="11"/>
      <c r="K622" s="11"/>
      <c r="L622" s="11"/>
    </row>
    <row r="623">
      <c r="B623" s="11"/>
      <c r="C623" s="11"/>
      <c r="D623" s="11"/>
      <c r="E623" s="11"/>
      <c r="F623" s="11"/>
      <c r="G623" s="11"/>
      <c r="H623" s="11"/>
      <c r="I623" s="11"/>
      <c r="J623" s="11"/>
      <c r="K623" s="11"/>
      <c r="L623" s="11"/>
    </row>
    <row r="624">
      <c r="B624" s="11"/>
      <c r="C624" s="11"/>
      <c r="D624" s="11"/>
      <c r="E624" s="11"/>
      <c r="F624" s="11"/>
      <c r="G624" s="11"/>
      <c r="H624" s="11"/>
      <c r="I624" s="11"/>
      <c r="J624" s="11"/>
      <c r="K624" s="11"/>
      <c r="L624" s="11"/>
    </row>
    <row r="625">
      <c r="B625" s="11"/>
      <c r="C625" s="11"/>
      <c r="D625" s="11"/>
      <c r="E625" s="11"/>
      <c r="F625" s="11"/>
      <c r="G625" s="11"/>
      <c r="H625" s="11"/>
      <c r="I625" s="11"/>
      <c r="J625" s="11"/>
      <c r="K625" s="11"/>
      <c r="L625" s="11"/>
    </row>
    <row r="626">
      <c r="B626" s="11"/>
      <c r="C626" s="11"/>
      <c r="D626" s="11"/>
      <c r="E626" s="11"/>
      <c r="F626" s="11"/>
      <c r="G626" s="11"/>
      <c r="H626" s="11"/>
      <c r="I626" s="11"/>
      <c r="J626" s="11"/>
      <c r="K626" s="11"/>
      <c r="L626" s="11"/>
    </row>
    <row r="627">
      <c r="B627" s="11"/>
      <c r="C627" s="11"/>
      <c r="D627" s="11"/>
      <c r="E627" s="11"/>
      <c r="F627" s="11"/>
      <c r="G627" s="11"/>
      <c r="H627" s="11"/>
      <c r="I627" s="11"/>
      <c r="J627" s="11"/>
      <c r="K627" s="11"/>
      <c r="L627" s="11"/>
    </row>
    <row r="628">
      <c r="B628" s="11"/>
      <c r="C628" s="11"/>
      <c r="D628" s="11"/>
      <c r="E628" s="11"/>
      <c r="F628" s="11"/>
      <c r="G628" s="11"/>
      <c r="H628" s="11"/>
      <c r="I628" s="11"/>
      <c r="J628" s="11"/>
      <c r="K628" s="11"/>
      <c r="L628" s="11"/>
    </row>
    <row r="629">
      <c r="B629" s="11"/>
      <c r="C629" s="11"/>
      <c r="D629" s="11"/>
      <c r="E629" s="11"/>
      <c r="F629" s="11"/>
      <c r="G629" s="11"/>
      <c r="H629" s="11"/>
      <c r="I629" s="11"/>
      <c r="J629" s="11"/>
      <c r="K629" s="11"/>
      <c r="L629" s="11"/>
    </row>
    <row r="630">
      <c r="B630" s="11"/>
      <c r="C630" s="11"/>
      <c r="D630" s="11"/>
      <c r="E630" s="11"/>
      <c r="F630" s="11"/>
      <c r="G630" s="11"/>
      <c r="H630" s="11"/>
      <c r="I630" s="11"/>
      <c r="J630" s="11"/>
      <c r="K630" s="11"/>
      <c r="L630" s="11"/>
    </row>
    <row r="631">
      <c r="B631" s="11"/>
      <c r="C631" s="11"/>
      <c r="D631" s="11"/>
      <c r="E631" s="11"/>
      <c r="F631" s="11"/>
      <c r="G631" s="11"/>
      <c r="H631" s="11"/>
      <c r="I631" s="11"/>
      <c r="J631" s="11"/>
      <c r="K631" s="11"/>
      <c r="L631" s="11"/>
    </row>
    <row r="632">
      <c r="B632" s="11"/>
      <c r="C632" s="11"/>
      <c r="D632" s="11"/>
      <c r="E632" s="11"/>
      <c r="F632" s="11"/>
      <c r="G632" s="11"/>
      <c r="H632" s="11"/>
      <c r="I632" s="11"/>
      <c r="J632" s="11"/>
      <c r="K632" s="11"/>
      <c r="L632" s="11"/>
    </row>
    <row r="633">
      <c r="B633" s="11"/>
      <c r="C633" s="11"/>
      <c r="D633" s="11"/>
      <c r="E633" s="11"/>
      <c r="F633" s="11"/>
      <c r="G633" s="11"/>
      <c r="H633" s="11"/>
      <c r="I633" s="11"/>
      <c r="J633" s="11"/>
      <c r="K633" s="11"/>
      <c r="L633" s="11"/>
    </row>
    <row r="634">
      <c r="B634" s="11"/>
      <c r="C634" s="11"/>
      <c r="D634" s="11"/>
      <c r="E634" s="11"/>
      <c r="F634" s="11"/>
      <c r="G634" s="11"/>
      <c r="H634" s="11"/>
      <c r="I634" s="11"/>
      <c r="J634" s="11"/>
      <c r="K634" s="11"/>
      <c r="L634" s="11"/>
    </row>
    <row r="635">
      <c r="B635" s="11"/>
      <c r="C635" s="11"/>
      <c r="D635" s="11"/>
      <c r="E635" s="11"/>
      <c r="F635" s="11"/>
      <c r="G635" s="11"/>
      <c r="H635" s="11"/>
      <c r="I635" s="11"/>
      <c r="J635" s="11"/>
      <c r="K635" s="11"/>
      <c r="L635" s="11"/>
    </row>
    <row r="636">
      <c r="B636" s="11"/>
      <c r="C636" s="11"/>
      <c r="D636" s="11"/>
      <c r="E636" s="11"/>
      <c r="F636" s="11"/>
      <c r="G636" s="11"/>
      <c r="H636" s="11"/>
      <c r="I636" s="11"/>
      <c r="J636" s="11"/>
      <c r="K636" s="11"/>
      <c r="L636" s="11"/>
    </row>
    <row r="637">
      <c r="B637" s="11"/>
      <c r="C637" s="11"/>
      <c r="D637" s="11"/>
      <c r="E637" s="11"/>
      <c r="F637" s="11"/>
      <c r="G637" s="11"/>
      <c r="H637" s="11"/>
      <c r="I637" s="11"/>
      <c r="J637" s="11"/>
      <c r="K637" s="11"/>
      <c r="L637" s="11"/>
    </row>
    <row r="638">
      <c r="B638" s="11"/>
      <c r="C638" s="11"/>
      <c r="D638" s="11"/>
      <c r="E638" s="11"/>
      <c r="F638" s="11"/>
      <c r="G638" s="11"/>
      <c r="H638" s="11"/>
      <c r="I638" s="11"/>
      <c r="J638" s="11"/>
      <c r="K638" s="11"/>
      <c r="L638" s="11"/>
    </row>
    <row r="639">
      <c r="B639" s="11"/>
      <c r="C639" s="11"/>
      <c r="D639" s="11"/>
      <c r="E639" s="11"/>
      <c r="F639" s="11"/>
      <c r="G639" s="11"/>
      <c r="H639" s="11"/>
      <c r="I639" s="11"/>
      <c r="J639" s="11"/>
      <c r="K639" s="11"/>
      <c r="L639" s="11"/>
    </row>
    <row r="640">
      <c r="B640" s="11"/>
      <c r="C640" s="11"/>
      <c r="D640" s="11"/>
      <c r="E640" s="11"/>
      <c r="F640" s="11"/>
      <c r="G640" s="11"/>
      <c r="H640" s="11"/>
      <c r="I640" s="11"/>
      <c r="J640" s="11"/>
      <c r="K640" s="11"/>
      <c r="L640" s="11"/>
    </row>
    <row r="641">
      <c r="B641" s="11"/>
      <c r="C641" s="11"/>
      <c r="D641" s="11"/>
      <c r="E641" s="11"/>
      <c r="F641" s="11"/>
      <c r="G641" s="11"/>
      <c r="H641" s="11"/>
      <c r="I641" s="11"/>
      <c r="J641" s="11"/>
      <c r="K641" s="11"/>
      <c r="L641" s="11"/>
    </row>
    <row r="642">
      <c r="B642" s="11"/>
      <c r="C642" s="11"/>
      <c r="D642" s="11"/>
      <c r="E642" s="11"/>
      <c r="F642" s="11"/>
      <c r="G642" s="11"/>
      <c r="H642" s="11"/>
      <c r="I642" s="11"/>
      <c r="J642" s="11"/>
      <c r="K642" s="11"/>
      <c r="L642" s="11"/>
    </row>
    <row r="643">
      <c r="B643" s="11"/>
      <c r="C643" s="11"/>
      <c r="D643" s="11"/>
      <c r="E643" s="11"/>
      <c r="F643" s="11"/>
      <c r="G643" s="11"/>
      <c r="H643" s="11"/>
      <c r="I643" s="11"/>
      <c r="J643" s="11"/>
      <c r="K643" s="11"/>
      <c r="L643" s="11"/>
    </row>
    <row r="644">
      <c r="B644" s="11"/>
      <c r="C644" s="11"/>
      <c r="D644" s="11"/>
      <c r="E644" s="11"/>
      <c r="F644" s="11"/>
      <c r="G644" s="11"/>
      <c r="H644" s="11"/>
      <c r="I644" s="11"/>
      <c r="J644" s="11"/>
      <c r="K644" s="11"/>
      <c r="L644" s="11"/>
    </row>
    <row r="645">
      <c r="B645" s="11"/>
      <c r="C645" s="11"/>
      <c r="D645" s="11"/>
      <c r="E645" s="11"/>
      <c r="F645" s="11"/>
      <c r="G645" s="11"/>
      <c r="H645" s="11"/>
      <c r="I645" s="11"/>
      <c r="J645" s="11"/>
      <c r="K645" s="11"/>
      <c r="L645" s="11"/>
    </row>
    <row r="646">
      <c r="B646" s="11"/>
      <c r="C646" s="11"/>
      <c r="D646" s="11"/>
      <c r="E646" s="11"/>
      <c r="F646" s="11"/>
      <c r="G646" s="11"/>
      <c r="H646" s="11"/>
      <c r="I646" s="11"/>
      <c r="J646" s="11"/>
      <c r="K646" s="11"/>
      <c r="L646" s="11"/>
    </row>
    <row r="647">
      <c r="B647" s="11"/>
      <c r="C647" s="11"/>
      <c r="D647" s="11"/>
      <c r="E647" s="11"/>
      <c r="F647" s="11"/>
      <c r="G647" s="11"/>
      <c r="H647" s="11"/>
      <c r="I647" s="11"/>
      <c r="J647" s="11"/>
      <c r="K647" s="11"/>
      <c r="L647" s="11"/>
    </row>
    <row r="648">
      <c r="B648" s="11"/>
      <c r="C648" s="11"/>
      <c r="D648" s="11"/>
      <c r="E648" s="11"/>
      <c r="F648" s="11"/>
      <c r="G648" s="11"/>
      <c r="H648" s="11"/>
      <c r="I648" s="11"/>
      <c r="J648" s="11"/>
      <c r="K648" s="11"/>
      <c r="L648" s="11"/>
    </row>
    <row r="649">
      <c r="B649" s="11"/>
      <c r="C649" s="11"/>
      <c r="D649" s="11"/>
      <c r="E649" s="11"/>
      <c r="F649" s="11"/>
      <c r="G649" s="11"/>
      <c r="H649" s="11"/>
      <c r="I649" s="11"/>
      <c r="J649" s="11"/>
      <c r="K649" s="11"/>
      <c r="L649" s="11"/>
    </row>
    <row r="650">
      <c r="B650" s="11"/>
      <c r="C650" s="11"/>
      <c r="D650" s="11"/>
      <c r="E650" s="11"/>
      <c r="F650" s="11"/>
      <c r="G650" s="11"/>
      <c r="H650" s="11"/>
      <c r="I650" s="11"/>
      <c r="J650" s="11"/>
      <c r="K650" s="11"/>
      <c r="L650" s="11"/>
    </row>
    <row r="651">
      <c r="B651" s="11"/>
      <c r="C651" s="11"/>
      <c r="D651" s="11"/>
      <c r="E651" s="11"/>
      <c r="F651" s="11"/>
      <c r="G651" s="11"/>
      <c r="H651" s="11"/>
      <c r="I651" s="11"/>
      <c r="J651" s="11"/>
      <c r="K651" s="11"/>
      <c r="L651" s="11"/>
    </row>
    <row r="652">
      <c r="B652" s="11"/>
      <c r="C652" s="11"/>
      <c r="D652" s="11"/>
      <c r="E652" s="11"/>
      <c r="F652" s="11"/>
      <c r="G652" s="11"/>
      <c r="H652" s="11"/>
      <c r="I652" s="11"/>
      <c r="J652" s="11"/>
      <c r="K652" s="11"/>
      <c r="L652" s="11"/>
    </row>
    <row r="653">
      <c r="B653" s="11"/>
      <c r="C653" s="11"/>
      <c r="D653" s="11"/>
      <c r="E653" s="11"/>
      <c r="F653" s="11"/>
      <c r="G653" s="11"/>
      <c r="H653" s="11"/>
      <c r="I653" s="11"/>
      <c r="J653" s="11"/>
      <c r="K653" s="11"/>
      <c r="L653" s="11"/>
    </row>
    <row r="654">
      <c r="B654" s="11"/>
      <c r="C654" s="11"/>
      <c r="D654" s="11"/>
      <c r="E654" s="11"/>
      <c r="F654" s="11"/>
      <c r="G654" s="11"/>
      <c r="H654" s="11"/>
      <c r="I654" s="11"/>
      <c r="J654" s="11"/>
      <c r="K654" s="11"/>
      <c r="L654" s="11"/>
    </row>
    <row r="655">
      <c r="B655" s="11"/>
      <c r="C655" s="11"/>
      <c r="D655" s="11"/>
      <c r="E655" s="11"/>
      <c r="F655" s="11"/>
      <c r="G655" s="11"/>
      <c r="H655" s="11"/>
      <c r="I655" s="11"/>
      <c r="J655" s="11"/>
      <c r="K655" s="11"/>
      <c r="L655" s="11"/>
    </row>
    <row r="656">
      <c r="B656" s="11"/>
      <c r="C656" s="11"/>
      <c r="D656" s="11"/>
      <c r="E656" s="11"/>
      <c r="F656" s="11"/>
      <c r="G656" s="11"/>
      <c r="H656" s="11"/>
      <c r="I656" s="11"/>
      <c r="J656" s="11"/>
      <c r="K656" s="11"/>
      <c r="L656" s="11"/>
    </row>
    <row r="657">
      <c r="B657" s="11"/>
      <c r="C657" s="11"/>
      <c r="D657" s="11"/>
      <c r="E657" s="11"/>
      <c r="F657" s="11"/>
      <c r="G657" s="11"/>
      <c r="H657" s="11"/>
      <c r="I657" s="11"/>
      <c r="J657" s="11"/>
      <c r="K657" s="11"/>
      <c r="L657" s="11"/>
    </row>
    <row r="658">
      <c r="B658" s="11"/>
      <c r="C658" s="11"/>
      <c r="D658" s="11"/>
      <c r="E658" s="11"/>
      <c r="F658" s="11"/>
      <c r="G658" s="11"/>
      <c r="H658" s="11"/>
      <c r="I658" s="11"/>
      <c r="J658" s="11"/>
      <c r="K658" s="11"/>
      <c r="L658" s="11"/>
    </row>
    <row r="659">
      <c r="B659" s="11"/>
      <c r="C659" s="11"/>
      <c r="D659" s="11"/>
      <c r="E659" s="11"/>
      <c r="F659" s="11"/>
      <c r="G659" s="11"/>
      <c r="H659" s="11"/>
      <c r="I659" s="11"/>
      <c r="J659" s="11"/>
      <c r="K659" s="11"/>
      <c r="L659" s="11"/>
    </row>
    <row r="660">
      <c r="B660" s="11"/>
      <c r="C660" s="11"/>
      <c r="D660" s="11"/>
      <c r="E660" s="11"/>
      <c r="F660" s="11"/>
      <c r="G660" s="11"/>
      <c r="H660" s="11"/>
      <c r="I660" s="11"/>
      <c r="J660" s="11"/>
      <c r="K660" s="11"/>
      <c r="L660" s="11"/>
    </row>
    <row r="661">
      <c r="B661" s="11"/>
      <c r="C661" s="11"/>
      <c r="D661" s="11"/>
      <c r="E661" s="11"/>
      <c r="F661" s="11"/>
      <c r="G661" s="11"/>
      <c r="H661" s="11"/>
      <c r="I661" s="11"/>
      <c r="J661" s="11"/>
      <c r="K661" s="11"/>
      <c r="L661" s="11"/>
    </row>
    <row r="662">
      <c r="B662" s="11"/>
      <c r="C662" s="11"/>
      <c r="D662" s="11"/>
      <c r="E662" s="11"/>
      <c r="F662" s="11"/>
      <c r="G662" s="11"/>
      <c r="H662" s="11"/>
      <c r="I662" s="11"/>
      <c r="J662" s="11"/>
      <c r="K662" s="11"/>
      <c r="L662" s="11"/>
    </row>
    <row r="663">
      <c r="B663" s="11"/>
      <c r="C663" s="11"/>
      <c r="D663" s="11"/>
      <c r="E663" s="11"/>
      <c r="F663" s="11"/>
      <c r="G663" s="11"/>
      <c r="H663" s="11"/>
      <c r="I663" s="11"/>
      <c r="J663" s="11"/>
      <c r="K663" s="11"/>
      <c r="L663" s="11"/>
    </row>
    <row r="664">
      <c r="B664" s="11"/>
      <c r="C664" s="11"/>
      <c r="D664" s="11"/>
      <c r="E664" s="11"/>
      <c r="F664" s="11"/>
      <c r="G664" s="11"/>
      <c r="H664" s="11"/>
      <c r="I664" s="11"/>
      <c r="J664" s="11"/>
      <c r="K664" s="11"/>
      <c r="L664" s="11"/>
    </row>
    <row r="665">
      <c r="B665" s="11"/>
      <c r="C665" s="11"/>
      <c r="D665" s="11"/>
      <c r="E665" s="11"/>
      <c r="F665" s="11"/>
      <c r="G665" s="11"/>
      <c r="H665" s="11"/>
      <c r="I665" s="11"/>
      <c r="J665" s="11"/>
      <c r="K665" s="11"/>
      <c r="L665" s="11"/>
    </row>
    <row r="666">
      <c r="B666" s="11"/>
      <c r="C666" s="11"/>
      <c r="D666" s="11"/>
      <c r="E666" s="11"/>
      <c r="F666" s="11"/>
      <c r="G666" s="11"/>
      <c r="H666" s="11"/>
      <c r="I666" s="11"/>
      <c r="J666" s="11"/>
      <c r="K666" s="11"/>
      <c r="L666" s="11"/>
    </row>
    <row r="667">
      <c r="B667" s="11"/>
      <c r="C667" s="11"/>
      <c r="D667" s="11"/>
      <c r="E667" s="11"/>
      <c r="F667" s="11"/>
      <c r="G667" s="11"/>
      <c r="H667" s="11"/>
      <c r="I667" s="11"/>
      <c r="J667" s="11"/>
      <c r="K667" s="11"/>
      <c r="L667" s="11"/>
    </row>
    <row r="668">
      <c r="B668" s="11"/>
      <c r="C668" s="11"/>
      <c r="D668" s="11"/>
      <c r="E668" s="11"/>
      <c r="F668" s="11"/>
      <c r="G668" s="11"/>
      <c r="H668" s="11"/>
      <c r="I668" s="11"/>
      <c r="J668" s="11"/>
      <c r="K668" s="11"/>
      <c r="L668" s="11"/>
    </row>
    <row r="669">
      <c r="B669" s="11"/>
      <c r="C669" s="11"/>
      <c r="D669" s="11"/>
      <c r="E669" s="11"/>
      <c r="F669" s="11"/>
      <c r="G669" s="11"/>
      <c r="H669" s="11"/>
      <c r="I669" s="11"/>
      <c r="J669" s="11"/>
      <c r="K669" s="11"/>
      <c r="L669" s="11"/>
    </row>
    <row r="670">
      <c r="B670" s="11"/>
      <c r="C670" s="11"/>
      <c r="D670" s="11"/>
      <c r="E670" s="11"/>
      <c r="F670" s="11"/>
      <c r="G670" s="11"/>
      <c r="H670" s="11"/>
      <c r="I670" s="11"/>
      <c r="J670" s="11"/>
      <c r="K670" s="11"/>
      <c r="L670" s="11"/>
    </row>
    <row r="671">
      <c r="B671" s="11"/>
      <c r="C671" s="11"/>
      <c r="D671" s="11"/>
      <c r="E671" s="11"/>
      <c r="F671" s="11"/>
      <c r="G671" s="11"/>
      <c r="H671" s="11"/>
      <c r="I671" s="11"/>
      <c r="J671" s="11"/>
      <c r="K671" s="11"/>
      <c r="L671" s="11"/>
    </row>
    <row r="672">
      <c r="B672" s="11"/>
      <c r="C672" s="11"/>
      <c r="D672" s="11"/>
      <c r="E672" s="11"/>
      <c r="F672" s="11"/>
      <c r="G672" s="11"/>
      <c r="H672" s="11"/>
      <c r="I672" s="11"/>
      <c r="J672" s="11"/>
      <c r="K672" s="11"/>
      <c r="L672" s="11"/>
    </row>
    <row r="673">
      <c r="B673" s="11"/>
      <c r="C673" s="11"/>
      <c r="D673" s="11"/>
      <c r="E673" s="11"/>
      <c r="F673" s="11"/>
      <c r="G673" s="11"/>
      <c r="H673" s="11"/>
      <c r="I673" s="11"/>
      <c r="J673" s="11"/>
      <c r="K673" s="11"/>
      <c r="L673" s="11"/>
    </row>
    <row r="674">
      <c r="B674" s="11"/>
      <c r="C674" s="11"/>
      <c r="D674" s="11"/>
      <c r="E674" s="11"/>
      <c r="F674" s="11"/>
      <c r="G674" s="11"/>
      <c r="H674" s="11"/>
      <c r="I674" s="11"/>
      <c r="J674" s="11"/>
      <c r="K674" s="11"/>
      <c r="L674" s="11"/>
    </row>
    <row r="675">
      <c r="B675" s="11"/>
      <c r="C675" s="11"/>
      <c r="D675" s="11"/>
      <c r="E675" s="11"/>
      <c r="F675" s="11"/>
      <c r="G675" s="11"/>
      <c r="H675" s="11"/>
      <c r="I675" s="11"/>
      <c r="J675" s="11"/>
      <c r="K675" s="11"/>
      <c r="L675" s="11"/>
    </row>
    <row r="676">
      <c r="B676" s="11"/>
      <c r="C676" s="11"/>
      <c r="D676" s="11"/>
      <c r="E676" s="11"/>
      <c r="F676" s="11"/>
      <c r="G676" s="11"/>
      <c r="H676" s="11"/>
      <c r="I676" s="11"/>
      <c r="J676" s="11"/>
      <c r="K676" s="11"/>
      <c r="L676" s="11"/>
    </row>
    <row r="677">
      <c r="B677" s="11"/>
      <c r="C677" s="11"/>
      <c r="D677" s="11"/>
      <c r="E677" s="11"/>
      <c r="F677" s="11"/>
      <c r="G677" s="11"/>
      <c r="H677" s="11"/>
      <c r="I677" s="11"/>
      <c r="J677" s="11"/>
      <c r="K677" s="11"/>
      <c r="L677" s="11"/>
    </row>
    <row r="678">
      <c r="B678" s="11"/>
      <c r="C678" s="11"/>
      <c r="D678" s="11"/>
      <c r="E678" s="11"/>
      <c r="F678" s="11"/>
      <c r="G678" s="11"/>
      <c r="H678" s="11"/>
      <c r="I678" s="11"/>
      <c r="J678" s="11"/>
      <c r="K678" s="11"/>
      <c r="L678" s="11"/>
    </row>
    <row r="679">
      <c r="B679" s="11"/>
      <c r="C679" s="11"/>
      <c r="D679" s="11"/>
      <c r="E679" s="11"/>
      <c r="F679" s="11"/>
      <c r="G679" s="11"/>
      <c r="H679" s="11"/>
      <c r="I679" s="11"/>
      <c r="J679" s="11"/>
      <c r="K679" s="11"/>
      <c r="L679" s="11"/>
    </row>
    <row r="680">
      <c r="B680" s="11"/>
      <c r="C680" s="11"/>
      <c r="D680" s="11"/>
      <c r="E680" s="11"/>
      <c r="F680" s="11"/>
      <c r="G680" s="11"/>
      <c r="H680" s="11"/>
      <c r="I680" s="11"/>
      <c r="J680" s="11"/>
      <c r="K680" s="11"/>
      <c r="L680" s="11"/>
    </row>
    <row r="681">
      <c r="B681" s="11"/>
      <c r="C681" s="11"/>
      <c r="D681" s="11"/>
      <c r="E681" s="11"/>
      <c r="F681" s="11"/>
      <c r="G681" s="11"/>
      <c r="H681" s="11"/>
      <c r="I681" s="11"/>
      <c r="J681" s="11"/>
      <c r="K681" s="11"/>
      <c r="L681" s="11"/>
    </row>
    <row r="682">
      <c r="B682" s="11"/>
      <c r="C682" s="11"/>
      <c r="D682" s="11"/>
      <c r="E682" s="11"/>
      <c r="F682" s="11"/>
      <c r="G682" s="11"/>
      <c r="H682" s="11"/>
      <c r="I682" s="11"/>
      <c r="J682" s="11"/>
      <c r="K682" s="11"/>
      <c r="L682" s="11"/>
    </row>
    <row r="683">
      <c r="B683" s="11"/>
      <c r="C683" s="11"/>
      <c r="D683" s="11"/>
      <c r="E683" s="11"/>
      <c r="F683" s="11"/>
      <c r="G683" s="11"/>
      <c r="H683" s="11"/>
      <c r="I683" s="11"/>
      <c r="J683" s="11"/>
      <c r="K683" s="11"/>
      <c r="L683" s="11"/>
    </row>
    <row r="684">
      <c r="B684" s="11"/>
      <c r="C684" s="11"/>
      <c r="D684" s="11"/>
      <c r="E684" s="11"/>
      <c r="F684" s="11"/>
      <c r="G684" s="11"/>
      <c r="H684" s="11"/>
      <c r="I684" s="11"/>
      <c r="J684" s="11"/>
      <c r="K684" s="11"/>
      <c r="L684" s="11"/>
    </row>
    <row r="685">
      <c r="B685" s="11"/>
      <c r="C685" s="11"/>
      <c r="D685" s="11"/>
      <c r="E685" s="11"/>
      <c r="F685" s="11"/>
      <c r="G685" s="11"/>
      <c r="H685" s="11"/>
      <c r="I685" s="11"/>
      <c r="J685" s="11"/>
      <c r="K685" s="11"/>
      <c r="L685" s="11"/>
    </row>
    <row r="686">
      <c r="B686" s="11"/>
      <c r="C686" s="11"/>
      <c r="D686" s="11"/>
      <c r="E686" s="11"/>
      <c r="F686" s="11"/>
      <c r="G686" s="11"/>
      <c r="H686" s="11"/>
      <c r="I686" s="11"/>
      <c r="J686" s="11"/>
      <c r="K686" s="11"/>
      <c r="L686" s="11"/>
    </row>
    <row r="687">
      <c r="B687" s="11"/>
      <c r="C687" s="11"/>
      <c r="D687" s="11"/>
      <c r="E687" s="11"/>
      <c r="F687" s="11"/>
      <c r="G687" s="11"/>
      <c r="H687" s="11"/>
      <c r="I687" s="11"/>
      <c r="J687" s="11"/>
      <c r="K687" s="11"/>
      <c r="L687" s="11"/>
    </row>
    <row r="688">
      <c r="B688" s="11"/>
      <c r="C688" s="11"/>
      <c r="D688" s="11"/>
      <c r="E688" s="11"/>
      <c r="F688" s="11"/>
      <c r="G688" s="11"/>
      <c r="H688" s="11"/>
      <c r="I688" s="11"/>
      <c r="J688" s="11"/>
      <c r="K688" s="11"/>
      <c r="L688" s="11"/>
    </row>
    <row r="689">
      <c r="B689" s="11"/>
      <c r="C689" s="11"/>
      <c r="D689" s="11"/>
      <c r="E689" s="11"/>
      <c r="F689" s="11"/>
      <c r="G689" s="11"/>
      <c r="H689" s="11"/>
      <c r="I689" s="11"/>
      <c r="J689" s="11"/>
      <c r="K689" s="11"/>
      <c r="L689" s="11"/>
    </row>
    <row r="690">
      <c r="B690" s="11"/>
      <c r="C690" s="11"/>
      <c r="D690" s="11"/>
      <c r="E690" s="11"/>
      <c r="F690" s="11"/>
      <c r="G690" s="11"/>
      <c r="H690" s="11"/>
      <c r="I690" s="11"/>
      <c r="J690" s="11"/>
      <c r="K690" s="11"/>
      <c r="L690" s="11"/>
    </row>
    <row r="691">
      <c r="B691" s="11"/>
      <c r="C691" s="11"/>
      <c r="D691" s="11"/>
      <c r="E691" s="11"/>
      <c r="F691" s="11"/>
      <c r="G691" s="11"/>
      <c r="H691" s="11"/>
      <c r="I691" s="11"/>
      <c r="J691" s="11"/>
      <c r="K691" s="11"/>
      <c r="L691" s="11"/>
    </row>
    <row r="692">
      <c r="B692" s="11"/>
      <c r="C692" s="11"/>
      <c r="D692" s="11"/>
      <c r="E692" s="11"/>
      <c r="F692" s="11"/>
      <c r="G692" s="11"/>
      <c r="H692" s="11"/>
      <c r="I692" s="11"/>
      <c r="J692" s="11"/>
      <c r="K692" s="11"/>
      <c r="L692" s="11"/>
    </row>
    <row r="693">
      <c r="B693" s="11"/>
      <c r="C693" s="11"/>
      <c r="D693" s="11"/>
      <c r="E693" s="11"/>
      <c r="F693" s="11"/>
      <c r="G693" s="11"/>
      <c r="H693" s="11"/>
      <c r="I693" s="11"/>
      <c r="J693" s="11"/>
      <c r="K693" s="11"/>
      <c r="L693" s="11"/>
    </row>
    <row r="694">
      <c r="B694" s="11"/>
      <c r="C694" s="11"/>
      <c r="D694" s="11"/>
      <c r="E694" s="11"/>
      <c r="F694" s="11"/>
      <c r="G694" s="11"/>
      <c r="H694" s="11"/>
      <c r="I694" s="11"/>
      <c r="J694" s="11"/>
      <c r="K694" s="11"/>
      <c r="L694" s="11"/>
    </row>
    <row r="695">
      <c r="B695" s="11"/>
      <c r="C695" s="11"/>
      <c r="D695" s="11"/>
      <c r="E695" s="11"/>
      <c r="F695" s="11"/>
      <c r="G695" s="11"/>
      <c r="H695" s="11"/>
      <c r="I695" s="11"/>
      <c r="J695" s="11"/>
      <c r="K695" s="11"/>
      <c r="L695" s="11"/>
    </row>
    <row r="696">
      <c r="B696" s="11"/>
      <c r="C696" s="11"/>
      <c r="D696" s="11"/>
      <c r="E696" s="11"/>
      <c r="F696" s="11"/>
      <c r="G696" s="11"/>
      <c r="H696" s="11"/>
      <c r="I696" s="11"/>
      <c r="J696" s="11"/>
      <c r="K696" s="11"/>
      <c r="L696" s="11"/>
    </row>
    <row r="697">
      <c r="B697" s="11"/>
      <c r="C697" s="11"/>
      <c r="D697" s="11"/>
      <c r="E697" s="11"/>
      <c r="F697" s="11"/>
      <c r="G697" s="11"/>
      <c r="H697" s="11"/>
      <c r="I697" s="11"/>
      <c r="J697" s="11"/>
      <c r="K697" s="11"/>
      <c r="L697" s="11"/>
    </row>
    <row r="698">
      <c r="B698" s="11"/>
      <c r="C698" s="11"/>
      <c r="D698" s="11"/>
      <c r="E698" s="11"/>
      <c r="F698" s="11"/>
      <c r="G698" s="11"/>
      <c r="H698" s="11"/>
      <c r="I698" s="11"/>
      <c r="J698" s="11"/>
      <c r="K698" s="11"/>
      <c r="L698" s="11"/>
    </row>
    <row r="699">
      <c r="B699" s="11"/>
      <c r="C699" s="11"/>
      <c r="D699" s="11"/>
      <c r="E699" s="11"/>
      <c r="F699" s="11"/>
      <c r="G699" s="11"/>
      <c r="H699" s="11"/>
      <c r="I699" s="11"/>
      <c r="J699" s="11"/>
      <c r="K699" s="11"/>
      <c r="L699" s="11"/>
    </row>
    <row r="700">
      <c r="B700" s="11"/>
      <c r="C700" s="11"/>
      <c r="D700" s="11"/>
      <c r="E700" s="11"/>
      <c r="F700" s="11"/>
      <c r="G700" s="11"/>
      <c r="H700" s="11"/>
      <c r="I700" s="11"/>
      <c r="J700" s="11"/>
      <c r="K700" s="11"/>
      <c r="L700" s="11"/>
    </row>
    <row r="701">
      <c r="B701" s="11"/>
      <c r="C701" s="11"/>
      <c r="D701" s="11"/>
      <c r="E701" s="11"/>
      <c r="F701" s="11"/>
      <c r="G701" s="11"/>
      <c r="H701" s="11"/>
      <c r="I701" s="11"/>
      <c r="J701" s="11"/>
      <c r="K701" s="11"/>
      <c r="L701" s="11"/>
    </row>
    <row r="702">
      <c r="B702" s="11"/>
      <c r="C702" s="11"/>
      <c r="D702" s="11"/>
      <c r="E702" s="11"/>
      <c r="F702" s="11"/>
      <c r="G702" s="11"/>
      <c r="H702" s="11"/>
      <c r="I702" s="11"/>
      <c r="J702" s="11"/>
      <c r="K702" s="11"/>
      <c r="L702" s="11"/>
    </row>
    <row r="703">
      <c r="B703" s="11"/>
      <c r="C703" s="11"/>
      <c r="D703" s="11"/>
      <c r="E703" s="11"/>
      <c r="F703" s="11"/>
      <c r="G703" s="11"/>
      <c r="H703" s="11"/>
      <c r="I703" s="11"/>
      <c r="J703" s="11"/>
      <c r="K703" s="11"/>
      <c r="L703" s="11"/>
    </row>
    <row r="704">
      <c r="B704" s="11"/>
      <c r="C704" s="11"/>
      <c r="D704" s="11"/>
      <c r="E704" s="11"/>
      <c r="F704" s="11"/>
      <c r="G704" s="11"/>
      <c r="H704" s="11"/>
      <c r="I704" s="11"/>
      <c r="J704" s="11"/>
      <c r="K704" s="11"/>
      <c r="L704" s="11"/>
    </row>
    <row r="705">
      <c r="B705" s="11"/>
      <c r="C705" s="11"/>
      <c r="D705" s="11"/>
      <c r="E705" s="11"/>
      <c r="F705" s="11"/>
      <c r="G705" s="11"/>
      <c r="H705" s="11"/>
      <c r="I705" s="11"/>
      <c r="J705" s="11"/>
      <c r="K705" s="11"/>
      <c r="L705" s="11"/>
    </row>
    <row r="706">
      <c r="B706" s="11"/>
      <c r="C706" s="11"/>
      <c r="D706" s="11"/>
      <c r="E706" s="11"/>
      <c r="F706" s="11"/>
      <c r="G706" s="11"/>
      <c r="H706" s="11"/>
      <c r="I706" s="11"/>
      <c r="J706" s="11"/>
      <c r="K706" s="11"/>
      <c r="L706" s="11"/>
    </row>
    <row r="707">
      <c r="B707" s="11"/>
      <c r="C707" s="11"/>
      <c r="D707" s="11"/>
      <c r="E707" s="11"/>
      <c r="F707" s="11"/>
      <c r="G707" s="11"/>
      <c r="H707" s="11"/>
      <c r="I707" s="11"/>
      <c r="J707" s="11"/>
      <c r="K707" s="11"/>
      <c r="L707" s="11"/>
    </row>
    <row r="708">
      <c r="B708" s="11"/>
      <c r="C708" s="11"/>
      <c r="D708" s="11"/>
      <c r="E708" s="11"/>
      <c r="F708" s="11"/>
      <c r="G708" s="11"/>
      <c r="H708" s="11"/>
      <c r="I708" s="11"/>
      <c r="J708" s="11"/>
      <c r="K708" s="11"/>
      <c r="L708" s="11"/>
    </row>
    <row r="709">
      <c r="B709" s="11"/>
      <c r="C709" s="11"/>
      <c r="D709" s="11"/>
      <c r="E709" s="11"/>
      <c r="F709" s="11"/>
      <c r="G709" s="11"/>
      <c r="H709" s="11"/>
      <c r="I709" s="11"/>
      <c r="J709" s="11"/>
      <c r="K709" s="11"/>
      <c r="L709" s="11"/>
    </row>
    <row r="710">
      <c r="B710" s="11"/>
      <c r="C710" s="11"/>
      <c r="D710" s="11"/>
      <c r="E710" s="11"/>
      <c r="F710" s="11"/>
      <c r="G710" s="11"/>
      <c r="H710" s="11"/>
      <c r="I710" s="11"/>
      <c r="J710" s="11"/>
      <c r="K710" s="11"/>
      <c r="L710" s="11"/>
    </row>
    <row r="711">
      <c r="B711" s="11"/>
      <c r="C711" s="11"/>
      <c r="D711" s="11"/>
      <c r="E711" s="11"/>
      <c r="F711" s="11"/>
      <c r="G711" s="11"/>
      <c r="H711" s="11"/>
      <c r="I711" s="11"/>
      <c r="J711" s="11"/>
      <c r="K711" s="11"/>
      <c r="L711" s="11"/>
    </row>
    <row r="712">
      <c r="B712" s="11"/>
      <c r="C712" s="11"/>
      <c r="D712" s="11"/>
      <c r="E712" s="11"/>
      <c r="F712" s="11"/>
      <c r="G712" s="11"/>
      <c r="H712" s="11"/>
      <c r="I712" s="11"/>
      <c r="J712" s="11"/>
      <c r="K712" s="11"/>
      <c r="L712" s="11"/>
    </row>
    <row r="713">
      <c r="B713" s="11"/>
      <c r="C713" s="11"/>
      <c r="D713" s="11"/>
      <c r="E713" s="11"/>
      <c r="F713" s="11"/>
      <c r="G713" s="11"/>
      <c r="H713" s="11"/>
      <c r="I713" s="11"/>
      <c r="J713" s="11"/>
      <c r="K713" s="11"/>
      <c r="L713" s="11"/>
    </row>
    <row r="714">
      <c r="B714" s="11"/>
      <c r="C714" s="11"/>
      <c r="D714" s="11"/>
      <c r="E714" s="11"/>
      <c r="F714" s="11"/>
      <c r="G714" s="11"/>
      <c r="H714" s="11"/>
      <c r="I714" s="11"/>
      <c r="J714" s="11"/>
      <c r="K714" s="11"/>
      <c r="L714" s="11"/>
    </row>
    <row r="715">
      <c r="B715" s="11"/>
      <c r="C715" s="11"/>
      <c r="D715" s="11"/>
      <c r="E715" s="11"/>
      <c r="F715" s="11"/>
      <c r="G715" s="11"/>
      <c r="H715" s="11"/>
      <c r="I715" s="11"/>
      <c r="J715" s="11"/>
      <c r="K715" s="11"/>
      <c r="L715" s="11"/>
    </row>
    <row r="716">
      <c r="B716" s="11"/>
      <c r="C716" s="11"/>
      <c r="D716" s="11"/>
      <c r="E716" s="11"/>
      <c r="F716" s="11"/>
      <c r="G716" s="11"/>
      <c r="H716" s="11"/>
      <c r="I716" s="11"/>
      <c r="J716" s="11"/>
      <c r="K716" s="11"/>
      <c r="L716" s="11"/>
    </row>
    <row r="717">
      <c r="B717" s="11"/>
      <c r="C717" s="11"/>
      <c r="D717" s="11"/>
      <c r="E717" s="11"/>
      <c r="F717" s="11"/>
      <c r="G717" s="11"/>
      <c r="H717" s="11"/>
      <c r="I717" s="11"/>
      <c r="J717" s="11"/>
      <c r="K717" s="11"/>
      <c r="L717" s="11"/>
    </row>
    <row r="718">
      <c r="B718" s="11"/>
      <c r="C718" s="11"/>
      <c r="D718" s="11"/>
      <c r="E718" s="11"/>
      <c r="F718" s="11"/>
      <c r="G718" s="11"/>
      <c r="H718" s="11"/>
      <c r="I718" s="11"/>
      <c r="J718" s="11"/>
      <c r="K718" s="11"/>
      <c r="L718" s="11"/>
    </row>
    <row r="719">
      <c r="B719" s="11"/>
      <c r="C719" s="11"/>
      <c r="D719" s="11"/>
      <c r="E719" s="11"/>
      <c r="F719" s="11"/>
      <c r="G719" s="11"/>
      <c r="H719" s="11"/>
      <c r="I719" s="11"/>
      <c r="J719" s="11"/>
      <c r="K719" s="11"/>
      <c r="L719" s="11"/>
    </row>
    <row r="720">
      <c r="B720" s="11"/>
      <c r="C720" s="11"/>
      <c r="D720" s="11"/>
      <c r="E720" s="11"/>
      <c r="F720" s="11"/>
      <c r="G720" s="11"/>
      <c r="H720" s="11"/>
      <c r="I720" s="11"/>
      <c r="J720" s="11"/>
      <c r="K720" s="11"/>
      <c r="L720" s="11"/>
    </row>
    <row r="721">
      <c r="B721" s="11"/>
      <c r="C721" s="11"/>
      <c r="D721" s="11"/>
      <c r="E721" s="11"/>
      <c r="F721" s="11"/>
      <c r="G721" s="11"/>
      <c r="H721" s="11"/>
      <c r="I721" s="11"/>
      <c r="J721" s="11"/>
      <c r="K721" s="11"/>
      <c r="L721" s="11"/>
    </row>
    <row r="722">
      <c r="B722" s="11"/>
      <c r="C722" s="11"/>
      <c r="D722" s="11"/>
      <c r="E722" s="11"/>
      <c r="F722" s="11"/>
      <c r="G722" s="11"/>
      <c r="H722" s="11"/>
      <c r="I722" s="11"/>
      <c r="J722" s="11"/>
      <c r="K722" s="11"/>
      <c r="L722" s="11"/>
    </row>
    <row r="723">
      <c r="B723" s="11"/>
      <c r="C723" s="11"/>
      <c r="D723" s="11"/>
      <c r="E723" s="11"/>
      <c r="F723" s="11"/>
      <c r="G723" s="11"/>
      <c r="H723" s="11"/>
      <c r="I723" s="11"/>
      <c r="J723" s="11"/>
      <c r="K723" s="11"/>
      <c r="L723" s="11"/>
    </row>
    <row r="724">
      <c r="B724" s="11"/>
      <c r="C724" s="11"/>
      <c r="D724" s="11"/>
      <c r="E724" s="11"/>
      <c r="F724" s="11"/>
      <c r="G724" s="11"/>
      <c r="H724" s="11"/>
      <c r="I724" s="11"/>
      <c r="J724" s="11"/>
      <c r="K724" s="11"/>
      <c r="L724" s="11"/>
    </row>
    <row r="725">
      <c r="B725" s="11"/>
      <c r="C725" s="11"/>
      <c r="D725" s="11"/>
      <c r="E725" s="11"/>
      <c r="F725" s="11"/>
      <c r="G725" s="11"/>
      <c r="H725" s="11"/>
      <c r="I725" s="11"/>
      <c r="J725" s="11"/>
      <c r="K725" s="11"/>
      <c r="L725" s="11"/>
    </row>
    <row r="726">
      <c r="B726" s="11"/>
      <c r="C726" s="11"/>
      <c r="D726" s="11"/>
      <c r="E726" s="11"/>
      <c r="F726" s="11"/>
      <c r="G726" s="11"/>
      <c r="H726" s="11"/>
      <c r="I726" s="11"/>
      <c r="J726" s="11"/>
      <c r="K726" s="11"/>
      <c r="L726" s="11"/>
    </row>
    <row r="727">
      <c r="B727" s="11"/>
      <c r="C727" s="11"/>
      <c r="D727" s="11"/>
      <c r="E727" s="11"/>
      <c r="F727" s="11"/>
      <c r="G727" s="11"/>
      <c r="H727" s="11"/>
      <c r="I727" s="11"/>
      <c r="J727" s="11"/>
      <c r="K727" s="11"/>
      <c r="L727" s="11"/>
    </row>
    <row r="728">
      <c r="B728" s="11"/>
      <c r="C728" s="11"/>
      <c r="D728" s="11"/>
      <c r="E728" s="11"/>
      <c r="F728" s="11"/>
      <c r="G728" s="11"/>
      <c r="H728" s="11"/>
      <c r="I728" s="11"/>
      <c r="J728" s="11"/>
      <c r="K728" s="11"/>
      <c r="L728" s="11"/>
    </row>
    <row r="729">
      <c r="B729" s="11"/>
      <c r="C729" s="11"/>
      <c r="D729" s="11"/>
      <c r="E729" s="11"/>
      <c r="F729" s="11"/>
      <c r="G729" s="11"/>
      <c r="H729" s="11"/>
      <c r="I729" s="11"/>
      <c r="J729" s="11"/>
      <c r="K729" s="11"/>
      <c r="L729" s="11"/>
    </row>
    <row r="730">
      <c r="B730" s="11"/>
      <c r="C730" s="11"/>
      <c r="D730" s="11"/>
      <c r="E730" s="11"/>
      <c r="F730" s="11"/>
      <c r="G730" s="11"/>
      <c r="H730" s="11"/>
      <c r="I730" s="11"/>
      <c r="J730" s="11"/>
      <c r="K730" s="11"/>
      <c r="L730" s="11"/>
    </row>
    <row r="731">
      <c r="B731" s="11"/>
      <c r="C731" s="11"/>
      <c r="D731" s="11"/>
      <c r="E731" s="11"/>
      <c r="F731" s="11"/>
      <c r="G731" s="11"/>
      <c r="H731" s="11"/>
      <c r="I731" s="11"/>
      <c r="J731" s="11"/>
      <c r="K731" s="11"/>
      <c r="L731" s="11"/>
    </row>
    <row r="732">
      <c r="B732" s="11"/>
      <c r="C732" s="11"/>
      <c r="D732" s="11"/>
      <c r="E732" s="11"/>
      <c r="F732" s="11"/>
      <c r="G732" s="11"/>
      <c r="H732" s="11"/>
      <c r="I732" s="11"/>
      <c r="J732" s="11"/>
      <c r="K732" s="11"/>
      <c r="L732" s="11"/>
    </row>
    <row r="733">
      <c r="B733" s="11"/>
      <c r="C733" s="11"/>
      <c r="D733" s="11"/>
      <c r="E733" s="11"/>
      <c r="F733" s="11"/>
      <c r="G733" s="11"/>
      <c r="H733" s="11"/>
      <c r="I733" s="11"/>
      <c r="J733" s="11"/>
      <c r="K733" s="11"/>
      <c r="L733" s="11"/>
    </row>
    <row r="734">
      <c r="B734" s="11"/>
      <c r="C734" s="11"/>
      <c r="D734" s="11"/>
      <c r="E734" s="11"/>
      <c r="F734" s="11"/>
      <c r="G734" s="11"/>
      <c r="H734" s="11"/>
      <c r="I734" s="11"/>
      <c r="J734" s="11"/>
      <c r="K734" s="11"/>
      <c r="L734" s="11"/>
    </row>
    <row r="735">
      <c r="B735" s="11"/>
      <c r="C735" s="11"/>
      <c r="D735" s="11"/>
      <c r="E735" s="11"/>
      <c r="F735" s="11"/>
      <c r="G735" s="11"/>
      <c r="H735" s="11"/>
      <c r="I735" s="11"/>
      <c r="J735" s="11"/>
      <c r="K735" s="11"/>
      <c r="L735" s="11"/>
    </row>
    <row r="736">
      <c r="B736" s="11"/>
      <c r="C736" s="11"/>
      <c r="D736" s="11"/>
      <c r="E736" s="11"/>
      <c r="F736" s="11"/>
      <c r="G736" s="11"/>
      <c r="H736" s="11"/>
      <c r="I736" s="11"/>
      <c r="J736" s="11"/>
      <c r="K736" s="11"/>
      <c r="L736" s="11"/>
    </row>
    <row r="737">
      <c r="B737" s="11"/>
      <c r="C737" s="11"/>
      <c r="D737" s="11"/>
      <c r="E737" s="11"/>
      <c r="F737" s="11"/>
      <c r="G737" s="11"/>
      <c r="H737" s="11"/>
      <c r="I737" s="11"/>
      <c r="J737" s="11"/>
      <c r="K737" s="11"/>
      <c r="L737" s="11"/>
    </row>
    <row r="738">
      <c r="B738" s="11"/>
      <c r="C738" s="11"/>
      <c r="D738" s="11"/>
      <c r="E738" s="11"/>
      <c r="F738" s="11"/>
      <c r="G738" s="11"/>
      <c r="H738" s="11"/>
      <c r="I738" s="11"/>
      <c r="J738" s="11"/>
      <c r="K738" s="11"/>
      <c r="L738" s="11"/>
    </row>
    <row r="739">
      <c r="B739" s="11"/>
      <c r="C739" s="11"/>
      <c r="D739" s="11"/>
      <c r="E739" s="11"/>
      <c r="F739" s="11"/>
      <c r="G739" s="11"/>
      <c r="H739" s="11"/>
      <c r="I739" s="11"/>
      <c r="J739" s="11"/>
      <c r="K739" s="11"/>
      <c r="L739" s="11"/>
    </row>
    <row r="740">
      <c r="B740" s="11"/>
      <c r="C740" s="11"/>
      <c r="D740" s="11"/>
      <c r="E740" s="11"/>
      <c r="F740" s="11"/>
      <c r="G740" s="11"/>
      <c r="H740" s="11"/>
      <c r="I740" s="11"/>
      <c r="J740" s="11"/>
      <c r="K740" s="11"/>
      <c r="L740" s="11"/>
    </row>
    <row r="741">
      <c r="B741" s="11"/>
      <c r="C741" s="11"/>
      <c r="D741" s="11"/>
      <c r="E741" s="11"/>
      <c r="F741" s="11"/>
      <c r="G741" s="11"/>
      <c r="H741" s="11"/>
      <c r="I741" s="11"/>
      <c r="J741" s="11"/>
      <c r="K741" s="11"/>
      <c r="L741" s="11"/>
    </row>
    <row r="742">
      <c r="B742" s="11"/>
      <c r="C742" s="11"/>
      <c r="D742" s="11"/>
      <c r="E742" s="11"/>
      <c r="F742" s="11"/>
      <c r="G742" s="11"/>
      <c r="H742" s="11"/>
      <c r="I742" s="11"/>
      <c r="J742" s="11"/>
      <c r="K742" s="11"/>
      <c r="L742" s="11"/>
    </row>
    <row r="743">
      <c r="B743" s="11"/>
      <c r="C743" s="11"/>
      <c r="D743" s="11"/>
      <c r="E743" s="11"/>
      <c r="F743" s="11"/>
      <c r="G743" s="11"/>
      <c r="H743" s="11"/>
      <c r="I743" s="11"/>
      <c r="J743" s="11"/>
      <c r="K743" s="11"/>
      <c r="L743" s="11"/>
    </row>
    <row r="744">
      <c r="B744" s="11"/>
      <c r="C744" s="11"/>
      <c r="D744" s="11"/>
      <c r="E744" s="11"/>
      <c r="F744" s="11"/>
      <c r="G744" s="11"/>
      <c r="H744" s="11"/>
      <c r="I744" s="11"/>
      <c r="J744" s="11"/>
      <c r="K744" s="11"/>
      <c r="L744" s="11"/>
    </row>
    <row r="745">
      <c r="B745" s="11"/>
      <c r="C745" s="11"/>
      <c r="D745" s="11"/>
      <c r="E745" s="11"/>
      <c r="F745" s="11"/>
      <c r="G745" s="11"/>
      <c r="H745" s="11"/>
      <c r="I745" s="11"/>
      <c r="J745" s="11"/>
      <c r="K745" s="11"/>
      <c r="L745" s="11"/>
    </row>
    <row r="746">
      <c r="B746" s="11"/>
      <c r="C746" s="11"/>
      <c r="D746" s="11"/>
      <c r="E746" s="11"/>
      <c r="F746" s="11"/>
      <c r="G746" s="11"/>
      <c r="H746" s="11"/>
      <c r="I746" s="11"/>
      <c r="J746" s="11"/>
      <c r="K746" s="11"/>
      <c r="L746" s="11"/>
    </row>
    <row r="747">
      <c r="B747" s="11"/>
      <c r="C747" s="11"/>
      <c r="D747" s="11"/>
      <c r="E747" s="11"/>
      <c r="F747" s="11"/>
      <c r="G747" s="11"/>
      <c r="H747" s="11"/>
      <c r="I747" s="11"/>
      <c r="J747" s="11"/>
      <c r="K747" s="11"/>
      <c r="L747" s="11"/>
    </row>
    <row r="748">
      <c r="B748" s="11"/>
      <c r="C748" s="11"/>
      <c r="D748" s="11"/>
      <c r="E748" s="11"/>
      <c r="F748" s="11"/>
      <c r="G748" s="11"/>
      <c r="H748" s="11"/>
      <c r="I748" s="11"/>
      <c r="J748" s="11"/>
      <c r="K748" s="11"/>
      <c r="L748" s="11"/>
    </row>
    <row r="749">
      <c r="B749" s="11"/>
      <c r="C749" s="11"/>
      <c r="D749" s="11"/>
      <c r="E749" s="11"/>
      <c r="F749" s="11"/>
      <c r="G749" s="11"/>
      <c r="H749" s="11"/>
      <c r="I749" s="11"/>
      <c r="J749" s="11"/>
      <c r="K749" s="11"/>
      <c r="L749" s="11"/>
    </row>
    <row r="750">
      <c r="B750" s="11"/>
      <c r="C750" s="11"/>
      <c r="D750" s="11"/>
      <c r="E750" s="11"/>
      <c r="F750" s="11"/>
      <c r="G750" s="11"/>
      <c r="H750" s="11"/>
      <c r="I750" s="11"/>
      <c r="J750" s="11"/>
      <c r="K750" s="11"/>
      <c r="L750" s="11"/>
    </row>
    <row r="751">
      <c r="B751" s="11"/>
      <c r="C751" s="11"/>
      <c r="D751" s="11"/>
      <c r="E751" s="11"/>
      <c r="F751" s="11"/>
      <c r="G751" s="11"/>
      <c r="H751" s="11"/>
      <c r="I751" s="11"/>
      <c r="J751" s="11"/>
      <c r="K751" s="11"/>
      <c r="L751" s="11"/>
    </row>
    <row r="752">
      <c r="B752" s="11"/>
      <c r="C752" s="11"/>
      <c r="D752" s="11"/>
      <c r="E752" s="11"/>
      <c r="F752" s="11"/>
      <c r="G752" s="11"/>
      <c r="H752" s="11"/>
      <c r="I752" s="11"/>
      <c r="J752" s="11"/>
      <c r="K752" s="11"/>
      <c r="L752" s="11"/>
    </row>
    <row r="753">
      <c r="B753" s="11"/>
      <c r="C753" s="11"/>
      <c r="D753" s="11"/>
      <c r="E753" s="11"/>
      <c r="F753" s="11"/>
      <c r="G753" s="11"/>
      <c r="H753" s="11"/>
      <c r="I753" s="11"/>
      <c r="J753" s="11"/>
      <c r="K753" s="11"/>
      <c r="L753" s="11"/>
    </row>
    <row r="754">
      <c r="B754" s="11"/>
      <c r="C754" s="11"/>
      <c r="D754" s="11"/>
      <c r="E754" s="11"/>
      <c r="F754" s="11"/>
      <c r="G754" s="11"/>
      <c r="H754" s="11"/>
      <c r="I754" s="11"/>
      <c r="J754" s="11"/>
      <c r="K754" s="11"/>
      <c r="L754" s="11"/>
    </row>
    <row r="755">
      <c r="B755" s="11"/>
      <c r="C755" s="11"/>
      <c r="D755" s="11"/>
      <c r="E755" s="11"/>
      <c r="F755" s="11"/>
      <c r="G755" s="11"/>
      <c r="H755" s="11"/>
      <c r="I755" s="11"/>
      <c r="J755" s="11"/>
      <c r="K755" s="11"/>
      <c r="L755" s="11"/>
    </row>
    <row r="756">
      <c r="B756" s="11"/>
      <c r="C756" s="11"/>
      <c r="D756" s="11"/>
      <c r="E756" s="11"/>
      <c r="F756" s="11"/>
      <c r="G756" s="11"/>
      <c r="H756" s="11"/>
      <c r="I756" s="11"/>
      <c r="J756" s="11"/>
      <c r="K756" s="11"/>
      <c r="L756" s="11"/>
    </row>
    <row r="757">
      <c r="B757" s="11"/>
      <c r="C757" s="11"/>
      <c r="D757" s="11"/>
      <c r="E757" s="11"/>
      <c r="F757" s="11"/>
      <c r="G757" s="11"/>
      <c r="H757" s="11"/>
      <c r="I757" s="11"/>
      <c r="J757" s="11"/>
      <c r="K757" s="11"/>
      <c r="L757" s="11"/>
    </row>
    <row r="758">
      <c r="B758" s="11"/>
      <c r="C758" s="11"/>
      <c r="D758" s="11"/>
      <c r="E758" s="11"/>
      <c r="F758" s="11"/>
      <c r="G758" s="11"/>
      <c r="H758" s="11"/>
      <c r="I758" s="11"/>
      <c r="J758" s="11"/>
      <c r="K758" s="11"/>
      <c r="L758" s="11"/>
    </row>
    <row r="759">
      <c r="B759" s="11"/>
      <c r="C759" s="11"/>
      <c r="D759" s="11"/>
      <c r="E759" s="11"/>
      <c r="F759" s="11"/>
      <c r="G759" s="11"/>
      <c r="H759" s="11"/>
      <c r="I759" s="11"/>
      <c r="J759" s="11"/>
      <c r="K759" s="11"/>
      <c r="L759" s="11"/>
    </row>
    <row r="760">
      <c r="B760" s="11"/>
      <c r="C760" s="11"/>
      <c r="D760" s="11"/>
      <c r="E760" s="11"/>
      <c r="F760" s="11"/>
      <c r="G760" s="11"/>
      <c r="H760" s="11"/>
      <c r="I760" s="11"/>
      <c r="J760" s="11"/>
      <c r="K760" s="11"/>
      <c r="L760" s="11"/>
    </row>
    <row r="761">
      <c r="B761" s="11"/>
      <c r="C761" s="11"/>
      <c r="D761" s="11"/>
      <c r="E761" s="11"/>
      <c r="F761" s="11"/>
      <c r="G761" s="11"/>
      <c r="H761" s="11"/>
      <c r="I761" s="11"/>
      <c r="J761" s="11"/>
      <c r="K761" s="11"/>
      <c r="L761" s="11"/>
    </row>
    <row r="762">
      <c r="B762" s="11"/>
      <c r="C762" s="11"/>
      <c r="D762" s="11"/>
      <c r="E762" s="11"/>
      <c r="F762" s="11"/>
      <c r="G762" s="11"/>
      <c r="H762" s="11"/>
      <c r="I762" s="11"/>
      <c r="J762" s="11"/>
      <c r="K762" s="11"/>
      <c r="L762" s="11"/>
    </row>
    <row r="763">
      <c r="B763" s="11"/>
      <c r="C763" s="11"/>
      <c r="D763" s="11"/>
      <c r="E763" s="11"/>
      <c r="F763" s="11"/>
      <c r="G763" s="11"/>
      <c r="H763" s="11"/>
      <c r="I763" s="11"/>
      <c r="J763" s="11"/>
      <c r="K763" s="11"/>
      <c r="L763" s="11"/>
    </row>
    <row r="764">
      <c r="B764" s="11"/>
      <c r="C764" s="11"/>
      <c r="D764" s="11"/>
      <c r="E764" s="11"/>
      <c r="F764" s="11"/>
      <c r="G764" s="11"/>
      <c r="H764" s="11"/>
      <c r="I764" s="11"/>
      <c r="J764" s="11"/>
      <c r="K764" s="11"/>
      <c r="L764" s="11"/>
    </row>
    <row r="765">
      <c r="B765" s="11"/>
      <c r="C765" s="11"/>
      <c r="D765" s="11"/>
      <c r="E765" s="11"/>
      <c r="F765" s="11"/>
      <c r="G765" s="11"/>
      <c r="H765" s="11"/>
      <c r="I765" s="11"/>
      <c r="J765" s="11"/>
      <c r="K765" s="11"/>
      <c r="L765" s="11"/>
    </row>
    <row r="766">
      <c r="B766" s="11"/>
      <c r="C766" s="11"/>
      <c r="D766" s="11"/>
      <c r="E766" s="11"/>
      <c r="F766" s="11"/>
      <c r="G766" s="11"/>
      <c r="H766" s="11"/>
      <c r="I766" s="11"/>
      <c r="J766" s="11"/>
      <c r="K766" s="11"/>
      <c r="L766" s="11"/>
    </row>
    <row r="767">
      <c r="B767" s="11"/>
      <c r="C767" s="11"/>
      <c r="D767" s="11"/>
      <c r="E767" s="11"/>
      <c r="F767" s="11"/>
      <c r="G767" s="11"/>
      <c r="H767" s="11"/>
      <c r="I767" s="11"/>
      <c r="J767" s="11"/>
      <c r="K767" s="11"/>
      <c r="L767" s="11"/>
    </row>
    <row r="768">
      <c r="B768" s="11"/>
      <c r="C768" s="11"/>
      <c r="D768" s="11"/>
      <c r="E768" s="11"/>
      <c r="F768" s="11"/>
      <c r="G768" s="11"/>
      <c r="H768" s="11"/>
      <c r="I768" s="11"/>
      <c r="J768" s="11"/>
      <c r="K768" s="11"/>
      <c r="L768" s="11"/>
    </row>
    <row r="769">
      <c r="B769" s="11"/>
      <c r="C769" s="11"/>
      <c r="D769" s="11"/>
      <c r="E769" s="11"/>
      <c r="F769" s="11"/>
      <c r="G769" s="11"/>
      <c r="H769" s="11"/>
      <c r="I769" s="11"/>
      <c r="J769" s="11"/>
      <c r="K769" s="11"/>
      <c r="L769" s="11"/>
    </row>
    <row r="770">
      <c r="B770" s="11"/>
      <c r="C770" s="11"/>
      <c r="D770" s="11"/>
      <c r="E770" s="11"/>
      <c r="F770" s="11"/>
      <c r="G770" s="11"/>
      <c r="H770" s="11"/>
      <c r="I770" s="11"/>
      <c r="J770" s="11"/>
      <c r="K770" s="11"/>
      <c r="L770" s="11"/>
    </row>
    <row r="771">
      <c r="B771" s="11"/>
      <c r="C771" s="11"/>
      <c r="D771" s="11"/>
      <c r="E771" s="11"/>
      <c r="F771" s="11"/>
      <c r="G771" s="11"/>
      <c r="H771" s="11"/>
      <c r="I771" s="11"/>
      <c r="J771" s="11"/>
      <c r="K771" s="11"/>
      <c r="L771" s="11"/>
    </row>
    <row r="772">
      <c r="B772" s="11"/>
      <c r="C772" s="11"/>
      <c r="D772" s="11"/>
      <c r="E772" s="11"/>
      <c r="F772" s="11"/>
      <c r="G772" s="11"/>
      <c r="H772" s="11"/>
      <c r="I772" s="11"/>
      <c r="J772" s="11"/>
      <c r="K772" s="11"/>
      <c r="L772" s="11"/>
    </row>
    <row r="773">
      <c r="B773" s="11"/>
      <c r="C773" s="11"/>
      <c r="D773" s="11"/>
      <c r="E773" s="11"/>
      <c r="F773" s="11"/>
      <c r="G773" s="11"/>
      <c r="H773" s="11"/>
      <c r="I773" s="11"/>
      <c r="J773" s="11"/>
      <c r="K773" s="11"/>
      <c r="L773" s="11"/>
    </row>
    <row r="774">
      <c r="B774" s="11"/>
      <c r="C774" s="11"/>
      <c r="D774" s="11"/>
      <c r="E774" s="11"/>
      <c r="F774" s="11"/>
      <c r="G774" s="11"/>
      <c r="H774" s="11"/>
      <c r="I774" s="11"/>
      <c r="J774" s="11"/>
      <c r="K774" s="11"/>
      <c r="L774" s="11"/>
    </row>
    <row r="775">
      <c r="B775" s="11"/>
      <c r="C775" s="11"/>
      <c r="D775" s="11"/>
      <c r="E775" s="11"/>
      <c r="F775" s="11"/>
      <c r="G775" s="11"/>
      <c r="H775" s="11"/>
      <c r="I775" s="11"/>
      <c r="J775" s="11"/>
      <c r="K775" s="11"/>
      <c r="L775" s="11"/>
    </row>
    <row r="776">
      <c r="B776" s="11"/>
      <c r="C776" s="11"/>
      <c r="D776" s="11"/>
      <c r="E776" s="11"/>
      <c r="F776" s="11"/>
      <c r="G776" s="11"/>
      <c r="H776" s="11"/>
      <c r="I776" s="11"/>
      <c r="J776" s="11"/>
      <c r="K776" s="11"/>
      <c r="L776" s="11"/>
    </row>
    <row r="777">
      <c r="B777" s="11"/>
      <c r="C777" s="11"/>
      <c r="D777" s="11"/>
      <c r="E777" s="11"/>
      <c r="F777" s="11"/>
      <c r="G777" s="11"/>
      <c r="H777" s="11"/>
      <c r="I777" s="11"/>
      <c r="J777" s="11"/>
      <c r="K777" s="11"/>
      <c r="L777" s="11"/>
    </row>
    <row r="778">
      <c r="B778" s="11"/>
      <c r="C778" s="11"/>
      <c r="D778" s="11"/>
      <c r="E778" s="11"/>
      <c r="F778" s="11"/>
      <c r="G778" s="11"/>
      <c r="H778" s="11"/>
      <c r="I778" s="11"/>
      <c r="J778" s="11"/>
      <c r="K778" s="11"/>
      <c r="L778" s="11"/>
    </row>
    <row r="779">
      <c r="B779" s="11"/>
      <c r="C779" s="11"/>
      <c r="D779" s="11"/>
      <c r="E779" s="11"/>
      <c r="F779" s="11"/>
      <c r="G779" s="11"/>
      <c r="H779" s="11"/>
      <c r="I779" s="11"/>
      <c r="J779" s="11"/>
      <c r="K779" s="11"/>
      <c r="L779" s="11"/>
    </row>
    <row r="780">
      <c r="B780" s="11"/>
      <c r="C780" s="11"/>
      <c r="D780" s="11"/>
      <c r="E780" s="11"/>
      <c r="F780" s="11"/>
      <c r="G780" s="11"/>
      <c r="H780" s="11"/>
      <c r="I780" s="11"/>
      <c r="J780" s="11"/>
      <c r="K780" s="11"/>
      <c r="L780" s="11"/>
    </row>
    <row r="781">
      <c r="B781" s="11"/>
      <c r="C781" s="11"/>
      <c r="D781" s="11"/>
      <c r="E781" s="11"/>
      <c r="F781" s="11"/>
      <c r="G781" s="11"/>
      <c r="H781" s="11"/>
      <c r="I781" s="11"/>
      <c r="J781" s="11"/>
      <c r="K781" s="11"/>
      <c r="L781" s="11"/>
    </row>
    <row r="782">
      <c r="B782" s="11"/>
      <c r="C782" s="11"/>
      <c r="D782" s="11"/>
      <c r="E782" s="11"/>
      <c r="F782" s="11"/>
      <c r="G782" s="11"/>
      <c r="H782" s="11"/>
      <c r="I782" s="11"/>
      <c r="J782" s="11"/>
      <c r="K782" s="11"/>
      <c r="L782" s="11"/>
    </row>
    <row r="783">
      <c r="B783" s="11"/>
      <c r="C783" s="11"/>
      <c r="D783" s="11"/>
      <c r="E783" s="11"/>
      <c r="F783" s="11"/>
      <c r="G783" s="11"/>
      <c r="H783" s="11"/>
      <c r="I783" s="11"/>
      <c r="J783" s="11"/>
      <c r="K783" s="11"/>
      <c r="L783" s="11"/>
    </row>
    <row r="784">
      <c r="B784" s="11"/>
      <c r="C784" s="11"/>
      <c r="D784" s="11"/>
      <c r="E784" s="11"/>
      <c r="F784" s="11"/>
      <c r="G784" s="11"/>
      <c r="H784" s="11"/>
      <c r="I784" s="11"/>
      <c r="J784" s="11"/>
      <c r="K784" s="11"/>
      <c r="L784" s="11"/>
    </row>
    <row r="785">
      <c r="B785" s="11"/>
      <c r="C785" s="11"/>
      <c r="D785" s="11"/>
      <c r="E785" s="11"/>
      <c r="F785" s="11"/>
      <c r="G785" s="11"/>
      <c r="H785" s="11"/>
      <c r="I785" s="11"/>
      <c r="J785" s="11"/>
      <c r="K785" s="11"/>
      <c r="L785" s="11"/>
    </row>
    <row r="786">
      <c r="B786" s="11"/>
      <c r="C786" s="11"/>
      <c r="D786" s="11"/>
      <c r="E786" s="11"/>
      <c r="F786" s="11"/>
      <c r="G786" s="11"/>
      <c r="H786" s="11"/>
      <c r="I786" s="11"/>
      <c r="J786" s="11"/>
      <c r="K786" s="11"/>
      <c r="L786" s="11"/>
    </row>
    <row r="787">
      <c r="B787" s="11"/>
      <c r="C787" s="11"/>
      <c r="D787" s="11"/>
      <c r="E787" s="11"/>
      <c r="F787" s="11"/>
      <c r="G787" s="11"/>
      <c r="H787" s="11"/>
      <c r="I787" s="11"/>
      <c r="J787" s="11"/>
      <c r="K787" s="11"/>
      <c r="L787" s="11"/>
    </row>
    <row r="788">
      <c r="B788" s="11"/>
      <c r="C788" s="11"/>
      <c r="D788" s="11"/>
      <c r="E788" s="11"/>
      <c r="F788" s="11"/>
      <c r="G788" s="11"/>
      <c r="H788" s="11"/>
      <c r="I788" s="11"/>
      <c r="J788" s="11"/>
      <c r="K788" s="11"/>
      <c r="L788" s="11"/>
    </row>
    <row r="789">
      <c r="B789" s="11"/>
      <c r="C789" s="11"/>
      <c r="D789" s="11"/>
      <c r="E789" s="11"/>
      <c r="F789" s="11"/>
      <c r="G789" s="11"/>
      <c r="H789" s="11"/>
      <c r="I789" s="11"/>
      <c r="J789" s="11"/>
      <c r="K789" s="11"/>
      <c r="L789" s="11"/>
    </row>
    <row r="790">
      <c r="B790" s="11"/>
      <c r="C790" s="11"/>
      <c r="D790" s="11"/>
      <c r="E790" s="11"/>
      <c r="F790" s="11"/>
      <c r="G790" s="11"/>
      <c r="H790" s="11"/>
      <c r="I790" s="11"/>
      <c r="J790" s="11"/>
      <c r="K790" s="11"/>
      <c r="L790" s="11"/>
    </row>
    <row r="791">
      <c r="B791" s="11"/>
      <c r="C791" s="11"/>
      <c r="D791" s="11"/>
      <c r="E791" s="11"/>
      <c r="F791" s="11"/>
      <c r="G791" s="11"/>
      <c r="H791" s="11"/>
      <c r="I791" s="11"/>
      <c r="J791" s="11"/>
      <c r="K791" s="11"/>
      <c r="L791" s="11"/>
    </row>
    <row r="792">
      <c r="B792" s="11"/>
      <c r="C792" s="11"/>
      <c r="D792" s="11"/>
      <c r="E792" s="11"/>
      <c r="F792" s="11"/>
      <c r="G792" s="11"/>
      <c r="H792" s="11"/>
      <c r="I792" s="11"/>
      <c r="J792" s="11"/>
      <c r="K792" s="11"/>
      <c r="L792" s="11"/>
    </row>
    <row r="793">
      <c r="B793" s="11"/>
      <c r="C793" s="11"/>
      <c r="D793" s="11"/>
      <c r="E793" s="11"/>
      <c r="F793" s="11"/>
      <c r="G793" s="11"/>
      <c r="H793" s="11"/>
      <c r="I793" s="11"/>
      <c r="J793" s="11"/>
      <c r="K793" s="11"/>
      <c r="L793" s="11"/>
    </row>
    <row r="794">
      <c r="B794" s="11"/>
      <c r="C794" s="11"/>
      <c r="D794" s="11"/>
      <c r="E794" s="11"/>
      <c r="F794" s="11"/>
      <c r="G794" s="11"/>
      <c r="H794" s="11"/>
      <c r="I794" s="11"/>
      <c r="J794" s="11"/>
      <c r="K794" s="11"/>
      <c r="L794" s="11"/>
    </row>
    <row r="795">
      <c r="B795" s="11"/>
      <c r="C795" s="11"/>
      <c r="D795" s="11"/>
      <c r="E795" s="11"/>
      <c r="F795" s="11"/>
      <c r="G795" s="11"/>
      <c r="H795" s="11"/>
      <c r="I795" s="11"/>
      <c r="J795" s="11"/>
      <c r="K795" s="11"/>
      <c r="L795" s="11"/>
    </row>
    <row r="796">
      <c r="B796" s="11"/>
      <c r="C796" s="11"/>
      <c r="D796" s="11"/>
      <c r="E796" s="11"/>
      <c r="F796" s="11"/>
      <c r="G796" s="11"/>
      <c r="H796" s="11"/>
      <c r="I796" s="11"/>
      <c r="J796" s="11"/>
      <c r="K796" s="11"/>
      <c r="L796" s="11"/>
    </row>
    <row r="797">
      <c r="B797" s="11"/>
      <c r="C797" s="11"/>
      <c r="D797" s="11"/>
      <c r="E797" s="11"/>
      <c r="F797" s="11"/>
      <c r="G797" s="11"/>
      <c r="H797" s="11"/>
      <c r="I797" s="11"/>
      <c r="J797" s="11"/>
      <c r="K797" s="11"/>
      <c r="L797" s="11"/>
    </row>
    <row r="798">
      <c r="B798" s="11"/>
      <c r="C798" s="11"/>
      <c r="D798" s="11"/>
      <c r="E798" s="11"/>
      <c r="F798" s="11"/>
      <c r="G798" s="11"/>
      <c r="H798" s="11"/>
      <c r="I798" s="11"/>
      <c r="J798" s="11"/>
      <c r="K798" s="11"/>
      <c r="L798" s="11"/>
    </row>
    <row r="799">
      <c r="B799" s="11"/>
      <c r="C799" s="11"/>
      <c r="D799" s="11"/>
      <c r="E799" s="11"/>
      <c r="F799" s="11"/>
      <c r="G799" s="11"/>
      <c r="H799" s="11"/>
      <c r="I799" s="11"/>
      <c r="J799" s="11"/>
      <c r="K799" s="11"/>
      <c r="L799" s="11"/>
    </row>
    <row r="800">
      <c r="B800" s="11"/>
      <c r="C800" s="11"/>
      <c r="D800" s="11"/>
      <c r="E800" s="11"/>
      <c r="F800" s="11"/>
      <c r="G800" s="11"/>
      <c r="H800" s="11"/>
      <c r="I800" s="11"/>
      <c r="J800" s="11"/>
      <c r="K800" s="11"/>
      <c r="L800" s="11"/>
    </row>
    <row r="801">
      <c r="B801" s="11"/>
      <c r="C801" s="11"/>
      <c r="D801" s="11"/>
      <c r="E801" s="11"/>
      <c r="F801" s="11"/>
      <c r="G801" s="11"/>
      <c r="H801" s="11"/>
      <c r="I801" s="11"/>
      <c r="J801" s="11"/>
      <c r="K801" s="11"/>
      <c r="L801" s="11"/>
    </row>
    <row r="802">
      <c r="B802" s="11"/>
      <c r="C802" s="11"/>
      <c r="D802" s="11"/>
      <c r="E802" s="11"/>
      <c r="F802" s="11"/>
      <c r="G802" s="11"/>
      <c r="H802" s="11"/>
      <c r="I802" s="11"/>
      <c r="J802" s="11"/>
      <c r="K802" s="11"/>
      <c r="L802" s="11"/>
    </row>
    <row r="803">
      <c r="B803" s="11"/>
      <c r="C803" s="11"/>
      <c r="D803" s="11"/>
      <c r="E803" s="11"/>
      <c r="F803" s="11"/>
      <c r="G803" s="11"/>
      <c r="H803" s="11"/>
      <c r="I803" s="11"/>
      <c r="J803" s="11"/>
      <c r="K803" s="11"/>
      <c r="L803" s="11"/>
    </row>
    <row r="804">
      <c r="B804" s="11"/>
      <c r="C804" s="11"/>
      <c r="D804" s="11"/>
      <c r="E804" s="11"/>
      <c r="F804" s="11"/>
      <c r="G804" s="11"/>
      <c r="H804" s="11"/>
      <c r="I804" s="11"/>
      <c r="J804" s="11"/>
      <c r="K804" s="11"/>
      <c r="L804" s="11"/>
    </row>
    <row r="805">
      <c r="B805" s="11"/>
      <c r="C805" s="11"/>
      <c r="D805" s="11"/>
      <c r="E805" s="11"/>
      <c r="F805" s="11"/>
      <c r="G805" s="11"/>
      <c r="H805" s="11"/>
      <c r="I805" s="11"/>
      <c r="J805" s="11"/>
      <c r="K805" s="11"/>
      <c r="L805" s="11"/>
    </row>
    <row r="806">
      <c r="B806" s="11"/>
      <c r="C806" s="11"/>
      <c r="D806" s="11"/>
      <c r="E806" s="11"/>
      <c r="F806" s="11"/>
      <c r="G806" s="11"/>
      <c r="H806" s="11"/>
      <c r="I806" s="11"/>
      <c r="J806" s="11"/>
      <c r="K806" s="11"/>
      <c r="L806" s="11"/>
    </row>
    <row r="807">
      <c r="B807" s="11"/>
      <c r="C807" s="11"/>
      <c r="D807" s="11"/>
      <c r="E807" s="11"/>
      <c r="F807" s="11"/>
      <c r="G807" s="11"/>
      <c r="H807" s="11"/>
      <c r="I807" s="11"/>
      <c r="J807" s="11"/>
      <c r="K807" s="11"/>
      <c r="L807" s="11"/>
    </row>
    <row r="808">
      <c r="B808" s="11"/>
      <c r="C808" s="11"/>
      <c r="D808" s="11"/>
      <c r="E808" s="11"/>
      <c r="F808" s="11"/>
      <c r="G808" s="11"/>
      <c r="H808" s="11"/>
      <c r="I808" s="11"/>
      <c r="J808" s="11"/>
      <c r="K808" s="11"/>
      <c r="L808" s="11"/>
    </row>
    <row r="809">
      <c r="B809" s="11"/>
      <c r="C809" s="11"/>
      <c r="D809" s="11"/>
      <c r="E809" s="11"/>
      <c r="F809" s="11"/>
      <c r="G809" s="11"/>
      <c r="H809" s="11"/>
      <c r="I809" s="11"/>
      <c r="J809" s="11"/>
      <c r="K809" s="11"/>
      <c r="L809" s="11"/>
    </row>
    <row r="810">
      <c r="B810" s="11"/>
      <c r="C810" s="11"/>
      <c r="D810" s="11"/>
      <c r="E810" s="11"/>
      <c r="F810" s="11"/>
      <c r="G810" s="11"/>
      <c r="H810" s="11"/>
      <c r="I810" s="11"/>
      <c r="J810" s="11"/>
      <c r="K810" s="11"/>
      <c r="L810" s="11"/>
    </row>
    <row r="811">
      <c r="B811" s="11"/>
      <c r="C811" s="11"/>
      <c r="D811" s="11"/>
      <c r="E811" s="11"/>
      <c r="F811" s="11"/>
      <c r="G811" s="11"/>
      <c r="H811" s="11"/>
      <c r="I811" s="11"/>
      <c r="J811" s="11"/>
      <c r="K811" s="11"/>
      <c r="L811" s="11"/>
    </row>
    <row r="812">
      <c r="B812" s="11"/>
      <c r="C812" s="11"/>
      <c r="D812" s="11"/>
      <c r="E812" s="11"/>
      <c r="F812" s="11"/>
      <c r="G812" s="11"/>
      <c r="H812" s="11"/>
      <c r="I812" s="11"/>
      <c r="J812" s="11"/>
      <c r="K812" s="11"/>
      <c r="L812" s="11"/>
    </row>
    <row r="813">
      <c r="B813" s="11"/>
      <c r="C813" s="11"/>
      <c r="D813" s="11"/>
      <c r="E813" s="11"/>
      <c r="F813" s="11"/>
      <c r="G813" s="11"/>
      <c r="H813" s="11"/>
      <c r="I813" s="11"/>
      <c r="J813" s="11"/>
      <c r="K813" s="11"/>
      <c r="L813" s="11"/>
    </row>
    <row r="814">
      <c r="B814" s="11"/>
      <c r="C814" s="11"/>
      <c r="D814" s="11"/>
      <c r="E814" s="11"/>
      <c r="F814" s="11"/>
      <c r="G814" s="11"/>
      <c r="H814" s="11"/>
      <c r="I814" s="11"/>
      <c r="J814" s="11"/>
      <c r="K814" s="11"/>
      <c r="L814" s="11"/>
    </row>
    <row r="815">
      <c r="B815" s="11"/>
      <c r="C815" s="11"/>
      <c r="D815" s="11"/>
      <c r="E815" s="11"/>
      <c r="F815" s="11"/>
      <c r="G815" s="11"/>
      <c r="H815" s="11"/>
      <c r="I815" s="11"/>
      <c r="J815" s="11"/>
      <c r="K815" s="11"/>
      <c r="L815" s="11"/>
    </row>
    <row r="816">
      <c r="B816" s="11"/>
      <c r="C816" s="11"/>
      <c r="D816" s="11"/>
      <c r="E816" s="11"/>
      <c r="F816" s="11"/>
      <c r="G816" s="11"/>
      <c r="H816" s="11"/>
      <c r="I816" s="11"/>
      <c r="J816" s="11"/>
      <c r="K816" s="11"/>
      <c r="L816" s="11"/>
    </row>
    <row r="817">
      <c r="B817" s="11"/>
      <c r="C817" s="11"/>
      <c r="D817" s="11"/>
      <c r="E817" s="11"/>
      <c r="F817" s="11"/>
      <c r="G817" s="11"/>
      <c r="H817" s="11"/>
      <c r="I817" s="11"/>
      <c r="J817" s="11"/>
      <c r="K817" s="11"/>
      <c r="L817" s="11"/>
    </row>
    <row r="818">
      <c r="B818" s="11"/>
      <c r="C818" s="11"/>
      <c r="D818" s="11"/>
      <c r="E818" s="11"/>
      <c r="F818" s="11"/>
      <c r="G818" s="11"/>
      <c r="H818" s="11"/>
      <c r="I818" s="11"/>
      <c r="J818" s="11"/>
      <c r="K818" s="11"/>
      <c r="L818" s="11"/>
    </row>
    <row r="819">
      <c r="B819" s="11"/>
      <c r="C819" s="11"/>
      <c r="D819" s="11"/>
      <c r="E819" s="11"/>
      <c r="F819" s="11"/>
      <c r="G819" s="11"/>
      <c r="H819" s="11"/>
      <c r="I819" s="11"/>
      <c r="J819" s="11"/>
      <c r="K819" s="11"/>
      <c r="L819" s="11"/>
    </row>
    <row r="820">
      <c r="B820" s="11"/>
      <c r="C820" s="11"/>
      <c r="D820" s="11"/>
      <c r="E820" s="11"/>
      <c r="F820" s="11"/>
      <c r="G820" s="11"/>
      <c r="H820" s="11"/>
      <c r="I820" s="11"/>
      <c r="J820" s="11"/>
      <c r="K820" s="11"/>
      <c r="L820" s="11"/>
    </row>
    <row r="821">
      <c r="B821" s="11"/>
      <c r="C821" s="11"/>
      <c r="D821" s="11"/>
      <c r="E821" s="11"/>
      <c r="F821" s="11"/>
      <c r="G821" s="11"/>
      <c r="H821" s="11"/>
      <c r="I821" s="11"/>
      <c r="J821" s="11"/>
      <c r="K821" s="11"/>
      <c r="L821" s="11"/>
    </row>
    <row r="822">
      <c r="B822" s="11"/>
      <c r="C822" s="11"/>
      <c r="D822" s="11"/>
      <c r="E822" s="11"/>
      <c r="F822" s="11"/>
      <c r="G822" s="11"/>
      <c r="H822" s="11"/>
      <c r="I822" s="11"/>
      <c r="J822" s="11"/>
      <c r="K822" s="11"/>
      <c r="L822" s="11"/>
    </row>
    <row r="823">
      <c r="B823" s="11"/>
      <c r="C823" s="11"/>
      <c r="D823" s="11"/>
      <c r="E823" s="11"/>
      <c r="F823" s="11"/>
      <c r="G823" s="11"/>
      <c r="H823" s="11"/>
      <c r="I823" s="11"/>
      <c r="J823" s="11"/>
      <c r="K823" s="11"/>
      <c r="L823" s="11"/>
    </row>
    <row r="824">
      <c r="B824" s="11"/>
      <c r="C824" s="11"/>
      <c r="D824" s="11"/>
      <c r="E824" s="11"/>
      <c r="F824" s="11"/>
      <c r="G824" s="11"/>
      <c r="H824" s="11"/>
      <c r="I824" s="11"/>
      <c r="J824" s="11"/>
      <c r="K824" s="11"/>
      <c r="L824" s="11"/>
    </row>
    <row r="825">
      <c r="B825" s="11"/>
      <c r="C825" s="11"/>
      <c r="D825" s="11"/>
      <c r="E825" s="11"/>
      <c r="F825" s="11"/>
      <c r="G825" s="11"/>
      <c r="H825" s="11"/>
      <c r="I825" s="11"/>
      <c r="J825" s="11"/>
      <c r="K825" s="11"/>
      <c r="L825" s="11"/>
    </row>
    <row r="826">
      <c r="B826" s="11"/>
      <c r="C826" s="11"/>
      <c r="D826" s="11"/>
      <c r="E826" s="11"/>
      <c r="F826" s="11"/>
      <c r="G826" s="11"/>
      <c r="H826" s="11"/>
      <c r="I826" s="11"/>
      <c r="J826" s="11"/>
      <c r="K826" s="11"/>
      <c r="L826" s="11"/>
    </row>
    <row r="827">
      <c r="B827" s="11"/>
      <c r="C827" s="11"/>
      <c r="D827" s="11"/>
      <c r="E827" s="11"/>
      <c r="F827" s="11"/>
      <c r="G827" s="11"/>
      <c r="H827" s="11"/>
      <c r="I827" s="11"/>
      <c r="J827" s="11"/>
      <c r="K827" s="11"/>
      <c r="L827" s="11"/>
    </row>
    <row r="828">
      <c r="B828" s="11"/>
      <c r="C828" s="11"/>
      <c r="D828" s="11"/>
      <c r="E828" s="11"/>
      <c r="F828" s="11"/>
      <c r="G828" s="11"/>
      <c r="H828" s="11"/>
      <c r="I828" s="11"/>
      <c r="J828" s="11"/>
      <c r="K828" s="11"/>
      <c r="L828" s="11"/>
    </row>
    <row r="829">
      <c r="B829" s="11"/>
      <c r="C829" s="11"/>
      <c r="D829" s="11"/>
      <c r="E829" s="11"/>
      <c r="F829" s="11"/>
      <c r="G829" s="11"/>
      <c r="H829" s="11"/>
      <c r="I829" s="11"/>
      <c r="J829" s="11"/>
      <c r="K829" s="11"/>
      <c r="L829" s="11"/>
    </row>
    <row r="830">
      <c r="B830" s="11"/>
      <c r="C830" s="11"/>
      <c r="D830" s="11"/>
      <c r="E830" s="11"/>
      <c r="F830" s="11"/>
      <c r="G830" s="11"/>
      <c r="H830" s="11"/>
      <c r="I830" s="11"/>
      <c r="J830" s="11"/>
      <c r="K830" s="11"/>
      <c r="L830" s="11"/>
    </row>
    <row r="831">
      <c r="B831" s="11"/>
      <c r="C831" s="11"/>
      <c r="D831" s="11"/>
      <c r="E831" s="11"/>
      <c r="F831" s="11"/>
      <c r="G831" s="11"/>
      <c r="H831" s="11"/>
      <c r="I831" s="11"/>
      <c r="J831" s="11"/>
      <c r="K831" s="11"/>
      <c r="L831" s="11"/>
    </row>
    <row r="832">
      <c r="B832" s="11"/>
      <c r="C832" s="11"/>
      <c r="D832" s="11"/>
      <c r="E832" s="11"/>
      <c r="F832" s="11"/>
      <c r="G832" s="11"/>
      <c r="H832" s="11"/>
      <c r="I832" s="11"/>
      <c r="J832" s="11"/>
      <c r="K832" s="11"/>
      <c r="L832" s="11"/>
    </row>
    <row r="833">
      <c r="B833" s="11"/>
      <c r="C833" s="11"/>
      <c r="D833" s="11"/>
      <c r="E833" s="11"/>
      <c r="F833" s="11"/>
      <c r="G833" s="11"/>
      <c r="H833" s="11"/>
      <c r="I833" s="11"/>
      <c r="J833" s="11"/>
      <c r="K833" s="11"/>
      <c r="L833" s="11"/>
    </row>
    <row r="834">
      <c r="B834" s="11"/>
      <c r="C834" s="11"/>
      <c r="D834" s="11"/>
      <c r="E834" s="11"/>
      <c r="F834" s="11"/>
      <c r="G834" s="11"/>
      <c r="H834" s="11"/>
      <c r="I834" s="11"/>
      <c r="J834" s="11"/>
      <c r="K834" s="11"/>
      <c r="L834" s="11"/>
    </row>
    <row r="835">
      <c r="B835" s="11"/>
      <c r="C835" s="11"/>
      <c r="D835" s="11"/>
      <c r="E835" s="11"/>
      <c r="F835" s="11"/>
      <c r="G835" s="11"/>
      <c r="H835" s="11"/>
      <c r="I835" s="11"/>
      <c r="J835" s="11"/>
      <c r="K835" s="11"/>
      <c r="L835" s="11"/>
    </row>
    <row r="836">
      <c r="B836" s="11"/>
      <c r="C836" s="11"/>
      <c r="D836" s="11"/>
      <c r="E836" s="11"/>
      <c r="F836" s="11"/>
      <c r="G836" s="11"/>
      <c r="H836" s="11"/>
      <c r="I836" s="11"/>
      <c r="J836" s="11"/>
      <c r="K836" s="11"/>
      <c r="L836" s="11"/>
    </row>
    <row r="837">
      <c r="B837" s="11"/>
      <c r="C837" s="11"/>
      <c r="D837" s="11"/>
      <c r="E837" s="11"/>
      <c r="F837" s="11"/>
      <c r="G837" s="11"/>
      <c r="H837" s="11"/>
      <c r="I837" s="11"/>
      <c r="J837" s="11"/>
      <c r="K837" s="11"/>
      <c r="L837" s="11"/>
    </row>
    <row r="838">
      <c r="B838" s="11"/>
      <c r="C838" s="11"/>
      <c r="D838" s="11"/>
      <c r="E838" s="11"/>
      <c r="F838" s="11"/>
      <c r="G838" s="11"/>
      <c r="H838" s="11"/>
      <c r="I838" s="11"/>
      <c r="J838" s="11"/>
      <c r="K838" s="11"/>
      <c r="L838" s="11"/>
    </row>
    <row r="839">
      <c r="B839" s="11"/>
      <c r="C839" s="11"/>
      <c r="D839" s="11"/>
      <c r="E839" s="11"/>
      <c r="F839" s="11"/>
      <c r="G839" s="11"/>
      <c r="H839" s="11"/>
      <c r="I839" s="11"/>
      <c r="J839" s="11"/>
      <c r="K839" s="11"/>
      <c r="L839" s="11"/>
    </row>
    <row r="840">
      <c r="B840" s="11"/>
      <c r="C840" s="11"/>
      <c r="D840" s="11"/>
      <c r="E840" s="11"/>
      <c r="F840" s="11"/>
      <c r="G840" s="11"/>
      <c r="H840" s="11"/>
      <c r="I840" s="11"/>
      <c r="J840" s="11"/>
      <c r="K840" s="11"/>
      <c r="L840" s="11"/>
    </row>
    <row r="841">
      <c r="B841" s="11"/>
      <c r="C841" s="11"/>
      <c r="D841" s="11"/>
      <c r="E841" s="11"/>
      <c r="F841" s="11"/>
      <c r="G841" s="11"/>
      <c r="H841" s="11"/>
      <c r="I841" s="11"/>
      <c r="J841" s="11"/>
      <c r="K841" s="11"/>
      <c r="L841" s="11"/>
    </row>
    <row r="842">
      <c r="B842" s="11"/>
      <c r="C842" s="11"/>
      <c r="D842" s="11"/>
      <c r="E842" s="11"/>
      <c r="F842" s="11"/>
      <c r="G842" s="11"/>
      <c r="H842" s="11"/>
      <c r="I842" s="11"/>
      <c r="J842" s="11"/>
      <c r="K842" s="11"/>
      <c r="L842" s="11"/>
    </row>
    <row r="843">
      <c r="B843" s="11"/>
      <c r="C843" s="11"/>
      <c r="D843" s="11"/>
      <c r="E843" s="11"/>
      <c r="F843" s="11"/>
      <c r="G843" s="11"/>
      <c r="H843" s="11"/>
      <c r="I843" s="11"/>
      <c r="J843" s="11"/>
      <c r="K843" s="11"/>
      <c r="L843" s="11"/>
    </row>
    <row r="844">
      <c r="B844" s="11"/>
      <c r="C844" s="11"/>
      <c r="D844" s="11"/>
      <c r="E844" s="11"/>
      <c r="F844" s="11"/>
      <c r="G844" s="11"/>
      <c r="H844" s="11"/>
      <c r="I844" s="11"/>
      <c r="J844" s="11"/>
      <c r="K844" s="11"/>
      <c r="L844" s="11"/>
    </row>
    <row r="845">
      <c r="B845" s="11"/>
      <c r="C845" s="11"/>
      <c r="D845" s="11"/>
      <c r="E845" s="11"/>
      <c r="F845" s="11"/>
      <c r="G845" s="11"/>
      <c r="H845" s="11"/>
      <c r="I845" s="11"/>
      <c r="J845" s="11"/>
      <c r="K845" s="11"/>
      <c r="L845" s="11"/>
    </row>
    <row r="846">
      <c r="B846" s="11"/>
      <c r="C846" s="11"/>
      <c r="D846" s="11"/>
      <c r="E846" s="11"/>
      <c r="F846" s="11"/>
      <c r="G846" s="11"/>
      <c r="H846" s="11"/>
      <c r="I846" s="11"/>
      <c r="J846" s="11"/>
      <c r="K846" s="11"/>
      <c r="L846" s="11"/>
    </row>
    <row r="847">
      <c r="B847" s="11"/>
      <c r="C847" s="11"/>
      <c r="D847" s="11"/>
      <c r="E847" s="11"/>
      <c r="F847" s="11"/>
      <c r="G847" s="11"/>
      <c r="H847" s="11"/>
      <c r="I847" s="11"/>
      <c r="J847" s="11"/>
      <c r="K847" s="11"/>
      <c r="L847" s="11"/>
    </row>
    <row r="848">
      <c r="B848" s="11"/>
      <c r="C848" s="11"/>
      <c r="D848" s="11"/>
      <c r="E848" s="11"/>
      <c r="F848" s="11"/>
      <c r="G848" s="11"/>
      <c r="H848" s="11"/>
      <c r="I848" s="11"/>
      <c r="J848" s="11"/>
      <c r="K848" s="11"/>
      <c r="L848" s="11"/>
    </row>
    <row r="849">
      <c r="B849" s="11"/>
      <c r="C849" s="11"/>
      <c r="D849" s="11"/>
      <c r="E849" s="11"/>
      <c r="F849" s="11"/>
      <c r="G849" s="11"/>
      <c r="H849" s="11"/>
      <c r="I849" s="11"/>
      <c r="J849" s="11"/>
      <c r="K849" s="11"/>
      <c r="L849" s="11"/>
    </row>
    <row r="850">
      <c r="B850" s="11"/>
      <c r="C850" s="11"/>
      <c r="D850" s="11"/>
      <c r="E850" s="11"/>
      <c r="F850" s="11"/>
      <c r="G850" s="11"/>
      <c r="H850" s="11"/>
      <c r="I850" s="11"/>
      <c r="J850" s="11"/>
      <c r="K850" s="11"/>
      <c r="L850" s="11"/>
    </row>
    <row r="851">
      <c r="B851" s="11"/>
      <c r="C851" s="11"/>
      <c r="D851" s="11"/>
      <c r="E851" s="11"/>
      <c r="F851" s="11"/>
      <c r="G851" s="11"/>
      <c r="H851" s="11"/>
      <c r="I851" s="11"/>
      <c r="J851" s="11"/>
      <c r="K851" s="11"/>
      <c r="L851" s="11"/>
    </row>
    <row r="852">
      <c r="B852" s="11"/>
      <c r="C852" s="11"/>
      <c r="D852" s="11"/>
      <c r="E852" s="11"/>
      <c r="F852" s="11"/>
      <c r="G852" s="11"/>
      <c r="H852" s="11"/>
      <c r="I852" s="11"/>
      <c r="J852" s="11"/>
      <c r="K852" s="11"/>
      <c r="L852" s="11"/>
    </row>
    <row r="853">
      <c r="B853" s="11"/>
      <c r="C853" s="11"/>
      <c r="D853" s="11"/>
      <c r="E853" s="11"/>
      <c r="F853" s="11"/>
      <c r="G853" s="11"/>
      <c r="H853" s="11"/>
      <c r="I853" s="11"/>
      <c r="J853" s="11"/>
      <c r="K853" s="11"/>
      <c r="L853" s="11"/>
    </row>
    <row r="854">
      <c r="B854" s="11"/>
      <c r="C854" s="11"/>
      <c r="D854" s="11"/>
      <c r="E854" s="11"/>
      <c r="F854" s="11"/>
      <c r="G854" s="11"/>
      <c r="H854" s="11"/>
      <c r="I854" s="11"/>
      <c r="J854" s="11"/>
      <c r="K854" s="11"/>
      <c r="L854" s="11"/>
    </row>
    <row r="855">
      <c r="B855" s="11"/>
      <c r="C855" s="11"/>
      <c r="D855" s="11"/>
      <c r="E855" s="11"/>
      <c r="F855" s="11"/>
      <c r="G855" s="11"/>
      <c r="H855" s="11"/>
      <c r="I855" s="11"/>
      <c r="J855" s="11"/>
      <c r="K855" s="11"/>
      <c r="L855" s="11"/>
    </row>
    <row r="856">
      <c r="B856" s="11"/>
      <c r="C856" s="11"/>
      <c r="D856" s="11"/>
      <c r="E856" s="11"/>
      <c r="F856" s="11"/>
      <c r="G856" s="11"/>
      <c r="H856" s="11"/>
      <c r="I856" s="11"/>
      <c r="J856" s="11"/>
      <c r="K856" s="11"/>
      <c r="L856" s="11"/>
    </row>
    <row r="857">
      <c r="B857" s="11"/>
      <c r="C857" s="11"/>
      <c r="D857" s="11"/>
      <c r="E857" s="11"/>
      <c r="F857" s="11"/>
      <c r="G857" s="11"/>
      <c r="H857" s="11"/>
      <c r="I857" s="11"/>
      <c r="J857" s="11"/>
      <c r="K857" s="11"/>
      <c r="L857" s="11"/>
    </row>
    <row r="858">
      <c r="B858" s="11"/>
      <c r="C858" s="11"/>
      <c r="D858" s="11"/>
      <c r="E858" s="11"/>
      <c r="F858" s="11"/>
      <c r="G858" s="11"/>
      <c r="H858" s="11"/>
      <c r="I858" s="11"/>
      <c r="J858" s="11"/>
      <c r="K858" s="11"/>
      <c r="L858" s="11"/>
    </row>
    <row r="859">
      <c r="B859" s="11"/>
      <c r="C859" s="11"/>
      <c r="D859" s="11"/>
      <c r="E859" s="11"/>
      <c r="F859" s="11"/>
      <c r="G859" s="11"/>
      <c r="H859" s="11"/>
      <c r="I859" s="11"/>
      <c r="J859" s="11"/>
      <c r="K859" s="11"/>
      <c r="L859" s="11"/>
    </row>
    <row r="860">
      <c r="B860" s="11"/>
      <c r="C860" s="11"/>
      <c r="D860" s="11"/>
      <c r="E860" s="11"/>
      <c r="F860" s="11"/>
      <c r="G860" s="11"/>
      <c r="H860" s="11"/>
      <c r="I860" s="11"/>
      <c r="J860" s="11"/>
      <c r="K860" s="11"/>
      <c r="L860" s="11"/>
    </row>
    <row r="861">
      <c r="B861" s="11"/>
      <c r="C861" s="11"/>
      <c r="D861" s="11"/>
      <c r="E861" s="11"/>
      <c r="F861" s="11"/>
      <c r="G861" s="11"/>
      <c r="H861" s="11"/>
      <c r="I861" s="11"/>
      <c r="J861" s="11"/>
      <c r="K861" s="11"/>
      <c r="L861" s="11"/>
    </row>
    <row r="862">
      <c r="B862" s="11"/>
      <c r="C862" s="11"/>
      <c r="D862" s="11"/>
      <c r="E862" s="11"/>
      <c r="F862" s="11"/>
      <c r="G862" s="11"/>
      <c r="H862" s="11"/>
      <c r="I862" s="11"/>
      <c r="J862" s="11"/>
      <c r="K862" s="11"/>
      <c r="L862" s="11"/>
    </row>
    <row r="863">
      <c r="B863" s="11"/>
      <c r="C863" s="11"/>
      <c r="D863" s="11"/>
      <c r="E863" s="11"/>
      <c r="F863" s="11"/>
      <c r="G863" s="11"/>
      <c r="H863" s="11"/>
      <c r="I863" s="11"/>
      <c r="J863" s="11"/>
      <c r="K863" s="11"/>
      <c r="L863" s="11"/>
    </row>
    <row r="864">
      <c r="B864" s="11"/>
      <c r="C864" s="11"/>
      <c r="D864" s="11"/>
      <c r="E864" s="11"/>
      <c r="F864" s="11"/>
      <c r="G864" s="11"/>
      <c r="H864" s="11"/>
      <c r="I864" s="11"/>
      <c r="J864" s="11"/>
      <c r="K864" s="11"/>
      <c r="L864" s="11"/>
    </row>
    <row r="865">
      <c r="B865" s="11"/>
      <c r="C865" s="11"/>
      <c r="D865" s="11"/>
      <c r="E865" s="11"/>
      <c r="F865" s="11"/>
      <c r="G865" s="11"/>
      <c r="H865" s="11"/>
      <c r="I865" s="11"/>
      <c r="J865" s="11"/>
      <c r="K865" s="11"/>
      <c r="L865" s="11"/>
    </row>
    <row r="866">
      <c r="B866" s="11"/>
      <c r="C866" s="11"/>
      <c r="D866" s="11"/>
      <c r="E866" s="11"/>
      <c r="F866" s="11"/>
      <c r="G866" s="11"/>
      <c r="H866" s="11"/>
      <c r="I866" s="11"/>
      <c r="J866" s="11"/>
      <c r="K866" s="11"/>
      <c r="L866" s="11"/>
    </row>
    <row r="867">
      <c r="B867" s="11"/>
      <c r="C867" s="11"/>
      <c r="D867" s="11"/>
      <c r="E867" s="11"/>
      <c r="F867" s="11"/>
      <c r="G867" s="11"/>
      <c r="H867" s="11"/>
      <c r="I867" s="11"/>
      <c r="J867" s="11"/>
      <c r="K867" s="11"/>
      <c r="L867" s="11"/>
    </row>
    <row r="868">
      <c r="B868" s="11"/>
      <c r="C868" s="11"/>
      <c r="D868" s="11"/>
      <c r="E868" s="11"/>
      <c r="F868" s="11"/>
      <c r="G868" s="11"/>
      <c r="H868" s="11"/>
      <c r="I868" s="11"/>
      <c r="J868" s="11"/>
      <c r="K868" s="11"/>
      <c r="L868" s="11"/>
    </row>
    <row r="869">
      <c r="B869" s="11"/>
      <c r="C869" s="11"/>
      <c r="D869" s="11"/>
      <c r="E869" s="11"/>
      <c r="F869" s="11"/>
      <c r="G869" s="11"/>
      <c r="H869" s="11"/>
      <c r="I869" s="11"/>
      <c r="J869" s="11"/>
      <c r="K869" s="11"/>
      <c r="L869" s="11"/>
    </row>
    <row r="870">
      <c r="B870" s="11"/>
      <c r="C870" s="11"/>
      <c r="D870" s="11"/>
      <c r="E870" s="11"/>
      <c r="F870" s="11"/>
      <c r="G870" s="11"/>
      <c r="H870" s="11"/>
      <c r="I870" s="11"/>
      <c r="J870" s="11"/>
      <c r="K870" s="11"/>
      <c r="L870" s="11"/>
    </row>
    <row r="871">
      <c r="B871" s="11"/>
      <c r="C871" s="11"/>
      <c r="D871" s="11"/>
      <c r="E871" s="11"/>
      <c r="F871" s="11"/>
      <c r="G871" s="11"/>
      <c r="H871" s="11"/>
      <c r="I871" s="11"/>
      <c r="J871" s="11"/>
      <c r="K871" s="11"/>
      <c r="L871" s="11"/>
    </row>
    <row r="872">
      <c r="B872" s="11"/>
      <c r="C872" s="11"/>
      <c r="D872" s="11"/>
      <c r="E872" s="11"/>
      <c r="F872" s="11"/>
      <c r="G872" s="11"/>
      <c r="H872" s="11"/>
      <c r="I872" s="11"/>
      <c r="J872" s="11"/>
      <c r="K872" s="11"/>
      <c r="L872" s="11"/>
    </row>
    <row r="873">
      <c r="B873" s="11"/>
      <c r="C873" s="11"/>
      <c r="D873" s="11"/>
      <c r="E873" s="11"/>
      <c r="F873" s="11"/>
      <c r="G873" s="11"/>
      <c r="H873" s="11"/>
      <c r="I873" s="11"/>
      <c r="J873" s="11"/>
      <c r="K873" s="11"/>
      <c r="L873" s="11"/>
    </row>
    <row r="874">
      <c r="B874" s="11"/>
      <c r="C874" s="11"/>
      <c r="D874" s="11"/>
      <c r="E874" s="11"/>
      <c r="F874" s="11"/>
      <c r="G874" s="11"/>
      <c r="H874" s="11"/>
      <c r="I874" s="11"/>
      <c r="J874" s="11"/>
      <c r="K874" s="11"/>
      <c r="L874" s="11"/>
    </row>
    <row r="875">
      <c r="B875" s="11"/>
      <c r="C875" s="11"/>
      <c r="D875" s="11"/>
      <c r="E875" s="11"/>
      <c r="F875" s="11"/>
      <c r="G875" s="11"/>
      <c r="H875" s="11"/>
      <c r="I875" s="11"/>
      <c r="J875" s="11"/>
      <c r="K875" s="11"/>
      <c r="L875" s="11"/>
    </row>
    <row r="876">
      <c r="B876" s="11"/>
      <c r="C876" s="11"/>
      <c r="D876" s="11"/>
      <c r="E876" s="11"/>
      <c r="F876" s="11"/>
      <c r="G876" s="11"/>
      <c r="H876" s="11"/>
      <c r="I876" s="11"/>
      <c r="J876" s="11"/>
      <c r="K876" s="11"/>
      <c r="L876" s="11"/>
    </row>
    <row r="877">
      <c r="B877" s="11"/>
      <c r="C877" s="11"/>
      <c r="D877" s="11"/>
      <c r="E877" s="11"/>
      <c r="F877" s="11"/>
      <c r="G877" s="11"/>
      <c r="H877" s="11"/>
      <c r="I877" s="11"/>
      <c r="J877" s="11"/>
      <c r="K877" s="11"/>
      <c r="L877" s="11"/>
    </row>
    <row r="878">
      <c r="B878" s="11"/>
      <c r="C878" s="11"/>
      <c r="D878" s="11"/>
      <c r="E878" s="11"/>
      <c r="F878" s="11"/>
      <c r="G878" s="11"/>
      <c r="H878" s="11"/>
      <c r="I878" s="11"/>
      <c r="J878" s="11"/>
      <c r="K878" s="11"/>
      <c r="L878" s="11"/>
    </row>
    <row r="879">
      <c r="B879" s="11"/>
      <c r="C879" s="11"/>
      <c r="D879" s="11"/>
      <c r="E879" s="11"/>
      <c r="F879" s="11"/>
      <c r="G879" s="11"/>
      <c r="H879" s="11"/>
      <c r="I879" s="11"/>
      <c r="J879" s="11"/>
      <c r="K879" s="11"/>
      <c r="L879" s="11"/>
    </row>
    <row r="880">
      <c r="B880" s="11"/>
      <c r="C880" s="11"/>
      <c r="D880" s="11"/>
      <c r="E880" s="11"/>
      <c r="F880" s="11"/>
      <c r="G880" s="11"/>
      <c r="H880" s="11"/>
      <c r="I880" s="11"/>
      <c r="J880" s="11"/>
      <c r="K880" s="11"/>
      <c r="L880" s="11"/>
    </row>
    <row r="881">
      <c r="B881" s="11"/>
      <c r="C881" s="11"/>
      <c r="D881" s="11"/>
      <c r="E881" s="11"/>
      <c r="F881" s="11"/>
      <c r="G881" s="11"/>
      <c r="H881" s="11"/>
      <c r="I881" s="11"/>
      <c r="J881" s="11"/>
      <c r="K881" s="11"/>
      <c r="L881" s="11"/>
    </row>
    <row r="882">
      <c r="B882" s="11"/>
      <c r="C882" s="11"/>
      <c r="D882" s="11"/>
      <c r="E882" s="11"/>
      <c r="F882" s="11"/>
      <c r="G882" s="11"/>
      <c r="H882" s="11"/>
      <c r="I882" s="11"/>
      <c r="J882" s="11"/>
      <c r="K882" s="11"/>
      <c r="L882" s="11"/>
    </row>
    <row r="883">
      <c r="B883" s="11"/>
      <c r="C883" s="11"/>
      <c r="D883" s="11"/>
      <c r="E883" s="11"/>
      <c r="F883" s="11"/>
      <c r="G883" s="11"/>
      <c r="H883" s="11"/>
      <c r="I883" s="11"/>
      <c r="J883" s="11"/>
      <c r="K883" s="11"/>
      <c r="L883" s="11"/>
    </row>
    <row r="884">
      <c r="B884" s="11"/>
      <c r="C884" s="11"/>
      <c r="D884" s="11"/>
      <c r="E884" s="11"/>
      <c r="F884" s="11"/>
      <c r="G884" s="11"/>
      <c r="H884" s="11"/>
      <c r="I884" s="11"/>
      <c r="J884" s="11"/>
      <c r="K884" s="11"/>
      <c r="L884" s="11"/>
    </row>
    <row r="885">
      <c r="B885" s="11"/>
      <c r="C885" s="11"/>
      <c r="D885" s="11"/>
      <c r="E885" s="11"/>
      <c r="F885" s="11"/>
      <c r="G885" s="11"/>
      <c r="H885" s="11"/>
      <c r="I885" s="11"/>
      <c r="J885" s="11"/>
      <c r="K885" s="11"/>
      <c r="L885" s="11"/>
    </row>
    <row r="886">
      <c r="B886" s="11"/>
      <c r="C886" s="11"/>
      <c r="D886" s="11"/>
      <c r="E886" s="11"/>
      <c r="F886" s="11"/>
      <c r="G886" s="11"/>
      <c r="H886" s="11"/>
      <c r="I886" s="11"/>
      <c r="J886" s="11"/>
      <c r="K886" s="11"/>
      <c r="L886" s="11"/>
    </row>
    <row r="887">
      <c r="B887" s="11"/>
      <c r="C887" s="11"/>
      <c r="D887" s="11"/>
      <c r="E887" s="11"/>
      <c r="F887" s="11"/>
      <c r="G887" s="11"/>
      <c r="H887" s="11"/>
      <c r="I887" s="11"/>
      <c r="J887" s="11"/>
      <c r="K887" s="11"/>
      <c r="L887" s="11"/>
    </row>
    <row r="888">
      <c r="B888" s="11"/>
      <c r="C888" s="11"/>
      <c r="D888" s="11"/>
      <c r="E888" s="11"/>
      <c r="F888" s="11"/>
      <c r="G888" s="11"/>
      <c r="H888" s="11"/>
      <c r="I888" s="11"/>
      <c r="J888" s="11"/>
      <c r="K888" s="11"/>
      <c r="L888" s="11"/>
    </row>
    <row r="889">
      <c r="B889" s="11"/>
      <c r="C889" s="11"/>
      <c r="D889" s="11"/>
      <c r="E889" s="11"/>
      <c r="F889" s="11"/>
      <c r="G889" s="11"/>
      <c r="H889" s="11"/>
      <c r="I889" s="11"/>
      <c r="J889" s="11"/>
      <c r="K889" s="11"/>
      <c r="L889" s="11"/>
    </row>
    <row r="890">
      <c r="B890" s="11"/>
      <c r="C890" s="11"/>
      <c r="D890" s="11"/>
      <c r="E890" s="11"/>
      <c r="F890" s="11"/>
      <c r="G890" s="11"/>
      <c r="H890" s="11"/>
      <c r="I890" s="11"/>
      <c r="J890" s="11"/>
      <c r="K890" s="11"/>
      <c r="L890" s="11"/>
    </row>
    <row r="891">
      <c r="B891" s="11"/>
      <c r="C891" s="11"/>
      <c r="D891" s="11"/>
      <c r="E891" s="11"/>
      <c r="F891" s="11"/>
      <c r="G891" s="11"/>
      <c r="H891" s="11"/>
      <c r="I891" s="11"/>
      <c r="J891" s="11"/>
      <c r="K891" s="11"/>
      <c r="L891" s="11"/>
    </row>
    <row r="892">
      <c r="B892" s="11"/>
      <c r="C892" s="11"/>
      <c r="D892" s="11"/>
      <c r="E892" s="11"/>
      <c r="F892" s="11"/>
      <c r="G892" s="11"/>
      <c r="H892" s="11"/>
      <c r="I892" s="11"/>
      <c r="J892" s="11"/>
      <c r="K892" s="11"/>
      <c r="L892" s="11"/>
    </row>
    <row r="893">
      <c r="B893" s="11"/>
      <c r="C893" s="11"/>
      <c r="D893" s="11"/>
      <c r="E893" s="11"/>
      <c r="F893" s="11"/>
      <c r="G893" s="11"/>
      <c r="H893" s="11"/>
      <c r="I893" s="11"/>
      <c r="J893" s="11"/>
      <c r="K893" s="11"/>
      <c r="L893" s="11"/>
    </row>
    <row r="894">
      <c r="B894" s="11"/>
      <c r="C894" s="11"/>
      <c r="D894" s="11"/>
      <c r="E894" s="11"/>
      <c r="F894" s="11"/>
      <c r="G894" s="11"/>
      <c r="H894" s="11"/>
      <c r="I894" s="11"/>
      <c r="J894" s="11"/>
      <c r="K894" s="11"/>
      <c r="L894" s="11"/>
    </row>
    <row r="895">
      <c r="B895" s="11"/>
      <c r="C895" s="11"/>
      <c r="D895" s="11"/>
      <c r="E895" s="11"/>
      <c r="F895" s="11"/>
      <c r="G895" s="11"/>
      <c r="H895" s="11"/>
      <c r="I895" s="11"/>
      <c r="J895" s="11"/>
      <c r="K895" s="11"/>
      <c r="L895" s="11"/>
    </row>
    <row r="896">
      <c r="B896" s="11"/>
      <c r="C896" s="11"/>
      <c r="D896" s="11"/>
      <c r="E896" s="11"/>
      <c r="F896" s="11"/>
      <c r="G896" s="11"/>
      <c r="H896" s="11"/>
      <c r="I896" s="11"/>
      <c r="J896" s="11"/>
      <c r="K896" s="11"/>
      <c r="L896" s="11"/>
    </row>
    <row r="897">
      <c r="B897" s="11"/>
      <c r="C897" s="11"/>
      <c r="D897" s="11"/>
      <c r="E897" s="11"/>
      <c r="F897" s="11"/>
      <c r="G897" s="11"/>
      <c r="H897" s="11"/>
      <c r="I897" s="11"/>
      <c r="J897" s="11"/>
      <c r="K897" s="11"/>
      <c r="L897" s="11"/>
    </row>
    <row r="898">
      <c r="B898" s="11"/>
      <c r="C898" s="11"/>
      <c r="D898" s="11"/>
      <c r="E898" s="11"/>
      <c r="F898" s="11"/>
      <c r="G898" s="11"/>
      <c r="H898" s="11"/>
      <c r="I898" s="11"/>
      <c r="J898" s="11"/>
      <c r="K898" s="11"/>
      <c r="L898" s="11"/>
    </row>
    <row r="899">
      <c r="B899" s="11"/>
      <c r="C899" s="11"/>
      <c r="D899" s="11"/>
      <c r="E899" s="11"/>
      <c r="F899" s="11"/>
      <c r="G899" s="11"/>
      <c r="H899" s="11"/>
      <c r="I899" s="11"/>
      <c r="J899" s="11"/>
      <c r="K899" s="11"/>
      <c r="L899" s="11"/>
    </row>
    <row r="900">
      <c r="B900" s="11"/>
      <c r="C900" s="11"/>
      <c r="D900" s="11"/>
      <c r="E900" s="11"/>
      <c r="F900" s="11"/>
      <c r="G900" s="11"/>
      <c r="H900" s="11"/>
      <c r="I900" s="11"/>
      <c r="J900" s="11"/>
      <c r="K900" s="11"/>
      <c r="L900" s="11"/>
    </row>
    <row r="901">
      <c r="B901" s="11"/>
      <c r="C901" s="11"/>
      <c r="D901" s="11"/>
      <c r="E901" s="11"/>
      <c r="F901" s="11"/>
      <c r="G901" s="11"/>
      <c r="H901" s="11"/>
      <c r="I901" s="11"/>
      <c r="J901" s="11"/>
      <c r="K901" s="11"/>
      <c r="L901" s="11"/>
    </row>
    <row r="902">
      <c r="B902" s="11"/>
      <c r="C902" s="11"/>
      <c r="D902" s="11"/>
      <c r="E902" s="11"/>
      <c r="F902" s="11"/>
      <c r="G902" s="11"/>
      <c r="H902" s="11"/>
      <c r="I902" s="11"/>
      <c r="J902" s="11"/>
      <c r="K902" s="11"/>
      <c r="L902" s="11"/>
    </row>
    <row r="903">
      <c r="B903" s="11"/>
      <c r="C903" s="11"/>
      <c r="D903" s="11"/>
      <c r="E903" s="11"/>
      <c r="F903" s="11"/>
      <c r="G903" s="11"/>
      <c r="H903" s="11"/>
      <c r="I903" s="11"/>
      <c r="J903" s="11"/>
      <c r="K903" s="11"/>
      <c r="L903" s="11"/>
    </row>
    <row r="904">
      <c r="B904" s="11"/>
      <c r="C904" s="11"/>
      <c r="D904" s="11"/>
      <c r="E904" s="11"/>
      <c r="F904" s="11"/>
      <c r="G904" s="11"/>
      <c r="H904" s="11"/>
      <c r="I904" s="11"/>
      <c r="J904" s="11"/>
      <c r="K904" s="11"/>
      <c r="L904" s="11"/>
    </row>
    <row r="905">
      <c r="B905" s="11"/>
      <c r="C905" s="11"/>
      <c r="D905" s="11"/>
      <c r="E905" s="11"/>
      <c r="F905" s="11"/>
      <c r="G905" s="11"/>
      <c r="H905" s="11"/>
      <c r="I905" s="11"/>
      <c r="J905" s="11"/>
      <c r="K905" s="11"/>
      <c r="L905" s="11"/>
    </row>
    <row r="906">
      <c r="B906" s="11"/>
      <c r="C906" s="11"/>
      <c r="D906" s="11"/>
      <c r="E906" s="11"/>
      <c r="F906" s="11"/>
      <c r="G906" s="11"/>
      <c r="H906" s="11"/>
      <c r="I906" s="11"/>
      <c r="J906" s="11"/>
      <c r="K906" s="11"/>
      <c r="L906" s="11"/>
    </row>
    <row r="907">
      <c r="B907" s="11"/>
      <c r="C907" s="11"/>
      <c r="D907" s="11"/>
      <c r="E907" s="11"/>
      <c r="F907" s="11"/>
      <c r="G907" s="11"/>
      <c r="H907" s="11"/>
      <c r="I907" s="11"/>
      <c r="J907" s="11"/>
      <c r="K907" s="11"/>
      <c r="L907" s="11"/>
    </row>
    <row r="908">
      <c r="B908" s="11"/>
      <c r="C908" s="11"/>
      <c r="D908" s="11"/>
      <c r="E908" s="11"/>
      <c r="F908" s="11"/>
      <c r="G908" s="11"/>
      <c r="H908" s="11"/>
      <c r="I908" s="11"/>
      <c r="J908" s="11"/>
      <c r="K908" s="11"/>
      <c r="L908" s="11"/>
    </row>
    <row r="909">
      <c r="B909" s="11"/>
      <c r="C909" s="11"/>
      <c r="D909" s="11"/>
      <c r="E909" s="11"/>
      <c r="F909" s="11"/>
      <c r="G909" s="11"/>
      <c r="H909" s="11"/>
      <c r="I909" s="11"/>
      <c r="J909" s="11"/>
      <c r="K909" s="11"/>
      <c r="L909" s="11"/>
    </row>
    <row r="910">
      <c r="B910" s="11"/>
      <c r="C910" s="11"/>
      <c r="D910" s="11"/>
      <c r="E910" s="11"/>
      <c r="F910" s="11"/>
      <c r="G910" s="11"/>
      <c r="H910" s="11"/>
      <c r="I910" s="11"/>
      <c r="J910" s="11"/>
      <c r="K910" s="11"/>
      <c r="L910" s="11"/>
    </row>
    <row r="911">
      <c r="B911" s="11"/>
      <c r="C911" s="11"/>
      <c r="D911" s="11"/>
      <c r="E911" s="11"/>
      <c r="F911" s="11"/>
      <c r="G911" s="11"/>
      <c r="H911" s="11"/>
      <c r="I911" s="11"/>
      <c r="J911" s="11"/>
      <c r="K911" s="11"/>
      <c r="L911" s="11"/>
    </row>
    <row r="912">
      <c r="B912" s="11"/>
      <c r="C912" s="11"/>
      <c r="D912" s="11"/>
      <c r="E912" s="11"/>
      <c r="F912" s="11"/>
      <c r="G912" s="11"/>
      <c r="H912" s="11"/>
      <c r="I912" s="11"/>
      <c r="J912" s="11"/>
      <c r="K912" s="11"/>
      <c r="L912" s="11"/>
    </row>
    <row r="913">
      <c r="B913" s="11"/>
      <c r="C913" s="11"/>
      <c r="D913" s="11"/>
      <c r="E913" s="11"/>
      <c r="F913" s="11"/>
      <c r="G913" s="11"/>
      <c r="H913" s="11"/>
      <c r="I913" s="11"/>
      <c r="J913" s="11"/>
      <c r="K913" s="11"/>
      <c r="L913" s="11"/>
    </row>
    <row r="914">
      <c r="B914" s="11"/>
      <c r="C914" s="11"/>
      <c r="D914" s="11"/>
      <c r="E914" s="11"/>
      <c r="F914" s="11"/>
      <c r="G914" s="11"/>
      <c r="H914" s="11"/>
      <c r="I914" s="11"/>
      <c r="J914" s="11"/>
      <c r="K914" s="11"/>
      <c r="L914" s="11"/>
    </row>
    <row r="915">
      <c r="B915" s="11"/>
      <c r="C915" s="11"/>
      <c r="D915" s="11"/>
      <c r="E915" s="11"/>
      <c r="F915" s="11"/>
      <c r="G915" s="11"/>
      <c r="H915" s="11"/>
      <c r="I915" s="11"/>
      <c r="J915" s="11"/>
      <c r="K915" s="11"/>
      <c r="L915" s="11"/>
    </row>
    <row r="916">
      <c r="B916" s="11"/>
      <c r="C916" s="11"/>
      <c r="D916" s="11"/>
      <c r="E916" s="11"/>
      <c r="F916" s="11"/>
      <c r="G916" s="11"/>
      <c r="H916" s="11"/>
      <c r="I916" s="11"/>
      <c r="J916" s="11"/>
      <c r="K916" s="11"/>
      <c r="L916" s="11"/>
    </row>
    <row r="917">
      <c r="B917" s="11"/>
      <c r="C917" s="11"/>
      <c r="D917" s="11"/>
      <c r="E917" s="11"/>
      <c r="F917" s="11"/>
      <c r="G917" s="11"/>
      <c r="H917" s="11"/>
      <c r="I917" s="11"/>
      <c r="J917" s="11"/>
      <c r="K917" s="11"/>
      <c r="L917" s="11"/>
    </row>
    <row r="918">
      <c r="B918" s="11"/>
      <c r="C918" s="11"/>
      <c r="D918" s="11"/>
      <c r="E918" s="11"/>
      <c r="F918" s="11"/>
      <c r="G918" s="11"/>
      <c r="H918" s="11"/>
      <c r="I918" s="11"/>
      <c r="J918" s="11"/>
      <c r="K918" s="11"/>
      <c r="L918" s="11"/>
    </row>
    <row r="919">
      <c r="B919" s="11"/>
      <c r="C919" s="11"/>
      <c r="D919" s="11"/>
      <c r="E919" s="11"/>
      <c r="F919" s="11"/>
      <c r="G919" s="11"/>
      <c r="H919" s="11"/>
      <c r="I919" s="11"/>
      <c r="J919" s="11"/>
      <c r="K919" s="11"/>
      <c r="L919" s="11"/>
    </row>
    <row r="920">
      <c r="B920" s="11"/>
      <c r="C920" s="11"/>
      <c r="D920" s="11"/>
      <c r="E920" s="11"/>
      <c r="F920" s="11"/>
      <c r="G920" s="11"/>
      <c r="H920" s="11"/>
      <c r="I920" s="11"/>
      <c r="J920" s="11"/>
      <c r="K920" s="11"/>
      <c r="L920" s="11"/>
    </row>
    <row r="921">
      <c r="B921" s="11"/>
      <c r="C921" s="11"/>
      <c r="D921" s="11"/>
      <c r="E921" s="11"/>
      <c r="F921" s="11"/>
      <c r="G921" s="11"/>
      <c r="H921" s="11"/>
      <c r="I921" s="11"/>
      <c r="J921" s="11"/>
      <c r="K921" s="11"/>
      <c r="L921" s="11"/>
    </row>
    <row r="922">
      <c r="B922" s="11"/>
      <c r="C922" s="11"/>
      <c r="D922" s="11"/>
      <c r="E922" s="11"/>
      <c r="F922" s="11"/>
      <c r="G922" s="11"/>
      <c r="H922" s="11"/>
      <c r="I922" s="11"/>
      <c r="J922" s="11"/>
      <c r="K922" s="11"/>
      <c r="L922" s="11"/>
    </row>
    <row r="923">
      <c r="B923" s="11"/>
      <c r="C923" s="11"/>
      <c r="D923" s="11"/>
      <c r="E923" s="11"/>
      <c r="F923" s="11"/>
      <c r="G923" s="11"/>
      <c r="H923" s="11"/>
      <c r="I923" s="11"/>
      <c r="J923" s="11"/>
      <c r="K923" s="11"/>
      <c r="L923" s="11"/>
    </row>
    <row r="924">
      <c r="B924" s="11"/>
      <c r="C924" s="11"/>
      <c r="D924" s="11"/>
      <c r="E924" s="11"/>
      <c r="F924" s="11"/>
      <c r="G924" s="11"/>
      <c r="H924" s="11"/>
      <c r="I924" s="11"/>
      <c r="J924" s="11"/>
      <c r="K924" s="11"/>
      <c r="L924" s="11"/>
    </row>
    <row r="925">
      <c r="B925" s="11"/>
      <c r="C925" s="11"/>
      <c r="D925" s="11"/>
      <c r="E925" s="11"/>
      <c r="F925" s="11"/>
      <c r="G925" s="11"/>
      <c r="H925" s="11"/>
      <c r="I925" s="11"/>
      <c r="J925" s="11"/>
      <c r="K925" s="11"/>
      <c r="L925" s="11"/>
    </row>
    <row r="926">
      <c r="B926" s="11"/>
      <c r="C926" s="11"/>
      <c r="D926" s="11"/>
      <c r="E926" s="11"/>
      <c r="F926" s="11"/>
      <c r="G926" s="11"/>
      <c r="H926" s="11"/>
      <c r="I926" s="11"/>
      <c r="J926" s="11"/>
      <c r="K926" s="11"/>
      <c r="L926" s="11"/>
    </row>
    <row r="927">
      <c r="B927" s="11"/>
      <c r="C927" s="11"/>
      <c r="D927" s="11"/>
      <c r="E927" s="11"/>
      <c r="F927" s="11"/>
      <c r="G927" s="11"/>
      <c r="H927" s="11"/>
      <c r="I927" s="11"/>
      <c r="J927" s="11"/>
      <c r="K927" s="11"/>
      <c r="L927" s="11"/>
    </row>
    <row r="928">
      <c r="B928" s="11"/>
      <c r="C928" s="11"/>
      <c r="D928" s="11"/>
      <c r="E928" s="11"/>
      <c r="F928" s="11"/>
      <c r="G928" s="11"/>
      <c r="H928" s="11"/>
      <c r="I928" s="11"/>
      <c r="J928" s="11"/>
      <c r="K928" s="11"/>
      <c r="L928" s="11"/>
    </row>
    <row r="929">
      <c r="B929" s="11"/>
      <c r="C929" s="11"/>
      <c r="D929" s="11"/>
      <c r="E929" s="11"/>
      <c r="F929" s="11"/>
      <c r="G929" s="11"/>
      <c r="H929" s="11"/>
      <c r="I929" s="11"/>
      <c r="J929" s="11"/>
      <c r="K929" s="11"/>
      <c r="L929" s="11"/>
    </row>
    <row r="930">
      <c r="B930" s="11"/>
      <c r="C930" s="11"/>
      <c r="D930" s="11"/>
      <c r="E930" s="11"/>
      <c r="F930" s="11"/>
      <c r="G930" s="11"/>
      <c r="H930" s="11"/>
      <c r="I930" s="11"/>
      <c r="J930" s="11"/>
      <c r="K930" s="11"/>
      <c r="L930" s="11"/>
    </row>
    <row r="931">
      <c r="B931" s="11"/>
      <c r="C931" s="11"/>
      <c r="D931" s="11"/>
      <c r="E931" s="11"/>
      <c r="F931" s="11"/>
      <c r="G931" s="11"/>
      <c r="H931" s="11"/>
      <c r="I931" s="11"/>
      <c r="J931" s="11"/>
      <c r="K931" s="11"/>
      <c r="L931" s="11"/>
    </row>
    <row r="932">
      <c r="B932" s="11"/>
      <c r="C932" s="11"/>
      <c r="D932" s="11"/>
      <c r="E932" s="11"/>
      <c r="F932" s="11"/>
      <c r="G932" s="11"/>
      <c r="H932" s="11"/>
      <c r="I932" s="11"/>
      <c r="J932" s="11"/>
      <c r="K932" s="11"/>
      <c r="L932" s="11"/>
    </row>
    <row r="933">
      <c r="B933" s="11"/>
      <c r="C933" s="11"/>
      <c r="D933" s="11"/>
      <c r="E933" s="11"/>
      <c r="F933" s="11"/>
      <c r="G933" s="11"/>
      <c r="H933" s="11"/>
      <c r="I933" s="11"/>
      <c r="J933" s="11"/>
      <c r="K933" s="11"/>
      <c r="L933" s="11"/>
    </row>
    <row r="934">
      <c r="B934" s="11"/>
      <c r="C934" s="11"/>
      <c r="D934" s="11"/>
      <c r="E934" s="11"/>
      <c r="F934" s="11"/>
      <c r="G934" s="11"/>
      <c r="H934" s="11"/>
      <c r="I934" s="11"/>
      <c r="J934" s="11"/>
      <c r="K934" s="11"/>
      <c r="L934" s="11"/>
    </row>
    <row r="935">
      <c r="B935" s="11"/>
      <c r="C935" s="11"/>
      <c r="D935" s="11"/>
      <c r="E935" s="11"/>
      <c r="F935" s="11"/>
      <c r="G935" s="11"/>
      <c r="H935" s="11"/>
      <c r="I935" s="11"/>
      <c r="J935" s="11"/>
      <c r="K935" s="11"/>
      <c r="L935" s="11"/>
    </row>
    <row r="936">
      <c r="B936" s="11"/>
      <c r="C936" s="11"/>
      <c r="D936" s="11"/>
      <c r="E936" s="11"/>
      <c r="F936" s="11"/>
      <c r="G936" s="11"/>
      <c r="H936" s="11"/>
      <c r="I936" s="11"/>
      <c r="J936" s="11"/>
      <c r="K936" s="11"/>
      <c r="L936" s="11"/>
    </row>
    <row r="937">
      <c r="B937" s="11"/>
      <c r="C937" s="11"/>
      <c r="D937" s="11"/>
      <c r="E937" s="11"/>
      <c r="F937" s="11"/>
      <c r="G937" s="11"/>
      <c r="H937" s="11"/>
      <c r="I937" s="11"/>
      <c r="J937" s="11"/>
      <c r="K937" s="11"/>
      <c r="L937" s="11"/>
    </row>
    <row r="938">
      <c r="B938" s="11"/>
      <c r="C938" s="11"/>
      <c r="D938" s="11"/>
      <c r="E938" s="11"/>
      <c r="F938" s="11"/>
      <c r="G938" s="11"/>
      <c r="H938" s="11"/>
      <c r="I938" s="11"/>
      <c r="J938" s="11"/>
      <c r="K938" s="11"/>
      <c r="L938" s="11"/>
    </row>
    <row r="939">
      <c r="B939" s="11"/>
      <c r="C939" s="11"/>
      <c r="D939" s="11"/>
      <c r="E939" s="11"/>
      <c r="F939" s="11"/>
      <c r="G939" s="11"/>
      <c r="H939" s="11"/>
      <c r="I939" s="11"/>
      <c r="J939" s="11"/>
      <c r="K939" s="11"/>
      <c r="L939" s="11"/>
    </row>
    <row r="940">
      <c r="B940" s="11"/>
      <c r="C940" s="11"/>
      <c r="D940" s="11"/>
      <c r="E940" s="11"/>
      <c r="F940" s="11"/>
      <c r="G940" s="11"/>
      <c r="H940" s="11"/>
      <c r="I940" s="11"/>
      <c r="J940" s="11"/>
      <c r="K940" s="11"/>
      <c r="L940" s="11"/>
    </row>
    <row r="941">
      <c r="B941" s="11"/>
      <c r="C941" s="11"/>
      <c r="D941" s="11"/>
      <c r="E941" s="11"/>
      <c r="F941" s="11"/>
      <c r="G941" s="11"/>
      <c r="H941" s="11"/>
      <c r="I941" s="11"/>
      <c r="J941" s="11"/>
      <c r="K941" s="11"/>
      <c r="L941" s="11"/>
    </row>
    <row r="942">
      <c r="B942" s="11"/>
      <c r="C942" s="11"/>
      <c r="D942" s="11"/>
      <c r="E942" s="11"/>
      <c r="F942" s="11"/>
      <c r="G942" s="11"/>
      <c r="H942" s="11"/>
      <c r="I942" s="11"/>
      <c r="J942" s="11"/>
      <c r="K942" s="11"/>
      <c r="L942" s="11"/>
    </row>
    <row r="943">
      <c r="B943" s="11"/>
      <c r="C943" s="11"/>
      <c r="D943" s="11"/>
      <c r="E943" s="11"/>
      <c r="F943" s="11"/>
      <c r="G943" s="11"/>
      <c r="H943" s="11"/>
      <c r="I943" s="11"/>
      <c r="J943" s="11"/>
      <c r="K943" s="11"/>
      <c r="L943" s="11"/>
    </row>
    <row r="944">
      <c r="B944" s="11"/>
      <c r="C944" s="11"/>
      <c r="D944" s="11"/>
      <c r="E944" s="11"/>
      <c r="F944" s="11"/>
      <c r="G944" s="11"/>
      <c r="H944" s="11"/>
      <c r="I944" s="11"/>
      <c r="J944" s="11"/>
      <c r="K944" s="11"/>
      <c r="L944" s="11"/>
    </row>
    <row r="945">
      <c r="B945" s="11"/>
      <c r="C945" s="11"/>
      <c r="D945" s="11"/>
      <c r="E945" s="11"/>
      <c r="F945" s="11"/>
      <c r="G945" s="11"/>
      <c r="H945" s="11"/>
      <c r="I945" s="11"/>
      <c r="J945" s="11"/>
      <c r="K945" s="11"/>
      <c r="L945" s="11"/>
    </row>
    <row r="946">
      <c r="B946" s="11"/>
      <c r="C946" s="11"/>
      <c r="D946" s="11"/>
      <c r="E946" s="11"/>
      <c r="F946" s="11"/>
      <c r="G946" s="11"/>
      <c r="H946" s="11"/>
      <c r="I946" s="11"/>
      <c r="J946" s="11"/>
      <c r="K946" s="11"/>
      <c r="L946" s="11"/>
    </row>
    <row r="947">
      <c r="B947" s="11"/>
      <c r="C947" s="11"/>
      <c r="D947" s="11"/>
      <c r="E947" s="11"/>
      <c r="F947" s="11"/>
      <c r="G947" s="11"/>
      <c r="H947" s="11"/>
      <c r="I947" s="11"/>
      <c r="J947" s="11"/>
      <c r="K947" s="11"/>
      <c r="L947" s="11"/>
    </row>
    <row r="948">
      <c r="B948" s="11"/>
      <c r="C948" s="11"/>
      <c r="D948" s="11"/>
      <c r="E948" s="11"/>
      <c r="F948" s="11"/>
      <c r="G948" s="11"/>
      <c r="H948" s="11"/>
      <c r="I948" s="11"/>
      <c r="J948" s="11"/>
      <c r="K948" s="11"/>
      <c r="L948" s="11"/>
    </row>
    <row r="949">
      <c r="B949" s="11"/>
      <c r="C949" s="11"/>
      <c r="D949" s="11"/>
      <c r="E949" s="11"/>
      <c r="F949" s="11"/>
      <c r="G949" s="11"/>
      <c r="H949" s="11"/>
      <c r="I949" s="11"/>
      <c r="J949" s="11"/>
      <c r="K949" s="11"/>
      <c r="L949" s="11"/>
    </row>
    <row r="950">
      <c r="B950" s="11"/>
      <c r="C950" s="11"/>
      <c r="D950" s="11"/>
      <c r="E950" s="11"/>
      <c r="F950" s="11"/>
      <c r="G950" s="11"/>
      <c r="H950" s="11"/>
      <c r="I950" s="11"/>
      <c r="J950" s="11"/>
      <c r="K950" s="11"/>
      <c r="L950" s="11"/>
    </row>
    <row r="951">
      <c r="B951" s="11"/>
      <c r="C951" s="11"/>
      <c r="D951" s="11"/>
      <c r="E951" s="11"/>
      <c r="F951" s="11"/>
      <c r="G951" s="11"/>
      <c r="H951" s="11"/>
      <c r="I951" s="11"/>
      <c r="J951" s="11"/>
      <c r="K951" s="11"/>
      <c r="L951" s="11"/>
    </row>
    <row r="952">
      <c r="B952" s="11"/>
      <c r="C952" s="11"/>
      <c r="D952" s="11"/>
      <c r="E952" s="11"/>
      <c r="F952" s="11"/>
      <c r="G952" s="11"/>
      <c r="H952" s="11"/>
      <c r="I952" s="11"/>
      <c r="J952" s="11"/>
      <c r="K952" s="11"/>
      <c r="L952" s="11"/>
    </row>
    <row r="953">
      <c r="B953" s="11"/>
      <c r="C953" s="11"/>
      <c r="D953" s="11"/>
      <c r="E953" s="11"/>
      <c r="F953" s="11"/>
      <c r="G953" s="11"/>
      <c r="H953" s="11"/>
      <c r="I953" s="11"/>
      <c r="J953" s="11"/>
      <c r="K953" s="11"/>
      <c r="L953" s="11"/>
    </row>
    <row r="954">
      <c r="B954" s="11"/>
      <c r="C954" s="11"/>
      <c r="D954" s="11"/>
      <c r="E954" s="11"/>
      <c r="F954" s="11"/>
      <c r="G954" s="11"/>
      <c r="H954" s="11"/>
      <c r="I954" s="11"/>
      <c r="J954" s="11"/>
      <c r="K954" s="11"/>
      <c r="L954" s="11"/>
    </row>
    <row r="955">
      <c r="B955" s="11"/>
      <c r="C955" s="11"/>
      <c r="D955" s="11"/>
      <c r="E955" s="11"/>
      <c r="F955" s="11"/>
      <c r="G955" s="11"/>
      <c r="H955" s="11"/>
      <c r="I955" s="11"/>
      <c r="J955" s="11"/>
      <c r="K955" s="11"/>
      <c r="L955" s="11"/>
    </row>
    <row r="956">
      <c r="B956" s="11"/>
      <c r="C956" s="11"/>
      <c r="D956" s="11"/>
      <c r="E956" s="11"/>
      <c r="F956" s="11"/>
      <c r="G956" s="11"/>
      <c r="H956" s="11"/>
      <c r="I956" s="11"/>
      <c r="J956" s="11"/>
      <c r="K956" s="11"/>
      <c r="L956" s="11"/>
    </row>
    <row r="957">
      <c r="B957" s="11"/>
      <c r="C957" s="11"/>
      <c r="D957" s="11"/>
      <c r="E957" s="11"/>
      <c r="F957" s="11"/>
      <c r="G957" s="11"/>
      <c r="H957" s="11"/>
      <c r="I957" s="11"/>
      <c r="J957" s="11"/>
      <c r="K957" s="11"/>
      <c r="L957" s="11"/>
    </row>
    <row r="958">
      <c r="B958" s="11"/>
      <c r="C958" s="11"/>
      <c r="D958" s="11"/>
      <c r="E958" s="11"/>
      <c r="F958" s="11"/>
      <c r="G958" s="11"/>
      <c r="H958" s="11"/>
      <c r="I958" s="11"/>
      <c r="J958" s="11"/>
      <c r="K958" s="11"/>
      <c r="L958" s="11"/>
    </row>
    <row r="959">
      <c r="B959" s="11"/>
      <c r="C959" s="11"/>
      <c r="D959" s="11"/>
      <c r="E959" s="11"/>
      <c r="F959" s="11"/>
      <c r="G959" s="11"/>
      <c r="H959" s="11"/>
      <c r="I959" s="11"/>
      <c r="J959" s="11"/>
      <c r="K959" s="11"/>
      <c r="L959" s="11"/>
    </row>
    <row r="960">
      <c r="B960" s="11"/>
      <c r="C960" s="11"/>
      <c r="D960" s="11"/>
      <c r="E960" s="11"/>
      <c r="F960" s="11"/>
      <c r="G960" s="11"/>
      <c r="H960" s="11"/>
      <c r="I960" s="11"/>
      <c r="J960" s="11"/>
      <c r="K960" s="11"/>
      <c r="L960" s="11"/>
    </row>
    <row r="961">
      <c r="B961" s="11"/>
      <c r="C961" s="11"/>
      <c r="D961" s="11"/>
      <c r="E961" s="11"/>
      <c r="F961" s="11"/>
      <c r="G961" s="11"/>
      <c r="H961" s="11"/>
      <c r="I961" s="11"/>
      <c r="J961" s="11"/>
      <c r="K961" s="11"/>
      <c r="L961" s="11"/>
    </row>
    <row r="962">
      <c r="B962" s="11"/>
      <c r="C962" s="11"/>
      <c r="D962" s="11"/>
      <c r="E962" s="11"/>
      <c r="F962" s="11"/>
      <c r="G962" s="11"/>
      <c r="H962" s="11"/>
      <c r="I962" s="11"/>
      <c r="J962" s="11"/>
      <c r="K962" s="11"/>
      <c r="L962" s="11"/>
    </row>
    <row r="963">
      <c r="B963" s="11"/>
      <c r="C963" s="11"/>
      <c r="D963" s="11"/>
      <c r="E963" s="11"/>
      <c r="F963" s="11"/>
      <c r="G963" s="11"/>
      <c r="H963" s="11"/>
      <c r="I963" s="11"/>
      <c r="J963" s="11"/>
      <c r="K963" s="11"/>
      <c r="L963" s="11"/>
    </row>
    <row r="964">
      <c r="B964" s="11"/>
      <c r="C964" s="11"/>
      <c r="D964" s="11"/>
      <c r="E964" s="11"/>
      <c r="F964" s="11"/>
      <c r="G964" s="11"/>
      <c r="H964" s="11"/>
      <c r="I964" s="11"/>
      <c r="J964" s="11"/>
      <c r="K964" s="11"/>
      <c r="L964" s="11"/>
    </row>
    <row r="965">
      <c r="B965" s="11"/>
      <c r="C965" s="11"/>
      <c r="D965" s="11"/>
      <c r="E965" s="11"/>
      <c r="F965" s="11"/>
      <c r="G965" s="11"/>
      <c r="H965" s="11"/>
      <c r="I965" s="11"/>
      <c r="J965" s="11"/>
      <c r="K965" s="11"/>
      <c r="L965" s="11"/>
    </row>
    <row r="966">
      <c r="B966" s="11"/>
      <c r="C966" s="11"/>
      <c r="D966" s="11"/>
      <c r="E966" s="11"/>
      <c r="F966" s="11"/>
      <c r="G966" s="11"/>
      <c r="H966" s="11"/>
      <c r="I966" s="11"/>
      <c r="J966" s="11"/>
      <c r="K966" s="11"/>
      <c r="L966" s="11"/>
    </row>
    <row r="967">
      <c r="B967" s="11"/>
      <c r="C967" s="11"/>
      <c r="D967" s="11"/>
      <c r="E967" s="11"/>
      <c r="F967" s="11"/>
      <c r="G967" s="11"/>
      <c r="H967" s="11"/>
      <c r="I967" s="11"/>
      <c r="J967" s="11"/>
      <c r="K967" s="11"/>
      <c r="L967" s="11"/>
    </row>
    <row r="968">
      <c r="B968" s="11"/>
      <c r="C968" s="11"/>
      <c r="D968" s="11"/>
      <c r="E968" s="11"/>
      <c r="F968" s="11"/>
      <c r="G968" s="11"/>
      <c r="H968" s="11"/>
      <c r="I968" s="11"/>
      <c r="J968" s="11"/>
      <c r="K968" s="11"/>
      <c r="L968" s="11"/>
    </row>
    <row r="969">
      <c r="B969" s="11"/>
      <c r="C969" s="11"/>
      <c r="D969" s="11"/>
      <c r="E969" s="11"/>
      <c r="F969" s="11"/>
      <c r="G969" s="11"/>
      <c r="H969" s="11"/>
      <c r="I969" s="11"/>
      <c r="J969" s="11"/>
      <c r="K969" s="11"/>
      <c r="L969" s="11"/>
    </row>
    <row r="970">
      <c r="B970" s="11"/>
      <c r="C970" s="11"/>
      <c r="D970" s="11"/>
      <c r="E970" s="11"/>
      <c r="F970" s="11"/>
      <c r="G970" s="11"/>
      <c r="H970" s="11"/>
      <c r="I970" s="11"/>
      <c r="J970" s="11"/>
      <c r="K970" s="11"/>
      <c r="L970" s="11"/>
    </row>
    <row r="971">
      <c r="B971" s="11"/>
      <c r="C971" s="11"/>
      <c r="D971" s="11"/>
      <c r="E971" s="11"/>
      <c r="F971" s="11"/>
      <c r="G971" s="11"/>
      <c r="H971" s="11"/>
      <c r="I971" s="11"/>
      <c r="J971" s="11"/>
      <c r="K971" s="11"/>
      <c r="L971" s="11"/>
    </row>
    <row r="972">
      <c r="B972" s="11"/>
      <c r="C972" s="11"/>
      <c r="D972" s="11"/>
      <c r="E972" s="11"/>
      <c r="F972" s="11"/>
      <c r="G972" s="11"/>
      <c r="H972" s="11"/>
      <c r="I972" s="11"/>
      <c r="J972" s="11"/>
      <c r="K972" s="11"/>
      <c r="L972" s="11"/>
    </row>
    <row r="973">
      <c r="B973" s="11"/>
      <c r="C973" s="11"/>
      <c r="D973" s="11"/>
      <c r="E973" s="11"/>
      <c r="F973" s="11"/>
      <c r="G973" s="11"/>
      <c r="H973" s="11"/>
      <c r="I973" s="11"/>
      <c r="J973" s="11"/>
      <c r="K973" s="11"/>
      <c r="L973" s="11"/>
    </row>
    <row r="974">
      <c r="B974" s="11"/>
      <c r="C974" s="11"/>
      <c r="D974" s="11"/>
      <c r="E974" s="11"/>
      <c r="F974" s="11"/>
      <c r="G974" s="11"/>
      <c r="H974" s="11"/>
      <c r="I974" s="11"/>
      <c r="J974" s="11"/>
      <c r="K974" s="11"/>
      <c r="L974" s="11"/>
    </row>
    <row r="975">
      <c r="B975" s="11"/>
      <c r="C975" s="11"/>
      <c r="D975" s="11"/>
      <c r="E975" s="11"/>
      <c r="F975" s="11"/>
      <c r="G975" s="11"/>
      <c r="H975" s="11"/>
      <c r="I975" s="11"/>
      <c r="J975" s="11"/>
      <c r="K975" s="11"/>
      <c r="L975" s="11"/>
    </row>
    <row r="976">
      <c r="B976" s="11"/>
      <c r="C976" s="11"/>
      <c r="D976" s="11"/>
      <c r="E976" s="11"/>
      <c r="F976" s="11"/>
      <c r="G976" s="11"/>
      <c r="H976" s="11"/>
      <c r="I976" s="11"/>
      <c r="J976" s="11"/>
      <c r="K976" s="11"/>
      <c r="L976" s="11"/>
    </row>
    <row r="977">
      <c r="B977" s="11"/>
      <c r="C977" s="11"/>
      <c r="D977" s="11"/>
      <c r="E977" s="11"/>
      <c r="F977" s="11"/>
      <c r="G977" s="11"/>
      <c r="H977" s="11"/>
      <c r="I977" s="11"/>
      <c r="J977" s="11"/>
      <c r="K977" s="11"/>
      <c r="L977" s="11"/>
    </row>
    <row r="978">
      <c r="B978" s="11"/>
      <c r="C978" s="11"/>
      <c r="D978" s="11"/>
      <c r="E978" s="11"/>
      <c r="F978" s="11"/>
      <c r="G978" s="11"/>
      <c r="H978" s="11"/>
      <c r="I978" s="11"/>
      <c r="J978" s="11"/>
      <c r="K978" s="11"/>
      <c r="L978" s="11"/>
    </row>
    <row r="979">
      <c r="B979" s="11"/>
      <c r="C979" s="11"/>
      <c r="D979" s="11"/>
      <c r="E979" s="11"/>
      <c r="F979" s="11"/>
      <c r="G979" s="11"/>
      <c r="H979" s="11"/>
      <c r="I979" s="11"/>
      <c r="J979" s="11"/>
      <c r="K979" s="11"/>
      <c r="L979" s="11"/>
    </row>
    <row r="980">
      <c r="B980" s="11"/>
      <c r="C980" s="11"/>
      <c r="D980" s="11"/>
      <c r="E980" s="11"/>
      <c r="F980" s="11"/>
      <c r="G980" s="11"/>
      <c r="H980" s="11"/>
      <c r="I980" s="11"/>
      <c r="J980" s="11"/>
      <c r="K980" s="11"/>
      <c r="L980" s="11"/>
    </row>
    <row r="981">
      <c r="B981" s="11"/>
      <c r="C981" s="11"/>
      <c r="D981" s="11"/>
      <c r="E981" s="11"/>
      <c r="F981" s="11"/>
      <c r="G981" s="11"/>
      <c r="H981" s="11"/>
      <c r="I981" s="11"/>
      <c r="J981" s="11"/>
      <c r="K981" s="11"/>
      <c r="L981" s="11"/>
    </row>
    <row r="982">
      <c r="B982" s="11"/>
      <c r="C982" s="11"/>
      <c r="D982" s="11"/>
      <c r="E982" s="11"/>
      <c r="F982" s="11"/>
      <c r="G982" s="11"/>
      <c r="H982" s="11"/>
      <c r="I982" s="11"/>
      <c r="J982" s="11"/>
      <c r="K982" s="11"/>
      <c r="L982" s="11"/>
    </row>
    <row r="983">
      <c r="B983" s="11"/>
      <c r="C983" s="11"/>
      <c r="D983" s="11"/>
      <c r="E983" s="11"/>
      <c r="F983" s="11"/>
      <c r="G983" s="11"/>
      <c r="H983" s="11"/>
      <c r="I983" s="11"/>
      <c r="J983" s="11"/>
      <c r="K983" s="11"/>
      <c r="L983" s="11"/>
    </row>
    <row r="984">
      <c r="B984" s="11"/>
      <c r="C984" s="11"/>
      <c r="D984" s="11"/>
      <c r="E984" s="11"/>
      <c r="F984" s="11"/>
      <c r="G984" s="11"/>
      <c r="H984" s="11"/>
      <c r="I984" s="11"/>
      <c r="J984" s="11"/>
      <c r="K984" s="11"/>
      <c r="L984" s="11"/>
    </row>
    <row r="985">
      <c r="B985" s="11"/>
      <c r="C985" s="11"/>
      <c r="D985" s="11"/>
      <c r="E985" s="11"/>
      <c r="F985" s="11"/>
      <c r="G985" s="11"/>
      <c r="H985" s="11"/>
      <c r="I985" s="11"/>
      <c r="J985" s="11"/>
      <c r="K985" s="11"/>
      <c r="L985" s="11"/>
    </row>
    <row r="986">
      <c r="B986" s="11"/>
      <c r="C986" s="11"/>
      <c r="D986" s="11"/>
      <c r="E986" s="11"/>
      <c r="F986" s="11"/>
      <c r="G986" s="11"/>
      <c r="H986" s="11"/>
      <c r="I986" s="11"/>
      <c r="J986" s="11"/>
      <c r="K986" s="11"/>
      <c r="L986" s="11"/>
    </row>
    <row r="987">
      <c r="B987" s="11"/>
      <c r="C987" s="11"/>
      <c r="D987" s="11"/>
      <c r="E987" s="11"/>
      <c r="F987" s="11"/>
      <c r="G987" s="11"/>
      <c r="H987" s="11"/>
      <c r="I987" s="11"/>
      <c r="J987" s="11"/>
      <c r="K987" s="11"/>
      <c r="L987" s="11"/>
    </row>
    <row r="988">
      <c r="B988" s="11"/>
      <c r="C988" s="11"/>
      <c r="D988" s="11"/>
      <c r="E988" s="11"/>
      <c r="F988" s="11"/>
      <c r="G988" s="11"/>
      <c r="H988" s="11"/>
      <c r="I988" s="11"/>
      <c r="J988" s="11"/>
      <c r="K988" s="11"/>
      <c r="L988" s="11"/>
    </row>
    <row r="989">
      <c r="B989" s="11"/>
      <c r="C989" s="11"/>
      <c r="D989" s="11"/>
      <c r="E989" s="11"/>
      <c r="F989" s="11"/>
      <c r="G989" s="11"/>
      <c r="H989" s="11"/>
      <c r="I989" s="11"/>
      <c r="J989" s="11"/>
      <c r="K989" s="11"/>
      <c r="L989" s="11"/>
    </row>
    <row r="990">
      <c r="B990" s="11"/>
      <c r="C990" s="11"/>
      <c r="D990" s="11"/>
      <c r="E990" s="11"/>
      <c r="F990" s="11"/>
      <c r="G990" s="11"/>
      <c r="H990" s="11"/>
      <c r="I990" s="11"/>
      <c r="J990" s="11"/>
      <c r="K990" s="11"/>
      <c r="L990" s="11"/>
    </row>
    <row r="991">
      <c r="B991" s="11"/>
      <c r="C991" s="11"/>
      <c r="D991" s="11"/>
      <c r="E991" s="11"/>
      <c r="F991" s="11"/>
      <c r="G991" s="11"/>
      <c r="H991" s="11"/>
      <c r="I991" s="11"/>
      <c r="J991" s="11"/>
      <c r="K991" s="11"/>
      <c r="L991" s="11"/>
    </row>
    <row r="992">
      <c r="B992" s="11"/>
      <c r="C992" s="11"/>
      <c r="D992" s="11"/>
      <c r="E992" s="11"/>
      <c r="F992" s="11"/>
      <c r="G992" s="11"/>
      <c r="H992" s="11"/>
      <c r="I992" s="11"/>
      <c r="J992" s="11"/>
      <c r="K992" s="11"/>
      <c r="L992" s="11"/>
    </row>
    <row r="993">
      <c r="B993" s="11"/>
      <c r="C993" s="11"/>
      <c r="D993" s="11"/>
      <c r="E993" s="11"/>
      <c r="F993" s="11"/>
      <c r="G993" s="11"/>
      <c r="H993" s="11"/>
      <c r="I993" s="11"/>
      <c r="J993" s="11"/>
      <c r="K993" s="11"/>
      <c r="L993" s="11"/>
    </row>
    <row r="994">
      <c r="B994" s="11"/>
      <c r="C994" s="11"/>
      <c r="D994" s="11"/>
      <c r="E994" s="11"/>
      <c r="F994" s="11"/>
      <c r="G994" s="11"/>
      <c r="H994" s="11"/>
      <c r="I994" s="11"/>
      <c r="J994" s="11"/>
      <c r="K994" s="11"/>
      <c r="L994" s="11"/>
    </row>
    <row r="995">
      <c r="B995" s="11"/>
      <c r="C995" s="11"/>
      <c r="D995" s="11"/>
      <c r="E995" s="11"/>
      <c r="F995" s="11"/>
      <c r="G995" s="11"/>
      <c r="H995" s="11"/>
      <c r="I995" s="11"/>
      <c r="J995" s="11"/>
      <c r="K995" s="11"/>
      <c r="L995" s="11"/>
    </row>
    <row r="996">
      <c r="B996" s="11"/>
      <c r="C996" s="11"/>
      <c r="D996" s="11"/>
      <c r="E996" s="11"/>
      <c r="F996" s="11"/>
      <c r="G996" s="11"/>
      <c r="H996" s="11"/>
      <c r="I996" s="11"/>
      <c r="J996" s="11"/>
      <c r="K996" s="11"/>
      <c r="L996" s="11"/>
    </row>
    <row r="997">
      <c r="B997" s="11"/>
      <c r="C997" s="11"/>
      <c r="D997" s="11"/>
      <c r="E997" s="11"/>
      <c r="F997" s="11"/>
      <c r="G997" s="11"/>
      <c r="H997" s="11"/>
      <c r="I997" s="11"/>
      <c r="J997" s="11"/>
      <c r="K997" s="11"/>
      <c r="L997" s="11"/>
    </row>
    <row r="998">
      <c r="B998" s="11"/>
      <c r="C998" s="11"/>
      <c r="D998" s="11"/>
      <c r="E998" s="11"/>
      <c r="F998" s="11"/>
      <c r="G998" s="11"/>
      <c r="H998" s="11"/>
      <c r="I998" s="11"/>
      <c r="J998" s="11"/>
      <c r="K998" s="11"/>
      <c r="L998" s="11"/>
    </row>
    <row r="999">
      <c r="B999" s="11"/>
      <c r="C999" s="11"/>
      <c r="D999" s="11"/>
      <c r="E999" s="11"/>
      <c r="F999" s="11"/>
      <c r="G999" s="11"/>
      <c r="H999" s="11"/>
      <c r="I999" s="11"/>
      <c r="J999" s="11"/>
      <c r="K999" s="11"/>
      <c r="L999" s="11"/>
    </row>
    <row r="1000">
      <c r="B1000" s="11"/>
      <c r="C1000" s="11"/>
      <c r="D1000" s="11"/>
      <c r="E1000" s="11"/>
      <c r="F1000" s="11"/>
      <c r="G1000" s="11"/>
      <c r="H1000" s="11"/>
      <c r="I1000" s="11"/>
      <c r="J1000" s="11"/>
      <c r="K1000" s="11"/>
      <c r="L1000" s="11"/>
    </row>
    <row r="1001">
      <c r="B1001" s="11"/>
      <c r="C1001" s="11"/>
      <c r="D1001" s="11"/>
      <c r="E1001" s="11"/>
      <c r="F1001" s="11"/>
      <c r="G1001" s="11"/>
      <c r="H1001" s="11"/>
      <c r="I1001" s="11"/>
      <c r="J1001" s="11"/>
      <c r="K1001" s="11"/>
      <c r="L1001" s="11"/>
    </row>
  </sheetData>
  <hyperlinks>
    <hyperlink r:id="rId1" ref="D12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14"/>
    <col customWidth="1" min="2" max="2" width="48.14"/>
    <col customWidth="1" min="3" max="10" width="30.29"/>
  </cols>
  <sheetData>
    <row r="1">
      <c r="A1" s="41" t="str">
        <f>IFERROR(__xludf.DUMMYFUNCTION("QUERY('All Responses'!2:1001,""select A,D"")"),"Response ID")</f>
        <v>Response ID</v>
      </c>
      <c r="B1" s="16" t="str">
        <f>IFERROR(__xludf.DUMMYFUNCTION("""COMPUTED_VALUE"""),"describe_concern_oldest_app")</f>
        <v>describe_concern_oldest_app</v>
      </c>
      <c r="C1" s="16" t="s">
        <v>750</v>
      </c>
      <c r="D1" s="16" t="s">
        <v>751</v>
      </c>
      <c r="E1" s="16" t="s">
        <v>752</v>
      </c>
      <c r="F1" s="16" t="s">
        <v>753</v>
      </c>
      <c r="G1" s="16" t="s">
        <v>754</v>
      </c>
      <c r="H1" s="16" t="s">
        <v>755</v>
      </c>
      <c r="I1" s="16" t="s">
        <v>756</v>
      </c>
      <c r="J1" s="16" t="s">
        <v>757</v>
      </c>
    </row>
    <row r="2">
      <c r="A2" s="42">
        <f>IFERROR(__xludf.DUMMYFUNCTION("""COMPUTED_VALUE"""),27.0)</f>
        <v>27</v>
      </c>
      <c r="B2" s="18" t="str">
        <f>IFERROR(__xludf.DUMMYFUNCTION("""COMPUTED_VALUE"""),"not really that concerned")</f>
        <v>not really that concerned</v>
      </c>
      <c r="C2" s="32" t="s">
        <v>758</v>
      </c>
      <c r="D2" s="3"/>
      <c r="E2" s="3"/>
      <c r="F2" s="3"/>
      <c r="G2" s="3"/>
      <c r="H2" s="11"/>
      <c r="I2" s="11"/>
      <c r="J2" s="11"/>
    </row>
    <row r="3">
      <c r="A3" s="42">
        <f>IFERROR(__xludf.DUMMYFUNCTION("""COMPUTED_VALUE"""),29.0)</f>
        <v>29</v>
      </c>
      <c r="B3" s="18" t="str">
        <f>IFERROR(__xludf.DUMMYFUNCTION("""COMPUTED_VALUE"""),"none really")</f>
        <v>none really</v>
      </c>
      <c r="C3" s="32" t="s">
        <v>758</v>
      </c>
      <c r="D3" s="3"/>
      <c r="E3" s="3"/>
      <c r="F3" s="3"/>
      <c r="G3" s="11"/>
      <c r="H3" s="11"/>
      <c r="I3" s="11"/>
      <c r="J3" s="11"/>
    </row>
    <row r="4">
      <c r="A4" s="42">
        <f>IFERROR(__xludf.DUMMYFUNCTION("""COMPUTED_VALUE"""),30.0)</f>
        <v>30</v>
      </c>
      <c r="B4" s="18" t="str">
        <f>IFERROR(__xludf.DUMMYFUNCTION("""COMPUTED_VALUE"""),"I'm wondering how often the app actually uses that without me using the physical Nest Mini.")</f>
        <v>I'm wondering how often the app actually uses that without me using the physical Nest Mini.</v>
      </c>
      <c r="C4" s="32" t="s">
        <v>761</v>
      </c>
      <c r="D4" s="31" t="s">
        <v>799</v>
      </c>
      <c r="E4" s="3"/>
      <c r="F4" s="3"/>
      <c r="G4" s="11"/>
      <c r="H4" s="11"/>
      <c r="I4" s="11"/>
      <c r="J4" s="11"/>
    </row>
    <row r="5">
      <c r="A5" s="42">
        <f>IFERROR(__xludf.DUMMYFUNCTION("""COMPUTED_VALUE"""),31.0)</f>
        <v>31</v>
      </c>
      <c r="B5" s="18" t="str">
        <f>IFERROR(__xludf.DUMMYFUNCTION("""COMPUTED_VALUE"""),"I don't have any. I forgot I had enabled it so clearly I'm not bothered by it.")</f>
        <v>I don't have any. I forgot I had enabled it so clearly I'm not bothered by it.</v>
      </c>
      <c r="C5" s="32" t="s">
        <v>758</v>
      </c>
      <c r="D5" s="31" t="s">
        <v>764</v>
      </c>
      <c r="E5" s="3"/>
      <c r="F5" s="3"/>
      <c r="G5" s="3"/>
      <c r="H5" s="11"/>
      <c r="I5" s="11"/>
      <c r="J5" s="11"/>
    </row>
    <row r="6">
      <c r="A6" s="42">
        <f>IFERROR(__xludf.DUMMYFUNCTION("""COMPUTED_VALUE"""),32.0)</f>
        <v>32</v>
      </c>
      <c r="B6" s="18" t="str">
        <f>IFERROR(__xludf.DUMMYFUNCTION("""COMPUTED_VALUE"""),"i really dont have any concerns")</f>
        <v>i really dont have any concerns</v>
      </c>
      <c r="C6" s="32" t="s">
        <v>758</v>
      </c>
      <c r="D6" s="11"/>
      <c r="E6" s="11"/>
      <c r="F6" s="11"/>
      <c r="G6" s="11"/>
      <c r="H6" s="11"/>
      <c r="I6" s="11"/>
      <c r="J6" s="11"/>
    </row>
    <row r="7">
      <c r="A7" s="42">
        <f>IFERROR(__xludf.DUMMYFUNCTION("""COMPUTED_VALUE"""),34.0)</f>
        <v>34</v>
      </c>
      <c r="B7" s="18"/>
      <c r="C7" s="3"/>
      <c r="D7" s="3"/>
      <c r="E7" s="3"/>
      <c r="F7" s="3"/>
      <c r="G7" s="3"/>
      <c r="H7" s="3"/>
      <c r="I7" s="11"/>
      <c r="J7" s="11"/>
    </row>
    <row r="8">
      <c r="A8" s="42">
        <f>IFERROR(__xludf.DUMMYFUNCTION("""COMPUTED_VALUE"""),35.0)</f>
        <v>35</v>
      </c>
      <c r="B8" s="18" t="str">
        <f>IFERROR(__xludf.DUMMYFUNCTION("""COMPUTED_VALUE"""),"I remember this was for a Google Assistant enabled device that I had in my kitchen. I no longer use that device, so I am a little concerned that I need to go in and disconnect it. While I was using the device, it was unable to do some basic things that I "&amp;"thought full access should allow it to. For instance, adding things to my calendar or connecting to particular videos on YouTube.")</f>
        <v>I remember this was for a Google Assistant enabled device that I had in my kitchen. I no longer use that device, so I am a little concerned that I need to go in and disconnect it. While I was using the device, it was unable to do some basic things that I thought full access should allow it to. For instance, adding things to my calendar or connecting to particular videos on YouTube.</v>
      </c>
      <c r="C8" s="32" t="s">
        <v>760</v>
      </c>
      <c r="D8" s="32" t="s">
        <v>761</v>
      </c>
      <c r="E8" s="32" t="s">
        <v>768</v>
      </c>
      <c r="H8" s="11"/>
      <c r="I8" s="11"/>
      <c r="J8" s="11"/>
    </row>
    <row r="9">
      <c r="A9" s="42">
        <f>IFERROR(__xludf.DUMMYFUNCTION("""COMPUTED_VALUE"""),36.0)</f>
        <v>36</v>
      </c>
      <c r="B9" s="18" t="str">
        <f>IFERROR(__xludf.DUMMYFUNCTION("""COMPUTED_VALUE"""),"I am concerned about them using the permissions I have given to build a profile on me.")</f>
        <v>I am concerned about them using the permissions I have given to build a profile on me.</v>
      </c>
      <c r="C9" s="32" t="s">
        <v>761</v>
      </c>
      <c r="D9" s="32" t="s">
        <v>777</v>
      </c>
      <c r="E9" s="31" t="s">
        <v>775</v>
      </c>
      <c r="F9" s="32"/>
      <c r="G9" s="3"/>
      <c r="H9" s="11"/>
      <c r="I9" s="11"/>
      <c r="J9" s="11"/>
    </row>
    <row r="10">
      <c r="A10" s="42">
        <f>IFERROR(__xludf.DUMMYFUNCTION("""COMPUTED_VALUE"""),37.0)</f>
        <v>37</v>
      </c>
      <c r="B10" s="18"/>
      <c r="C10" s="3"/>
      <c r="D10" s="3"/>
      <c r="E10" s="3"/>
      <c r="G10" s="11"/>
      <c r="H10" s="11"/>
      <c r="I10" s="11"/>
      <c r="J10" s="11"/>
    </row>
    <row r="11">
      <c r="A11" s="42">
        <f>IFERROR(__xludf.DUMMYFUNCTION("""COMPUTED_VALUE"""),38.0)</f>
        <v>38</v>
      </c>
      <c r="B11" s="18" t="str">
        <f>IFERROR(__xludf.DUMMYFUNCTION("""COMPUTED_VALUE"""),"I'm conserned about who would have access to this data. I don't use the google nest hub anymore, so it shouldn't have access to my full account.")</f>
        <v>I'm conserned about who would have access to this data. I don't use the google nest hub anymore, so it shouldn't have access to my full account.</v>
      </c>
      <c r="C11" s="32" t="s">
        <v>761</v>
      </c>
      <c r="D11" s="31" t="s">
        <v>762</v>
      </c>
      <c r="E11" s="28" t="s">
        <v>760</v>
      </c>
      <c r="F11" s="32"/>
      <c r="H11" s="11"/>
      <c r="I11" s="11"/>
      <c r="J11" s="11"/>
    </row>
    <row r="12">
      <c r="A12" s="42">
        <f>IFERROR(__xludf.DUMMYFUNCTION("""COMPUTED_VALUE"""),39.0)</f>
        <v>39</v>
      </c>
      <c r="B12" s="18"/>
      <c r="C12" s="29"/>
      <c r="D12" s="3"/>
      <c r="E12" s="11"/>
      <c r="F12" s="11"/>
      <c r="G12" s="11"/>
      <c r="H12" s="11"/>
      <c r="I12" s="11"/>
      <c r="J12" s="11"/>
    </row>
    <row r="13">
      <c r="A13" s="42">
        <f>IFERROR(__xludf.DUMMYFUNCTION("""COMPUTED_VALUE"""),40.0)</f>
        <v>40</v>
      </c>
      <c r="B13" s="18" t="str">
        <f>IFERROR(__xludf.DUMMYFUNCTION("""COMPUTED_VALUE"""),"I have no issues! I only use this application when I need to fill out forms that have been emailed to me. I understand why it needs to do the things it does in order to help me.")</f>
        <v>I have no issues! I only use this application when I need to fill out forms that have been emailed to me. I understand why it needs to do the things it does in order to help me.</v>
      </c>
      <c r="C13" s="32" t="s">
        <v>758</v>
      </c>
      <c r="D13" t="s">
        <v>790</v>
      </c>
      <c r="E13" s="28" t="s">
        <v>759</v>
      </c>
      <c r="G13" s="11"/>
      <c r="H13" s="11"/>
      <c r="I13" s="11"/>
      <c r="J13" s="11"/>
    </row>
    <row r="14">
      <c r="A14" s="42">
        <f>IFERROR(__xludf.DUMMYFUNCTION("""COMPUTED_VALUE"""),41.0)</f>
        <v>41</v>
      </c>
      <c r="B14" s="18"/>
      <c r="C14" s="3"/>
      <c r="D14" s="3"/>
      <c r="E14" s="3"/>
      <c r="F14" s="3"/>
      <c r="G14" s="3"/>
      <c r="H14" s="34"/>
      <c r="I14" s="3"/>
      <c r="J14" s="3"/>
    </row>
    <row r="15">
      <c r="A15" s="42">
        <f>IFERROR(__xludf.DUMMYFUNCTION("""COMPUTED_VALUE"""),42.0)</f>
        <v>42</v>
      </c>
      <c r="B15" s="18" t="str">
        <f>IFERROR(__xludf.DUMMYFUNCTION("""COMPUTED_VALUE"""),"They may be selling my personal information.")</f>
        <v>They may be selling my personal information.</v>
      </c>
      <c r="C15" s="32" t="s">
        <v>761</v>
      </c>
      <c r="D15" s="32" t="s">
        <v>766</v>
      </c>
      <c r="E15" s="32" t="s">
        <v>776</v>
      </c>
      <c r="F15" s="11"/>
      <c r="G15" s="11"/>
      <c r="H15" s="11"/>
      <c r="I15" s="11"/>
      <c r="J15" s="11"/>
    </row>
    <row r="16">
      <c r="A16" s="42">
        <f>IFERROR(__xludf.DUMMYFUNCTION("""COMPUTED_VALUE"""),43.0)</f>
        <v>43</v>
      </c>
      <c r="B16" s="18" t="str">
        <f>IFERROR(__xludf.DUMMYFUNCTION("""COMPUTED_VALUE"""),"I wonder if Dropbox does anything with my contacts besides make predictions about who I would like to share my Dropbox folders with. For example, are they keeping a list of people whose contacts use Dropbox so they can potentially target them via advertis"&amp;"ing?")</f>
        <v>I wonder if Dropbox does anything with my contacts besides make predictions about who I would like to share my Dropbox folders with. For example, are they keeping a list of people whose contacts use Dropbox so they can potentially target them via advertising?</v>
      </c>
      <c r="C16" s="32" t="s">
        <v>761</v>
      </c>
      <c r="D16" s="32" t="s">
        <v>777</v>
      </c>
      <c r="E16" s="31" t="s">
        <v>798</v>
      </c>
      <c r="F16" s="32" t="s">
        <v>766</v>
      </c>
      <c r="G16" s="31" t="s">
        <v>800</v>
      </c>
      <c r="H16" s="32" t="s">
        <v>762</v>
      </c>
      <c r="I16" s="11"/>
      <c r="J16" s="11"/>
    </row>
    <row r="17">
      <c r="A17" s="42">
        <f>IFERROR(__xludf.DUMMYFUNCTION("""COMPUTED_VALUE"""),44.0)</f>
        <v>44</v>
      </c>
      <c r="B17" s="18" t="str">
        <f>IFERROR(__xludf.DUMMYFUNCTION("""COMPUTED_VALUE"""),"Dropbox shouldn't need my contacts. I think it's to find other users, but still, it's not needed.")</f>
        <v>Dropbox shouldn't need my contacts. I think it's to find other users, but still, it's not needed.</v>
      </c>
      <c r="C17" s="32" t="s">
        <v>761</v>
      </c>
      <c r="D17" s="32" t="s">
        <v>777</v>
      </c>
      <c r="E17" s="31" t="s">
        <v>798</v>
      </c>
      <c r="F17" s="32" t="s">
        <v>762</v>
      </c>
      <c r="G17" s="11"/>
      <c r="H17" s="11"/>
      <c r="I17" s="11"/>
      <c r="J17" s="11"/>
    </row>
    <row r="18">
      <c r="A18" s="42">
        <f>IFERROR(__xludf.DUMMYFUNCTION("""COMPUTED_VALUE"""),45.0)</f>
        <v>45</v>
      </c>
      <c r="B18" s="18" t="str">
        <f>IFERROR(__xludf.DUMMYFUNCTION("""COMPUTED_VALUE"""),"I don't really have any concerns. It only has access to my email, and I have 2FA enabled anyways.")</f>
        <v>I don't really have any concerns. It only has access to my email, and I have 2FA enabled anyways.</v>
      </c>
      <c r="C18" s="32" t="s">
        <v>758</v>
      </c>
      <c r="D18" s="32" t="s">
        <v>773</v>
      </c>
      <c r="E18" s="3"/>
      <c r="F18" s="11"/>
      <c r="G18" s="11"/>
      <c r="H18" s="11"/>
      <c r="I18" s="11"/>
      <c r="J18" s="11"/>
    </row>
    <row r="19">
      <c r="A19" s="42">
        <f>IFERROR(__xludf.DUMMYFUNCTION("""COMPUTED_VALUE"""),46.0)</f>
        <v>46</v>
      </c>
      <c r="B19" s="18"/>
      <c r="C19" s="29"/>
      <c r="D19" s="19"/>
      <c r="E19" s="3"/>
      <c r="F19" s="11"/>
      <c r="G19" s="11"/>
      <c r="H19" s="11"/>
      <c r="I19" s="11"/>
      <c r="J19" s="11"/>
    </row>
    <row r="20">
      <c r="A20" s="42">
        <f>IFERROR(__xludf.DUMMYFUNCTION("""COMPUTED_VALUE"""),47.0)</f>
        <v>47</v>
      </c>
      <c r="B20" s="18"/>
      <c r="C20" s="29"/>
      <c r="D20" s="3"/>
      <c r="E20" s="3"/>
      <c r="F20" s="11"/>
      <c r="G20" s="11"/>
      <c r="H20" s="11"/>
      <c r="I20" s="11"/>
      <c r="J20" s="11"/>
    </row>
    <row r="21">
      <c r="A21" s="42">
        <f>IFERROR(__xludf.DUMMYFUNCTION("""COMPUTED_VALUE"""),48.0)</f>
        <v>48</v>
      </c>
      <c r="B21" s="18"/>
      <c r="C21" s="29"/>
      <c r="D21" s="3"/>
      <c r="E21" s="11"/>
      <c r="F21" s="11"/>
      <c r="G21" s="11"/>
      <c r="H21" s="11"/>
      <c r="I21" s="11"/>
      <c r="J21" s="11"/>
    </row>
    <row r="22">
      <c r="A22" s="42">
        <f>IFERROR(__xludf.DUMMYFUNCTION("""COMPUTED_VALUE"""),49.0)</f>
        <v>49</v>
      </c>
      <c r="B22" s="18" t="str">
        <f>IFERROR(__xludf.DUMMYFUNCTION("""COMPUTED_VALUE"""),"A part of me wonders why it needs permission to access my Google Drive. I can see myself using this function if I need to link something to someone I am messaging.")</f>
        <v>A part of me wonders why it needs permission to access my Google Drive. I can see myself using this function if I need to link something to someone I am messaging.</v>
      </c>
      <c r="C22" s="31" t="s">
        <v>788</v>
      </c>
      <c r="D22" s="3" t="s">
        <v>801</v>
      </c>
      <c r="E22" s="32"/>
      <c r="H22" s="11"/>
      <c r="I22" s="11"/>
      <c r="J22" s="11"/>
    </row>
    <row r="23">
      <c r="A23" s="42">
        <f>IFERROR(__xludf.DUMMYFUNCTION("""COMPUTED_VALUE"""),50.0)</f>
        <v>50</v>
      </c>
      <c r="B23" s="18" t="str">
        <f>IFERROR(__xludf.DUMMYFUNCTION("""COMPUTED_VALUE"""),"I use slack because it gives me access to work, but it never occurred to me that using Slack would open up access to things not relevant to why I am there.")</f>
        <v>I use slack because it gives me access to work, but it never occurred to me that using Slack would open up access to things not relevant to why I am there.</v>
      </c>
      <c r="C23" s="32" t="s">
        <v>759</v>
      </c>
      <c r="D23" s="32" t="s">
        <v>761</v>
      </c>
      <c r="E23" s="32" t="s">
        <v>762</v>
      </c>
      <c r="F23" s="11"/>
      <c r="G23" s="11"/>
      <c r="H23" s="11"/>
      <c r="I23" s="11"/>
      <c r="J23" s="11"/>
    </row>
    <row r="24">
      <c r="A24" s="42">
        <f>IFERROR(__xludf.DUMMYFUNCTION("""COMPUTED_VALUE"""),51.0)</f>
        <v>51</v>
      </c>
      <c r="B24" s="18"/>
      <c r="C24" s="29"/>
      <c r="D24" s="3"/>
      <c r="E24" s="11"/>
      <c r="F24" s="11"/>
      <c r="G24" s="11"/>
      <c r="H24" s="11"/>
      <c r="I24" s="11"/>
      <c r="J24" s="11"/>
    </row>
    <row r="25">
      <c r="A25" s="42">
        <f>IFERROR(__xludf.DUMMYFUNCTION("""COMPUTED_VALUE"""),52.0)</f>
        <v>52</v>
      </c>
      <c r="B25" s="18" t="str">
        <f>IFERROR(__xludf.DUMMYFUNCTION("""COMPUTED_VALUE"""),"I don't know what aspects of Google Fit could be used for other parts of Google. Otherwise, I have no concern.")</f>
        <v>I don't know what aspects of Google Fit could be used for other parts of Google. Otherwise, I have no concern.</v>
      </c>
      <c r="C25" s="32" t="s">
        <v>788</v>
      </c>
      <c r="D25" s="32" t="s">
        <v>789</v>
      </c>
      <c r="E25" s="3" t="s">
        <v>758</v>
      </c>
      <c r="F25" s="11"/>
      <c r="G25" s="11"/>
      <c r="H25" s="11"/>
      <c r="I25" s="11"/>
      <c r="J25" s="11"/>
    </row>
    <row r="26">
      <c r="A26" s="42">
        <f>IFERROR(__xludf.DUMMYFUNCTION("""COMPUTED_VALUE"""),53.0)</f>
        <v>53</v>
      </c>
      <c r="B26" s="18" t="str">
        <f>IFERROR(__xludf.DUMMYFUNCTION("""COMPUTED_VALUE"""),"I don't know if macOS would sell my data to anyone without my permission.")</f>
        <v>I don't know if macOS would sell my data to anyone without my permission.</v>
      </c>
      <c r="C26" s="32" t="s">
        <v>788</v>
      </c>
      <c r="D26" s="32" t="s">
        <v>789</v>
      </c>
      <c r="E26" s="3"/>
      <c r="F26" s="11"/>
      <c r="G26" s="11"/>
      <c r="H26" s="11"/>
      <c r="I26" s="11"/>
      <c r="J26" s="11"/>
    </row>
    <row r="27">
      <c r="A27" s="42">
        <f>IFERROR(__xludf.DUMMYFUNCTION("""COMPUTED_VALUE"""),54.0)</f>
        <v>54</v>
      </c>
      <c r="B27" s="18"/>
      <c r="C27" s="29"/>
      <c r="D27" s="3"/>
      <c r="E27" s="11"/>
      <c r="F27" s="11"/>
      <c r="G27" s="11"/>
      <c r="H27" s="11"/>
      <c r="I27" s="11"/>
      <c r="J27" s="11"/>
    </row>
    <row r="28">
      <c r="A28" s="42">
        <f>IFERROR(__xludf.DUMMYFUNCTION("""COMPUTED_VALUE"""),55.0)</f>
        <v>55</v>
      </c>
      <c r="B28" s="18" t="str">
        <f>IFERROR(__xludf.DUMMYFUNCTION("""COMPUTED_VALUE"""),"I have no concern, my whatsApp messenger is very secure")</f>
        <v>I have no concern, my whatsApp messenger is very secure</v>
      </c>
      <c r="C28" s="32" t="s">
        <v>758</v>
      </c>
      <c r="D28" s="32" t="s">
        <v>774</v>
      </c>
      <c r="F28" s="19"/>
      <c r="G28" s="11"/>
      <c r="H28" s="11"/>
      <c r="I28" s="11"/>
      <c r="J28" s="11"/>
    </row>
    <row r="29">
      <c r="A29">
        <f>IFERROR(__xludf.DUMMYFUNCTION("""COMPUTED_VALUE"""),56.0)</f>
        <v>56</v>
      </c>
      <c r="B29" s="11"/>
      <c r="C29" s="29"/>
      <c r="D29" s="3"/>
      <c r="E29" s="19"/>
      <c r="F29" s="19"/>
      <c r="G29" s="11"/>
      <c r="H29" s="11"/>
      <c r="I29" s="11"/>
      <c r="J29" s="11"/>
    </row>
    <row r="30">
      <c r="A30">
        <f>IFERROR(__xludf.DUMMYFUNCTION("""COMPUTED_VALUE"""),57.0)</f>
        <v>57</v>
      </c>
      <c r="B30" s="11" t="str">
        <f>IFERROR(__xludf.DUMMYFUNCTION("""COMPUTED_VALUE"""),"I don't like that my previous movies and history are used for targeted ads.")</f>
        <v>I don't like that my previous movies and history are used for targeted ads.</v>
      </c>
      <c r="C30" s="32" t="s">
        <v>761</v>
      </c>
      <c r="D30" s="32" t="s">
        <v>766</v>
      </c>
      <c r="E30" s="31" t="s">
        <v>800</v>
      </c>
      <c r="F30" s="11"/>
      <c r="G30" s="11"/>
      <c r="H30" s="11"/>
      <c r="I30" s="11"/>
      <c r="J30" s="11"/>
    </row>
    <row r="31">
      <c r="A31">
        <f>IFERROR(__xludf.DUMMYFUNCTION("""COMPUTED_VALUE"""),58.0)</f>
        <v>58</v>
      </c>
      <c r="B31" s="11" t="str">
        <f>IFERROR(__xludf.DUMMYFUNCTION("""COMPUTED_VALUE"""),"my data can be stolen and used")</f>
        <v>my data can be stolen and used</v>
      </c>
      <c r="C31" s="32" t="s">
        <v>761</v>
      </c>
      <c r="D31" s="32" t="s">
        <v>763</v>
      </c>
      <c r="E31" s="32" t="s">
        <v>766</v>
      </c>
      <c r="F31" s="11"/>
      <c r="G31" s="11"/>
      <c r="H31" s="11"/>
      <c r="I31" s="11"/>
      <c r="J31" s="11"/>
    </row>
    <row r="32">
      <c r="A32">
        <f>IFERROR(__xludf.DUMMYFUNCTION("""COMPUTED_VALUE"""),59.0)</f>
        <v>59</v>
      </c>
      <c r="B32" s="11"/>
      <c r="C32" s="29"/>
      <c r="D32" s="3"/>
      <c r="E32" s="11"/>
      <c r="F32" s="11"/>
      <c r="G32" s="11"/>
      <c r="H32" s="11"/>
      <c r="I32" s="11"/>
      <c r="J32" s="11"/>
    </row>
    <row r="33">
      <c r="A33">
        <f>IFERROR(__xludf.DUMMYFUNCTION("""COMPUTED_VALUE"""),60.0)</f>
        <v>60</v>
      </c>
      <c r="B33" s="11"/>
      <c r="C33" s="24"/>
      <c r="D33" s="24"/>
      <c r="E33" s="11"/>
      <c r="F33" s="11"/>
      <c r="G33" s="11"/>
      <c r="H33" s="11"/>
      <c r="I33" s="11"/>
      <c r="J33" s="11"/>
    </row>
    <row r="34">
      <c r="A34">
        <f>IFERROR(__xludf.DUMMYFUNCTION("""COMPUTED_VALUE"""),61.0)</f>
        <v>61</v>
      </c>
      <c r="B34" s="26" t="str">
        <f>IFERROR(__xludf.DUMMYFUNCTION("""COMPUTED_VALUE"""),"I wish no real access was required.")</f>
        <v>I wish no real access was required.</v>
      </c>
      <c r="C34" s="32" t="s">
        <v>761</v>
      </c>
      <c r="D34" s="32" t="s">
        <v>777</v>
      </c>
      <c r="E34" s="11"/>
      <c r="F34" s="11"/>
      <c r="G34" s="11"/>
      <c r="H34" s="11"/>
      <c r="I34" s="11"/>
      <c r="J34" s="11"/>
    </row>
    <row r="35">
      <c r="A35">
        <f>IFERROR(__xludf.DUMMYFUNCTION("""COMPUTED_VALUE"""),62.0)</f>
        <v>62</v>
      </c>
      <c r="B35" s="11" t="str">
        <f>IFERROR(__xludf.DUMMYFUNCTION("""COMPUTED_VALUE"""),"Anything can get hacked.")</f>
        <v>Anything can get hacked.</v>
      </c>
      <c r="C35" s="32" t="s">
        <v>761</v>
      </c>
      <c r="D35" s="32" t="s">
        <v>763</v>
      </c>
      <c r="E35" s="11"/>
      <c r="F35" s="11"/>
      <c r="G35" s="11"/>
      <c r="H35" s="11"/>
      <c r="I35" s="11"/>
      <c r="J35" s="11"/>
    </row>
    <row r="36">
      <c r="A36">
        <f>IFERROR(__xludf.DUMMYFUNCTION("""COMPUTED_VALUE"""),63.0)</f>
        <v>63</v>
      </c>
      <c r="B36" s="11"/>
      <c r="C36" s="29"/>
      <c r="D36" s="3"/>
      <c r="E36" s="11"/>
      <c r="F36" s="11"/>
      <c r="G36" s="11"/>
      <c r="H36" s="11"/>
      <c r="I36" s="11"/>
      <c r="J36" s="11"/>
    </row>
    <row r="37">
      <c r="A37">
        <f>IFERROR(__xludf.DUMMYFUNCTION("""COMPUTED_VALUE"""),64.0)</f>
        <v>64</v>
      </c>
      <c r="B37" s="11" t="str">
        <f>IFERROR(__xludf.DUMMYFUNCTION("""COMPUTED_VALUE"""),"I think it needs those permissions in order to pass through to my Gmail.")</f>
        <v>I think it needs those permissions in order to pass through to my Gmail.</v>
      </c>
      <c r="C37" s="32" t="s">
        <v>758</v>
      </c>
      <c r="D37" s="30" t="s">
        <v>790</v>
      </c>
      <c r="E37" s="3"/>
      <c r="F37" s="3"/>
      <c r="G37" s="3"/>
      <c r="H37" s="11"/>
      <c r="I37" s="11"/>
      <c r="J37" s="11"/>
    </row>
    <row r="38">
      <c r="A38">
        <f>IFERROR(__xludf.DUMMYFUNCTION("""COMPUTED_VALUE"""),65.0)</f>
        <v>65</v>
      </c>
      <c r="B38" s="11" t="str">
        <f>IFERROR(__xludf.DUMMYFUNCTION("""COMPUTED_VALUE"""),"I do not use Windows to this extent, so Windows holding these permissions has no upside and only downsides for me.")</f>
        <v>I do not use Windows to this extent, so Windows holding these permissions has no upside and only downsides for me.</v>
      </c>
      <c r="C38" s="32" t="s">
        <v>760</v>
      </c>
      <c r="D38" s="32" t="s">
        <v>761</v>
      </c>
      <c r="E38" s="32" t="s">
        <v>777</v>
      </c>
      <c r="F38" s="11"/>
      <c r="G38" s="11"/>
      <c r="H38" s="11"/>
      <c r="I38" s="11"/>
      <c r="J38" s="11"/>
    </row>
    <row r="39">
      <c r="A39">
        <f>IFERROR(__xludf.DUMMYFUNCTION("""COMPUTED_VALUE"""),66.0)</f>
        <v>66</v>
      </c>
      <c r="B39" s="11"/>
      <c r="C39" s="29"/>
      <c r="D39" s="19"/>
      <c r="E39" s="11"/>
      <c r="F39" s="11"/>
      <c r="G39" s="11"/>
      <c r="H39" s="11"/>
      <c r="I39" s="11"/>
      <c r="J39" s="11"/>
    </row>
    <row r="40">
      <c r="A40">
        <f>IFERROR(__xludf.DUMMYFUNCTION("""COMPUTED_VALUE"""),67.0)</f>
        <v>67</v>
      </c>
      <c r="B40" s="11" t="str">
        <f>IFERROR(__xludf.DUMMYFUNCTION("""COMPUTED_VALUE"""),"I have none, it is just from logging into youtube on my ps4.")</f>
        <v>I have none, it is just from logging into youtube on my ps4.</v>
      </c>
      <c r="C40" s="32" t="s">
        <v>758</v>
      </c>
      <c r="D40" s="3"/>
      <c r="E40" s="3"/>
      <c r="F40" s="11"/>
      <c r="G40" s="11"/>
      <c r="H40" s="11"/>
      <c r="I40" s="11"/>
      <c r="J40" s="11"/>
    </row>
    <row r="41">
      <c r="A41">
        <f>IFERROR(__xludf.DUMMYFUNCTION("""COMPUTED_VALUE"""),68.0)</f>
        <v>68</v>
      </c>
      <c r="B41" s="11" t="str">
        <f>IFERROR(__xludf.DUMMYFUNCTION("""COMPUTED_VALUE"""),"What they can do with my YouTube account information")</f>
        <v>What they can do with my YouTube account information</v>
      </c>
      <c r="C41" s="32" t="s">
        <v>761</v>
      </c>
      <c r="D41" s="32" t="s">
        <v>766</v>
      </c>
      <c r="E41" s="11"/>
      <c r="F41" s="11"/>
      <c r="G41" s="11"/>
      <c r="H41" s="11"/>
      <c r="I41" s="11"/>
      <c r="J41" s="11"/>
    </row>
    <row r="42">
      <c r="A42">
        <f>IFERROR(__xludf.DUMMYFUNCTION("""COMPUTED_VALUE"""),69.0)</f>
        <v>69</v>
      </c>
      <c r="B42" s="11" t="str">
        <f>IFERROR(__xludf.DUMMYFUNCTION("""COMPUTED_VALUE"""),"Not so much the app itself, but the people behind the app.
 They haven't proven to be the most scrupulous of people.")</f>
        <v>Not so much the app itself, but the people behind the app.
 They haven't proven to be the most scrupulous of people.</v>
      </c>
      <c r="C42" s="32" t="s">
        <v>761</v>
      </c>
      <c r="D42" s="32" t="s">
        <v>763</v>
      </c>
      <c r="E42" s="11"/>
      <c r="F42" s="11"/>
      <c r="G42" s="11"/>
      <c r="H42" s="11"/>
      <c r="I42" s="11"/>
      <c r="J42" s="11"/>
    </row>
    <row r="43">
      <c r="A43">
        <f>IFERROR(__xludf.DUMMYFUNCTION("""COMPUTED_VALUE"""),70.0)</f>
        <v>70</v>
      </c>
      <c r="B43" s="11"/>
      <c r="C43" s="29"/>
      <c r="D43" s="3"/>
      <c r="F43" s="3"/>
      <c r="G43" s="3"/>
      <c r="H43" s="3"/>
      <c r="I43" s="11"/>
      <c r="J43" s="11"/>
    </row>
    <row r="44">
      <c r="A44">
        <f>IFERROR(__xludf.DUMMYFUNCTION("""COMPUTED_VALUE"""),71.0)</f>
        <v>71</v>
      </c>
      <c r="B44" s="11"/>
      <c r="C44" s="29"/>
      <c r="D44" s="3"/>
      <c r="E44" s="11"/>
      <c r="F44" s="11"/>
      <c r="G44" s="11"/>
      <c r="H44" s="11"/>
      <c r="I44" s="11"/>
      <c r="J44" s="11"/>
    </row>
    <row r="45">
      <c r="A45">
        <f>IFERROR(__xludf.DUMMYFUNCTION("""COMPUTED_VALUE"""),72.0)</f>
        <v>72</v>
      </c>
      <c r="B45" s="11" t="str">
        <f>IFERROR(__xludf.DUMMYFUNCTION("""COMPUTED_VALUE"""),"I don't have any concern of Yahoo! having these permissions as it is beneficial for me to have Yahoo! manage my Google side of things, too.")</f>
        <v>I don't have any concern of Yahoo! having these permissions as it is beneficial for me to have Yahoo! manage my Google side of things, too.</v>
      </c>
      <c r="C45" s="32" t="s">
        <v>758</v>
      </c>
      <c r="D45" s="30" t="s">
        <v>790</v>
      </c>
      <c r="E45" s="28" t="s">
        <v>759</v>
      </c>
      <c r="G45" s="11"/>
      <c r="H45" s="11"/>
      <c r="I45" s="11"/>
      <c r="J45" s="11"/>
    </row>
    <row r="46">
      <c r="A46">
        <f>IFERROR(__xludf.DUMMYFUNCTION("""COMPUTED_VALUE"""),73.0)</f>
        <v>73</v>
      </c>
      <c r="B46" s="11" t="str">
        <f>IFERROR(__xludf.DUMMYFUNCTION("""COMPUTED_VALUE"""),"My concern is about windows being able to read my emails")</f>
        <v>My concern is about windows being able to read my emails</v>
      </c>
      <c r="C46" s="32" t="s">
        <v>761</v>
      </c>
      <c r="D46" s="32" t="s">
        <v>766</v>
      </c>
      <c r="E46" s="32" t="s">
        <v>777</v>
      </c>
      <c r="F46" s="32" t="s">
        <v>778</v>
      </c>
      <c r="G46" s="11"/>
      <c r="H46" s="11"/>
      <c r="I46" s="11"/>
      <c r="J46" s="11"/>
    </row>
    <row r="47">
      <c r="A47">
        <f>IFERROR(__xludf.DUMMYFUNCTION("""COMPUTED_VALUE"""),74.0)</f>
        <v>74</v>
      </c>
      <c r="B47" s="11" t="str">
        <f>IFERROR(__xludf.DUMMYFUNCTION("""COMPUTED_VALUE"""),"I don't know what Shop is, I have never used it. The app is probably using my data for targeted ads without my (current) permission.")</f>
        <v>I don't know what Shop is, I have never used it. The app is probably using my data for targeted ads without my (current) permission.</v>
      </c>
      <c r="C47" s="31" t="s">
        <v>764</v>
      </c>
      <c r="D47" s="32" t="s">
        <v>760</v>
      </c>
      <c r="E47" s="32" t="s">
        <v>761</v>
      </c>
      <c r="F47" s="32" t="s">
        <v>766</v>
      </c>
      <c r="G47" s="31" t="s">
        <v>800</v>
      </c>
      <c r="H47" s="11"/>
      <c r="I47" s="11"/>
      <c r="J47" s="11"/>
    </row>
    <row r="48">
      <c r="A48">
        <f>IFERROR(__xludf.DUMMYFUNCTION("""COMPUTED_VALUE"""),75.0)</f>
        <v>75</v>
      </c>
      <c r="B48" s="11"/>
      <c r="C48" s="29"/>
      <c r="D48" s="3"/>
      <c r="E48" s="11"/>
      <c r="F48" s="11"/>
      <c r="G48" s="11"/>
      <c r="H48" s="11"/>
      <c r="I48" s="11"/>
      <c r="J48" s="11"/>
    </row>
    <row r="49">
      <c r="A49">
        <f>IFERROR(__xludf.DUMMYFUNCTION("""COMPUTED_VALUE"""),76.0)</f>
        <v>76</v>
      </c>
      <c r="B49" s="11" t="str">
        <f>IFERROR(__xludf.DUMMYFUNCTION("""COMPUTED_VALUE"""),"I don't want the a[[ to edit or delete anything.")</f>
        <v>I don't want the a[[ to edit or delete anything.</v>
      </c>
      <c r="C49" s="32" t="s">
        <v>761</v>
      </c>
      <c r="D49" s="32" t="s">
        <v>777</v>
      </c>
      <c r="E49" s="32" t="s">
        <v>781</v>
      </c>
      <c r="F49" s="31" t="s">
        <v>802</v>
      </c>
      <c r="G49" s="11"/>
      <c r="H49" s="11"/>
      <c r="I49" s="11"/>
      <c r="J49" s="11"/>
    </row>
    <row r="50">
      <c r="A50">
        <f>IFERROR(__xludf.DUMMYFUNCTION("""COMPUTED_VALUE"""),77.0)</f>
        <v>77</v>
      </c>
      <c r="B50" s="11" t="str">
        <f>IFERROR(__xludf.DUMMYFUNCTION("""COMPUTED_VALUE"""),"I think game apps in general shouldn't need a lot of info or permission from my account. Intrusive if it had ask for more info.")</f>
        <v>I think game apps in general shouldn't need a lot of info or permission from my account. Intrusive if it had ask for more info.</v>
      </c>
      <c r="C50" s="32" t="s">
        <v>761</v>
      </c>
      <c r="D50" s="32" t="s">
        <v>762</v>
      </c>
      <c r="E50" s="32" t="s">
        <v>777</v>
      </c>
      <c r="F50" s="3"/>
      <c r="G50" s="11"/>
      <c r="H50" s="11"/>
      <c r="I50" s="11"/>
      <c r="J50" s="11"/>
    </row>
    <row r="51">
      <c r="A51">
        <f>IFERROR(__xludf.DUMMYFUNCTION("""COMPUTED_VALUE"""),78.0)</f>
        <v>78</v>
      </c>
      <c r="B51" s="11" t="str">
        <f>IFERROR(__xludf.DUMMYFUNCTION("""COMPUTED_VALUE"""),"None really. I was aware of this all along.")</f>
        <v>None really. I was aware of this all along.</v>
      </c>
      <c r="C51" s="32" t="s">
        <v>758</v>
      </c>
      <c r="D51" s="3"/>
      <c r="E51" s="3"/>
      <c r="F51" s="11"/>
      <c r="G51" s="11"/>
      <c r="H51" s="11"/>
      <c r="I51" s="11"/>
      <c r="J51" s="11"/>
    </row>
    <row r="52">
      <c r="A52">
        <f>IFERROR(__xludf.DUMMYFUNCTION("""COMPUTED_VALUE"""),79.0)</f>
        <v>79</v>
      </c>
      <c r="B52" s="11" t="str">
        <f>IFERROR(__xludf.DUMMYFUNCTION("""COMPUTED_VALUE"""),"I dont know what they would need this information for.")</f>
        <v>I dont know what they would need this information for.</v>
      </c>
      <c r="C52" s="32" t="s">
        <v>788</v>
      </c>
      <c r="D52" s="32" t="s">
        <v>789</v>
      </c>
      <c r="E52" s="3"/>
      <c r="F52" s="3"/>
      <c r="G52" s="11"/>
      <c r="H52" s="11"/>
      <c r="I52" s="11"/>
      <c r="J52" s="11"/>
    </row>
    <row r="53">
      <c r="A53">
        <f>IFERROR(__xludf.DUMMYFUNCTION("""COMPUTED_VALUE"""),80.0)</f>
        <v>80</v>
      </c>
      <c r="B53" s="11" t="str">
        <f>IFERROR(__xludf.DUMMYFUNCTION("""COMPUTED_VALUE"""),"no concerns (As long as they dont get hacked ofc)")</f>
        <v>no concerns (As long as they dont get hacked ofc)</v>
      </c>
      <c r="C53" s="32" t="s">
        <v>761</v>
      </c>
      <c r="D53" s="32" t="s">
        <v>763</v>
      </c>
      <c r="E53" s="3"/>
      <c r="F53" s="3"/>
      <c r="G53" s="11"/>
      <c r="H53" s="11"/>
      <c r="I53" s="11"/>
      <c r="J53" s="11"/>
    </row>
    <row r="54">
      <c r="A54">
        <f>IFERROR(__xludf.DUMMYFUNCTION("""COMPUTED_VALUE"""),81.0)</f>
        <v>81</v>
      </c>
      <c r="B54" s="11"/>
      <c r="C54" s="29"/>
      <c r="D54" s="3"/>
      <c r="E54" s="11"/>
      <c r="F54" s="11"/>
      <c r="G54" s="11"/>
      <c r="H54" s="11"/>
      <c r="I54" s="11"/>
      <c r="J54" s="11"/>
    </row>
    <row r="55">
      <c r="A55">
        <f>IFERROR(__xludf.DUMMYFUNCTION("""COMPUTED_VALUE"""),82.0)</f>
        <v>82</v>
      </c>
      <c r="B55" s="11" t="str">
        <f>IFERROR(__xludf.DUMMYFUNCTION("""COMPUTED_VALUE"""),"I can't go back in the survey. Earlier I said I didn't remember what this was, but now I see it's just my email linked to my Macbook. I'm not very concerned about it because the information is still staying on my computer as far as I know. It's something "&amp;"I've never questioned.")</f>
        <v>I can't go back in the survey. Earlier I said I didn't remember what this was, but now I see it's just my email linked to my Macbook. I'm not very concerned about it because the information is still staying on my computer as far as I know. It's something I've never questioned.</v>
      </c>
      <c r="C55" s="32" t="s">
        <v>758</v>
      </c>
      <c r="D55" s="43"/>
      <c r="E55" s="11"/>
      <c r="F55" s="11"/>
      <c r="G55" s="11"/>
      <c r="H55" s="11"/>
      <c r="I55" s="11"/>
      <c r="J55" s="11"/>
    </row>
    <row r="56">
      <c r="A56">
        <f>IFERROR(__xludf.DUMMYFUNCTION("""COMPUTED_VALUE"""),83.0)</f>
        <v>83</v>
      </c>
      <c r="B56" s="11" t="str">
        <f>IFERROR(__xludf.DUMMYFUNCTION("""COMPUTED_VALUE"""),"N/A")</f>
        <v>N/A</v>
      </c>
      <c r="C56" s="32" t="s">
        <v>758</v>
      </c>
      <c r="D56" s="3"/>
      <c r="E56" s="11"/>
      <c r="F56" s="11"/>
      <c r="G56" s="11"/>
      <c r="H56" s="11"/>
      <c r="I56" s="11"/>
      <c r="J56" s="11"/>
    </row>
    <row r="57">
      <c r="A57">
        <f>IFERROR(__xludf.DUMMYFUNCTION("""COMPUTED_VALUE"""),84.0)</f>
        <v>84</v>
      </c>
      <c r="B57" s="11"/>
      <c r="C57" s="29"/>
      <c r="D57" s="3"/>
      <c r="E57" s="11"/>
      <c r="F57" s="11"/>
      <c r="G57" s="11"/>
      <c r="H57" s="11"/>
      <c r="I57" s="11"/>
      <c r="J57" s="11"/>
    </row>
    <row r="58">
      <c r="A58">
        <f>IFERROR(__xludf.DUMMYFUNCTION("""COMPUTED_VALUE"""),85.0)</f>
        <v>85</v>
      </c>
      <c r="B58" s="11" t="str">
        <f>IFERROR(__xludf.DUMMYFUNCTION("""COMPUTED_VALUE"""),"I was not really aware that it had access to basic account info, so I do have some concerns about that in if it sells that data or if ZIP Extractor gets hacked in some way. But it also feels like every ""app"" has to have permission to access basic accoun"&amp;"t info if it wants to function appropriately.")</f>
        <v>I was not really aware that it had access to basic account info, so I do have some concerns about that in if it sells that data or if ZIP Extractor gets hacked in some way. But it also feels like every "app" has to have permission to access basic account info if it wants to function appropriately.</v>
      </c>
      <c r="C58" s="32" t="s">
        <v>761</v>
      </c>
      <c r="D58" s="32" t="s">
        <v>763</v>
      </c>
      <c r="E58" s="32" t="s">
        <v>766</v>
      </c>
      <c r="F58" s="32" t="s">
        <v>776</v>
      </c>
      <c r="G58" s="31" t="s">
        <v>764</v>
      </c>
      <c r="H58" s="31" t="s">
        <v>782</v>
      </c>
      <c r="I58" s="11"/>
      <c r="J58" s="11"/>
    </row>
    <row r="59">
      <c r="A59">
        <f>IFERROR(__xludf.DUMMYFUNCTION("""COMPUTED_VALUE"""),86.0)</f>
        <v>86</v>
      </c>
      <c r="B59" s="11" t="str">
        <f>IFERROR(__xludf.DUMMYFUNCTION("""COMPUTED_VALUE"""),"I do not understand canvas being able to delete files. Can that happen without it notifying me?")</f>
        <v>I do not understand canvas being able to delete files. Can that happen without it notifying me?</v>
      </c>
      <c r="C59" s="32" t="s">
        <v>761</v>
      </c>
      <c r="D59" s="32" t="s">
        <v>777</v>
      </c>
      <c r="E59" s="32" t="s">
        <v>781</v>
      </c>
      <c r="F59" s="28" t="s">
        <v>788</v>
      </c>
      <c r="G59" s="31" t="s">
        <v>803</v>
      </c>
      <c r="H59" s="11"/>
      <c r="I59" s="11"/>
      <c r="J59" s="11"/>
    </row>
    <row r="60">
      <c r="A60">
        <f>IFERROR(__xludf.DUMMYFUNCTION("""COMPUTED_VALUE"""),87.0)</f>
        <v>87</v>
      </c>
      <c r="B60" s="11" t="str">
        <f>IFERROR(__xludf.DUMMYFUNCTION("""COMPUTED_VALUE"""),"I didn't know that they could see and download my contacts. That is a bit concerning because I don't know what they do with that data.")</f>
        <v>I didn't know that they could see and download my contacts. That is a bit concerning because I don't know what they do with that data.</v>
      </c>
      <c r="C60" s="31" t="s">
        <v>764</v>
      </c>
      <c r="D60" s="31" t="s">
        <v>782</v>
      </c>
      <c r="E60" s="32" t="s">
        <v>761</v>
      </c>
      <c r="F60" s="32" t="s">
        <v>766</v>
      </c>
      <c r="G60" s="32" t="s">
        <v>788</v>
      </c>
      <c r="H60" s="28" t="s">
        <v>789</v>
      </c>
      <c r="I60" s="11"/>
      <c r="J60" s="11"/>
    </row>
    <row r="61">
      <c r="A61">
        <f>IFERROR(__xludf.DUMMYFUNCTION("""COMPUTED_VALUE"""),88.0)</f>
        <v>88</v>
      </c>
      <c r="B61" s="11" t="str">
        <f>IFERROR(__xludf.DUMMYFUNCTION("""COMPUTED_VALUE"""),"I do not have any concerns.")</f>
        <v>I do not have any concerns.</v>
      </c>
      <c r="C61" s="32" t="s">
        <v>758</v>
      </c>
      <c r="D61" s="11"/>
      <c r="E61" s="11"/>
      <c r="F61" s="11"/>
      <c r="G61" s="11"/>
      <c r="H61" s="11"/>
      <c r="I61" s="11"/>
      <c r="J61" s="11"/>
    </row>
    <row r="62">
      <c r="A62">
        <f>IFERROR(__xludf.DUMMYFUNCTION("""COMPUTED_VALUE"""),89.0)</f>
        <v>89</v>
      </c>
      <c r="B62" s="11" t="str">
        <f>IFERROR(__xludf.DUMMYFUNCTION("""COMPUTED_VALUE"""),"As with any app that requires having access to send emails, I'm always worried about something unauthorized being sent. That being said, I've been using Boomerang for years and haven't noticed anything awry, so I'm not too concerned at this point.")</f>
        <v>As with any app that requires having access to send emails, I'm always worried about something unauthorized being sent. That being said, I've been using Boomerang for years and haven't noticed anything awry, so I'm not too concerned at this point.</v>
      </c>
      <c r="C62" s="32" t="s">
        <v>761</v>
      </c>
      <c r="D62" s="32" t="s">
        <v>777</v>
      </c>
      <c r="E62" s="32" t="s">
        <v>778</v>
      </c>
      <c r="F62" s="11"/>
      <c r="G62" s="11"/>
      <c r="H62" s="11"/>
      <c r="I62" s="11"/>
      <c r="J62" s="11"/>
    </row>
    <row r="63">
      <c r="A63">
        <f>IFERROR(__xludf.DUMMYFUNCTION("""COMPUTED_VALUE"""),90.0)</f>
        <v>90</v>
      </c>
      <c r="B63" s="11" t="str">
        <f>IFERROR(__xludf.DUMMYFUNCTION("""COMPUTED_VALUE"""),"It doesn't need to see my calendar.")</f>
        <v>It doesn't need to see my calendar.</v>
      </c>
      <c r="C63" s="32" t="s">
        <v>761</v>
      </c>
      <c r="D63" s="32" t="s">
        <v>777</v>
      </c>
      <c r="E63" s="31" t="s">
        <v>804</v>
      </c>
      <c r="F63" s="32" t="s">
        <v>766</v>
      </c>
      <c r="G63" s="3"/>
      <c r="H63" s="11"/>
      <c r="I63" s="11"/>
      <c r="J63" s="11"/>
    </row>
    <row r="64">
      <c r="A64">
        <f>IFERROR(__xludf.DUMMYFUNCTION("""COMPUTED_VALUE"""),91.0)</f>
        <v>91</v>
      </c>
      <c r="B64" s="11" t="str">
        <f>IFERROR(__xludf.DUMMYFUNCTION("""COMPUTED_VALUE"""),"NOne")</f>
        <v>NOne</v>
      </c>
      <c r="C64" s="32" t="s">
        <v>758</v>
      </c>
      <c r="D64" s="3"/>
      <c r="E64" s="11"/>
      <c r="F64" s="11"/>
      <c r="G64" s="11"/>
      <c r="H64" s="11"/>
      <c r="I64" s="11"/>
      <c r="J64" s="11"/>
    </row>
    <row r="65">
      <c r="A65">
        <f>IFERROR(__xludf.DUMMYFUNCTION("""COMPUTED_VALUE"""),92.0)</f>
        <v>92</v>
      </c>
      <c r="B65" s="11" t="str">
        <f>IFERROR(__xludf.DUMMYFUNCTION("""COMPUTED_VALUE"""),"I'm a little worried that if something were to happen where LG Email gets hacked or there's a security breach that they could send emails from my account, but that seems pretty unlikely and so I think it's worth the risk given how much more convenient it "&amp;"makes things.")</f>
        <v>I'm a little worried that if something were to happen where LG Email gets hacked or there's a security breach that they could send emails from my account, but that seems pretty unlikely and so I think it's worth the risk given how much more convenient it makes things.</v>
      </c>
      <c r="C65" s="32" t="s">
        <v>761</v>
      </c>
      <c r="D65" s="32" t="s">
        <v>763</v>
      </c>
      <c r="E65" s="32" t="s">
        <v>779</v>
      </c>
      <c r="F65" s="32" t="s">
        <v>777</v>
      </c>
      <c r="G65" s="32" t="s">
        <v>778</v>
      </c>
      <c r="H65" s="3" t="s">
        <v>805</v>
      </c>
      <c r="I65" s="11"/>
      <c r="J65" s="11"/>
    </row>
    <row r="66">
      <c r="A66">
        <f>IFERROR(__xludf.DUMMYFUNCTION("""COMPUTED_VALUE"""),93.0)</f>
        <v>93</v>
      </c>
      <c r="B66" s="11" t="str">
        <f>IFERROR(__xludf.DUMMYFUNCTION("""COMPUTED_VALUE"""),"none")</f>
        <v>none</v>
      </c>
      <c r="C66" s="32" t="s">
        <v>758</v>
      </c>
      <c r="D66" s="3"/>
      <c r="F66" s="11"/>
      <c r="G66" s="11"/>
      <c r="H66" s="11"/>
      <c r="I66" s="11"/>
      <c r="J66" s="11"/>
    </row>
    <row r="67">
      <c r="A67">
        <f>IFERROR(__xludf.DUMMYFUNCTION("""COMPUTED_VALUE"""),94.0)</f>
        <v>94</v>
      </c>
      <c r="B67" s="11"/>
      <c r="C67" s="29"/>
      <c r="D67" s="3"/>
      <c r="E67" s="19"/>
      <c r="F67" s="19"/>
      <c r="G67" s="3"/>
      <c r="H67" s="3"/>
      <c r="J67" s="11"/>
    </row>
    <row r="68">
      <c r="A68">
        <f>IFERROR(__xludf.DUMMYFUNCTION("""COMPUTED_VALUE"""),95.0)</f>
        <v>95</v>
      </c>
      <c r="B68" s="11" t="str">
        <f>IFERROR(__xludf.DUMMYFUNCTION("""COMPUTED_VALUE"""),"Read compose send and permanently delete all your email from gmailjQuery3510829273208396826_1618308888071 really??")</f>
        <v>Read compose send and permanently delete all your email from gmailjQuery3510829273208396826_1618308888071 really??</v>
      </c>
      <c r="C68" s="32" t="s">
        <v>761</v>
      </c>
      <c r="D68" s="32" t="s">
        <v>777</v>
      </c>
      <c r="E68" s="32" t="s">
        <v>778</v>
      </c>
      <c r="F68" s="32" t="s">
        <v>781</v>
      </c>
      <c r="G68" s="11"/>
      <c r="J68" s="11"/>
    </row>
    <row r="69">
      <c r="A69">
        <f>IFERROR(__xludf.DUMMYFUNCTION("""COMPUTED_VALUE"""),96.0)</f>
        <v>96</v>
      </c>
      <c r="B69" s="11" t="str">
        <f>IFERROR(__xludf.DUMMYFUNCTION("""COMPUTED_VALUE"""),"I don't know how long they keep this data.")</f>
        <v>I don't know how long they keep this data.</v>
      </c>
      <c r="C69" s="32" t="s">
        <v>788</v>
      </c>
      <c r="D69" s="31" t="s">
        <v>806</v>
      </c>
      <c r="E69" s="3"/>
      <c r="F69" s="3"/>
      <c r="G69" s="3"/>
      <c r="J69" s="11"/>
    </row>
    <row r="70">
      <c r="A70">
        <f>IFERROR(__xludf.DUMMYFUNCTION("""COMPUTED_VALUE"""),97.0)</f>
        <v>97</v>
      </c>
      <c r="B70" s="11" t="str">
        <f>IFERROR(__xludf.DUMMYFUNCTION("""COMPUTED_VALUE"""),"I generally dislike anyone, including Google, having so much access to my information.")</f>
        <v>I generally dislike anyone, including Google, having so much access to my information.</v>
      </c>
      <c r="C70" s="32" t="s">
        <v>761</v>
      </c>
      <c r="D70" s="32" t="s">
        <v>766</v>
      </c>
      <c r="E70" s="3"/>
      <c r="F70" s="3"/>
      <c r="G70" s="3"/>
      <c r="H70" s="11"/>
      <c r="I70" s="11"/>
      <c r="J70" s="11"/>
    </row>
    <row r="71">
      <c r="A71">
        <f>IFERROR(__xludf.DUMMYFUNCTION("""COMPUTED_VALUE"""),98.0)</f>
        <v>98</v>
      </c>
      <c r="B71" s="11" t="str">
        <f>IFERROR(__xludf.DUMMYFUNCTION("""COMPUTED_VALUE"""),"I would like to know why PlayStation Network needs to see my primary email address or needs to see my personal information. For example, if I enter a credit card, PlayStation Network can see it and I'm not sure if that's safe.")</f>
        <v>I would like to know why PlayStation Network needs to see my primary email address or needs to see my personal information. For example, if I enter a credit card, PlayStation Network can see it and I'm not sure if that's safe.</v>
      </c>
      <c r="C71" s="32" t="s">
        <v>761</v>
      </c>
      <c r="D71" s="32" t="s">
        <v>766</v>
      </c>
      <c r="E71" s="3"/>
      <c r="F71" s="3"/>
      <c r="G71" s="3"/>
      <c r="H71" s="3"/>
      <c r="I71" s="3"/>
      <c r="J71" s="11"/>
    </row>
    <row r="72">
      <c r="A72">
        <f>IFERROR(__xludf.DUMMYFUNCTION("""COMPUTED_VALUE"""),99.0)</f>
        <v>99</v>
      </c>
      <c r="B72" s="11" t="str">
        <f>IFERROR(__xludf.DUMMYFUNCTION("""COMPUTED_VALUE"""),"I have none as the permissions it has are what I use IFTTT for.")</f>
        <v>I have none as the permissions it has are what I use IFTTT for.</v>
      </c>
      <c r="C72" s="32" t="s">
        <v>758</v>
      </c>
      <c r="D72" s="30" t="s">
        <v>790</v>
      </c>
      <c r="E72" s="11"/>
      <c r="F72" s="11"/>
      <c r="G72" s="11"/>
      <c r="H72" s="11"/>
      <c r="I72" s="11"/>
      <c r="J72" s="11"/>
    </row>
    <row r="73">
      <c r="A73">
        <f>IFERROR(__xludf.DUMMYFUNCTION("""COMPUTED_VALUE"""),100.0)</f>
        <v>100</v>
      </c>
      <c r="B73" s="11"/>
      <c r="C73" s="29"/>
      <c r="D73" s="3"/>
      <c r="E73" s="3"/>
      <c r="F73" s="3"/>
      <c r="G73" s="3"/>
      <c r="H73" s="3"/>
      <c r="I73" s="11"/>
      <c r="J73" s="11"/>
    </row>
    <row r="74">
      <c r="A74">
        <f>IFERROR(__xludf.DUMMYFUNCTION("""COMPUTED_VALUE"""),101.0)</f>
        <v>101</v>
      </c>
      <c r="B74" s="11" t="str">
        <f>IFERROR(__xludf.DUMMYFUNCTION("""COMPUTED_VALUE"""),"I'm slightly concerned about the data profile Samsung may be building on me. But I have many Samsung devices and understand that unifying the data may be a benefit to my experience.")</f>
        <v>I'm slightly concerned about the data profile Samsung may be building on me. But I have many Samsung devices and understand that unifying the data may be a benefit to my experience.</v>
      </c>
      <c r="C74" s="32" t="s">
        <v>761</v>
      </c>
      <c r="D74" s="32" t="s">
        <v>766</v>
      </c>
      <c r="E74" s="32" t="s">
        <v>784</v>
      </c>
      <c r="F74" s="3" t="s">
        <v>805</v>
      </c>
      <c r="G74" s="11"/>
      <c r="H74" s="11"/>
      <c r="I74" s="11"/>
      <c r="J74" s="11"/>
    </row>
    <row r="75">
      <c r="A75">
        <f>IFERROR(__xludf.DUMMYFUNCTION("""COMPUTED_VALUE"""),102.0)</f>
        <v>102</v>
      </c>
      <c r="B75" s="11"/>
      <c r="C75" s="29"/>
      <c r="D75" s="3"/>
      <c r="E75" s="3"/>
      <c r="F75" s="11"/>
      <c r="G75" s="11"/>
      <c r="H75" s="11"/>
      <c r="I75" s="11"/>
      <c r="J75" s="11"/>
    </row>
    <row r="76">
      <c r="A76">
        <f>IFERROR(__xludf.DUMMYFUNCTION("""COMPUTED_VALUE"""),103.0)</f>
        <v>103</v>
      </c>
      <c r="B76" s="11"/>
      <c r="C76" s="29"/>
      <c r="D76" s="3"/>
      <c r="E76" s="3"/>
      <c r="F76" s="11"/>
      <c r="G76" s="11"/>
      <c r="H76" s="11"/>
      <c r="I76" s="11"/>
      <c r="J76" s="11"/>
    </row>
    <row r="77">
      <c r="A77">
        <f>IFERROR(__xludf.DUMMYFUNCTION("""COMPUTED_VALUE"""),104.0)</f>
        <v>104</v>
      </c>
      <c r="B77" s="11" t="str">
        <f>IFERROR(__xludf.DUMMYFUNCTION("""COMPUTED_VALUE"""),"will i be able to delete my information permanently off here.")</f>
        <v>will i be able to delete my information permanently off here.</v>
      </c>
      <c r="C77" s="32" t="s">
        <v>761</v>
      </c>
      <c r="D77" s="32" t="s">
        <v>766</v>
      </c>
      <c r="E77" s="32" t="s">
        <v>788</v>
      </c>
      <c r="F77" s="31" t="s">
        <v>807</v>
      </c>
      <c r="G77" s="11"/>
      <c r="H77" s="11"/>
      <c r="I77" s="11"/>
      <c r="J77" s="11"/>
    </row>
    <row r="78">
      <c r="A78">
        <f>IFERROR(__xludf.DUMMYFUNCTION("""COMPUTED_VALUE"""),105.0)</f>
        <v>105</v>
      </c>
      <c r="B78" s="11" t="str">
        <f>IFERROR(__xludf.DUMMYFUNCTION("""COMPUTED_VALUE"""),"Don't have any concerns")</f>
        <v>Don't have any concerns</v>
      </c>
      <c r="C78" s="32" t="s">
        <v>758</v>
      </c>
      <c r="D78" s="3"/>
      <c r="E78" s="11"/>
      <c r="F78" s="11"/>
      <c r="G78" s="11"/>
      <c r="H78" s="11"/>
      <c r="I78" s="11"/>
      <c r="J78" s="11"/>
    </row>
    <row r="79">
      <c r="A79">
        <f>IFERROR(__xludf.DUMMYFUNCTION("""COMPUTED_VALUE"""),106.0)</f>
        <v>106</v>
      </c>
      <c r="B79" s="11" t="str">
        <f>IFERROR(__xludf.DUMMYFUNCTION("""COMPUTED_VALUE"""),"dont use this app so dont need it")</f>
        <v>dont use this app so dont need it</v>
      </c>
      <c r="C79" s="32" t="s">
        <v>760</v>
      </c>
      <c r="D79" s="32" t="s">
        <v>787</v>
      </c>
      <c r="E79" s="11"/>
      <c r="F79" s="11"/>
      <c r="G79" s="11"/>
      <c r="H79" s="11"/>
      <c r="I79" s="11"/>
      <c r="J79" s="11"/>
    </row>
    <row r="80">
      <c r="A80">
        <f>IFERROR(__xludf.DUMMYFUNCTION("""COMPUTED_VALUE"""),107.0)</f>
        <v>107</v>
      </c>
      <c r="B80" s="11" t="str">
        <f>IFERROR(__xludf.DUMMYFUNCTION("""COMPUTED_VALUE"""),"None, I believe that for Route to work properly and help me as much as it does it is necessary for it to have access to my e-mails. I don't know what it needs my publicly available info for, but I made it publicly available so I'm not concerned.")</f>
        <v>None, I believe that for Route to work properly and help me as much as it does it is necessary for it to have access to my e-mails. I don't know what it needs my publicly available info for, but I made it publicly available so I'm not concerned.</v>
      </c>
      <c r="C80" s="32" t="s">
        <v>758</v>
      </c>
      <c r="D80" s="30" t="s">
        <v>790</v>
      </c>
      <c r="E80" s="3"/>
      <c r="F80" s="11"/>
      <c r="G80" s="11"/>
      <c r="H80" s="11"/>
      <c r="I80" s="11"/>
      <c r="J80" s="11"/>
    </row>
    <row r="81">
      <c r="A81">
        <f>IFERROR(__xludf.DUMMYFUNCTION("""COMPUTED_VALUE"""),108.0)</f>
        <v>108</v>
      </c>
      <c r="B81" s="11" t="str">
        <f>IFERROR(__xludf.DUMMYFUNCTION("""COMPUTED_VALUE"""),"I could care less.")</f>
        <v>I could care less.</v>
      </c>
      <c r="C81" s="32" t="s">
        <v>758</v>
      </c>
      <c r="D81" s="3"/>
      <c r="E81" s="3"/>
      <c r="F81" s="3"/>
      <c r="G81" s="11"/>
      <c r="H81" s="11"/>
      <c r="I81" s="11"/>
      <c r="J81" s="11"/>
    </row>
    <row r="82">
      <c r="A82">
        <f>IFERROR(__xludf.DUMMYFUNCTION("""COMPUTED_VALUE"""),109.0)</f>
        <v>109</v>
      </c>
      <c r="B82" s="11" t="str">
        <f>IFERROR(__xludf.DUMMYFUNCTION("""COMPUTED_VALUE"""),"There is potential for my info to be used improperly, especially if Route is hacked.")</f>
        <v>There is potential for my info to be used improperly, especially if Route is hacked.</v>
      </c>
      <c r="C82" s="32" t="s">
        <v>761</v>
      </c>
      <c r="D82" s="32" t="s">
        <v>763</v>
      </c>
      <c r="E82" s="32" t="s">
        <v>766</v>
      </c>
      <c r="F82" s="11"/>
      <c r="G82" s="11"/>
      <c r="H82" s="11"/>
      <c r="I82" s="11"/>
      <c r="J82" s="11"/>
    </row>
    <row r="83">
      <c r="A83">
        <f>IFERROR(__xludf.DUMMYFUNCTION("""COMPUTED_VALUE"""),110.0)</f>
        <v>110</v>
      </c>
      <c r="B83" s="11"/>
      <c r="C83" s="29"/>
      <c r="D83" s="3"/>
      <c r="E83" s="3"/>
      <c r="F83" s="3"/>
      <c r="G83" s="11"/>
      <c r="H83" s="11"/>
      <c r="I83" s="11"/>
      <c r="J83" s="11"/>
    </row>
    <row r="84">
      <c r="A84">
        <f>IFERROR(__xludf.DUMMYFUNCTION("""COMPUTED_VALUE"""),112.0)</f>
        <v>112</v>
      </c>
      <c r="B84" s="11"/>
      <c r="C84" s="29"/>
      <c r="D84" s="3"/>
      <c r="E84" s="3"/>
      <c r="F84" s="3"/>
      <c r="G84" s="3"/>
      <c r="H84" s="11"/>
      <c r="I84" s="11"/>
      <c r="J84" s="11"/>
    </row>
    <row r="85">
      <c r="A85">
        <f>IFERROR(__xludf.DUMMYFUNCTION("""COMPUTED_VALUE"""),113.0)</f>
        <v>113</v>
      </c>
      <c r="B85" s="11"/>
      <c r="C85" s="29"/>
      <c r="D85" s="3"/>
      <c r="E85" s="3"/>
      <c r="F85" s="11"/>
      <c r="G85" s="11"/>
      <c r="H85" s="11"/>
      <c r="I85" s="11"/>
      <c r="J85" s="11"/>
    </row>
    <row r="86">
      <c r="A86">
        <f>IFERROR(__xludf.DUMMYFUNCTION("""COMPUTED_VALUE"""),114.0)</f>
        <v>114</v>
      </c>
      <c r="B86" s="11"/>
      <c r="C86" s="3"/>
      <c r="D86" s="3"/>
      <c r="E86" s="3"/>
      <c r="F86" s="3"/>
      <c r="G86" s="3"/>
      <c r="H86" s="11"/>
      <c r="I86" s="11"/>
      <c r="J86" s="11"/>
    </row>
    <row r="87">
      <c r="A87">
        <f>IFERROR(__xludf.DUMMYFUNCTION("""COMPUTED_VALUE"""),115.0)</f>
        <v>115</v>
      </c>
      <c r="B87" s="11" t="str">
        <f>IFERROR(__xludf.DUMMYFUNCTION("""COMPUTED_VALUE"""),"Google needs to access youtube so the only concern would be someone having access to my youtube viewing or rentals.")</f>
        <v>Google needs to access youtube so the only concern would be someone having access to my youtube viewing or rentals.</v>
      </c>
      <c r="C87" s="32" t="s">
        <v>761</v>
      </c>
      <c r="D87" s="32" t="s">
        <v>779</v>
      </c>
      <c r="E87" s="11"/>
      <c r="F87" s="11"/>
      <c r="G87" s="11"/>
      <c r="H87" s="11"/>
      <c r="I87" s="11"/>
      <c r="J87" s="11"/>
    </row>
    <row r="88">
      <c r="A88">
        <f>IFERROR(__xludf.DUMMYFUNCTION("""COMPUTED_VALUE"""),116.0)</f>
        <v>116</v>
      </c>
      <c r="B88" s="11"/>
      <c r="C88" s="3"/>
      <c r="E88" s="11"/>
      <c r="F88" s="11"/>
      <c r="G88" s="11"/>
      <c r="H88" s="11"/>
      <c r="I88" s="11"/>
      <c r="J88" s="11"/>
    </row>
    <row r="89">
      <c r="A89">
        <f>IFERROR(__xludf.DUMMYFUNCTION("""COMPUTED_VALUE"""),117.0)</f>
        <v>117</v>
      </c>
      <c r="B89" s="11"/>
      <c r="C89" s="29"/>
      <c r="D89" s="3"/>
      <c r="E89" s="3"/>
      <c r="F89" s="3"/>
      <c r="G89" s="11"/>
      <c r="H89" s="11"/>
      <c r="I89" s="11"/>
      <c r="J89" s="11"/>
    </row>
    <row r="90">
      <c r="A90">
        <f>IFERROR(__xludf.DUMMYFUNCTION("""COMPUTED_VALUE"""),118.0)</f>
        <v>118</v>
      </c>
      <c r="B90" s="11" t="str">
        <f>IFERROR(__xludf.DUMMYFUNCTION("""COMPUTED_VALUE"""),"I think that they have asked for more information than they need for the app to run and what are they doing with that information?")</f>
        <v>I think that they have asked for more information than they need for the app to run and what are they doing with that information?</v>
      </c>
      <c r="C90" s="32" t="s">
        <v>788</v>
      </c>
      <c r="D90" s="32" t="s">
        <v>789</v>
      </c>
      <c r="E90" s="32" t="s">
        <v>761</v>
      </c>
      <c r="F90" s="32" t="s">
        <v>762</v>
      </c>
      <c r="G90" s="11"/>
      <c r="H90" s="11"/>
      <c r="I90" s="11"/>
      <c r="J90" s="11"/>
    </row>
    <row r="91">
      <c r="A91">
        <f>IFERROR(__xludf.DUMMYFUNCTION("""COMPUTED_VALUE"""),120.0)</f>
        <v>120</v>
      </c>
      <c r="B91" s="11" t="str">
        <f>IFERROR(__xludf.DUMMYFUNCTION("""COMPUTED_VALUE"""),"Really don't worry that much and its low risk if something does happen")</f>
        <v>Really don't worry that much and its low risk if something does happen</v>
      </c>
      <c r="C91" s="32" t="s">
        <v>758</v>
      </c>
      <c r="D91" s="3"/>
      <c r="E91" s="3"/>
      <c r="F91" s="11"/>
      <c r="G91" s="11"/>
      <c r="H91" s="11"/>
      <c r="I91" s="11"/>
      <c r="J91" s="11"/>
    </row>
    <row r="92">
      <c r="A92">
        <f>IFERROR(__xludf.DUMMYFUNCTION("""COMPUTED_VALUE"""),121.0)</f>
        <v>121</v>
      </c>
      <c r="B92" s="11" t="str">
        <f>IFERROR(__xludf.DUMMYFUNCTION("""COMPUTED_VALUE"""),"I don't remember authorizing it, and I really don't think Quora should have access to my contacts for any reason.")</f>
        <v>I don't remember authorizing it, and I really don't think Quora should have access to my contacts for any reason.</v>
      </c>
      <c r="C92" s="31" t="s">
        <v>764</v>
      </c>
      <c r="D92" s="32" t="s">
        <v>761</v>
      </c>
      <c r="E92" s="32" t="s">
        <v>777</v>
      </c>
      <c r="F92" s="27" t="s">
        <v>798</v>
      </c>
      <c r="H92" s="11"/>
      <c r="I92" s="11"/>
      <c r="J92" s="11"/>
    </row>
    <row r="93">
      <c r="A93">
        <f>IFERROR(__xludf.DUMMYFUNCTION("""COMPUTED_VALUE"""),122.0)</f>
        <v>122</v>
      </c>
      <c r="B93" s="11" t="str">
        <f>IFERROR(__xludf.DUMMYFUNCTION("""COMPUTED_VALUE"""),"I only needed canvas to have these permissions to upload assignments, but school just finished up for me, so at the moment I don't need it. I don't have any concerns with Canvas having these permissions")</f>
        <v>I only needed canvas to have these permissions to upload assignments, but school just finished up for me, so at the moment I don't need it. I don't have any concerns with Canvas having these permissions</v>
      </c>
      <c r="C93" s="32" t="s">
        <v>758</v>
      </c>
      <c r="D93" s="30" t="s">
        <v>790</v>
      </c>
      <c r="E93" s="28" t="s">
        <v>759</v>
      </c>
      <c r="F93" s="11"/>
      <c r="G93" s="11"/>
      <c r="H93" s="11"/>
      <c r="I93" s="11"/>
      <c r="J93" s="11"/>
    </row>
    <row r="94">
      <c r="A94">
        <f>IFERROR(__xludf.DUMMYFUNCTION("""COMPUTED_VALUE"""),123.0)</f>
        <v>123</v>
      </c>
      <c r="B94" s="11" t="str">
        <f>IFERROR(__xludf.DUMMYFUNCTION("""COMPUTED_VALUE"""),"I have no concerns because these are necessary in order to provide me with full use of my Mac")</f>
        <v>I have no concerns because these are necessary in order to provide me with full use of my Mac</v>
      </c>
      <c r="C94" s="32" t="s">
        <v>758</v>
      </c>
      <c r="D94" s="30" t="s">
        <v>790</v>
      </c>
      <c r="E94" s="28" t="s">
        <v>759</v>
      </c>
      <c r="F94" s="11"/>
      <c r="G94" s="11"/>
      <c r="H94" s="11"/>
      <c r="I94" s="11"/>
      <c r="J94" s="11"/>
    </row>
    <row r="95">
      <c r="A95">
        <f>IFERROR(__xludf.DUMMYFUNCTION("""COMPUTED_VALUE"""),124.0)</f>
        <v>124</v>
      </c>
      <c r="B95" s="11"/>
      <c r="C95" s="3"/>
      <c r="D95" s="3"/>
      <c r="E95" s="11"/>
      <c r="F95" s="11"/>
      <c r="G95" s="11"/>
      <c r="H95" s="11"/>
      <c r="I95" s="11"/>
      <c r="J95" s="11"/>
    </row>
    <row r="96">
      <c r="A96">
        <f>IFERROR(__xludf.DUMMYFUNCTION("""COMPUTED_VALUE"""),125.0)</f>
        <v>125</v>
      </c>
      <c r="B96" s="11"/>
      <c r="C96" s="29"/>
      <c r="D96" s="3"/>
      <c r="E96" s="3"/>
      <c r="F96" s="11"/>
      <c r="G96" s="11"/>
      <c r="H96" s="11"/>
      <c r="I96" s="11"/>
      <c r="J96" s="11"/>
    </row>
    <row r="97">
      <c r="A97">
        <f>IFERROR(__xludf.DUMMYFUNCTION("""COMPUTED_VALUE"""),126.0)</f>
        <v>126</v>
      </c>
      <c r="B97" s="11" t="str">
        <f>IFERROR(__xludf.DUMMYFUNCTION("""COMPUTED_VALUE"""),"I'm afraid a data leak might happen and other people outside of Windows might get their hands on my info.")</f>
        <v>I'm afraid a data leak might happen and other people outside of Windows might get their hands on my info.</v>
      </c>
      <c r="C97" s="32" t="s">
        <v>761</v>
      </c>
      <c r="D97" s="32" t="s">
        <v>779</v>
      </c>
      <c r="E97" s="32" t="s">
        <v>766</v>
      </c>
      <c r="F97" s="11"/>
      <c r="G97" s="11"/>
      <c r="H97" s="11"/>
      <c r="I97" s="11"/>
      <c r="J97" s="11"/>
    </row>
    <row r="98">
      <c r="A98">
        <f>IFERROR(__xludf.DUMMYFUNCTION("""COMPUTED_VALUE"""),127.0)</f>
        <v>127</v>
      </c>
      <c r="B98" s="11" t="str">
        <f>IFERROR(__xludf.DUMMYFUNCTION("""COMPUTED_VALUE"""),"I have a concern they will track my data from this app and sell services and ads based on it. I'm concerned they monitor my activity on it.")</f>
        <v>I have a concern they will track my data from this app and sell services and ads based on it. I'm concerned they monitor my activity on it.</v>
      </c>
      <c r="C98" s="32" t="s">
        <v>761</v>
      </c>
      <c r="D98" s="32" t="s">
        <v>775</v>
      </c>
      <c r="E98" s="32" t="s">
        <v>784</v>
      </c>
      <c r="F98" s="32" t="s">
        <v>766</v>
      </c>
      <c r="G98" t="s">
        <v>800</v>
      </c>
      <c r="H98" s="11"/>
      <c r="I98" s="11"/>
      <c r="J98" s="11"/>
    </row>
    <row r="99">
      <c r="A99">
        <f>IFERROR(__xludf.DUMMYFUNCTION("""COMPUTED_VALUE"""),128.0)</f>
        <v>128</v>
      </c>
      <c r="B99" s="11" t="str">
        <f>IFERROR(__xludf.DUMMYFUNCTION("""COMPUTED_VALUE"""),"I do not like that they can compose and delete my emails.")</f>
        <v>I do not like that they can compose and delete my emails.</v>
      </c>
      <c r="C99" s="32" t="s">
        <v>761</v>
      </c>
      <c r="D99" s="32" t="s">
        <v>777</v>
      </c>
      <c r="E99" s="32" t="s">
        <v>778</v>
      </c>
      <c r="F99" s="32" t="s">
        <v>781</v>
      </c>
      <c r="G99" s="11"/>
      <c r="H99" s="11"/>
      <c r="I99" s="11"/>
      <c r="J99" s="11"/>
    </row>
    <row r="100">
      <c r="A100">
        <f>IFERROR(__xludf.DUMMYFUNCTION("""COMPUTED_VALUE"""),129.0)</f>
        <v>129</v>
      </c>
      <c r="B100" s="11"/>
      <c r="C100" s="3"/>
      <c r="D100" s="3"/>
      <c r="E100" s="11"/>
      <c r="F100" s="11"/>
      <c r="G100" s="11"/>
      <c r="H100" s="11"/>
      <c r="I100" s="11"/>
      <c r="J100" s="11"/>
    </row>
    <row r="101">
      <c r="A101">
        <f>IFERROR(__xludf.DUMMYFUNCTION("""COMPUTED_VALUE"""),130.0)</f>
        <v>130</v>
      </c>
      <c r="B101" s="11"/>
      <c r="C101" s="3"/>
      <c r="D101" s="3"/>
      <c r="E101" s="3"/>
      <c r="F101" s="11"/>
      <c r="G101" s="11"/>
      <c r="H101" s="11"/>
      <c r="I101" s="11"/>
      <c r="J101" s="11"/>
    </row>
    <row r="102">
      <c r="A102">
        <f>IFERROR(__xludf.DUMMYFUNCTION("""COMPUTED_VALUE"""),131.0)</f>
        <v>131</v>
      </c>
      <c r="B102" s="11" t="str">
        <f>IFERROR(__xludf.DUMMYFUNCTION("""COMPUTED_VALUE"""),"Why would they have access to my computer at all. I don't understand how they can delete my files, or put more information on my computer then I asked for. I really can't believe they can see my google drive files. There are things in there that are for m"&amp;"e or my family.")</f>
        <v>Why would they have access to my computer at all. I don't understand how they can delete my files, or put more information on my computer then I asked for. I really can't believe they can see my google drive files. There are things in there that are for me or my family.</v>
      </c>
      <c r="C102" s="32" t="s">
        <v>761</v>
      </c>
      <c r="D102" s="32" t="s">
        <v>777</v>
      </c>
      <c r="E102" s="32" t="s">
        <v>781</v>
      </c>
      <c r="F102" s="32" t="s">
        <v>783</v>
      </c>
      <c r="G102" s="32" t="s">
        <v>766</v>
      </c>
      <c r="H102" s="11"/>
      <c r="I102" s="11"/>
      <c r="J102" s="11"/>
    </row>
    <row r="103">
      <c r="A103">
        <f>IFERROR(__xludf.DUMMYFUNCTION("""COMPUTED_VALUE"""),132.0)</f>
        <v>132</v>
      </c>
      <c r="B103" s="11" t="str">
        <f>IFERROR(__xludf.DUMMYFUNCTION("""COMPUTED_VALUE"""),"i guess cause i dont recall putting it on or using it. and the fact they can delete my contacts.")</f>
        <v>i guess cause i dont recall putting it on or using it. and the fact they can delete my contacts.</v>
      </c>
      <c r="C103" s="31" t="s">
        <v>764</v>
      </c>
      <c r="D103" s="32" t="s">
        <v>761</v>
      </c>
      <c r="E103" s="32" t="s">
        <v>777</v>
      </c>
      <c r="F103" s="31" t="s">
        <v>798</v>
      </c>
      <c r="G103" s="32" t="s">
        <v>781</v>
      </c>
      <c r="H103" s="11"/>
      <c r="I103" s="11"/>
      <c r="J103" s="11"/>
    </row>
    <row r="104">
      <c r="A104">
        <f>IFERROR(__xludf.DUMMYFUNCTION("""COMPUTED_VALUE"""),133.0)</f>
        <v>133</v>
      </c>
      <c r="B104" s="11" t="str">
        <f>IFERROR(__xludf.DUMMYFUNCTION("""COMPUTED_VALUE"""),"I really don't have any concerns.")</f>
        <v>I really don't have any concerns.</v>
      </c>
      <c r="C104" s="32" t="s">
        <v>758</v>
      </c>
      <c r="D104" s="19"/>
      <c r="E104" s="3"/>
      <c r="F104" s="11"/>
      <c r="G104" s="11"/>
      <c r="H104" s="11"/>
      <c r="I104" s="11"/>
      <c r="J104" s="11"/>
    </row>
    <row r="105">
      <c r="A105">
        <f>IFERROR(__xludf.DUMMYFUNCTION("""COMPUTED_VALUE"""),134.0)</f>
        <v>134</v>
      </c>
      <c r="B105" s="11" t="str">
        <f>IFERROR(__xludf.DUMMYFUNCTION("""COMPUTED_VALUE"""),"Seems weird that they have the ability to delete so much, why do they need that ability?")</f>
        <v>Seems weird that they have the ability to delete so much, why do they need that ability?</v>
      </c>
      <c r="C105" s="32" t="s">
        <v>761</v>
      </c>
      <c r="D105" s="32" t="s">
        <v>777</v>
      </c>
      <c r="E105" s="31" t="s">
        <v>781</v>
      </c>
      <c r="F105" s="3"/>
      <c r="G105" s="11"/>
      <c r="H105" s="11"/>
      <c r="I105" s="11"/>
      <c r="J105" s="11"/>
    </row>
    <row r="106">
      <c r="A106">
        <f>IFERROR(__xludf.DUMMYFUNCTION("""COMPUTED_VALUE"""),135.0)</f>
        <v>135</v>
      </c>
      <c r="B106" s="11" t="str">
        <f>IFERROR(__xludf.DUMMYFUNCTION("""COMPUTED_VALUE"""),"I have concerns about macOS viewing anything I write, but I think it is essential because it is the main operating system I use. Personally, I don't have much sensitive information on my accounts, so the convenience outweighs the costs that could happen w"&amp;"ith privacy issues.")</f>
        <v>I have concerns about macOS viewing anything I write, but I think it is essential because it is the main operating system I use. Personally, I don't have much sensitive information on my accounts, so the convenience outweighs the costs that could happen with privacy issues.</v>
      </c>
      <c r="C106" t="s">
        <v>805</v>
      </c>
      <c r="D106" s="32" t="s">
        <v>761</v>
      </c>
      <c r="E106" s="32" t="s">
        <v>777</v>
      </c>
      <c r="F106" s="11"/>
      <c r="G106" s="11"/>
      <c r="H106" s="11"/>
      <c r="I106" s="11"/>
      <c r="J106" s="11"/>
    </row>
    <row r="107">
      <c r="A107">
        <f>IFERROR(__xludf.DUMMYFUNCTION("""COMPUTED_VALUE"""),136.0)</f>
        <v>136</v>
      </c>
      <c r="B107" s="11" t="str">
        <f>IFERROR(__xludf.DUMMYFUNCTION("""COMPUTED_VALUE"""),"I'm unsure what my data is being used for and who it's being sent to")</f>
        <v>I'm unsure what my data is being used for and who it's being sent to</v>
      </c>
      <c r="C107" s="32" t="s">
        <v>788</v>
      </c>
      <c r="D107" s="32" t="s">
        <v>789</v>
      </c>
      <c r="E107" s="31" t="s">
        <v>808</v>
      </c>
      <c r="F107" s="3"/>
      <c r="G107" s="11"/>
      <c r="H107" s="11"/>
      <c r="I107" s="11"/>
      <c r="J107" s="11"/>
    </row>
    <row r="108">
      <c r="A108">
        <f>IFERROR(__xludf.DUMMYFUNCTION("""COMPUTED_VALUE"""),137.0)</f>
        <v>137</v>
      </c>
      <c r="B108" s="11"/>
      <c r="C108" s="3"/>
      <c r="D108" s="3"/>
      <c r="E108" s="3"/>
      <c r="F108" s="11"/>
      <c r="G108" s="11"/>
      <c r="H108" s="11"/>
      <c r="I108" s="11"/>
      <c r="J108" s="11"/>
    </row>
    <row r="109">
      <c r="A109">
        <f>IFERROR(__xludf.DUMMYFUNCTION("""COMPUTED_VALUE"""),138.0)</f>
        <v>138</v>
      </c>
      <c r="B109" s="11" t="str">
        <f>IFERROR(__xludf.DUMMYFUNCTION("""COMPUTED_VALUE"""),"none")</f>
        <v>none</v>
      </c>
      <c r="C109" s="32" t="s">
        <v>758</v>
      </c>
      <c r="D109" s="3"/>
      <c r="E109" s="11"/>
      <c r="F109" s="11"/>
      <c r="G109" s="11"/>
      <c r="H109" s="11"/>
      <c r="I109" s="11"/>
      <c r="J109" s="11"/>
    </row>
    <row r="110">
      <c r="A110">
        <f>IFERROR(__xludf.DUMMYFUNCTION("""COMPUTED_VALUE"""),139.0)</f>
        <v>139</v>
      </c>
      <c r="B110" s="11" t="str">
        <f>IFERROR(__xludf.DUMMYFUNCTION("""COMPUTED_VALUE"""),"i do not have any concern no matter how little.")</f>
        <v>i do not have any concern no matter how little.</v>
      </c>
      <c r="C110" s="32" t="s">
        <v>758</v>
      </c>
      <c r="D110" s="3"/>
      <c r="E110" s="3"/>
      <c r="F110" s="11"/>
      <c r="G110" s="11"/>
      <c r="H110" s="11"/>
      <c r="I110" s="11"/>
      <c r="J110" s="11"/>
    </row>
    <row r="111">
      <c r="A111">
        <f>IFERROR(__xludf.DUMMYFUNCTION("""COMPUTED_VALUE"""),140.0)</f>
        <v>140</v>
      </c>
      <c r="B111" s="11" t="str">
        <f>IFERROR(__xludf.DUMMYFUNCTION("""COMPUTED_VALUE"""),"It would help to know why certain permissions are required, but I don't have any huge concerns. We have to allow access or the app won't work, the consumer doesn't have a choice.")</f>
        <v>It would help to know why certain permissions are required, but I don't have any huge concerns. We have to allow access or the app won't work, the consumer doesn't have a choice.</v>
      </c>
      <c r="C111" s="32" t="s">
        <v>788</v>
      </c>
      <c r="D111" s="31" t="s">
        <v>801</v>
      </c>
      <c r="E111" s="3"/>
      <c r="F111" s="3"/>
      <c r="G111" s="11"/>
      <c r="H111" s="11"/>
      <c r="I111" s="11"/>
      <c r="J111" s="11"/>
    </row>
    <row r="112">
      <c r="A112">
        <f>IFERROR(__xludf.DUMMYFUNCTION("""COMPUTED_VALUE"""),141.0)</f>
        <v>141</v>
      </c>
      <c r="B112" s="11" t="str">
        <f>IFERROR(__xludf.DUMMYFUNCTION("""COMPUTED_VALUE"""),"none")</f>
        <v>none</v>
      </c>
      <c r="C112" s="32" t="s">
        <v>758</v>
      </c>
      <c r="D112" s="3"/>
      <c r="E112" s="3"/>
      <c r="F112" s="11"/>
      <c r="G112" s="11"/>
      <c r="H112" s="11"/>
      <c r="I112" s="11"/>
      <c r="J112" s="11"/>
    </row>
    <row r="113">
      <c r="A113">
        <f>IFERROR(__xludf.DUMMYFUNCTION("""COMPUTED_VALUE"""),143.0)</f>
        <v>143</v>
      </c>
      <c r="B113" s="11" t="str">
        <f>IFERROR(__xludf.DUMMYFUNCTION("""COMPUTED_VALUE"""),"I don't like knowing Yahoo can delete all of my files.")</f>
        <v>I don't like knowing Yahoo can delete all of my files.</v>
      </c>
      <c r="C113" s="32" t="s">
        <v>761</v>
      </c>
      <c r="D113" s="32" t="s">
        <v>777</v>
      </c>
      <c r="E113" s="31" t="s">
        <v>781</v>
      </c>
      <c r="F113" s="11"/>
      <c r="G113" s="11"/>
      <c r="H113" s="11"/>
      <c r="I113" s="11"/>
      <c r="J113" s="11"/>
    </row>
    <row r="114">
      <c r="A114">
        <f>IFERROR(__xludf.DUMMYFUNCTION("""COMPUTED_VALUE"""),144.0)</f>
        <v>144</v>
      </c>
      <c r="B114" s="26" t="str">
        <f>IFERROR(__xludf.DUMMYFUNCTION("""COMPUTED_VALUE"""),"im just surprised that its been on my account for so long and i didnt even realize it. i dont do much on youtube so i dont know how much it has truly affected my account, however, it is a little concerning they could do something if they wished. im not su"&amp;"re how far the access can go")</f>
        <v>im just surprised that its been on my account for so long and i didnt even realize it. i dont do much on youtube so i dont know how much it has truly affected my account, however, it is a little concerning they could do something if they wished. im not sure how far the access can go</v>
      </c>
      <c r="C114" s="31" t="s">
        <v>764</v>
      </c>
      <c r="D114" s="32" t="s">
        <v>760</v>
      </c>
      <c r="E114" s="32" t="s">
        <v>788</v>
      </c>
      <c r="F114" s="32" t="s">
        <v>796</v>
      </c>
      <c r="G114" s="32" t="s">
        <v>761</v>
      </c>
      <c r="H114" s="32" t="s">
        <v>763</v>
      </c>
      <c r="I114" s="11"/>
      <c r="J114" s="11"/>
    </row>
    <row r="115">
      <c r="A115">
        <f>IFERROR(__xludf.DUMMYFUNCTION("""COMPUTED_VALUE"""),145.0)</f>
        <v>145</v>
      </c>
      <c r="B115" s="11"/>
      <c r="C115" s="3"/>
      <c r="D115" s="11"/>
      <c r="E115" s="11"/>
      <c r="F115" s="11"/>
      <c r="G115" s="11"/>
      <c r="H115" s="11"/>
      <c r="I115" s="11"/>
      <c r="J115" s="11"/>
    </row>
    <row r="116">
      <c r="A116">
        <f>IFERROR(__xludf.DUMMYFUNCTION("""COMPUTED_VALUE"""),146.0)</f>
        <v>146</v>
      </c>
      <c r="B116" s="11"/>
      <c r="C116" s="3"/>
      <c r="D116" s="3"/>
      <c r="E116" s="3"/>
      <c r="F116" s="3"/>
      <c r="G116" s="11"/>
      <c r="H116" s="11"/>
      <c r="I116" s="11"/>
      <c r="J116" s="11"/>
    </row>
    <row r="117">
      <c r="A117">
        <f>IFERROR(__xludf.DUMMYFUNCTION("""COMPUTED_VALUE"""),147.0)</f>
        <v>147</v>
      </c>
      <c r="B117" s="11" t="str">
        <f>IFERROR(__xludf.DUMMYFUNCTION("""COMPUTED_VALUE"""),"That maybe it has access to something it shouldnt")</f>
        <v>That maybe it has access to something it shouldnt</v>
      </c>
      <c r="C117" s="32" t="s">
        <v>761</v>
      </c>
      <c r="D117" s="32" t="s">
        <v>766</v>
      </c>
      <c r="E117" s="11"/>
      <c r="F117" s="11"/>
      <c r="G117" s="11"/>
      <c r="H117" s="11"/>
      <c r="I117" s="11"/>
      <c r="J117" s="11"/>
    </row>
    <row r="118">
      <c r="A118">
        <f>IFERROR(__xludf.DUMMYFUNCTION("""COMPUTED_VALUE"""),148.0)</f>
        <v>148</v>
      </c>
      <c r="B118" s="11"/>
      <c r="C118" s="3"/>
      <c r="D118" s="3"/>
      <c r="E118" s="11"/>
      <c r="F118" s="11"/>
      <c r="G118" s="11"/>
      <c r="H118" s="11"/>
      <c r="I118" s="11"/>
      <c r="J118" s="11"/>
    </row>
    <row r="119">
      <c r="A119">
        <f>IFERROR(__xludf.DUMMYFUNCTION("""COMPUTED_VALUE"""),149.0)</f>
        <v>149</v>
      </c>
      <c r="B119" s="11" t="str">
        <f>IFERROR(__xludf.DUMMYFUNCTION("""COMPUTED_VALUE"""),"It doesn't need to compose or delete emails really. This could affect me quite a bit if Unroll.me decided to exercise the permissions.")</f>
        <v>It doesn't need to compose or delete emails really. This could affect me quite a bit if Unroll.me decided to exercise the permissions.</v>
      </c>
      <c r="C119" s="32" t="s">
        <v>761</v>
      </c>
      <c r="D119" s="32" t="s">
        <v>777</v>
      </c>
      <c r="E119" s="32" t="s">
        <v>778</v>
      </c>
      <c r="F119" s="32" t="s">
        <v>781</v>
      </c>
      <c r="G119" s="11"/>
      <c r="H119" s="11"/>
      <c r="I119" s="11"/>
      <c r="J119" s="11"/>
    </row>
    <row r="120">
      <c r="A120">
        <f>IFERROR(__xludf.DUMMYFUNCTION("""COMPUTED_VALUE"""),150.0)</f>
        <v>150</v>
      </c>
      <c r="B120" s="11"/>
      <c r="C120" s="3"/>
      <c r="D120" s="11"/>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c r="C122" s="3"/>
      <c r="D122" s="3"/>
      <c r="E122" s="3"/>
      <c r="F122" s="11"/>
      <c r="G122" s="11"/>
      <c r="H122" s="11"/>
      <c r="I122" s="11"/>
      <c r="J122" s="11"/>
    </row>
    <row r="123">
      <c r="A123">
        <f>IFERROR(__xludf.DUMMYFUNCTION("""COMPUTED_VALUE"""),153.0)</f>
        <v>153</v>
      </c>
      <c r="B123" s="11" t="str">
        <f>IFERROR(__xludf.DUMMYFUNCTION("""COMPUTED_VALUE"""),"no concerns")</f>
        <v>no concerns</v>
      </c>
      <c r="C123" s="32" t="s">
        <v>758</v>
      </c>
      <c r="D123" s="3"/>
      <c r="E123" s="3"/>
      <c r="F123" s="3"/>
      <c r="G123" s="11"/>
      <c r="H123" s="11"/>
      <c r="I123" s="11"/>
      <c r="J123" s="11"/>
    </row>
    <row r="124">
      <c r="A124">
        <f>IFERROR(__xludf.DUMMYFUNCTION("""COMPUTED_VALUE"""),154.0)</f>
        <v>154</v>
      </c>
      <c r="B124" s="11" t="str">
        <f>IFERROR(__xludf.DUMMYFUNCTION("""COMPUTED_VALUE"""),"None")</f>
        <v>None</v>
      </c>
      <c r="C124" s="32" t="s">
        <v>758</v>
      </c>
      <c r="D124" s="11"/>
      <c r="E124" s="11"/>
      <c r="F124" s="11"/>
      <c r="G124" s="11"/>
      <c r="H124" s="11"/>
      <c r="I124" s="11"/>
      <c r="J124" s="11"/>
    </row>
    <row r="125">
      <c r="A125">
        <f>IFERROR(__xludf.DUMMYFUNCTION("""COMPUTED_VALUE"""),155.0)</f>
        <v>155</v>
      </c>
      <c r="B125" s="11" t="str">
        <f>IFERROR(__xludf.DUMMYFUNCTION("""COMPUTED_VALUE"""),"I am only concerned about the very slight possibility that this app will try to access other parts of my account without notifying me beforehand. However, that chance is extremely slim.")</f>
        <v>I am only concerned about the very slight possibility that this app will try to access other parts of my account without notifying me beforehand. However, that chance is extremely slim.</v>
      </c>
      <c r="C125" s="32" t="s">
        <v>761</v>
      </c>
      <c r="D125" s="32" t="s">
        <v>763</v>
      </c>
      <c r="E125" s="11"/>
      <c r="F125" s="11"/>
      <c r="G125" s="11"/>
      <c r="H125" s="11"/>
      <c r="I125" s="11"/>
      <c r="J125" s="11"/>
    </row>
    <row r="126">
      <c r="A126">
        <f>IFERROR(__xludf.DUMMYFUNCTION("""COMPUTED_VALUE"""),156.0)</f>
        <v>156</v>
      </c>
      <c r="B126" s="11" t="str">
        <f>IFERROR(__xludf.DUMMYFUNCTION("""COMPUTED_VALUE"""),"Just having the information out there is mildly concerning, you don't know who has access to it.")</f>
        <v>Just having the information out there is mildly concerning, you don't know who has access to it.</v>
      </c>
      <c r="C126" s="32" t="s">
        <v>761</v>
      </c>
      <c r="D126" s="32" t="s">
        <v>766</v>
      </c>
      <c r="E126" s="28" t="s">
        <v>788</v>
      </c>
      <c r="F126" t="s">
        <v>808</v>
      </c>
      <c r="G126" s="11"/>
      <c r="H126" s="11"/>
      <c r="I126" s="11"/>
      <c r="J126" s="11"/>
    </row>
    <row r="127">
      <c r="A127">
        <f>IFERROR(__xludf.DUMMYFUNCTION("""COMPUTED_VALUE"""),157.0)</f>
        <v>157</v>
      </c>
      <c r="B127" s="11" t="str">
        <f>IFERROR(__xludf.DUMMYFUNCTION("""COMPUTED_VALUE"""),"Although Shop can be quite handy, being able to edit settings in your email and seeing all of my messages can be quite worrying.")</f>
        <v>Although Shop can be quite handy, being able to edit settings in your email and seeing all of my messages can be quite worrying.</v>
      </c>
      <c r="C127" s="32" t="s">
        <v>761</v>
      </c>
      <c r="D127" s="32" t="s">
        <v>777</v>
      </c>
      <c r="E127" s="31" t="s">
        <v>778</v>
      </c>
      <c r="F127" s="11"/>
      <c r="G127" s="11"/>
      <c r="H127" s="11"/>
      <c r="I127" s="11"/>
      <c r="J127" s="11"/>
    </row>
    <row r="128">
      <c r="A128">
        <f>IFERROR(__xludf.DUMMYFUNCTION("""COMPUTED_VALUE"""),158.0)</f>
        <v>158</v>
      </c>
      <c r="B128" s="11" t="str">
        <f>IFERROR(__xludf.DUMMYFUNCTION("""COMPUTED_VALUE"""),"I am not sure why they would need my contacts.")</f>
        <v>I am not sure why they would need my contacts.</v>
      </c>
      <c r="C128" s="32" t="s">
        <v>761</v>
      </c>
      <c r="D128" s="32" t="s">
        <v>777</v>
      </c>
      <c r="E128" s="31" t="s">
        <v>798</v>
      </c>
      <c r="F128" s="3"/>
      <c r="G128" s="11"/>
      <c r="H128" s="11"/>
      <c r="I128" s="11"/>
      <c r="J128" s="11"/>
    </row>
    <row r="129">
      <c r="A129">
        <f>IFERROR(__xludf.DUMMYFUNCTION("""COMPUTED_VALUE"""),159.0)</f>
        <v>159</v>
      </c>
      <c r="B129" s="11"/>
      <c r="C129" s="3"/>
      <c r="D129" s="3"/>
      <c r="E129" s="11"/>
      <c r="F129" s="11"/>
      <c r="G129" s="11"/>
      <c r="H129" s="11"/>
      <c r="I129" s="11"/>
      <c r="J129" s="11"/>
    </row>
    <row r="130">
      <c r="A130">
        <f>IFERROR(__xludf.DUMMYFUNCTION("""COMPUTED_VALUE"""),160.0)</f>
        <v>160</v>
      </c>
      <c r="B130" s="11"/>
      <c r="C130" s="3"/>
      <c r="D130" s="3"/>
      <c r="E130" s="3"/>
      <c r="F130" s="3"/>
      <c r="G130" s="11"/>
      <c r="H130" s="11"/>
      <c r="I130" s="11"/>
      <c r="J130" s="11"/>
    </row>
    <row r="131">
      <c r="A131">
        <f>IFERROR(__xludf.DUMMYFUNCTION("""COMPUTED_VALUE"""),161.0)</f>
        <v>161</v>
      </c>
      <c r="B131" s="11" t="str">
        <f>IFERROR(__xludf.DUMMYFUNCTION("""COMPUTED_VALUE"""),"I'm not sure why it needs to know my basic account info. It is a game and it shouldn't care about my Google account email address. And It has been since 2019...so I don't even remember the installation.")</f>
        <v>I'm not sure why it needs to know my basic account info. It is a game and it shouldn't care about my Google account email address. And It has been since 2019...so I don't even remember the installation.</v>
      </c>
      <c r="C131" s="31" t="s">
        <v>764</v>
      </c>
      <c r="D131" s="32" t="s">
        <v>761</v>
      </c>
      <c r="E131" s="32" t="s">
        <v>762</v>
      </c>
      <c r="F131" s="32" t="s">
        <v>777</v>
      </c>
      <c r="G131" s="11"/>
      <c r="H131" s="11"/>
      <c r="I131" s="11"/>
      <c r="J131" s="11"/>
    </row>
    <row r="132">
      <c r="A132">
        <f>IFERROR(__xludf.DUMMYFUNCTION("""COMPUTED_VALUE"""),162.0)</f>
        <v>162</v>
      </c>
      <c r="B132" s="11" t="str">
        <f>IFERROR(__xludf.DUMMYFUNCTION("""COMPUTED_VALUE"""),"I don't know why they would need to send emails but I think it might be so that I can refer other people to the site. Regardless, they shouldn't have the right to read my emails.")</f>
        <v>I don't know why they would need to send emails but I think it might be so that I can refer other people to the site. Regardless, they shouldn't have the right to read my emails.</v>
      </c>
      <c r="C132" s="32" t="s">
        <v>761</v>
      </c>
      <c r="D132" s="32" t="s">
        <v>777</v>
      </c>
      <c r="E132" s="31" t="s">
        <v>778</v>
      </c>
      <c r="F132" s="32" t="s">
        <v>762</v>
      </c>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11" t="str">
        <f>IFERROR(__xludf.DUMMYFUNCTION("""COMPUTED_VALUE"""),"None, I trust JBL.")</f>
        <v>None, I trust JBL.</v>
      </c>
      <c r="C134" s="32" t="s">
        <v>758</v>
      </c>
      <c r="D134" s="32" t="s">
        <v>774</v>
      </c>
      <c r="E134" s="3"/>
      <c r="F134" s="11"/>
      <c r="G134" s="11"/>
      <c r="H134" s="11"/>
      <c r="I134" s="11"/>
      <c r="J134" s="11"/>
    </row>
    <row r="135">
      <c r="A135">
        <f>IFERROR(__xludf.DUMMYFUNCTION("""COMPUTED_VALUE"""),165.0)</f>
        <v>165</v>
      </c>
      <c r="B135" s="11" t="str">
        <f>IFERROR(__xludf.DUMMYFUNCTION("""COMPUTED_VALUE"""),"I am concerned the app will delete or edit files it should not be touching rather than just documents it is supposed to be interacting with.")</f>
        <v>I am concerned the app will delete or edit files it should not be touching rather than just documents it is supposed to be interacting with.</v>
      </c>
      <c r="C135" s="32" t="s">
        <v>761</v>
      </c>
      <c r="D135" s="32" t="s">
        <v>777</v>
      </c>
      <c r="E135" s="32" t="s">
        <v>781</v>
      </c>
      <c r="F135" s="11"/>
      <c r="G135" s="11"/>
      <c r="H135" s="11"/>
      <c r="I135" s="11"/>
      <c r="J135" s="11"/>
    </row>
    <row r="136">
      <c r="A136">
        <f>IFERROR(__xludf.DUMMYFUNCTION("""COMPUTED_VALUE"""),166.0)</f>
        <v>166</v>
      </c>
      <c r="B136" s="11" t="str">
        <f>IFERROR(__xludf.DUMMYFUNCTION("""COMPUTED_VALUE"""),"I don't use eM Client for my Calendar tasks so I am a bit concerned that it has access to it. But I understand why that is because I could use eM Client for my Calendar taks even though I don't use it at this time. It does have to have access to the rest "&amp;"listed above and I am not concerned about those.")</f>
        <v>I don't use eM Client for my Calendar tasks so I am a bit concerned that it has access to it. But I understand why that is because I could use eM Client for my Calendar taks even though I don't use it at this time. It does have to have access to the rest listed above and I am not concerned about those.</v>
      </c>
      <c r="C136" s="32" t="s">
        <v>761</v>
      </c>
      <c r="D136" s="32" t="s">
        <v>777</v>
      </c>
      <c r="E136" t="s">
        <v>804</v>
      </c>
      <c r="F136" s="11"/>
      <c r="G136" s="11"/>
      <c r="H136" s="11"/>
      <c r="I136" s="11"/>
      <c r="J136" s="11"/>
    </row>
    <row r="137">
      <c r="A137">
        <f>IFERROR(__xludf.DUMMYFUNCTION("""COMPUTED_VALUE"""),167.0)</f>
        <v>167</v>
      </c>
      <c r="B137" s="11"/>
      <c r="C137" s="3"/>
      <c r="D137" s="3"/>
      <c r="E137" s="11"/>
      <c r="F137" s="11"/>
      <c r="G137" s="11"/>
      <c r="H137" s="11"/>
      <c r="I137" s="11"/>
      <c r="J137" s="11"/>
    </row>
    <row r="138">
      <c r="A138">
        <f>IFERROR(__xludf.DUMMYFUNCTION("""COMPUTED_VALUE"""),168.0)</f>
        <v>168</v>
      </c>
      <c r="B138" s="11"/>
      <c r="C138" s="3"/>
      <c r="D138" s="3"/>
      <c r="E138" s="3"/>
      <c r="F138" s="11"/>
      <c r="G138" s="11"/>
      <c r="H138" s="11"/>
      <c r="I138" s="11"/>
      <c r="J138" s="11"/>
    </row>
    <row r="139">
      <c r="A139">
        <f>IFERROR(__xludf.DUMMYFUNCTION("""COMPUTED_VALUE"""),169.0)</f>
        <v>169</v>
      </c>
      <c r="B139" s="11" t="str">
        <f>IFERROR(__xludf.DUMMYFUNCTION("""COMPUTED_VALUE"""),"It might remove documents I don't want removed.")</f>
        <v>It might remove documents I don't want removed.</v>
      </c>
      <c r="C139" s="32" t="s">
        <v>761</v>
      </c>
      <c r="D139" s="32" t="s">
        <v>777</v>
      </c>
      <c r="E139" s="32" t="s">
        <v>781</v>
      </c>
      <c r="F139" s="11"/>
      <c r="G139" s="11"/>
      <c r="H139" s="11"/>
      <c r="I139" s="11"/>
      <c r="J139" s="11"/>
    </row>
    <row r="140">
      <c r="A140">
        <f>IFERROR(__xludf.DUMMYFUNCTION("""COMPUTED_VALUE"""),170.0)</f>
        <v>170</v>
      </c>
      <c r="B140" s="11" t="str">
        <f>IFERROR(__xludf.DUMMYFUNCTION("""COMPUTED_VALUE"""),"no concerns. it just needs to be able to adjust things")</f>
        <v>no concerns. it just needs to be able to adjust things</v>
      </c>
      <c r="C140" s="32" t="s">
        <v>758</v>
      </c>
      <c r="D140" s="30" t="s">
        <v>790</v>
      </c>
      <c r="E140" s="32" t="s">
        <v>773</v>
      </c>
      <c r="F140" s="3"/>
      <c r="G140" s="11"/>
      <c r="H140" s="11"/>
      <c r="I140" s="11"/>
      <c r="J140" s="11"/>
    </row>
    <row r="141">
      <c r="A141">
        <f>IFERROR(__xludf.DUMMYFUNCTION("""COMPUTED_VALUE"""),171.0)</f>
        <v>171</v>
      </c>
      <c r="B141" s="11" t="str">
        <f>IFERROR(__xludf.DUMMYFUNCTION("""COMPUTED_VALUE"""),"I don't have any concerns about Quora holding these permissions because the things make Quora easier for me to use and I trust Quora.")</f>
        <v>I don't have any concerns about Quora holding these permissions because the things make Quora easier for me to use and I trust Quora.</v>
      </c>
      <c r="C141" s="32" t="s">
        <v>758</v>
      </c>
      <c r="D141" s="30" t="s">
        <v>790</v>
      </c>
      <c r="E141" s="28" t="s">
        <v>759</v>
      </c>
      <c r="F141" s="28" t="s">
        <v>774</v>
      </c>
      <c r="G141" s="11"/>
      <c r="H141" s="11"/>
      <c r="I141" s="11"/>
      <c r="J141" s="11"/>
    </row>
    <row r="142">
      <c r="A142">
        <f>IFERROR(__xludf.DUMMYFUNCTION("""COMPUTED_VALUE"""),172.0)</f>
        <v>172</v>
      </c>
      <c r="B142" s="11"/>
      <c r="C142" s="3"/>
      <c r="D142" s="3"/>
      <c r="E142" s="11"/>
      <c r="F142" s="11"/>
      <c r="G142" s="11"/>
      <c r="H142" s="11"/>
      <c r="I142" s="11"/>
      <c r="J142" s="11"/>
    </row>
    <row r="143">
      <c r="A143">
        <f>IFERROR(__xludf.DUMMYFUNCTION("""COMPUTED_VALUE"""),173.0)</f>
        <v>173</v>
      </c>
      <c r="B143" s="11" t="str">
        <f>IFERROR(__xludf.DUMMYFUNCTION("""COMPUTED_VALUE"""),"None")</f>
        <v>None</v>
      </c>
      <c r="C143" s="32" t="s">
        <v>758</v>
      </c>
      <c r="D143" s="3"/>
      <c r="E143" s="3"/>
      <c r="F143" s="11"/>
      <c r="G143" s="11"/>
      <c r="H143" s="11"/>
      <c r="I143" s="11"/>
      <c r="J143" s="11"/>
    </row>
    <row r="144">
      <c r="A144">
        <f>IFERROR(__xludf.DUMMYFUNCTION("""COMPUTED_VALUE"""),174.0)</f>
        <v>174</v>
      </c>
      <c r="B144" s="11" t="str">
        <f>IFERROR(__xludf.DUMMYFUNCTION("""COMPUTED_VALUE"""),"They can act like they are me and send emails from my account. Sounds very unsecure.")</f>
        <v>They can act like they are me and send emails from my account. Sounds very unsecure.</v>
      </c>
      <c r="C144" s="32" t="s">
        <v>761</v>
      </c>
      <c r="D144" s="32" t="s">
        <v>777</v>
      </c>
      <c r="E144" s="32" t="s">
        <v>778</v>
      </c>
      <c r="F144" s="3"/>
      <c r="G144" s="3"/>
      <c r="H144" s="11"/>
      <c r="I144" s="11"/>
      <c r="J144" s="11"/>
    </row>
    <row r="145">
      <c r="A145">
        <f>IFERROR(__xludf.DUMMYFUNCTION("""COMPUTED_VALUE"""),175.0)</f>
        <v>175</v>
      </c>
      <c r="B145" s="11" t="str">
        <f>IFERROR(__xludf.DUMMYFUNCTION("""COMPUTED_VALUE"""),"I wonder what personal info dropbox has exactly, and why they need it")</f>
        <v>I wonder what personal info dropbox has exactly, and why they need it</v>
      </c>
      <c r="C145" s="32" t="s">
        <v>788</v>
      </c>
      <c r="D145" t="s">
        <v>789</v>
      </c>
      <c r="E145" s="3"/>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IFERROR(__xludf.DUMMYFUNCTION("""COMPUTED_VALUE"""),"i dont have concerns, its a game ive played for years, google play allows me to keep my play history and track achievements so i dont have to deal with transferring save data when i get a new phone")</f>
        <v>i dont have concerns, its a game ive played for years, google play allows me to keep my play history and track achievements so i dont have to deal with transferring save data when i get a new phone</v>
      </c>
      <c r="C147" s="32" t="s">
        <v>759</v>
      </c>
      <c r="D147" s="32" t="s">
        <v>758</v>
      </c>
      <c r="E147" s="32" t="s">
        <v>774</v>
      </c>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IFERROR(__xludf.DUMMYFUNCTION("""COMPUTED_VALUE"""),"If the company gets hacked, someone can possibly delete my events and calendar settings.")</f>
        <v>If the company gets hacked, someone can possibly delete my events and calendar settings.</v>
      </c>
      <c r="C149" s="32" t="s">
        <v>761</v>
      </c>
      <c r="D149" s="32" t="s">
        <v>777</v>
      </c>
      <c r="E149" s="32" t="s">
        <v>781</v>
      </c>
      <c r="F149" s="32" t="s">
        <v>763</v>
      </c>
      <c r="H149" s="11"/>
      <c r="I149" s="11"/>
      <c r="J149" s="11"/>
    </row>
    <row r="150">
      <c r="A150">
        <f>IFERROR(__xludf.DUMMYFUNCTION("""COMPUTED_VALUE"""),181.0)</f>
        <v>181</v>
      </c>
      <c r="B150" s="11" t="str">
        <f>IFERROR(__xludf.DUMMYFUNCTION("""COMPUTED_VALUE"""),"It's a little weird that it can delete Play Games activity, and it's not clear if it's restricted to just this one game.")</f>
        <v>It's a little weird that it can delete Play Games activity, and it's not clear if it's restricted to just this one game.</v>
      </c>
      <c r="C150" s="32" t="s">
        <v>761</v>
      </c>
      <c r="D150" s="32" t="s">
        <v>777</v>
      </c>
      <c r="E150" s="32" t="s">
        <v>781</v>
      </c>
      <c r="F150" s="32" t="s">
        <v>788</v>
      </c>
      <c r="G150" s="28" t="s">
        <v>796</v>
      </c>
      <c r="H150" s="11"/>
      <c r="I150" s="11"/>
      <c r="J150" s="11"/>
    </row>
    <row r="151">
      <c r="A151">
        <f>IFERROR(__xludf.DUMMYFUNCTION("""COMPUTED_VALUE"""),182.0)</f>
        <v>182</v>
      </c>
      <c r="B151" s="11" t="str">
        <f>IFERROR(__xludf.DUMMYFUNCTION("""COMPUTED_VALUE"""),"I remember that whenever someone sent me an image or gif it would automatically save it onto my phone, so I'm a bit concerned about it.")</f>
        <v>I remember that whenever someone sent me an image or gif it would automatically save it onto my phone, so I'm a bit concerned about it.</v>
      </c>
      <c r="C151" s="32" t="s">
        <v>761</v>
      </c>
      <c r="D151" s="32" t="s">
        <v>766</v>
      </c>
      <c r="E151" s="3"/>
      <c r="F151" s="3"/>
      <c r="H151" s="11"/>
      <c r="I151" s="11"/>
      <c r="J151" s="11"/>
    </row>
    <row r="152">
      <c r="A152">
        <f>IFERROR(__xludf.DUMMYFUNCTION("""COMPUTED_VALUE"""),183.0)</f>
        <v>183</v>
      </c>
      <c r="B152" s="11"/>
      <c r="C152" s="3"/>
      <c r="D152" s="3"/>
      <c r="E152" s="11"/>
      <c r="F152" s="11"/>
      <c r="H152" s="11"/>
      <c r="I152" s="11"/>
      <c r="J152" s="11"/>
    </row>
    <row r="153">
      <c r="A153">
        <f>IFERROR(__xludf.DUMMYFUNCTION("""COMPUTED_VALUE"""),184.0)</f>
        <v>184</v>
      </c>
      <c r="B153" s="11" t="str">
        <f>IFERROR(__xludf.DUMMYFUNCTION("""COMPUTED_VALUE"""),"I am not sure why they need to manage my YouTube account or videos and I am concerned what they are actually accessing and managing.")</f>
        <v>I am not sure why they need to manage my YouTube account or videos and I am concerned what they are actually accessing and managing.</v>
      </c>
      <c r="C153" t="s">
        <v>788</v>
      </c>
      <c r="D153" t="s">
        <v>789</v>
      </c>
      <c r="E153" s="32" t="s">
        <v>761</v>
      </c>
      <c r="F153" s="32" t="s">
        <v>762</v>
      </c>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c r="C155" s="11"/>
      <c r="D155" s="11"/>
      <c r="E155" s="11"/>
      <c r="F155" s="11"/>
      <c r="G155" s="11"/>
      <c r="H155" s="11"/>
      <c r="I155" s="11"/>
      <c r="J155" s="11"/>
    </row>
    <row r="156">
      <c r="A156">
        <f>IFERROR(__xludf.DUMMYFUNCTION("""COMPUTED_VALUE"""),187.0)</f>
        <v>187</v>
      </c>
      <c r="B156" s="11" t="str">
        <f>IFERROR(__xludf.DUMMYFUNCTION("""COMPUTED_VALUE"""),"I wonder why in the world Zoom would care about seeing my contacts and wanting to edit or even permanently delete them.")</f>
        <v>I wonder why in the world Zoom would care about seeing my contacts and wanting to edit or even permanently delete them.</v>
      </c>
      <c r="C156" s="32" t="s">
        <v>761</v>
      </c>
      <c r="D156" s="32" t="s">
        <v>777</v>
      </c>
      <c r="E156" t="s">
        <v>798</v>
      </c>
      <c r="F156" s="32" t="s">
        <v>781</v>
      </c>
      <c r="G156" s="32" t="s">
        <v>762</v>
      </c>
      <c r="I156" s="11"/>
      <c r="J156" s="11"/>
    </row>
    <row r="157">
      <c r="A157">
        <f>IFERROR(__xludf.DUMMYFUNCTION("""COMPUTED_VALUE"""),188.0)</f>
        <v>188</v>
      </c>
      <c r="B157" s="11" t="str">
        <f>IFERROR(__xludf.DUMMYFUNCTION("""COMPUTED_VALUE"""),"I don't know how it got the permissions to do this in the first place. Plus I don't want any unnecessary parties to have access to my information.")</f>
        <v>I don't know how it got the permissions to do this in the first place. Plus I don't want any unnecessary parties to have access to my information.</v>
      </c>
      <c r="C157" s="31" t="s">
        <v>764</v>
      </c>
      <c r="D157" s="32" t="s">
        <v>761</v>
      </c>
      <c r="E157" s="32" t="s">
        <v>762</v>
      </c>
      <c r="F157" s="32" t="s">
        <v>766</v>
      </c>
      <c r="G157" s="11"/>
      <c r="I157" s="11"/>
      <c r="J157" s="11"/>
    </row>
    <row r="158">
      <c r="A158">
        <f>IFERROR(__xludf.DUMMYFUNCTION("""COMPUTED_VALUE"""),189.0)</f>
        <v>189</v>
      </c>
      <c r="B158" s="11"/>
      <c r="C158" s="11"/>
      <c r="D158" s="11"/>
      <c r="E158" s="11"/>
      <c r="F158" s="11"/>
      <c r="G158" s="11"/>
      <c r="H158" s="11"/>
      <c r="I158" s="11"/>
      <c r="J158" s="11"/>
    </row>
    <row r="159">
      <c r="A159">
        <f>IFERROR(__xludf.DUMMYFUNCTION("""COMPUTED_VALUE"""),190.0)</f>
        <v>190</v>
      </c>
      <c r="B159" s="39" t="str">
        <f>IFERROR(__xludf.DUMMYFUNCTION("""COMPUTED_VALUE"""),"I no longer use the service and it seems like the app has access to more permission then I though based on the description given.")</f>
        <v>I no longer use the service and it seems like the app has access to more permission then I though based on the description given.</v>
      </c>
      <c r="C159" s="28" t="s">
        <v>760</v>
      </c>
      <c r="D159" s="32" t="s">
        <v>761</v>
      </c>
      <c r="E159" s="32" t="s">
        <v>777</v>
      </c>
      <c r="F159" s="31" t="s">
        <v>809</v>
      </c>
      <c r="G159" s="11"/>
      <c r="H159" s="11"/>
      <c r="I159" s="11"/>
      <c r="J159" s="11"/>
    </row>
    <row r="160">
      <c r="A160">
        <f>IFERROR(__xludf.DUMMYFUNCTION("""COMPUTED_VALUE"""),191.0)</f>
        <v>191</v>
      </c>
      <c r="B160" s="11"/>
      <c r="C160" s="11"/>
      <c r="D160" s="11"/>
      <c r="E160" s="11"/>
      <c r="F160" s="11"/>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c r="C162" s="11"/>
      <c r="D162" s="11"/>
      <c r="E162" s="11"/>
      <c r="F162" s="11"/>
      <c r="G162" s="11"/>
      <c r="H162" s="11"/>
      <c r="I162" s="11"/>
      <c r="J162" s="11"/>
    </row>
    <row r="163">
      <c r="A163">
        <f>IFERROR(__xludf.DUMMYFUNCTION("""COMPUTED_VALUE"""),194.0)</f>
        <v>194</v>
      </c>
      <c r="B163" s="11"/>
      <c r="C163" s="11"/>
      <c r="D163" s="11"/>
      <c r="E163" s="11"/>
      <c r="F163" s="11"/>
      <c r="G163" s="11"/>
      <c r="H163" s="11"/>
      <c r="I163" s="11"/>
      <c r="J163" s="11"/>
    </row>
    <row r="164">
      <c r="A164">
        <f>IFERROR(__xludf.DUMMYFUNCTION("""COMPUTED_VALUE"""),195.0)</f>
        <v>195</v>
      </c>
      <c r="B164" s="11" t="str">
        <f>IFERROR(__xludf.DUMMYFUNCTION("""COMPUTED_VALUE"""),"It should only have access to documents I use their service on, because I don't have a bibliography on every document in my Drive.")</f>
        <v>It should only have access to documents I use their service on, because I don't have a bibliography on every document in my Drive.</v>
      </c>
      <c r="C164" s="31" t="s">
        <v>761</v>
      </c>
      <c r="D164" s="32" t="s">
        <v>777</v>
      </c>
      <c r="E164" s="32" t="s">
        <v>783</v>
      </c>
      <c r="F164" s="32" t="s">
        <v>762</v>
      </c>
      <c r="G164" s="11"/>
      <c r="H164" s="11"/>
      <c r="I164" s="11"/>
      <c r="J164" s="11"/>
    </row>
    <row r="165">
      <c r="A165">
        <f>IFERROR(__xludf.DUMMYFUNCTION("""COMPUTED_VALUE"""),196.0)</f>
        <v>196</v>
      </c>
      <c r="B165" s="11" t="str">
        <f>IFERROR(__xludf.DUMMYFUNCTION("""COMPUTED_VALUE"""),"I do not know if the company can ever delete something I do not authorize, or use the personal info I have to sell to other places.")</f>
        <v>I do not know if the company can ever delete something I do not authorize, or use the personal info I have to sell to other places.</v>
      </c>
      <c r="C165" s="31" t="s">
        <v>761</v>
      </c>
      <c r="D165" s="32" t="s">
        <v>766</v>
      </c>
      <c r="E165" s="32" t="s">
        <v>776</v>
      </c>
      <c r="F165" s="32" t="s">
        <v>777</v>
      </c>
      <c r="G165" s="32" t="s">
        <v>781</v>
      </c>
      <c r="H165" s="11"/>
      <c r="I165" s="11"/>
      <c r="J165" s="11"/>
    </row>
    <row r="166">
      <c r="A166">
        <f>IFERROR(__xludf.DUMMYFUNCTION("""COMPUTED_VALUE"""),197.0)</f>
        <v>197</v>
      </c>
      <c r="B166" s="11" t="str">
        <f>IFERROR(__xludf.DUMMYFUNCTION("""COMPUTED_VALUE"""),"i dont have any i just forgot i had it")</f>
        <v>i dont have any i just forgot i had it</v>
      </c>
      <c r="C166" s="31" t="s">
        <v>764</v>
      </c>
      <c r="D166" s="31" t="s">
        <v>765</v>
      </c>
      <c r="E166" s="11"/>
      <c r="F166" s="11"/>
      <c r="G166" s="11"/>
      <c r="H166" s="11"/>
      <c r="I166" s="11"/>
      <c r="J166" s="11"/>
    </row>
    <row r="167">
      <c r="A167">
        <f>IFERROR(__xludf.DUMMYFUNCTION("""COMPUTED_VALUE"""),198.0)</f>
        <v>198</v>
      </c>
      <c r="B167" s="11" t="str">
        <f>IFERROR(__xludf.DUMMYFUNCTION("""COMPUTED_VALUE"""),"Worried that it might delete some of my info on a doc im working on when I use it, but honestly not a big deal.")</f>
        <v>Worried that it might delete some of my info on a doc im working on when I use it, but honestly not a big deal.</v>
      </c>
      <c r="C167" s="31" t="s">
        <v>761</v>
      </c>
      <c r="D167" s="32" t="s">
        <v>777</v>
      </c>
      <c r="E167" s="32" t="s">
        <v>781</v>
      </c>
      <c r="F167" s="11"/>
      <c r="G167" s="11"/>
      <c r="H167" s="11"/>
      <c r="I167" s="11"/>
      <c r="J167" s="11"/>
    </row>
    <row r="168">
      <c r="A168">
        <f>IFERROR(__xludf.DUMMYFUNCTION("""COMPUTED_VALUE"""),199.0)</f>
        <v>199</v>
      </c>
      <c r="B168" s="11"/>
      <c r="C168" s="11"/>
      <c r="D168" s="11"/>
      <c r="E168" s="11"/>
      <c r="F168" s="11"/>
      <c r="G168" s="11"/>
      <c r="H168" s="11"/>
      <c r="I168" s="11"/>
      <c r="J168" s="11"/>
    </row>
    <row r="169">
      <c r="A169">
        <f>IFERROR(__xludf.DUMMYFUNCTION("""COMPUTED_VALUE"""),200.0)</f>
        <v>200</v>
      </c>
      <c r="B169" s="11" t="str">
        <f>IFERROR(__xludf.DUMMYFUNCTION("""COMPUTED_VALUE"""),"I'm a bit concerned about the extent in which they have the ability to access my extensions.")</f>
        <v>I'm a bit concerned about the extent in which they have the ability to access my extensions.</v>
      </c>
      <c r="C169" s="31" t="s">
        <v>761</v>
      </c>
      <c r="D169" s="32" t="s">
        <v>777</v>
      </c>
      <c r="E169" s="31" t="s">
        <v>810</v>
      </c>
      <c r="F169" s="11"/>
      <c r="G169" s="11"/>
      <c r="H169" s="11"/>
      <c r="I169" s="11"/>
      <c r="J169" s="11"/>
    </row>
    <row r="170">
      <c r="A170">
        <f>IFERROR(__xludf.DUMMYFUNCTION("""COMPUTED_VALUE"""),201.0)</f>
        <v>201</v>
      </c>
      <c r="B170" s="11" t="str">
        <f>IFERROR(__xludf.DUMMYFUNCTION("""COMPUTED_VALUE"""),"security and privacy related to personal information")</f>
        <v>security and privacy related to personal information</v>
      </c>
      <c r="C170" s="31" t="s">
        <v>761</v>
      </c>
      <c r="D170" s="32" t="s">
        <v>766</v>
      </c>
      <c r="E170" s="32" t="s">
        <v>784</v>
      </c>
      <c r="F170" s="11"/>
      <c r="G170" s="11"/>
      <c r="H170" s="11"/>
      <c r="I170" s="11"/>
      <c r="J170" s="11"/>
    </row>
    <row r="171">
      <c r="A171">
        <f>IFERROR(__xludf.DUMMYFUNCTION("""COMPUTED_VALUE"""),202.0)</f>
        <v>202</v>
      </c>
      <c r="B171" s="11" t="str">
        <f>IFERROR(__xludf.DUMMYFUNCTION("""COMPUTED_VALUE"""),"I don't have any concerns about it. I'd simply like to remove it because I don't use the app anymore.")</f>
        <v>I don't have any concerns about it. I'd simply like to remove it because I don't use the app anymore.</v>
      </c>
      <c r="C171" s="28" t="s">
        <v>758</v>
      </c>
      <c r="D171" s="28" t="s">
        <v>760</v>
      </c>
      <c r="E171" s="11"/>
      <c r="F171" s="11"/>
      <c r="G171" s="11"/>
      <c r="H171" s="11"/>
      <c r="I171" s="11"/>
      <c r="J171" s="11"/>
    </row>
    <row r="172">
      <c r="A172">
        <f>IFERROR(__xludf.DUMMYFUNCTION("""COMPUTED_VALUE"""),203.0)</f>
        <v>203</v>
      </c>
      <c r="B172" s="11" t="str">
        <f>IFERROR(__xludf.DUMMYFUNCTION("""COMPUTED_VALUE"""),"I am just concerned that they might steal my money, it's a huge risk.")</f>
        <v>I am just concerned that they might steal my money, it's a huge risk.</v>
      </c>
      <c r="C172" s="31" t="s">
        <v>761</v>
      </c>
      <c r="D172" s="32" t="s">
        <v>763</v>
      </c>
      <c r="E172" s="11"/>
      <c r="F172" s="11"/>
      <c r="G172" s="11"/>
      <c r="H172" s="11"/>
      <c r="I172" s="11"/>
      <c r="J172" s="11"/>
    </row>
    <row r="173">
      <c r="A173">
        <f>IFERROR(__xludf.DUMMYFUNCTION("""COMPUTED_VALUE"""),204.0)</f>
        <v>204</v>
      </c>
      <c r="B173" s="11" t="str">
        <f>IFERROR(__xludf.DUMMYFUNCTION("""COMPUTED_VALUE"""),"About exactly what personal info it's using")</f>
        <v>About exactly what personal info it's using</v>
      </c>
      <c r="C173" s="31" t="s">
        <v>761</v>
      </c>
      <c r="D173" s="32" t="s">
        <v>766</v>
      </c>
      <c r="E173" s="11"/>
      <c r="F173" s="11"/>
      <c r="G173" s="11"/>
      <c r="H173" s="11"/>
      <c r="I173" s="11"/>
      <c r="J173" s="11"/>
    </row>
    <row r="174">
      <c r="A174">
        <f>IFERROR(__xludf.DUMMYFUNCTION("""COMPUTED_VALUE"""),205.0)</f>
        <v>205</v>
      </c>
      <c r="B174" s="11"/>
      <c r="C174" s="11"/>
      <c r="D174" s="11"/>
      <c r="E174" s="11"/>
      <c r="F174" s="11"/>
      <c r="G174" s="11"/>
      <c r="H174" s="11"/>
      <c r="I174" s="11"/>
      <c r="J174" s="11"/>
    </row>
    <row r="175">
      <c r="A175">
        <f>IFERROR(__xludf.DUMMYFUNCTION("""COMPUTED_VALUE"""),206.0)</f>
        <v>206</v>
      </c>
      <c r="B175" s="11" t="str">
        <f>IFERROR(__xludf.DUMMYFUNCTION("""COMPUTED_VALUE"""),"I don't have concerns about google, which is why I gave them access")</f>
        <v>I don't have concerns about google, which is why I gave them access</v>
      </c>
      <c r="C175" s="28" t="s">
        <v>758</v>
      </c>
      <c r="D175" s="32" t="s">
        <v>774</v>
      </c>
      <c r="E175" s="11"/>
      <c r="F175" s="11"/>
      <c r="G175" s="11"/>
      <c r="H175" s="11"/>
      <c r="I175" s="11"/>
      <c r="J175" s="11"/>
    </row>
    <row r="176">
      <c r="A176">
        <f>IFERROR(__xludf.DUMMYFUNCTION("""COMPUTED_VALUE"""),207.0)</f>
        <v>207</v>
      </c>
      <c r="B176" s="11"/>
      <c r="C176" s="11"/>
      <c r="D176" s="11"/>
      <c r="E176" s="11"/>
      <c r="F176" s="11"/>
      <c r="G176" s="11"/>
      <c r="H176" s="11"/>
      <c r="I176" s="11"/>
      <c r="J176" s="11"/>
    </row>
    <row r="177">
      <c r="A177">
        <f>IFERROR(__xludf.DUMMYFUNCTION("""COMPUTED_VALUE"""),208.0)</f>
        <v>208</v>
      </c>
      <c r="B177" s="11" t="str">
        <f>IFERROR(__xludf.DUMMYFUNCTION("""COMPUTED_VALUE"""),"I have a general idea of what they do with the information; my biggest concern is should they choose to monetize it for their own profit without my approval (i.e. sell to third-party advertisers).")</f>
        <v>I have a general idea of what they do with the information; my biggest concern is should they choose to monetize it for their own profit without my approval (i.e. sell to third-party advertisers).</v>
      </c>
      <c r="C177" s="31" t="s">
        <v>761</v>
      </c>
      <c r="D177" s="32" t="s">
        <v>766</v>
      </c>
      <c r="E177" s="32" t="s">
        <v>776</v>
      </c>
      <c r="F177" s="11"/>
      <c r="G177" s="11"/>
      <c r="H177" s="11"/>
      <c r="I177" s="11"/>
      <c r="J177" s="11"/>
    </row>
    <row r="178">
      <c r="A178">
        <f>IFERROR(__xludf.DUMMYFUNCTION("""COMPUTED_VALUE"""),209.0)</f>
        <v>209</v>
      </c>
      <c r="B178" s="11" t="str">
        <f>IFERROR(__xludf.DUMMYFUNCTION("""COMPUTED_VALUE"""),"No concerns")</f>
        <v>No concerns</v>
      </c>
      <c r="C178" s="28" t="s">
        <v>758</v>
      </c>
      <c r="D178" s="11"/>
      <c r="E178" s="11"/>
      <c r="F178" s="11"/>
      <c r="G178" s="11"/>
      <c r="H178" s="11"/>
      <c r="I178" s="11"/>
      <c r="J178" s="11"/>
    </row>
    <row r="179">
      <c r="A179">
        <f>IFERROR(__xludf.DUMMYFUNCTION("""COMPUTED_VALUE"""),210.0)</f>
        <v>210</v>
      </c>
      <c r="B179" s="26" t="str">
        <f>IFERROR(__xludf.DUMMYFUNCTION("""COMPUTED_VALUE"""),"why and compose emails? like without asking me 1st? that's not ok at all especially for an app i don't remember giving permission to")</f>
        <v>why and compose emails? like without asking me 1st? that's not ok at all especially for an app i don't remember giving permission to</v>
      </c>
      <c r="C179" s="31" t="s">
        <v>764</v>
      </c>
      <c r="D179" s="31" t="s">
        <v>782</v>
      </c>
      <c r="E179" s="31" t="s">
        <v>761</v>
      </c>
      <c r="F179" s="32" t="s">
        <v>777</v>
      </c>
      <c r="G179" s="32" t="s">
        <v>778</v>
      </c>
      <c r="H179" s="11"/>
      <c r="I179" s="11"/>
      <c r="J179" s="11"/>
    </row>
    <row r="180">
      <c r="A180">
        <f>IFERROR(__xludf.DUMMYFUNCTION("""COMPUTED_VALUE"""),211.0)</f>
        <v>211</v>
      </c>
      <c r="B180" s="11" t="str">
        <f>IFERROR(__xludf.DUMMYFUNCTION("""COMPUTED_VALUE"""),"I made a deliberate choice to log in Xodo using my Google account, instead of continuing to use it without logging in. I trust it. My biggest concern might be their own security, and whether someone else could use their access to my account in a bad light"&amp;".")</f>
        <v>I made a deliberate choice to log in Xodo using my Google account, instead of continuing to use it without logging in. I trust it. My biggest concern might be their own security, and whether someone else could use their access to my account in a bad light.</v>
      </c>
      <c r="C180" s="31" t="s">
        <v>761</v>
      </c>
      <c r="D180" s="32" t="s">
        <v>763</v>
      </c>
      <c r="E180" s="28" t="s">
        <v>774</v>
      </c>
      <c r="F180" s="11"/>
      <c r="G180" s="11"/>
      <c r="H180" s="11"/>
      <c r="I180" s="11"/>
      <c r="J180" s="11"/>
    </row>
    <row r="181">
      <c r="A181">
        <f>IFERROR(__xludf.DUMMYFUNCTION("""COMPUTED_VALUE"""),212.0)</f>
        <v>212</v>
      </c>
      <c r="B181" s="11" t="str">
        <f>IFERROR(__xludf.DUMMYFUNCTION("""COMPUTED_VALUE"""),"I don't really have any concerns besides the potential of selling my personal information.")</f>
        <v>I don't really have any concerns besides the potential of selling my personal information.</v>
      </c>
      <c r="C181" s="31" t="s">
        <v>761</v>
      </c>
      <c r="D181" s="32" t="s">
        <v>766</v>
      </c>
      <c r="E181" s="32" t="s">
        <v>776</v>
      </c>
      <c r="F181" s="11"/>
      <c r="G181" s="11"/>
      <c r="H181" s="11"/>
      <c r="I181" s="11"/>
      <c r="J181" s="11"/>
    </row>
    <row r="182">
      <c r="A182">
        <f>IFERROR(__xludf.DUMMYFUNCTION("""COMPUTED_VALUE"""),213.0)</f>
        <v>213</v>
      </c>
      <c r="B182" s="11" t="str">
        <f>IFERROR(__xludf.DUMMYFUNCTION("""COMPUTED_VALUE"""),"My main concern is that of the privacy of my contacts and emails of others that I have stored within Dropbox or Google.")</f>
        <v>My main concern is that of the privacy of my contacts and emails of others that I have stored within Dropbox or Google.</v>
      </c>
      <c r="C182" s="31" t="s">
        <v>761</v>
      </c>
      <c r="D182" s="32" t="s">
        <v>766</v>
      </c>
      <c r="E182" s="32" t="s">
        <v>777</v>
      </c>
      <c r="F182" s="31" t="s">
        <v>798</v>
      </c>
      <c r="G182" s="32" t="s">
        <v>778</v>
      </c>
      <c r="H182" s="11"/>
      <c r="I182" s="11"/>
      <c r="J182" s="11"/>
    </row>
    <row r="183">
      <c r="A183">
        <f>IFERROR(__xludf.DUMMYFUNCTION("""COMPUTED_VALUE"""),214.0)</f>
        <v>214</v>
      </c>
      <c r="B183" s="11" t="str">
        <f>IFERROR(__xludf.DUMMYFUNCTION("""COMPUTED_VALUE"""),"I'm not sure what other personal info it has access to; this doesn't seem necessary for the game to function")</f>
        <v>I'm not sure what other personal info it has access to; this doesn't seem necessary for the game to function</v>
      </c>
      <c r="C183" s="31" t="s">
        <v>761</v>
      </c>
      <c r="D183" s="32" t="s">
        <v>762</v>
      </c>
      <c r="E183" s="28" t="s">
        <v>788</v>
      </c>
      <c r="F183" s="28" t="s">
        <v>796</v>
      </c>
      <c r="G183" s="11"/>
      <c r="H183" s="11"/>
      <c r="I183" s="11"/>
      <c r="J183" s="11"/>
    </row>
    <row r="184">
      <c r="A184">
        <f>IFERROR(__xludf.DUMMYFUNCTION("""COMPUTED_VALUE"""),216.0)</f>
        <v>216</v>
      </c>
      <c r="B184" s="11" t="str">
        <f>IFERROR(__xludf.DUMMYFUNCTION("""COMPUTED_VALUE"""),"I am concerned that it can see and download ALL of my files.")</f>
        <v>I am concerned that it can see and download ALL of my files.</v>
      </c>
      <c r="C184" s="31" t="s">
        <v>761</v>
      </c>
      <c r="D184" s="32" t="s">
        <v>766</v>
      </c>
      <c r="E184" s="32" t="s">
        <v>777</v>
      </c>
      <c r="F184" s="11"/>
      <c r="G184" s="11"/>
      <c r="H184" s="11"/>
      <c r="I184" s="11"/>
      <c r="J184" s="11"/>
    </row>
    <row r="185">
      <c r="A185">
        <f>IFERROR(__xludf.DUMMYFUNCTION("""COMPUTED_VALUE"""),218.0)</f>
        <v>218</v>
      </c>
      <c r="B185" s="11" t="str">
        <f>IFERROR(__xludf.DUMMYFUNCTION("""COMPUTED_VALUE"""),"My only concern is if it shares my files with others.")</f>
        <v>My only concern is if it shares my files with others.</v>
      </c>
      <c r="C185" s="31" t="s">
        <v>761</v>
      </c>
      <c r="D185" s="32" t="s">
        <v>779</v>
      </c>
      <c r="E185" s="11"/>
      <c r="F185" s="11"/>
      <c r="G185" s="11"/>
      <c r="H185" s="11"/>
      <c r="I185" s="11"/>
      <c r="J185" s="11"/>
    </row>
    <row r="186">
      <c r="A186">
        <f>IFERROR(__xludf.DUMMYFUNCTION("""COMPUTED_VALUE"""),219.0)</f>
        <v>219</v>
      </c>
      <c r="B186" s="11" t="str">
        <f>IFERROR(__xludf.DUMMYFUNCTION("""COMPUTED_VALUE"""),"I don't really trust them as a company, however, I had gotten my account hacked and so that was part of why I ended up linking it. I wanted to be able to resecure my account and linking it this way was one way to ensure it couldn't get hacked again.")</f>
        <v>I don't really trust them as a company, however, I had gotten my account hacked and so that was part of why I ended up linking it. I wanted to be able to resecure my account and linking it this way was one way to ensure it couldn't get hacked again.</v>
      </c>
      <c r="C186" s="28" t="s">
        <v>759</v>
      </c>
      <c r="D186" s="11"/>
      <c r="E186" s="11"/>
      <c r="F186" s="11"/>
      <c r="G186" s="11"/>
      <c r="H186" s="11"/>
      <c r="I186" s="11"/>
      <c r="J186" s="11"/>
    </row>
    <row r="187">
      <c r="A187">
        <f>IFERROR(__xludf.DUMMYFUNCTION("""COMPUTED_VALUE"""),220.0)</f>
        <v>220</v>
      </c>
      <c r="B187" s="11" t="str">
        <f>IFERROR(__xludf.DUMMYFUNCTION("""COMPUTED_VALUE"""),"My primary concern is that my privacy and information may be leaked to other third-parties that may use my information to send me ads or unwanted information (spam mail).")</f>
        <v>My primary concern is that my privacy and information may be leaked to other third-parties that may use my information to send me ads or unwanted information (spam mail).</v>
      </c>
      <c r="C187" s="32" t="s">
        <v>761</v>
      </c>
      <c r="D187" s="32" t="s">
        <v>779</v>
      </c>
      <c r="E187" s="32" t="s">
        <v>763</v>
      </c>
      <c r="F187" s="27" t="s">
        <v>766</v>
      </c>
      <c r="G187" t="s">
        <v>800</v>
      </c>
      <c r="H187" s="11"/>
      <c r="I187" s="11"/>
      <c r="J187" s="11"/>
    </row>
    <row r="188">
      <c r="A188">
        <f>IFERROR(__xludf.DUMMYFUNCTION("""COMPUTED_VALUE"""),221.0)</f>
        <v>221</v>
      </c>
      <c r="B188" s="11" t="str">
        <f>IFERROR(__xludf.DUMMYFUNCTION("""COMPUTED_VALUE"""),"dropbox has held my personal photos. I hope these are always private. Dropbox shouldnt have access to my friends' email addresses and phone numbers and dates of birth and all the info i keep in personal contacts")</f>
        <v>dropbox has held my personal photos. I hope these are always private. Dropbox shouldnt have access to my friends' email addresses and phone numbers and dates of birth and all the info i keep in personal contacts</v>
      </c>
      <c r="C188" s="32" t="s">
        <v>761</v>
      </c>
      <c r="D188" s="32" t="s">
        <v>777</v>
      </c>
      <c r="E188" s="31" t="s">
        <v>798</v>
      </c>
      <c r="F188" s="11"/>
      <c r="G188" s="11"/>
      <c r="H188" s="11"/>
      <c r="I188" s="11"/>
      <c r="J188" s="11"/>
    </row>
    <row r="189">
      <c r="A189">
        <f>IFERROR(__xludf.DUMMYFUNCTION("""COMPUTED_VALUE"""),222.0)</f>
        <v>222</v>
      </c>
      <c r="B189" s="11" t="str">
        <f>IFERROR(__xludf.DUMMYFUNCTION("""COMPUTED_VALUE"""),"I don't have any real concerns about Mailbird having access to this information, I know why they need the information and the app was very transparent about needing my permission to access this information. The only slight concern I would have is if the a"&amp;"pp had some sort of error or bug happen that would delete something that I did not request, however I have confidence in this app that this would be a very rare occurrence.")</f>
        <v>I don't have any real concerns about Mailbird having access to this information, I know why they need the information and the app was very transparent about needing my permission to access this information. The only slight concern I would have is if the app had some sort of error or bug happen that would delete something that I did not request, however I have confidence in this app that this would be a very rare occurrence.</v>
      </c>
      <c r="C189" s="32" t="s">
        <v>758</v>
      </c>
      <c r="D189" s="30" t="s">
        <v>790</v>
      </c>
      <c r="E189" s="11"/>
      <c r="F189" s="11"/>
      <c r="G189" s="11"/>
      <c r="H189" s="11"/>
      <c r="I189" s="11"/>
      <c r="J189" s="11"/>
    </row>
    <row r="190">
      <c r="A190">
        <f>IFERROR(__xludf.DUMMYFUNCTION("""COMPUTED_VALUE"""),223.0)</f>
        <v>223</v>
      </c>
      <c r="B190" s="11"/>
      <c r="C190" s="11"/>
      <c r="D190" s="11"/>
      <c r="E190" s="11"/>
      <c r="F190" s="11"/>
      <c r="G190" s="11"/>
      <c r="H190" s="11"/>
      <c r="I190" s="11"/>
      <c r="J190" s="11"/>
    </row>
    <row r="191">
      <c r="A191">
        <f>IFERROR(__xludf.DUMMYFUNCTION("""COMPUTED_VALUE"""),224.0)</f>
        <v>224</v>
      </c>
      <c r="B191" s="11" t="str">
        <f>IFERROR(__xludf.DUMMYFUNCTION("""COMPUTED_VALUE"""),"The only thing I'm concerned really about is the access to Google Drive. I mainly use this as an email tracker, so I don't understand why they need access to my files.")</f>
        <v>The only thing I'm concerned really about is the access to Google Drive. I mainly use this as an email tracker, so I don't understand why they need access to my files.</v>
      </c>
      <c r="C191" s="32" t="s">
        <v>761</v>
      </c>
      <c r="D191" s="32" t="s">
        <v>777</v>
      </c>
      <c r="E191" s="32" t="s">
        <v>783</v>
      </c>
      <c r="F191" s="32" t="s">
        <v>762</v>
      </c>
      <c r="G191" s="11"/>
      <c r="H191" s="11"/>
      <c r="I191" s="11"/>
      <c r="J191" s="11"/>
    </row>
    <row r="192">
      <c r="A192">
        <f>IFERROR(__xludf.DUMMYFUNCTION("""COMPUTED_VALUE"""),225.0)</f>
        <v>225</v>
      </c>
      <c r="B192" s="11" t="str">
        <f>IFERROR(__xludf.DUMMYFUNCTION("""COMPUTED_VALUE"""),"I don't have a major concern, but may restrict Amazon's access to my Gmail account in the future for general safety reasons.")</f>
        <v>I don't have a major concern, but may restrict Amazon's access to my Gmail account in the future for general safety reasons.</v>
      </c>
      <c r="C192" s="32" t="s">
        <v>761</v>
      </c>
      <c r="D192" s="32" t="s">
        <v>777</v>
      </c>
      <c r="E192" s="32" t="s">
        <v>778</v>
      </c>
      <c r="F192" s="11"/>
      <c r="G192" s="11"/>
      <c r="H192" s="11"/>
      <c r="I192" s="11"/>
      <c r="J192" s="11"/>
    </row>
    <row r="193">
      <c r="A193">
        <f>IFERROR(__xludf.DUMMYFUNCTION("""COMPUTED_VALUE"""),226.0)</f>
        <v>226</v>
      </c>
      <c r="B193" s="11" t="str">
        <f>IFERROR(__xludf.DUMMYFUNCTION("""COMPUTED_VALUE"""),"I'm concerned Zoom might accidentally delete or include meetings on my schedule without my knowing. Other than that, I'm not very concerned having Zoom on my account. Having Zoom on my account is quite helpful and makes my life easier.")</f>
        <v>I'm concerned Zoom might accidentally delete or include meetings on my schedule without my knowing. Other than that, I'm not very concerned having Zoom on my account. Having Zoom on my account is quite helpful and makes my life easier.</v>
      </c>
      <c r="C193" s="28" t="s">
        <v>759</v>
      </c>
      <c r="D193" s="32" t="s">
        <v>761</v>
      </c>
      <c r="E193" s="32" t="s">
        <v>777</v>
      </c>
      <c r="F193" s="32" t="s">
        <v>781</v>
      </c>
      <c r="G193" s="11"/>
      <c r="H193" s="11"/>
      <c r="I193" s="11"/>
      <c r="J193" s="11"/>
    </row>
    <row r="194">
      <c r="A194">
        <f>IFERROR(__xludf.DUMMYFUNCTION("""COMPUTED_VALUE"""),227.0)</f>
        <v>227</v>
      </c>
      <c r="B194" s="11" t="str">
        <f>IFERROR(__xludf.DUMMYFUNCTION("""COMPUTED_VALUE"""),"I am just concerned that they may sell my information to other companies.")</f>
        <v>I am just concerned that they may sell my information to other companies.</v>
      </c>
      <c r="C194" s="31" t="s">
        <v>761</v>
      </c>
      <c r="D194" s="32" t="s">
        <v>766</v>
      </c>
      <c r="E194" s="32" t="s">
        <v>776</v>
      </c>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c r="C197" s="11"/>
      <c r="D197" s="11"/>
      <c r="E197" s="11"/>
      <c r="F197" s="11"/>
      <c r="G197" s="11"/>
      <c r="H197" s="11"/>
      <c r="I197" s="11"/>
      <c r="J197" s="11"/>
    </row>
    <row r="198">
      <c r="A198">
        <f>IFERROR(__xludf.DUMMYFUNCTION("""COMPUTED_VALUE"""),231.0)</f>
        <v>231</v>
      </c>
      <c r="B198" s="11" t="str">
        <f>IFERROR(__xludf.DUMMYFUNCTION("""COMPUTED_VALUE"""),"It's a shopping tool app, and does require access to my email. I don't think I recall the ""delete all your email from Gmail"" though, so now I'm going to look into that.")</f>
        <v>It's a shopping tool app, and does require access to my email. I don't think I recall the "delete all your email from Gmail" though, so now I'm going to look into that.</v>
      </c>
      <c r="C198" s="31" t="s">
        <v>771</v>
      </c>
      <c r="D198" s="31" t="s">
        <v>764</v>
      </c>
      <c r="E198" s="31" t="s">
        <v>782</v>
      </c>
      <c r="F198" s="32" t="s">
        <v>761</v>
      </c>
      <c r="G198" s="32" t="s">
        <v>777</v>
      </c>
      <c r="H198" s="32" t="s">
        <v>781</v>
      </c>
      <c r="I198" s="11"/>
      <c r="J198" s="11"/>
    </row>
    <row r="199">
      <c r="A199">
        <f>IFERROR(__xludf.DUMMYFUNCTION("""COMPUTED_VALUE"""),232.0)</f>
        <v>232</v>
      </c>
      <c r="B199" s="11" t="str">
        <f>IFERROR(__xludf.DUMMYFUNCTION("""COMPUTED_VALUE"""),"I am not concerned with Clash Royale's single permission.")</f>
        <v>I am not concerned with Clash Royale's single permission.</v>
      </c>
      <c r="C199" s="28" t="s">
        <v>758</v>
      </c>
      <c r="D199" s="32" t="s">
        <v>773</v>
      </c>
      <c r="E199" s="11"/>
      <c r="F199" s="11"/>
      <c r="G199" s="11"/>
      <c r="H199" s="11"/>
      <c r="I199" s="11"/>
      <c r="J199" s="11"/>
    </row>
    <row r="200">
      <c r="A200">
        <f>IFERROR(__xludf.DUMMYFUNCTION("""COMPUTED_VALUE"""),233.0)</f>
        <v>233</v>
      </c>
      <c r="B200" s="11" t="str">
        <f>IFERROR(__xludf.DUMMYFUNCTION("""COMPUTED_VALUE"""),"I do not have any concerns.")</f>
        <v>I do not have any concerns.</v>
      </c>
      <c r="C200" s="28" t="s">
        <v>758</v>
      </c>
      <c r="D200" s="11"/>
      <c r="E200" s="11"/>
      <c r="F200" s="11"/>
      <c r="G200" s="11"/>
      <c r="H200" s="11"/>
      <c r="I200" s="11"/>
      <c r="J200" s="11"/>
    </row>
    <row r="201">
      <c r="A201">
        <f>IFERROR(__xludf.DUMMYFUNCTION("""COMPUTED_VALUE"""),234.0)</f>
        <v>234</v>
      </c>
      <c r="B201" s="11"/>
      <c r="C201" s="11"/>
      <c r="D201" s="11"/>
      <c r="E201" s="11"/>
      <c r="F201" s="11"/>
      <c r="G201" s="11"/>
      <c r="H201" s="11"/>
      <c r="I201" s="11"/>
      <c r="J201" s="11"/>
    </row>
    <row r="202">
      <c r="A202">
        <f>IFERROR(__xludf.DUMMYFUNCTION("""COMPUTED_VALUE"""),235.0)</f>
        <v>235</v>
      </c>
      <c r="B202" s="11" t="str">
        <f>IFERROR(__xludf.DUMMYFUNCTION("""COMPUTED_VALUE"""),"Why would they need access to drive? The app doesn't even use drive.")</f>
        <v>Why would they need access to drive? The app doesn't even use drive.</v>
      </c>
      <c r="C202" s="32" t="s">
        <v>761</v>
      </c>
      <c r="D202" s="32" t="s">
        <v>762</v>
      </c>
      <c r="E202" s="32" t="s">
        <v>777</v>
      </c>
      <c r="F202" s="32" t="s">
        <v>783</v>
      </c>
      <c r="G202" s="11"/>
      <c r="H202" s="11"/>
      <c r="I202" s="11"/>
      <c r="J202" s="11"/>
    </row>
    <row r="203">
      <c r="A203">
        <f>IFERROR(__xludf.DUMMYFUNCTION("""COMPUTED_VALUE"""),236.0)</f>
        <v>236</v>
      </c>
      <c r="B203" s="11"/>
      <c r="C203" s="11"/>
      <c r="D203" s="11"/>
      <c r="E203" s="11"/>
      <c r="F203" s="11"/>
      <c r="G203" s="11"/>
      <c r="H203" s="11"/>
      <c r="I203" s="11"/>
      <c r="J203" s="11"/>
    </row>
    <row r="204">
      <c r="A204">
        <f>IFERROR(__xludf.DUMMYFUNCTION("""COMPUTED_VALUE"""),237.0)</f>
        <v>237</v>
      </c>
      <c r="B204" s="11"/>
      <c r="C204" s="11"/>
      <c r="D204" s="11"/>
      <c r="E204" s="11"/>
      <c r="F204" s="11"/>
      <c r="G204" s="11"/>
      <c r="H204" s="11"/>
      <c r="I204" s="11"/>
      <c r="J204" s="11"/>
    </row>
    <row r="205">
      <c r="A205">
        <f>IFERROR(__xludf.DUMMYFUNCTION("""COMPUTED_VALUE"""),238.0)</f>
        <v>238</v>
      </c>
      <c r="B205" s="11" t="str">
        <f>IFERROR(__xludf.DUMMYFUNCTION("""COMPUTED_VALUE"""),"The control they have over contacts and the different thing they can do with contacts is concerning. Seeing contacts is actually really nice because then it helps you find connections and I would guess that's all they use that access for (and maybe to adv"&amp;"ertise to contacts) but still it seems like they wouldn't need anything more than the ability to see contacts.
 Personal info isn't too concerning, this seems pretty typical, but still surprising how easily LinkedIn can access it.")</f>
        <v>The control they have over contacts and the different thing they can do with contacts is concerning. Seeing contacts is actually really nice because then it helps you find connections and I would guess that's all they use that access for (and maybe to advertise to contacts) but still it seems like they wouldn't need anything more than the ability to see contacts.
 Personal info isn't too concerning, this seems pretty typical, but still surprising how easily LinkedIn can access it.</v>
      </c>
      <c r="C205" s="32" t="s">
        <v>761</v>
      </c>
      <c r="D205" s="32" t="s">
        <v>777</v>
      </c>
      <c r="E205" s="27" t="s">
        <v>798</v>
      </c>
      <c r="G205" s="11"/>
      <c r="H205" s="11"/>
      <c r="I205" s="11"/>
      <c r="J205" s="11"/>
    </row>
    <row r="206">
      <c r="A206">
        <f>IFERROR(__xludf.DUMMYFUNCTION("""COMPUTED_VALUE"""),239.0)</f>
        <v>239</v>
      </c>
      <c r="B206" s="11" t="str">
        <f>IFERROR(__xludf.DUMMYFUNCTION("""COMPUTED_VALUE"""),"Its a uneasy feeling knowing that these permissions could be exploited. Its similar to strangers having access to your house and your not there.")</f>
        <v>Its a uneasy feeling knowing that these permissions could be exploited. Its similar to strangers having access to your house and your not there.</v>
      </c>
      <c r="C206" s="32" t="s">
        <v>761</v>
      </c>
      <c r="D206" s="32" t="s">
        <v>763</v>
      </c>
      <c r="E206" s="11"/>
      <c r="F206" s="11"/>
      <c r="G206" s="11"/>
      <c r="H206" s="11"/>
      <c r="I206" s="11"/>
      <c r="J206" s="11"/>
    </row>
    <row r="207">
      <c r="A207">
        <f>IFERROR(__xludf.DUMMYFUNCTION("""COMPUTED_VALUE"""),240.0)</f>
        <v>240</v>
      </c>
      <c r="B207" s="11"/>
      <c r="C207" s="11"/>
      <c r="D207" s="11"/>
      <c r="E207" s="11"/>
      <c r="F207" s="11"/>
      <c r="G207" s="11"/>
      <c r="H207" s="11"/>
      <c r="I207" s="11"/>
      <c r="J207" s="11"/>
    </row>
    <row r="208">
      <c r="A208">
        <f>IFERROR(__xludf.DUMMYFUNCTION("""COMPUTED_VALUE"""),241.0)</f>
        <v>241</v>
      </c>
      <c r="B208" s="11"/>
      <c r="C208" s="11"/>
      <c r="D208" s="11"/>
      <c r="E208" s="11"/>
      <c r="F208" s="11"/>
      <c r="G208" s="11"/>
      <c r="H208" s="11"/>
      <c r="I208" s="11"/>
      <c r="J208" s="11"/>
    </row>
    <row r="209">
      <c r="A209">
        <f>IFERROR(__xludf.DUMMYFUNCTION("""COMPUTED_VALUE"""),242.0)</f>
        <v>242</v>
      </c>
      <c r="B209" s="11"/>
      <c r="C209" s="11"/>
      <c r="D209" s="11"/>
      <c r="E209" s="11"/>
      <c r="F209" s="11"/>
      <c r="G209" s="11"/>
      <c r="H209" s="11"/>
      <c r="I209" s="11"/>
      <c r="J209" s="11"/>
    </row>
    <row r="210">
      <c r="A210">
        <f>IFERROR(__xludf.DUMMYFUNCTION("""COMPUTED_VALUE"""),243.0)</f>
        <v>243</v>
      </c>
      <c r="B210" s="11" t="str">
        <f>IFERROR(__xludf.DUMMYFUNCTION("""COMPUTED_VALUE"""),"I don't have any concerns - we actually pay wordstream to manage it")</f>
        <v>I don't have any concerns - we actually pay wordstream to manage it</v>
      </c>
      <c r="C210" s="28" t="s">
        <v>758</v>
      </c>
      <c r="D210" s="11"/>
      <c r="E210" s="11"/>
      <c r="F210" s="11"/>
      <c r="G210" s="11"/>
      <c r="H210" s="11"/>
      <c r="I210" s="11"/>
      <c r="J210" s="11"/>
    </row>
    <row r="211">
      <c r="A211">
        <f>IFERROR(__xludf.DUMMYFUNCTION("""COMPUTED_VALUE"""),244.0)</f>
        <v>244</v>
      </c>
      <c r="B211" s="11"/>
      <c r="C211" s="11"/>
      <c r="D211" s="11"/>
      <c r="E211" s="11"/>
      <c r="F211" s="11"/>
      <c r="G211" s="11"/>
      <c r="H211" s="11"/>
      <c r="I211" s="11"/>
      <c r="J211" s="11"/>
    </row>
    <row r="212">
      <c r="A212">
        <f>IFERROR(__xludf.DUMMYFUNCTION("""COMPUTED_VALUE"""),245.0)</f>
        <v>245</v>
      </c>
      <c r="B212" s="11" t="str">
        <f>IFERROR(__xludf.DUMMYFUNCTION("""COMPUTED_VALUE"""),"Not much in way of concerns other than contacts")</f>
        <v>Not much in way of concerns other than contacts</v>
      </c>
      <c r="C212" s="32" t="s">
        <v>761</v>
      </c>
      <c r="D212" s="32" t="s">
        <v>777</v>
      </c>
      <c r="E212" t="s">
        <v>798</v>
      </c>
      <c r="G212" s="11"/>
      <c r="H212" s="11"/>
      <c r="I212" s="11"/>
      <c r="J212" s="11"/>
    </row>
    <row r="213">
      <c r="A213">
        <f>IFERROR(__xludf.DUMMYFUNCTION("""COMPUTED_VALUE"""),246.0)</f>
        <v>246</v>
      </c>
      <c r="B213" s="11" t="str">
        <f>IFERROR(__xludf.DUMMYFUNCTION("""COMPUTED_VALUE"""),"i have no concerns")</f>
        <v>i have no concerns</v>
      </c>
      <c r="C213" s="28" t="s">
        <v>758</v>
      </c>
      <c r="D213" s="28" t="s">
        <v>758</v>
      </c>
      <c r="E213" s="11"/>
      <c r="F213" s="11"/>
      <c r="G213" s="11"/>
      <c r="H213" s="11"/>
      <c r="I213" s="11"/>
      <c r="J213" s="11"/>
    </row>
    <row r="214">
      <c r="A214">
        <f>IFERROR(__xludf.DUMMYFUNCTION("""COMPUTED_VALUE"""),247.0)</f>
        <v>247</v>
      </c>
      <c r="B214" s="11"/>
      <c r="C214" s="11"/>
      <c r="D214" s="11"/>
      <c r="E214" s="11"/>
      <c r="F214" s="11"/>
      <c r="G214" s="11"/>
      <c r="H214" s="11"/>
      <c r="I214" s="11"/>
      <c r="J214" s="11"/>
    </row>
    <row r="215">
      <c r="A215">
        <f>IFERROR(__xludf.DUMMYFUNCTION("""COMPUTED_VALUE"""),248.0)</f>
        <v>248</v>
      </c>
      <c r="B215" s="11" t="str">
        <f>IFERROR(__xludf.DUMMYFUNCTION("""COMPUTED_VALUE"""),"I don't understand what they're doing with my Google Drive and I don't want them accessing my information in Drive. I don't know why a game would need to access Drive.")</f>
        <v>I don't understand what they're doing with my Google Drive and I don't want them accessing my information in Drive. I don't know why a game would need to access Drive.</v>
      </c>
      <c r="C215" s="32" t="s">
        <v>761</v>
      </c>
      <c r="D215" s="32" t="s">
        <v>777</v>
      </c>
      <c r="E215" s="32" t="s">
        <v>783</v>
      </c>
      <c r="F215" s="32" t="s">
        <v>762</v>
      </c>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30.86"/>
  </cols>
  <sheetData>
    <row r="1">
      <c r="A1" s="15" t="s">
        <v>785</v>
      </c>
      <c r="B1" s="28"/>
      <c r="C1" s="28"/>
      <c r="D1" s="28"/>
      <c r="E1" s="15" t="s">
        <v>786</v>
      </c>
      <c r="F1" s="28"/>
    </row>
    <row r="2">
      <c r="A2" s="28" t="str">
        <f>IFERROR(__xludf.DUMMYFUNCTION("QUERY({'Q14-old (primary)'!C2:C1000;'Q14-old (primary)'!D2:D1000;'Q14-old (primary)'!E2:E1000;'Q14-old (primary)'!F2:F1000;'Q14-old (primary)'!G2:G1000;'Q14-old (primary)'!H2:H1000;'Q14-old (primary)'!I2:I1000;'Q14-old (primary)'!J2:J1000;'Q14-old (primar"&amp;"y)'!K2:K1000}, ""select Col1, count(Col1) where Col1 is not null group by Col1 order by Col1 asc"")"),"")</f>
        <v/>
      </c>
      <c r="B2" s="28" t="str">
        <f>IFERROR(__xludf.DUMMYFUNCTION("""COMPUTED_VALUE"""),"count ")</f>
        <v>count </v>
      </c>
      <c r="C2" s="28"/>
      <c r="D2" s="28"/>
      <c r="E2" s="28" t="str">
        <f>IFERROR(__xludf.DUMMYFUNCTION("QUERY({'Q14-old (primary)'!C2:C1000;'Q14-old (primary)'!D2:D1000;'Q14-old (primary)'!E2:E1000;'Q14-old (primary)'!F2:F1000;'Q14-old (primary)'!G2:G1000;'Q14-old (primary)'!H2:H1000;'Q14-old (primary)'!I2:I1000;'Q14-old (primary)'!J2:J1000;'Q14-old (primar"&amp;"y)'!K2:K1000}, ""select Col1, count(Col1) where Col1 is not null and not Col1 contains '-&gt;' group by Col1 order by count(Col1) desc"")"),"")</f>
        <v/>
      </c>
      <c r="F2" s="28" t="str">
        <f>IFERROR(__xludf.DUMMYFUNCTION("""COMPUTED_VALUE"""),"count ")</f>
        <v>count </v>
      </c>
    </row>
    <row r="3">
      <c r="A3" t="str">
        <f>IFERROR(__xludf.DUMMYFUNCTION("""COMPUTED_VALUE"""),"app_beneficial")</f>
        <v>app_beneficial</v>
      </c>
      <c r="B3">
        <f>IFERROR(__xludf.DUMMYFUNCTION("""COMPUTED_VALUE"""),9.0)</f>
        <v>9</v>
      </c>
      <c r="E3" t="str">
        <f>IFERROR(__xludf.DUMMYFUNCTION("""COMPUTED_VALUE"""),"concerned")</f>
        <v>concerned</v>
      </c>
      <c r="F3">
        <f>IFERROR(__xludf.DUMMYFUNCTION("""COMPUTED_VALUE"""),90.0)</f>
        <v>90</v>
      </c>
    </row>
    <row r="4">
      <c r="A4" t="str">
        <f>IFERROR(__xludf.DUMMYFUNCTION("""COMPUTED_VALUE"""),"app_not_beneficial")</f>
        <v>app_not_beneficial</v>
      </c>
      <c r="B4">
        <f>IFERROR(__xludf.DUMMYFUNCTION("""COMPUTED_VALUE"""),1.0)</f>
        <v>1</v>
      </c>
      <c r="E4" t="str">
        <f>IFERROR(__xludf.DUMMYFUNCTION("""COMPUTED_VALUE"""),"unconcerned")</f>
        <v>unconcerned</v>
      </c>
      <c r="F4">
        <f>IFERROR(__xludf.DUMMYFUNCTION("""COMPUTED_VALUE"""),44.0)</f>
        <v>44</v>
      </c>
    </row>
    <row r="5">
      <c r="A5" t="str">
        <f>IFERROR(__xludf.DUMMYFUNCTION("""COMPUTED_VALUE"""),"concerned")</f>
        <v>concerned</v>
      </c>
      <c r="B5">
        <f>IFERROR(__xludf.DUMMYFUNCTION("""COMPUTED_VALUE"""),90.0)</f>
        <v>90</v>
      </c>
      <c r="E5" t="str">
        <f>IFERROR(__xludf.DUMMYFUNCTION("""COMPUTED_VALUE"""),"unknowns")</f>
        <v>unknowns</v>
      </c>
      <c r="F5">
        <f>IFERROR(__xludf.DUMMYFUNCTION("""COMPUTED_VALUE"""),17.0)</f>
        <v>17</v>
      </c>
    </row>
    <row r="6">
      <c r="A6" t="str">
        <f>IFERROR(__xludf.DUMMYFUNCTION("""COMPUTED_VALUE"""),"concerned-&gt;access_when_not_using_app")</f>
        <v>concerned-&gt;access_when_not_using_app</v>
      </c>
      <c r="B6">
        <f>IFERROR(__xludf.DUMMYFUNCTION("""COMPUTED_VALUE"""),1.0)</f>
        <v>1</v>
      </c>
      <c r="E6" t="str">
        <f>IFERROR(__xludf.DUMMYFUNCTION("""COMPUTED_VALUE"""),"do_not_recall_authorizing")</f>
        <v>do_not_recall_authorizing</v>
      </c>
      <c r="F6">
        <f>IFERROR(__xludf.DUMMYFUNCTION("""COMPUTED_VALUE"""),12.0)</f>
        <v>12</v>
      </c>
    </row>
    <row r="7">
      <c r="A7" t="str">
        <f>IFERROR(__xludf.DUMMYFUNCTION("""COMPUTED_VALUE"""),"concerned-&gt;data_leak")</f>
        <v>concerned-&gt;data_leak</v>
      </c>
      <c r="B7">
        <f>IFERROR(__xludf.DUMMYFUNCTION("""COMPUTED_VALUE"""),5.0)</f>
        <v>5</v>
      </c>
      <c r="E7" t="str">
        <f>IFERROR(__xludf.DUMMYFUNCTION("""COMPUTED_VALUE"""),"app_beneficial")</f>
        <v>app_beneficial</v>
      </c>
      <c r="F7">
        <f>IFERROR(__xludf.DUMMYFUNCTION("""COMPUTED_VALUE"""),9.0)</f>
        <v>9</v>
      </c>
    </row>
    <row r="8">
      <c r="A8" t="str">
        <f>IFERROR(__xludf.DUMMYFUNCTION("""COMPUTED_VALUE"""),"concerned-&gt;misuse")</f>
        <v>concerned-&gt;misuse</v>
      </c>
      <c r="B8">
        <f>IFERROR(__xludf.DUMMYFUNCTION("""COMPUTED_VALUE"""),14.0)</f>
        <v>14</v>
      </c>
      <c r="E8" t="str">
        <f>IFERROR(__xludf.DUMMYFUNCTION("""COMPUTED_VALUE"""),"infrequent_use")</f>
        <v>infrequent_use</v>
      </c>
      <c r="F8">
        <f>IFERROR(__xludf.DUMMYFUNCTION("""COMPUTED_VALUE"""),8.0)</f>
        <v>8</v>
      </c>
    </row>
    <row r="9">
      <c r="A9" t="str">
        <f>IFERROR(__xludf.DUMMYFUNCTION("""COMPUTED_VALUE"""),"concerned-&gt;permissions")</f>
        <v>concerned-&gt;permissions</v>
      </c>
      <c r="B9">
        <f>IFERROR(__xludf.DUMMYFUNCTION("""COMPUTED_VALUE"""),49.0)</f>
        <v>49</v>
      </c>
      <c r="E9" t="str">
        <f>IFERROR(__xludf.DUMMYFUNCTION("""COMPUTED_VALUE"""),"trust_app")</f>
        <v>trust_app</v>
      </c>
      <c r="F9">
        <f>IFERROR(__xludf.DUMMYFUNCTION("""COMPUTED_VALUE"""),6.0)</f>
        <v>6</v>
      </c>
    </row>
    <row r="10">
      <c r="A10" t="str">
        <f>IFERROR(__xludf.DUMMYFUNCTION("""COMPUTED_VALUE"""),"concerned-&gt;permissions-&gt;calendar")</f>
        <v>concerned-&gt;permissions-&gt;calendar</v>
      </c>
      <c r="B10">
        <f>IFERROR(__xludf.DUMMYFUNCTION("""COMPUTED_VALUE"""),2.0)</f>
        <v>2</v>
      </c>
      <c r="E10" t="str">
        <f>IFERROR(__xludf.DUMMYFUNCTION("""COMPUTED_VALUE"""),"trade_off_for_convenience")</f>
        <v>trade_off_for_convenience</v>
      </c>
      <c r="F10">
        <f>IFERROR(__xludf.DUMMYFUNCTION("""COMPUTED_VALUE"""),3.0)</f>
        <v>3</v>
      </c>
    </row>
    <row r="11">
      <c r="A11" t="str">
        <f>IFERROR(__xludf.DUMMYFUNCTION("""COMPUTED_VALUE"""),"concerned-&gt;permissions-&gt;contacts")</f>
        <v>concerned-&gt;permissions-&gt;contacts</v>
      </c>
      <c r="B11">
        <f>IFERROR(__xludf.DUMMYFUNCTION("""COMPUTED_VALUE"""),10.0)</f>
        <v>10</v>
      </c>
      <c r="E11" t="str">
        <f>IFERROR(__xludf.DUMMYFUNCTION("""COMPUTED_VALUE"""),"app_not_beneficial")</f>
        <v>app_not_beneficial</v>
      </c>
      <c r="F11">
        <f>IFERROR(__xludf.DUMMYFUNCTION("""COMPUTED_VALUE"""),1.0)</f>
        <v>1</v>
      </c>
    </row>
    <row r="12">
      <c r="A12" t="str">
        <f>IFERROR(__xludf.DUMMYFUNCTION("""COMPUTED_VALUE"""),"concerned-&gt;permissions-&gt;delete")</f>
        <v>concerned-&gt;permissions-&gt;delete</v>
      </c>
      <c r="B12">
        <f>IFERROR(__xludf.DUMMYFUNCTION("""COMPUTED_VALUE"""),18.0)</f>
        <v>18</v>
      </c>
      <c r="E12" t="str">
        <f>IFERROR(__xludf.DUMMYFUNCTION("""COMPUTED_VALUE"""),"will_review_app_access")</f>
        <v>will_review_app_access</v>
      </c>
      <c r="F12">
        <f>IFERROR(__xludf.DUMMYFUNCTION("""COMPUTED_VALUE"""),1.0)</f>
        <v>1</v>
      </c>
    </row>
    <row r="13">
      <c r="A13" t="str">
        <f>IFERROR(__xludf.DUMMYFUNCTION("""COMPUTED_VALUE"""),"concerned-&gt;permissions-&gt;edit")</f>
        <v>concerned-&gt;permissions-&gt;edit</v>
      </c>
      <c r="B13">
        <f>IFERROR(__xludf.DUMMYFUNCTION("""COMPUTED_VALUE"""),1.0)</f>
        <v>1</v>
      </c>
    </row>
    <row r="14">
      <c r="A14" t="str">
        <f>IFERROR(__xludf.DUMMYFUNCTION("""COMPUTED_VALUE"""),"concerned-&gt;permissions-&gt;email")</f>
        <v>concerned-&gt;permissions-&gt;email</v>
      </c>
      <c r="B14">
        <f>IFERROR(__xludf.DUMMYFUNCTION("""COMPUTED_VALUE"""),12.0)</f>
        <v>12</v>
      </c>
    </row>
    <row r="15">
      <c r="A15" t="str">
        <f>IFERROR(__xludf.DUMMYFUNCTION("""COMPUTED_VALUE"""),"concerned-&gt;permissions-&gt;extensions")</f>
        <v>concerned-&gt;permissions-&gt;extensions</v>
      </c>
      <c r="B15">
        <f>IFERROR(__xludf.DUMMYFUNCTION("""COMPUTED_VALUE"""),1.0)</f>
        <v>1</v>
      </c>
    </row>
    <row r="16">
      <c r="A16" t="str">
        <f>IFERROR(__xludf.DUMMYFUNCTION("""COMPUTED_VALUE"""),"concerned-&gt;permissions-&gt;google_drive")</f>
        <v>concerned-&gt;permissions-&gt;google_drive</v>
      </c>
      <c r="B16">
        <f>IFERROR(__xludf.DUMMYFUNCTION("""COMPUTED_VALUE"""),5.0)</f>
        <v>5</v>
      </c>
    </row>
    <row r="17">
      <c r="A17" t="str">
        <f>IFERROR(__xludf.DUMMYFUNCTION("""COMPUTED_VALUE"""),"concerned-&gt;permissions-more_permissions_than_described")</f>
        <v>concerned-&gt;permissions-more_permissions_than_described</v>
      </c>
      <c r="B17">
        <f>IFERROR(__xludf.DUMMYFUNCTION("""COMPUTED_VALUE"""),1.0)</f>
        <v>1</v>
      </c>
    </row>
    <row r="18">
      <c r="A18" t="str">
        <f>IFERROR(__xludf.DUMMYFUNCTION("""COMPUTED_VALUE"""),"concerned-&gt;permissions_after_deleted_app")</f>
        <v>concerned-&gt;permissions_after_deleted_app</v>
      </c>
      <c r="B18">
        <f>IFERROR(__xludf.DUMMYFUNCTION("""COMPUTED_VALUE"""),1.0)</f>
        <v>1</v>
      </c>
    </row>
    <row r="19">
      <c r="A19" t="str">
        <f>IFERROR(__xludf.DUMMYFUNCTION("""COMPUTED_VALUE"""),"concerned-&gt;personal_data")</f>
        <v>concerned-&gt;personal_data</v>
      </c>
      <c r="B19">
        <f>IFERROR(__xludf.DUMMYFUNCTION("""COMPUTED_VALUE"""),31.0)</f>
        <v>31</v>
      </c>
    </row>
    <row r="20">
      <c r="A20" t="str">
        <f>IFERROR(__xludf.DUMMYFUNCTION("""COMPUTED_VALUE"""),"concerned-&gt;personal_data-&gt;selling_data")</f>
        <v>concerned-&gt;personal_data-&gt;selling_data</v>
      </c>
      <c r="B20">
        <f>IFERROR(__xludf.DUMMYFUNCTION("""COMPUTED_VALUE"""),6.0)</f>
        <v>6</v>
      </c>
    </row>
    <row r="21">
      <c r="A21" t="str">
        <f>IFERROR(__xludf.DUMMYFUNCTION("""COMPUTED_VALUE"""),"concerned-&gt;personal_data-&gt;used_for_advertising")</f>
        <v>concerned-&gt;personal_data-&gt;used_for_advertising</v>
      </c>
      <c r="B21">
        <f>IFERROR(__xludf.DUMMYFUNCTION("""COMPUTED_VALUE"""),5.0)</f>
        <v>5</v>
      </c>
    </row>
    <row r="22">
      <c r="A22" t="str">
        <f>IFERROR(__xludf.DUMMYFUNCTION("""COMPUTED_VALUE"""),"concerned-&gt;privacy")</f>
        <v>concerned-&gt;privacy</v>
      </c>
      <c r="B22">
        <f>IFERROR(__xludf.DUMMYFUNCTION("""COMPUTED_VALUE"""),3.0)</f>
        <v>3</v>
      </c>
    </row>
    <row r="23">
      <c r="A23" t="str">
        <f>IFERROR(__xludf.DUMMYFUNCTION("""COMPUTED_VALUE"""),"concerned-&gt;tracking")</f>
        <v>concerned-&gt;tracking</v>
      </c>
      <c r="B23">
        <f>IFERROR(__xludf.DUMMYFUNCTION("""COMPUTED_VALUE"""),2.0)</f>
        <v>2</v>
      </c>
    </row>
    <row r="24">
      <c r="A24" t="str">
        <f>IFERROR(__xludf.DUMMYFUNCTION("""COMPUTED_VALUE"""),"concerned-&gt;unecessary_access_to_data")</f>
        <v>concerned-&gt;unecessary_access_to_data</v>
      </c>
      <c r="B24">
        <f>IFERROR(__xludf.DUMMYFUNCTION("""COMPUTED_VALUE"""),16.0)</f>
        <v>16</v>
      </c>
    </row>
    <row r="25">
      <c r="A25" t="str">
        <f>IFERROR(__xludf.DUMMYFUNCTION("""COMPUTED_VALUE"""),"do_not_recall_authorizing")</f>
        <v>do_not_recall_authorizing</v>
      </c>
      <c r="B25">
        <f>IFERROR(__xludf.DUMMYFUNCTION("""COMPUTED_VALUE"""),12.0)</f>
        <v>12</v>
      </c>
    </row>
    <row r="26">
      <c r="A26" t="str">
        <f>IFERROR(__xludf.DUMMYFUNCTION("""COMPUTED_VALUE"""),"do_not_recall_authorizing-&gt;app")</f>
        <v>do_not_recall_authorizing-&gt;app</v>
      </c>
      <c r="B26">
        <f>IFERROR(__xludf.DUMMYFUNCTION("""COMPUTED_VALUE"""),1.0)</f>
        <v>1</v>
      </c>
    </row>
    <row r="27">
      <c r="A27" t="str">
        <f>IFERROR(__xludf.DUMMYFUNCTION("""COMPUTED_VALUE"""),"do_not_recall_authorizing-&gt;permission")</f>
        <v>do_not_recall_authorizing-&gt;permission</v>
      </c>
      <c r="B27">
        <f>IFERROR(__xludf.DUMMYFUNCTION("""COMPUTED_VALUE"""),4.0)</f>
        <v>4</v>
      </c>
    </row>
    <row r="28">
      <c r="A28" t="str">
        <f>IFERROR(__xludf.DUMMYFUNCTION("""COMPUTED_VALUE"""),"infrequent_use")</f>
        <v>infrequent_use</v>
      </c>
      <c r="B28">
        <f>IFERROR(__xludf.DUMMYFUNCTION("""COMPUTED_VALUE"""),8.0)</f>
        <v>8</v>
      </c>
    </row>
    <row r="29">
      <c r="A29" t="str">
        <f>IFERROR(__xludf.DUMMYFUNCTION("""COMPUTED_VALUE"""),"trade_off_for_convenience")</f>
        <v>trade_off_for_convenience</v>
      </c>
      <c r="B29">
        <f>IFERROR(__xludf.DUMMYFUNCTION("""COMPUTED_VALUE"""),3.0)</f>
        <v>3</v>
      </c>
    </row>
    <row r="30">
      <c r="A30" t="str">
        <f>IFERROR(__xludf.DUMMYFUNCTION("""COMPUTED_VALUE"""),"trust_app")</f>
        <v>trust_app</v>
      </c>
      <c r="B30">
        <f>IFERROR(__xludf.DUMMYFUNCTION("""COMPUTED_VALUE"""),6.0)</f>
        <v>6</v>
      </c>
    </row>
    <row r="31">
      <c r="A31" t="str">
        <f>IFERROR(__xludf.DUMMYFUNCTION("""COMPUTED_VALUE"""),"unconcerned")</f>
        <v>unconcerned</v>
      </c>
      <c r="B31">
        <f>IFERROR(__xludf.DUMMYFUNCTION("""COMPUTED_VALUE"""),44.0)</f>
        <v>44</v>
      </c>
    </row>
    <row r="32">
      <c r="A32" t="str">
        <f>IFERROR(__xludf.DUMMYFUNCTION("""COMPUTED_VALUE"""),"unconcerned-&gt;low_permission_level")</f>
        <v>unconcerned-&gt;low_permission_level</v>
      </c>
      <c r="B32">
        <f>IFERROR(__xludf.DUMMYFUNCTION("""COMPUTED_VALUE"""),3.0)</f>
        <v>3</v>
      </c>
    </row>
    <row r="33">
      <c r="A33" t="str">
        <f>IFERROR(__xludf.DUMMYFUNCTION("""COMPUTED_VALUE"""),"unconcerned-&gt;permissions_necessary")</f>
        <v>unconcerned-&gt;permissions_necessary</v>
      </c>
      <c r="B33">
        <f>IFERROR(__xludf.DUMMYFUNCTION("""COMPUTED_VALUE"""),10.0)</f>
        <v>10</v>
      </c>
    </row>
    <row r="34">
      <c r="A34" t="str">
        <f>IFERROR(__xludf.DUMMYFUNCTION("""COMPUTED_VALUE"""),"unknowns")</f>
        <v>unknowns</v>
      </c>
      <c r="B34">
        <f>IFERROR(__xludf.DUMMYFUNCTION("""COMPUTED_VALUE"""),17.0)</f>
        <v>17</v>
      </c>
    </row>
    <row r="35">
      <c r="A35" t="str">
        <f>IFERROR(__xludf.DUMMYFUNCTION("""COMPUTED_VALUE"""),"unknowns-&gt;can_i_delete_my_data")</f>
        <v>unknowns-&gt;can_i_delete_my_data</v>
      </c>
      <c r="B35">
        <f>IFERROR(__xludf.DUMMYFUNCTION("""COMPUTED_VALUE"""),1.0)</f>
        <v>1</v>
      </c>
    </row>
    <row r="36">
      <c r="A36" t="str">
        <f>IFERROR(__xludf.DUMMYFUNCTION("""COMPUTED_VALUE"""),"unknowns-&gt;how_data_used")</f>
        <v>unknowns-&gt;how_data_used</v>
      </c>
      <c r="B36">
        <f>IFERROR(__xludf.DUMMYFUNCTION("""COMPUTED_VALUE"""),8.0)</f>
        <v>8</v>
      </c>
    </row>
    <row r="37">
      <c r="A37" t="str">
        <f>IFERROR(__xludf.DUMMYFUNCTION("""COMPUTED_VALUE"""),"unknowns-&gt;how_long_data_stored")</f>
        <v>unknowns-&gt;how_long_data_stored</v>
      </c>
      <c r="B37">
        <f>IFERROR(__xludf.DUMMYFUNCTION("""COMPUTED_VALUE"""),1.0)</f>
        <v>1</v>
      </c>
    </row>
    <row r="38">
      <c r="A38" t="str">
        <f>IFERROR(__xludf.DUMMYFUNCTION("""COMPUTED_VALUE"""),"unknowns-&gt;what_permission_allows")</f>
        <v>unknowns-&gt;what_permission_allows</v>
      </c>
      <c r="B38">
        <f>IFERROR(__xludf.DUMMYFUNCTION("""COMPUTED_VALUE"""),3.0)</f>
        <v>3</v>
      </c>
    </row>
    <row r="39">
      <c r="A39" t="str">
        <f>IFERROR(__xludf.DUMMYFUNCTION("""COMPUTED_VALUE"""),"unknowns-&gt;who_can_access_data")</f>
        <v>unknowns-&gt;who_can_access_data</v>
      </c>
      <c r="B39">
        <f>IFERROR(__xludf.DUMMYFUNCTION("""COMPUTED_VALUE"""),2.0)</f>
        <v>2</v>
      </c>
    </row>
    <row r="40">
      <c r="A40" t="str">
        <f>IFERROR(__xludf.DUMMYFUNCTION("""COMPUTED_VALUE"""),"unknowns-&gt;why_permissions_necessary")</f>
        <v>unknowns-&gt;why_permissions_necessary</v>
      </c>
      <c r="B40">
        <f>IFERROR(__xludf.DUMMYFUNCTION("""COMPUTED_VALUE"""),2.0)</f>
        <v>2</v>
      </c>
    </row>
    <row r="41">
      <c r="A41" t="str">
        <f>IFERROR(__xludf.DUMMYFUNCTION("""COMPUTED_VALUE"""),"unknowns-&gt;will_it_notify_on_data_delete")</f>
        <v>unknowns-&gt;will_it_notify_on_data_delete</v>
      </c>
      <c r="B41">
        <f>IFERROR(__xludf.DUMMYFUNCTION("""COMPUTED_VALUE"""),1.0)</f>
        <v>1</v>
      </c>
    </row>
    <row r="42">
      <c r="A42" t="str">
        <f>IFERROR(__xludf.DUMMYFUNCTION("""COMPUTED_VALUE"""),"will_review_app_access")</f>
        <v>will_review_app_access</v>
      </c>
      <c r="B42">
        <f>IFERROR(__xludf.DUMMYFUNCTION("""COMPUTED_VALUE"""),1.0)</f>
        <v>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14"/>
    <col customWidth="1" min="2" max="2" width="48.14"/>
    <col customWidth="1" min="3" max="10" width="30.29"/>
  </cols>
  <sheetData>
    <row r="1">
      <c r="A1" s="41" t="str">
        <f>IFERROR(__xludf.DUMMYFUNCTION("QUERY('All Responses'!2:1001,""select A,D"")"),"Response ID")</f>
        <v>Response ID</v>
      </c>
      <c r="B1" s="16" t="str">
        <f>IFERROR(__xludf.DUMMYFUNCTION("""COMPUTED_VALUE"""),"describe_concern_oldest_app")</f>
        <v>describe_concern_oldest_app</v>
      </c>
      <c r="C1" s="16" t="s">
        <v>750</v>
      </c>
      <c r="D1" s="16" t="s">
        <v>751</v>
      </c>
      <c r="E1" s="16" t="s">
        <v>752</v>
      </c>
      <c r="F1" s="16" t="s">
        <v>753</v>
      </c>
      <c r="G1" s="16" t="s">
        <v>754</v>
      </c>
      <c r="H1" s="16" t="s">
        <v>755</v>
      </c>
      <c r="I1" s="16" t="s">
        <v>756</v>
      </c>
      <c r="J1" s="16" t="s">
        <v>757</v>
      </c>
    </row>
    <row r="2">
      <c r="A2" s="42">
        <f>IFERROR(__xludf.DUMMYFUNCTION("""COMPUTED_VALUE"""),27.0)</f>
        <v>27</v>
      </c>
      <c r="B2" s="18" t="str">
        <f>IFERROR(__xludf.DUMMYFUNCTION("""COMPUTED_VALUE"""),"not really that concerned")</f>
        <v>not really that concerned</v>
      </c>
      <c r="C2" t="s">
        <v>758</v>
      </c>
      <c r="D2" s="32"/>
      <c r="E2" s="3"/>
      <c r="F2" s="3"/>
      <c r="G2" s="3"/>
      <c r="H2" s="11"/>
      <c r="I2" s="11"/>
      <c r="J2" s="11"/>
    </row>
    <row r="3">
      <c r="A3" s="42">
        <f>IFERROR(__xludf.DUMMYFUNCTION("""COMPUTED_VALUE"""),29.0)</f>
        <v>29</v>
      </c>
      <c r="B3" s="18" t="str">
        <f>IFERROR(__xludf.DUMMYFUNCTION("""COMPUTED_VALUE"""),"none really")</f>
        <v>none really</v>
      </c>
      <c r="C3" t="s">
        <v>758</v>
      </c>
      <c r="D3" s="3"/>
      <c r="E3" s="3"/>
      <c r="F3" s="3"/>
      <c r="G3" s="11"/>
      <c r="H3" s="11"/>
      <c r="I3" s="11"/>
      <c r="J3" s="11"/>
    </row>
    <row r="4">
      <c r="A4" s="42">
        <f>IFERROR(__xludf.DUMMYFUNCTION("""COMPUTED_VALUE"""),30.0)</f>
        <v>30</v>
      </c>
      <c r="B4" s="18" t="str">
        <f>IFERROR(__xludf.DUMMYFUNCTION("""COMPUTED_VALUE"""),"I'm wondering how often the app actually uses that without me using the physical Nest Mini.")</f>
        <v>I'm wondering how often the app actually uses that without me using the physical Nest Mini.</v>
      </c>
      <c r="C4" t="s">
        <v>799</v>
      </c>
      <c r="D4" s="27" t="s">
        <v>761</v>
      </c>
      <c r="E4" s="3"/>
      <c r="F4" s="3"/>
      <c r="G4" s="11"/>
      <c r="H4" s="11"/>
      <c r="I4" s="11"/>
      <c r="J4" s="11"/>
    </row>
    <row r="5">
      <c r="A5" s="42">
        <f>IFERROR(__xludf.DUMMYFUNCTION("""COMPUTED_VALUE"""),31.0)</f>
        <v>31</v>
      </c>
      <c r="B5" s="18" t="str">
        <f>IFERROR(__xludf.DUMMYFUNCTION("""COMPUTED_VALUE"""),"I don't have any. I forgot I had enabled it so clearly I'm not bothered by it.")</f>
        <v>I don't have any. I forgot I had enabled it so clearly I'm not bothered by it.</v>
      </c>
      <c r="C5" t="s">
        <v>758</v>
      </c>
      <c r="D5" t="s">
        <v>764</v>
      </c>
      <c r="E5" s="3"/>
      <c r="F5" s="3"/>
      <c r="G5" s="3"/>
      <c r="H5" s="11"/>
      <c r="I5" s="11"/>
      <c r="J5" s="11"/>
    </row>
    <row r="6">
      <c r="A6" s="42">
        <f>IFERROR(__xludf.DUMMYFUNCTION("""COMPUTED_VALUE"""),32.0)</f>
        <v>32</v>
      </c>
      <c r="B6" s="18" t="str">
        <f>IFERROR(__xludf.DUMMYFUNCTION("""COMPUTED_VALUE"""),"i really dont have any concerns")</f>
        <v>i really dont have any concerns</v>
      </c>
      <c r="C6" t="s">
        <v>758</v>
      </c>
      <c r="D6" s="11"/>
      <c r="E6" s="11"/>
      <c r="F6" s="11"/>
      <c r="G6" s="11"/>
      <c r="H6" s="11"/>
      <c r="I6" s="11"/>
      <c r="J6" s="11"/>
    </row>
    <row r="7">
      <c r="A7" s="42">
        <f>IFERROR(__xludf.DUMMYFUNCTION("""COMPUTED_VALUE"""),34.0)</f>
        <v>34</v>
      </c>
      <c r="B7" s="18"/>
      <c r="C7" s="32"/>
      <c r="D7" s="32"/>
      <c r="E7" s="3"/>
      <c r="F7" s="3"/>
      <c r="G7" s="3"/>
      <c r="H7" s="3"/>
      <c r="I7" s="11"/>
      <c r="J7" s="11"/>
    </row>
    <row r="8">
      <c r="A8" s="42">
        <f>IFERROR(__xludf.DUMMYFUNCTION("""COMPUTED_VALUE"""),35.0)</f>
        <v>35</v>
      </c>
      <c r="B8" s="18" t="str">
        <f>IFERROR(__xludf.DUMMYFUNCTION("""COMPUTED_VALUE"""),"I remember this was for a Google Assistant enabled device that I had in my kitchen. I no longer use that device, so I am a little concerned that I need to go in and disconnect it. While I was using the device, it was unable to do some basic things that I "&amp;"thought full access should allow it to. For instance, adding things to my calendar or connecting to particular videos on YouTube.")</f>
        <v>I remember this was for a Google Assistant enabled device that I had in my kitchen. I no longer use that device, so I am a little concerned that I need to go in and disconnect it. While I was using the device, it was unable to do some basic things that I thought full access should allow it to. For instance, adding things to my calendar or connecting to particular videos on YouTube.</v>
      </c>
      <c r="C8" t="s">
        <v>760</v>
      </c>
      <c r="D8" t="s">
        <v>768</v>
      </c>
      <c r="E8" s="27" t="s">
        <v>761</v>
      </c>
      <c r="F8" s="11"/>
      <c r="G8" s="11"/>
      <c r="H8" s="11"/>
      <c r="I8" s="11"/>
      <c r="J8" s="11"/>
    </row>
    <row r="9">
      <c r="A9" s="42">
        <f>IFERROR(__xludf.DUMMYFUNCTION("""COMPUTED_VALUE"""),36.0)</f>
        <v>36</v>
      </c>
      <c r="B9" s="18" t="str">
        <f>IFERROR(__xludf.DUMMYFUNCTION("""COMPUTED_VALUE"""),"I am concerned about them using the permissions I have given to build a profile on me.")</f>
        <v>I am concerned about them using the permissions I have given to build a profile on me.</v>
      </c>
      <c r="C9" t="s">
        <v>775</v>
      </c>
      <c r="D9" s="27" t="s">
        <v>761</v>
      </c>
      <c r="E9" s="27" t="s">
        <v>777</v>
      </c>
      <c r="F9" s="3"/>
      <c r="G9" s="3"/>
      <c r="H9" s="11"/>
      <c r="I9" s="11"/>
      <c r="J9" s="11"/>
    </row>
    <row r="10">
      <c r="A10" s="42">
        <f>IFERROR(__xludf.DUMMYFUNCTION("""COMPUTED_VALUE"""),37.0)</f>
        <v>37</v>
      </c>
      <c r="B10" s="18"/>
      <c r="C10" s="32"/>
      <c r="D10" s="32"/>
      <c r="E10" s="3"/>
      <c r="G10" s="11"/>
      <c r="H10" s="11"/>
      <c r="I10" s="11"/>
      <c r="J10" s="11"/>
    </row>
    <row r="11">
      <c r="A11" s="42">
        <f>IFERROR(__xludf.DUMMYFUNCTION("""COMPUTED_VALUE"""),38.0)</f>
        <v>38</v>
      </c>
      <c r="B11" s="18" t="str">
        <f>IFERROR(__xludf.DUMMYFUNCTION("""COMPUTED_VALUE"""),"I'm conserned about who would have access to this data. I don't use the google nest hub anymore, so it shouldn't have access to my full account.")</f>
        <v>I'm conserned about who would have access to this data. I don't use the google nest hub anymore, so it shouldn't have access to my full account.</v>
      </c>
      <c r="C11" t="s">
        <v>762</v>
      </c>
      <c r="D11" t="s">
        <v>760</v>
      </c>
      <c r="E11" s="27" t="s">
        <v>761</v>
      </c>
      <c r="F11" s="11"/>
      <c r="G11" s="11"/>
      <c r="H11" s="11"/>
      <c r="I11" s="11"/>
      <c r="J11" s="11"/>
    </row>
    <row r="12">
      <c r="A12" s="42">
        <f>IFERROR(__xludf.DUMMYFUNCTION("""COMPUTED_VALUE"""),39.0)</f>
        <v>39</v>
      </c>
      <c r="B12" s="18"/>
      <c r="C12" s="3"/>
      <c r="D12" s="3"/>
      <c r="E12" s="11"/>
      <c r="F12" s="11"/>
      <c r="G12" s="11"/>
      <c r="H12" s="11"/>
      <c r="I12" s="11"/>
      <c r="J12" s="11"/>
    </row>
    <row r="13">
      <c r="A13" s="42">
        <f>IFERROR(__xludf.DUMMYFUNCTION("""COMPUTED_VALUE"""),40.0)</f>
        <v>40</v>
      </c>
      <c r="B13" s="18" t="str">
        <f>IFERROR(__xludf.DUMMYFUNCTION("""COMPUTED_VALUE"""),"I have no issues! I only use this application when I need to fill out forms that have been emailed to me. I understand why it needs to do the things it does in order to help me.")</f>
        <v>I have no issues! I only use this application when I need to fill out forms that have been emailed to me. I understand why it needs to do the things it does in order to help me.</v>
      </c>
      <c r="C13" t="s">
        <v>758</v>
      </c>
      <c r="D13" t="s">
        <v>759</v>
      </c>
      <c r="E13" s="3" t="s">
        <v>790</v>
      </c>
      <c r="F13" s="11"/>
      <c r="G13" s="11"/>
      <c r="H13" s="11"/>
      <c r="I13" s="11"/>
      <c r="J13" s="11"/>
    </row>
    <row r="14">
      <c r="A14" s="42">
        <f>IFERROR(__xludf.DUMMYFUNCTION("""COMPUTED_VALUE"""),41.0)</f>
        <v>41</v>
      </c>
      <c r="B14" s="18"/>
      <c r="C14" s="32"/>
      <c r="D14" s="32"/>
      <c r="E14" s="32"/>
      <c r="F14" s="32"/>
      <c r="G14" s="32"/>
      <c r="H14" s="28"/>
      <c r="I14" s="11"/>
      <c r="J14" s="11"/>
    </row>
    <row r="15">
      <c r="A15" s="42">
        <f>IFERROR(__xludf.DUMMYFUNCTION("""COMPUTED_VALUE"""),42.0)</f>
        <v>42</v>
      </c>
      <c r="B15" s="18" t="str">
        <f>IFERROR(__xludf.DUMMYFUNCTION("""COMPUTED_VALUE"""),"They may be selling my personal information.")</f>
        <v>They may be selling my personal information.</v>
      </c>
      <c r="C15" t="s">
        <v>776</v>
      </c>
      <c r="D15" s="27" t="s">
        <v>761</v>
      </c>
      <c r="E15" s="3" t="s">
        <v>766</v>
      </c>
      <c r="F15" s="11"/>
      <c r="G15" s="11"/>
      <c r="H15" s="11"/>
      <c r="I15" s="11"/>
      <c r="J15" s="11"/>
    </row>
    <row r="16">
      <c r="A16" s="42">
        <f>IFERROR(__xludf.DUMMYFUNCTION("""COMPUTED_VALUE"""),43.0)</f>
        <v>43</v>
      </c>
      <c r="B16" s="18" t="str">
        <f>IFERROR(__xludf.DUMMYFUNCTION("""COMPUTED_VALUE"""),"I wonder if Dropbox does anything with my contacts besides make predictions about who I would like to share my Dropbox folders with. For example, are they keeping a list of people whose contacts use Dropbox so they can potentially target them via advertis"&amp;"ing?")</f>
        <v>I wonder if Dropbox does anything with my contacts besides make predictions about who I would like to share my Dropbox folders with. For example, are they keeping a list of people whose contacts use Dropbox so they can potentially target them via advertising?</v>
      </c>
      <c r="C16" t="s">
        <v>798</v>
      </c>
      <c r="D16" t="s">
        <v>800</v>
      </c>
      <c r="E16" s="27" t="s">
        <v>761</v>
      </c>
      <c r="F16" s="11"/>
      <c r="G16" s="11"/>
      <c r="H16" s="11"/>
      <c r="I16" s="11"/>
      <c r="J16" s="11"/>
    </row>
    <row r="17">
      <c r="A17" s="42">
        <f>IFERROR(__xludf.DUMMYFUNCTION("""COMPUTED_VALUE"""),44.0)</f>
        <v>44</v>
      </c>
      <c r="B17" s="18" t="str">
        <f>IFERROR(__xludf.DUMMYFUNCTION("""COMPUTED_VALUE"""),"Dropbox shouldn't need my contacts. I think it's to find other users, but still, it's not needed.")</f>
        <v>Dropbox shouldn't need my contacts. I think it's to find other users, but still, it's not needed.</v>
      </c>
      <c r="C17" t="s">
        <v>798</v>
      </c>
      <c r="D17" t="s">
        <v>762</v>
      </c>
      <c r="E17" s="27" t="s">
        <v>761</v>
      </c>
      <c r="F17" s="3" t="s">
        <v>777</v>
      </c>
      <c r="G17" s="11"/>
    </row>
    <row r="18">
      <c r="A18" s="42">
        <f>IFERROR(__xludf.DUMMYFUNCTION("""COMPUTED_VALUE"""),45.0)</f>
        <v>45</v>
      </c>
      <c r="B18" s="18" t="str">
        <f>IFERROR(__xludf.DUMMYFUNCTION("""COMPUTED_VALUE"""),"I don't really have any concerns. It only has access to my email, and I have 2FA enabled anyways.")</f>
        <v>I don't really have any concerns. It only has access to my email, and I have 2FA enabled anyways.</v>
      </c>
      <c r="C18" t="s">
        <v>758</v>
      </c>
      <c r="D18" s="44" t="s">
        <v>811</v>
      </c>
      <c r="E18" s="11"/>
      <c r="F18" s="11"/>
      <c r="G18" s="11"/>
    </row>
    <row r="19">
      <c r="A19" s="42">
        <f>IFERROR(__xludf.DUMMYFUNCTION("""COMPUTED_VALUE"""),46.0)</f>
        <v>46</v>
      </c>
      <c r="B19" s="18"/>
      <c r="C19" s="11"/>
      <c r="D19" s="11"/>
      <c r="E19" s="11"/>
      <c r="F19" s="11"/>
      <c r="G19" s="11"/>
    </row>
    <row r="20">
      <c r="A20" s="42">
        <f>IFERROR(__xludf.DUMMYFUNCTION("""COMPUTED_VALUE"""),47.0)</f>
        <v>47</v>
      </c>
      <c r="B20" s="18"/>
      <c r="C20" s="11"/>
      <c r="D20" s="11"/>
      <c r="E20" s="11"/>
      <c r="F20" s="11"/>
      <c r="G20" s="11"/>
    </row>
    <row r="21">
      <c r="A21" s="42">
        <f>IFERROR(__xludf.DUMMYFUNCTION("""COMPUTED_VALUE"""),48.0)</f>
        <v>48</v>
      </c>
      <c r="B21" s="18"/>
      <c r="C21" s="11"/>
      <c r="D21" s="11"/>
      <c r="E21" s="11"/>
      <c r="F21" s="11"/>
      <c r="G21" s="11"/>
    </row>
    <row r="22">
      <c r="A22" s="42">
        <f>IFERROR(__xludf.DUMMYFUNCTION("""COMPUTED_VALUE"""),49.0)</f>
        <v>49</v>
      </c>
      <c r="B22" s="18" t="str">
        <f>IFERROR(__xludf.DUMMYFUNCTION("""COMPUTED_VALUE"""),"A part of me wonders why it needs permission to access my Google Drive. I can see myself using this function if I need to link something to someone I am messaging.")</f>
        <v>A part of me wonders why it needs permission to access my Google Drive. I can see myself using this function if I need to link something to someone I am messaging.</v>
      </c>
      <c r="C22" t="s">
        <v>801</v>
      </c>
      <c r="D22" s="3" t="s">
        <v>788</v>
      </c>
      <c r="E22" s="11"/>
      <c r="F22" s="11"/>
      <c r="G22" s="11"/>
    </row>
    <row r="23">
      <c r="A23" s="42">
        <f>IFERROR(__xludf.DUMMYFUNCTION("""COMPUTED_VALUE"""),50.0)</f>
        <v>50</v>
      </c>
      <c r="B23" s="18" t="str">
        <f>IFERROR(__xludf.DUMMYFUNCTION("""COMPUTED_VALUE"""),"I use slack because it gives me access to work, but it never occurred to me that using Slack would open up access to things not relevant to why I am there.")</f>
        <v>I use slack because it gives me access to work, but it never occurred to me that using Slack would open up access to things not relevant to why I am there.</v>
      </c>
      <c r="C23" t="s">
        <v>762</v>
      </c>
      <c r="D23" s="27" t="s">
        <v>761</v>
      </c>
      <c r="E23" s="3" t="s">
        <v>759</v>
      </c>
      <c r="F23" s="11"/>
      <c r="G23" s="11"/>
    </row>
    <row r="24">
      <c r="A24" s="42">
        <f>IFERROR(__xludf.DUMMYFUNCTION("""COMPUTED_VALUE"""),51.0)</f>
        <v>51</v>
      </c>
      <c r="B24" s="18"/>
      <c r="C24" s="11"/>
      <c r="D24" s="11"/>
      <c r="E24" s="11"/>
      <c r="F24" s="11"/>
      <c r="G24" s="11"/>
    </row>
    <row r="25">
      <c r="A25" s="42">
        <f>IFERROR(__xludf.DUMMYFUNCTION("""COMPUTED_VALUE"""),52.0)</f>
        <v>52</v>
      </c>
      <c r="B25" s="18" t="str">
        <f>IFERROR(__xludf.DUMMYFUNCTION("""COMPUTED_VALUE"""),"I don't know what aspects of Google Fit could be used for other parts of Google. Otherwise, I have no concern.")</f>
        <v>I don't know what aspects of Google Fit could be used for other parts of Google. Otherwise, I have no concern.</v>
      </c>
      <c r="C25" t="s">
        <v>758</v>
      </c>
      <c r="D25" t="s">
        <v>796</v>
      </c>
      <c r="E25" s="3" t="s">
        <v>788</v>
      </c>
      <c r="F25" s="11"/>
      <c r="G25" s="11"/>
    </row>
    <row r="26">
      <c r="A26" s="42">
        <f>IFERROR(__xludf.DUMMYFUNCTION("""COMPUTED_VALUE"""),53.0)</f>
        <v>53</v>
      </c>
      <c r="B26" s="18" t="str">
        <f>IFERROR(__xludf.DUMMYFUNCTION("""COMPUTED_VALUE"""),"I don't know if macOS would sell my data to anyone without my permission.")</f>
        <v>I don't know if macOS would sell my data to anyone without my permission.</v>
      </c>
      <c r="C26" t="s">
        <v>789</v>
      </c>
      <c r="D26" s="3" t="s">
        <v>788</v>
      </c>
      <c r="E26" s="11"/>
      <c r="F26" s="11"/>
      <c r="G26" s="11"/>
    </row>
    <row r="27">
      <c r="A27" s="42">
        <f>IFERROR(__xludf.DUMMYFUNCTION("""COMPUTED_VALUE"""),54.0)</f>
        <v>54</v>
      </c>
      <c r="B27" s="18"/>
      <c r="C27" s="11"/>
      <c r="D27" s="11"/>
      <c r="E27" s="11"/>
      <c r="F27" s="11"/>
      <c r="G27" s="11"/>
    </row>
    <row r="28">
      <c r="A28" s="42">
        <f>IFERROR(__xludf.DUMMYFUNCTION("""COMPUTED_VALUE"""),55.0)</f>
        <v>55</v>
      </c>
      <c r="B28" s="18" t="str">
        <f>IFERROR(__xludf.DUMMYFUNCTION("""COMPUTED_VALUE"""),"I have no concern, my whatsApp messenger is very secure")</f>
        <v>I have no concern, my whatsApp messenger is very secure</v>
      </c>
      <c r="C28" t="s">
        <v>758</v>
      </c>
      <c r="D28" t="s">
        <v>774</v>
      </c>
      <c r="E28" s="11"/>
      <c r="F28" s="11"/>
      <c r="G28" s="11"/>
    </row>
    <row r="29">
      <c r="A29">
        <f>IFERROR(__xludf.DUMMYFUNCTION("""COMPUTED_VALUE"""),56.0)</f>
        <v>56</v>
      </c>
      <c r="B29" s="11"/>
      <c r="C29" s="19"/>
      <c r="D29" s="11"/>
      <c r="E29" s="11"/>
      <c r="F29" s="11"/>
      <c r="G29" s="11"/>
    </row>
    <row r="30">
      <c r="A30">
        <f>IFERROR(__xludf.DUMMYFUNCTION("""COMPUTED_VALUE"""),57.0)</f>
        <v>57</v>
      </c>
      <c r="B30" s="11" t="str">
        <f>IFERROR(__xludf.DUMMYFUNCTION("""COMPUTED_VALUE"""),"I don't like that my previous movies and history are used for targeted ads.")</f>
        <v>I don't like that my previous movies and history are used for targeted ads.</v>
      </c>
      <c r="C30" t="s">
        <v>775</v>
      </c>
      <c r="D30" s="27" t="s">
        <v>761</v>
      </c>
      <c r="E30" t="s">
        <v>766</v>
      </c>
      <c r="F30" t="s">
        <v>800</v>
      </c>
      <c r="G30" s="11"/>
    </row>
    <row r="31">
      <c r="A31">
        <f>IFERROR(__xludf.DUMMYFUNCTION("""COMPUTED_VALUE"""),58.0)</f>
        <v>58</v>
      </c>
      <c r="B31" s="11" t="str">
        <f>IFERROR(__xludf.DUMMYFUNCTION("""COMPUTED_VALUE"""),"my data can be stolen and used")</f>
        <v>my data can be stolen and used</v>
      </c>
      <c r="C31" t="s">
        <v>779</v>
      </c>
      <c r="D31" t="s">
        <v>763</v>
      </c>
      <c r="E31" s="27" t="s">
        <v>761</v>
      </c>
      <c r="F31" s="3" t="s">
        <v>766</v>
      </c>
      <c r="G31" s="11"/>
    </row>
    <row r="32">
      <c r="A32">
        <f>IFERROR(__xludf.DUMMYFUNCTION("""COMPUTED_VALUE"""),59.0)</f>
        <v>59</v>
      </c>
      <c r="B32" s="11"/>
      <c r="C32" s="11"/>
      <c r="D32" s="11"/>
      <c r="E32" s="11"/>
      <c r="F32" s="11"/>
      <c r="G32" s="11"/>
    </row>
    <row r="33">
      <c r="A33">
        <f>IFERROR(__xludf.DUMMYFUNCTION("""COMPUTED_VALUE"""),60.0)</f>
        <v>60</v>
      </c>
      <c r="B33" s="11"/>
      <c r="C33" s="28"/>
      <c r="D33" s="28"/>
      <c r="E33" s="11"/>
      <c r="F33" s="11"/>
      <c r="G33" s="11"/>
    </row>
    <row r="34">
      <c r="A34">
        <f>IFERROR(__xludf.DUMMYFUNCTION("""COMPUTED_VALUE"""),61.0)</f>
        <v>61</v>
      </c>
      <c r="B34" s="11" t="str">
        <f>IFERROR(__xludf.DUMMYFUNCTION("""COMPUTED_VALUE"""),"I wish no real access was required.")</f>
        <v>I wish no real access was required.</v>
      </c>
      <c r="C34" t="s">
        <v>762</v>
      </c>
      <c r="D34" s="27" t="s">
        <v>761</v>
      </c>
      <c r="E34" s="11"/>
      <c r="F34" s="11"/>
      <c r="G34" s="11"/>
    </row>
    <row r="35">
      <c r="A35">
        <f>IFERROR(__xludf.DUMMYFUNCTION("""COMPUTED_VALUE"""),62.0)</f>
        <v>62</v>
      </c>
      <c r="B35" s="11" t="str">
        <f>IFERROR(__xludf.DUMMYFUNCTION("""COMPUTED_VALUE"""),"Anything can get hacked.")</f>
        <v>Anything can get hacked.</v>
      </c>
      <c r="C35" t="s">
        <v>779</v>
      </c>
      <c r="D35" s="27" t="s">
        <v>761</v>
      </c>
      <c r="E35" s="3" t="s">
        <v>763</v>
      </c>
      <c r="F35" s="11"/>
      <c r="G35" s="11"/>
    </row>
    <row r="36">
      <c r="A36">
        <f>IFERROR(__xludf.DUMMYFUNCTION("""COMPUTED_VALUE"""),63.0)</f>
        <v>63</v>
      </c>
      <c r="B36" s="11"/>
      <c r="C36" s="11"/>
      <c r="D36" s="11"/>
      <c r="E36" s="11"/>
      <c r="F36" s="11"/>
      <c r="G36" s="11"/>
    </row>
    <row r="37">
      <c r="A37">
        <f>IFERROR(__xludf.DUMMYFUNCTION("""COMPUTED_VALUE"""),64.0)</f>
        <v>64</v>
      </c>
      <c r="B37" s="11" t="str">
        <f>IFERROR(__xludf.DUMMYFUNCTION("""COMPUTED_VALUE"""),"I think it needs those permissions in order to pass through to my Gmail.")</f>
        <v>I think it needs those permissions in order to pass through to my Gmail.</v>
      </c>
      <c r="C37" t="s">
        <v>790</v>
      </c>
      <c r="D37" s="3" t="s">
        <v>758</v>
      </c>
      <c r="E37" s="11"/>
      <c r="F37" s="11"/>
      <c r="G37" s="11"/>
    </row>
    <row r="38">
      <c r="A38">
        <f>IFERROR(__xludf.DUMMYFUNCTION("""COMPUTED_VALUE"""),65.0)</f>
        <v>65</v>
      </c>
      <c r="B38" s="11" t="str">
        <f>IFERROR(__xludf.DUMMYFUNCTION("""COMPUTED_VALUE"""),"I do not use Windows to this extent, so Windows holding these permissions has no upside and only downsides for me.")</f>
        <v>I do not use Windows to this extent, so Windows holding these permissions has no upside and only downsides for me.</v>
      </c>
      <c r="C38" t="s">
        <v>777</v>
      </c>
      <c r="D38" s="27" t="s">
        <v>761</v>
      </c>
      <c r="E38" s="11"/>
      <c r="F38" s="11"/>
      <c r="G38" s="11"/>
    </row>
    <row r="39">
      <c r="A39">
        <f>IFERROR(__xludf.DUMMYFUNCTION("""COMPUTED_VALUE"""),66.0)</f>
        <v>66</v>
      </c>
      <c r="B39" s="11"/>
      <c r="C39" s="11"/>
      <c r="D39" s="11"/>
      <c r="E39" s="11"/>
      <c r="F39" s="11"/>
      <c r="G39" s="11"/>
    </row>
    <row r="40">
      <c r="A40">
        <f>IFERROR(__xludf.DUMMYFUNCTION("""COMPUTED_VALUE"""),67.0)</f>
        <v>67</v>
      </c>
      <c r="B40" s="11" t="str">
        <f>IFERROR(__xludf.DUMMYFUNCTION("""COMPUTED_VALUE"""),"I have none, it is just from logging into youtube on my ps4.")</f>
        <v>I have none, it is just from logging into youtube on my ps4.</v>
      </c>
      <c r="C40" s="3" t="s">
        <v>758</v>
      </c>
      <c r="E40" s="11"/>
      <c r="F40" s="11"/>
      <c r="G40" s="11"/>
    </row>
    <row r="41">
      <c r="A41">
        <f>IFERROR(__xludf.DUMMYFUNCTION("""COMPUTED_VALUE"""),68.0)</f>
        <v>68</v>
      </c>
      <c r="B41" s="11" t="str">
        <f>IFERROR(__xludf.DUMMYFUNCTION("""COMPUTED_VALUE"""),"What they can do with my YouTube account information")</f>
        <v>What they can do with my YouTube account information</v>
      </c>
      <c r="C41" t="s">
        <v>773</v>
      </c>
      <c r="D41" s="3" t="s">
        <v>758</v>
      </c>
      <c r="E41" s="11"/>
      <c r="F41" s="11"/>
      <c r="G41" s="11"/>
    </row>
    <row r="42">
      <c r="A42">
        <f>IFERROR(__xludf.DUMMYFUNCTION("""COMPUTED_VALUE"""),69.0)</f>
        <v>69</v>
      </c>
      <c r="B42" s="11" t="str">
        <f>IFERROR(__xludf.DUMMYFUNCTION("""COMPUTED_VALUE"""),"Not so much the app itself, but the people behind the app.
 They haven't proven to be the most scrupulous of people.")</f>
        <v>Not so much the app itself, but the people behind the app.
 They haven't proven to be the most scrupulous of people.</v>
      </c>
      <c r="C42" t="s">
        <v>761</v>
      </c>
      <c r="D42" s="3" t="s">
        <v>763</v>
      </c>
      <c r="E42" s="11"/>
      <c r="F42" s="11"/>
      <c r="G42" s="11"/>
    </row>
    <row r="43">
      <c r="A43">
        <f>IFERROR(__xludf.DUMMYFUNCTION("""COMPUTED_VALUE"""),70.0)</f>
        <v>70</v>
      </c>
      <c r="B43" s="11"/>
      <c r="C43" s="3"/>
      <c r="D43" s="3"/>
      <c r="E43" s="3"/>
      <c r="F43" s="11"/>
      <c r="G43" s="11"/>
    </row>
    <row r="44">
      <c r="A44">
        <f>IFERROR(__xludf.DUMMYFUNCTION("""COMPUTED_VALUE"""),71.0)</f>
        <v>71</v>
      </c>
      <c r="B44" s="11"/>
      <c r="C44" s="11"/>
      <c r="D44" s="11"/>
      <c r="E44" s="11"/>
      <c r="F44" s="11"/>
      <c r="G44" s="11"/>
    </row>
    <row r="45">
      <c r="A45">
        <f>IFERROR(__xludf.DUMMYFUNCTION("""COMPUTED_VALUE"""),72.0)</f>
        <v>72</v>
      </c>
      <c r="B45" s="11" t="str">
        <f>IFERROR(__xludf.DUMMYFUNCTION("""COMPUTED_VALUE"""),"I don't have any concern of Yahoo! having these permissions as it is beneficial for me to have Yahoo! manage my Google side of things, too.")</f>
        <v>I don't have any concern of Yahoo! having these permissions as it is beneficial for me to have Yahoo! manage my Google side of things, too.</v>
      </c>
      <c r="C45" t="s">
        <v>758</v>
      </c>
      <c r="D45" t="s">
        <v>759</v>
      </c>
      <c r="E45" s="3" t="s">
        <v>790</v>
      </c>
      <c r="F45" s="11"/>
      <c r="G45" s="11"/>
    </row>
    <row r="46">
      <c r="A46">
        <f>IFERROR(__xludf.DUMMYFUNCTION("""COMPUTED_VALUE"""),73.0)</f>
        <v>73</v>
      </c>
      <c r="B46" s="11" t="str">
        <f>IFERROR(__xludf.DUMMYFUNCTION("""COMPUTED_VALUE"""),"My concern is about windows being able to read my emails")</f>
        <v>My concern is about windows being able to read my emails</v>
      </c>
      <c r="C46" t="s">
        <v>778</v>
      </c>
      <c r="D46" s="27" t="s">
        <v>761</v>
      </c>
      <c r="E46" t="s">
        <v>777</v>
      </c>
      <c r="F46" s="11"/>
      <c r="G46" s="11"/>
    </row>
    <row r="47">
      <c r="A47">
        <f>IFERROR(__xludf.DUMMYFUNCTION("""COMPUTED_VALUE"""),74.0)</f>
        <v>74</v>
      </c>
      <c r="B47" s="11" t="str">
        <f>IFERROR(__xludf.DUMMYFUNCTION("""COMPUTED_VALUE"""),"I don't know what Shop is, I have never used it. The app is probably using my data for targeted ads without my (current) permission.")</f>
        <v>I don't know what Shop is, I have never used it. The app is probably using my data for targeted ads without my (current) permission.</v>
      </c>
      <c r="C47" s="32"/>
      <c r="D47" s="28"/>
      <c r="E47" s="11"/>
      <c r="F47" s="11"/>
      <c r="G47" s="11"/>
    </row>
    <row r="48">
      <c r="A48">
        <f>IFERROR(__xludf.DUMMYFUNCTION("""COMPUTED_VALUE"""),75.0)</f>
        <v>75</v>
      </c>
      <c r="B48" s="11"/>
      <c r="C48" s="11"/>
      <c r="D48" s="11"/>
      <c r="E48" s="11"/>
      <c r="F48" s="11"/>
      <c r="G48" s="11"/>
    </row>
    <row r="49">
      <c r="A49">
        <f>IFERROR(__xludf.DUMMYFUNCTION("""COMPUTED_VALUE"""),76.0)</f>
        <v>76</v>
      </c>
      <c r="B49" s="11" t="str">
        <f>IFERROR(__xludf.DUMMYFUNCTION("""COMPUTED_VALUE"""),"I don't want the a[[ to edit or delete anything.")</f>
        <v>I don't want the a[[ to edit or delete anything.</v>
      </c>
      <c r="C49" s="11"/>
      <c r="D49" s="11"/>
      <c r="E49" s="11"/>
      <c r="F49" s="11"/>
      <c r="G49" s="11"/>
    </row>
    <row r="50">
      <c r="A50">
        <f>IFERROR(__xludf.DUMMYFUNCTION("""COMPUTED_VALUE"""),77.0)</f>
        <v>77</v>
      </c>
      <c r="B50" s="11" t="str">
        <f>IFERROR(__xludf.DUMMYFUNCTION("""COMPUTED_VALUE"""),"I think game apps in general shouldn't need a lot of info or permission from my account. Intrusive if it had ask for more info.")</f>
        <v>I think game apps in general shouldn't need a lot of info or permission from my account. Intrusive if it had ask for more info.</v>
      </c>
      <c r="C50" s="28"/>
      <c r="D50" s="28"/>
      <c r="E50" s="28"/>
      <c r="F50" s="28"/>
      <c r="G50" s="11"/>
    </row>
    <row r="51">
      <c r="A51">
        <f>IFERROR(__xludf.DUMMYFUNCTION("""COMPUTED_VALUE"""),78.0)</f>
        <v>78</v>
      </c>
      <c r="B51" s="11" t="str">
        <f>IFERROR(__xludf.DUMMYFUNCTION("""COMPUTED_VALUE"""),"None really. I was aware of this all along.")</f>
        <v>None really. I was aware of this all along.</v>
      </c>
      <c r="C51" s="11"/>
      <c r="D51" s="11"/>
      <c r="E51" s="11"/>
      <c r="F51" s="11"/>
      <c r="G51" s="11"/>
    </row>
    <row r="52">
      <c r="A52">
        <f>IFERROR(__xludf.DUMMYFUNCTION("""COMPUTED_VALUE"""),79.0)</f>
        <v>79</v>
      </c>
      <c r="B52" s="11" t="str">
        <f>IFERROR(__xludf.DUMMYFUNCTION("""COMPUTED_VALUE"""),"I dont know what they would need this information for.")</f>
        <v>I dont know what they would need this information for.</v>
      </c>
      <c r="C52" s="28"/>
      <c r="D52" s="28"/>
      <c r="E52" s="11"/>
      <c r="F52" s="11"/>
      <c r="G52" s="11"/>
    </row>
    <row r="53">
      <c r="A53">
        <f>IFERROR(__xludf.DUMMYFUNCTION("""COMPUTED_VALUE"""),80.0)</f>
        <v>80</v>
      </c>
      <c r="B53" s="11" t="str">
        <f>IFERROR(__xludf.DUMMYFUNCTION("""COMPUTED_VALUE"""),"no concerns (As long as they dont get hacked ofc)")</f>
        <v>no concerns (As long as they dont get hacked ofc)</v>
      </c>
      <c r="C53" s="3"/>
      <c r="D53" s="11"/>
      <c r="E53" s="11"/>
      <c r="F53" s="11"/>
      <c r="G53" s="11"/>
    </row>
    <row r="54">
      <c r="A54">
        <f>IFERROR(__xludf.DUMMYFUNCTION("""COMPUTED_VALUE"""),81.0)</f>
        <v>81</v>
      </c>
      <c r="B54" s="11"/>
      <c r="C54" s="11"/>
      <c r="D54" s="11"/>
      <c r="E54" s="11"/>
      <c r="F54" s="11"/>
      <c r="G54" s="11"/>
    </row>
    <row r="55">
      <c r="A55">
        <f>IFERROR(__xludf.DUMMYFUNCTION("""COMPUTED_VALUE"""),82.0)</f>
        <v>82</v>
      </c>
      <c r="B55" s="11" t="str">
        <f>IFERROR(__xludf.DUMMYFUNCTION("""COMPUTED_VALUE"""),"I can't go back in the survey. Earlier I said I didn't remember what this was, but now I see it's just my email linked to my Macbook. I'm not very concerned about it because the information is still staying on my computer as far as I know. It's something "&amp;"I've never questioned.")</f>
        <v>I can't go back in the survey. Earlier I said I didn't remember what this was, but now I see it's just my email linked to my Macbook. I'm not very concerned about it because the information is still staying on my computer as far as I know. It's something I've never questioned.</v>
      </c>
      <c r="C55" s="32"/>
      <c r="D55" s="28"/>
      <c r="E55" s="11"/>
      <c r="F55" s="11"/>
      <c r="G55" s="11"/>
    </row>
    <row r="56">
      <c r="A56">
        <f>IFERROR(__xludf.DUMMYFUNCTION("""COMPUTED_VALUE"""),83.0)</f>
        <v>83</v>
      </c>
      <c r="B56" s="11" t="str">
        <f>IFERROR(__xludf.DUMMYFUNCTION("""COMPUTED_VALUE"""),"N/A")</f>
        <v>N/A</v>
      </c>
      <c r="C56" s="32"/>
      <c r="D56" s="28"/>
      <c r="E56" s="11"/>
      <c r="F56" s="11"/>
      <c r="G56" s="11"/>
      <c r="H56" s="11"/>
      <c r="I56" s="11"/>
      <c r="J56" s="11"/>
    </row>
    <row r="57">
      <c r="A57">
        <f>IFERROR(__xludf.DUMMYFUNCTION("""COMPUTED_VALUE"""),84.0)</f>
        <v>84</v>
      </c>
      <c r="B57" s="11"/>
      <c r="C57" s="3"/>
      <c r="D57" s="3"/>
      <c r="E57" s="11"/>
      <c r="F57" s="11"/>
      <c r="G57" s="11"/>
      <c r="H57" s="11"/>
      <c r="I57" s="11"/>
      <c r="J57" s="11"/>
    </row>
    <row r="58">
      <c r="A58">
        <f>IFERROR(__xludf.DUMMYFUNCTION("""COMPUTED_VALUE"""),85.0)</f>
        <v>85</v>
      </c>
      <c r="B58" s="11" t="str">
        <f>IFERROR(__xludf.DUMMYFUNCTION("""COMPUTED_VALUE"""),"I was not really aware that it had access to basic account info, so I do have some concerns about that in if it sells that data or if ZIP Extractor gets hacked in some way. But it also feels like every ""app"" has to have permission to access basic accoun"&amp;"t info if it wants to function appropriately.")</f>
        <v>I was not really aware that it had access to basic account info, so I do have some concerns about that in if it sells that data or if ZIP Extractor gets hacked in some way. But it also feels like every "app" has to have permission to access basic account info if it wants to function appropriately.</v>
      </c>
      <c r="C58" s="32"/>
      <c r="D58" s="19"/>
      <c r="E58" s="3"/>
      <c r="F58" s="11"/>
      <c r="G58" s="11"/>
      <c r="H58" s="11"/>
      <c r="I58" s="11"/>
      <c r="J58" s="11"/>
    </row>
    <row r="59">
      <c r="A59">
        <f>IFERROR(__xludf.DUMMYFUNCTION("""COMPUTED_VALUE"""),86.0)</f>
        <v>86</v>
      </c>
      <c r="B59" s="11" t="str">
        <f>IFERROR(__xludf.DUMMYFUNCTION("""COMPUTED_VALUE"""),"I do not understand canvas being able to delete files. Can that happen without it notifying me?")</f>
        <v>I do not understand canvas being able to delete files. Can that happen without it notifying me?</v>
      </c>
      <c r="C59" s="3"/>
      <c r="D59" s="3"/>
      <c r="E59" s="11"/>
      <c r="F59" s="11"/>
      <c r="G59" s="11"/>
      <c r="H59" s="11"/>
      <c r="I59" s="11"/>
      <c r="J59" s="11"/>
    </row>
    <row r="60">
      <c r="A60">
        <f>IFERROR(__xludf.DUMMYFUNCTION("""COMPUTED_VALUE"""),87.0)</f>
        <v>87</v>
      </c>
      <c r="B60" s="11" t="str">
        <f>IFERROR(__xludf.DUMMYFUNCTION("""COMPUTED_VALUE"""),"I didn't know that they could see and download my contacts. That is a bit concerning because I don't know what they do with that data.")</f>
        <v>I didn't know that they could see and download my contacts. That is a bit concerning because I don't know what they do with that data.</v>
      </c>
      <c r="C60" s="3"/>
      <c r="D60" s="3"/>
      <c r="E60" s="3"/>
      <c r="F60" s="3"/>
      <c r="G60" s="3"/>
      <c r="H60" s="11"/>
      <c r="I60" s="11"/>
      <c r="J60" s="11"/>
    </row>
    <row r="61">
      <c r="A61">
        <f>IFERROR(__xludf.DUMMYFUNCTION("""COMPUTED_VALUE"""),88.0)</f>
        <v>88</v>
      </c>
      <c r="B61" s="11" t="str">
        <f>IFERROR(__xludf.DUMMYFUNCTION("""COMPUTED_VALUE"""),"I do not have any concerns.")</f>
        <v>I do not have any concerns.</v>
      </c>
      <c r="C61" s="19"/>
      <c r="D61" s="11"/>
      <c r="E61" s="11"/>
      <c r="F61" s="11"/>
      <c r="G61" s="11"/>
      <c r="H61" s="11"/>
      <c r="I61" s="11"/>
      <c r="J61" s="11"/>
    </row>
    <row r="62">
      <c r="A62">
        <f>IFERROR(__xludf.DUMMYFUNCTION("""COMPUTED_VALUE"""),89.0)</f>
        <v>89</v>
      </c>
      <c r="B62" s="11" t="str">
        <f>IFERROR(__xludf.DUMMYFUNCTION("""COMPUTED_VALUE"""),"As with any app that requires having access to send emails, I'm always worried about something unauthorized being sent. That being said, I've been using Boomerang for years and haven't noticed anything awry, so I'm not too concerned at this point.")</f>
        <v>As with any app that requires having access to send emails, I'm always worried about something unauthorized being sent. That being said, I've been using Boomerang for years and haven't noticed anything awry, so I'm not too concerned at this point.</v>
      </c>
      <c r="C62" s="3"/>
      <c r="D62" s="3"/>
      <c r="E62" s="11"/>
      <c r="F62" s="11"/>
      <c r="G62" s="11"/>
      <c r="H62" s="11"/>
      <c r="I62" s="11"/>
      <c r="J62" s="11"/>
    </row>
    <row r="63">
      <c r="A63">
        <f>IFERROR(__xludf.DUMMYFUNCTION("""COMPUTED_VALUE"""),90.0)</f>
        <v>90</v>
      </c>
      <c r="B63" s="11" t="str">
        <f>IFERROR(__xludf.DUMMYFUNCTION("""COMPUTED_VALUE"""),"It doesn't need to see my calendar.")</f>
        <v>It doesn't need to see my calendar.</v>
      </c>
      <c r="C63" s="32"/>
      <c r="D63" s="28"/>
      <c r="F63" s="3"/>
      <c r="G63" s="3"/>
      <c r="H63" s="11"/>
      <c r="I63" s="11"/>
      <c r="J63" s="11"/>
    </row>
    <row r="64">
      <c r="A64">
        <f>IFERROR(__xludf.DUMMYFUNCTION("""COMPUTED_VALUE"""),91.0)</f>
        <v>91</v>
      </c>
      <c r="B64" s="11" t="str">
        <f>IFERROR(__xludf.DUMMYFUNCTION("""COMPUTED_VALUE"""),"NOne")</f>
        <v>NOne</v>
      </c>
      <c r="C64" s="3"/>
      <c r="D64" s="3"/>
      <c r="E64" s="11"/>
      <c r="F64" s="11"/>
      <c r="G64" s="11"/>
      <c r="H64" s="11"/>
      <c r="I64" s="11"/>
      <c r="J64" s="11"/>
    </row>
    <row r="65">
      <c r="A65">
        <f>IFERROR(__xludf.DUMMYFUNCTION("""COMPUTED_VALUE"""),92.0)</f>
        <v>92</v>
      </c>
      <c r="B65" s="11" t="str">
        <f>IFERROR(__xludf.DUMMYFUNCTION("""COMPUTED_VALUE"""),"I'm a little worried that if something were to happen where LG Email gets hacked or there's a security breach that they could send emails from my account, but that seems pretty unlikely and so I think it's worth the risk given how much more convenient it "&amp;"makes things.")</f>
        <v>I'm a little worried that if something were to happen where LG Email gets hacked or there's a security breach that they could send emails from my account, but that seems pretty unlikely and so I think it's worth the risk given how much more convenient it makes things.</v>
      </c>
      <c r="C65" s="3"/>
      <c r="D65" s="3"/>
      <c r="E65" s="3"/>
      <c r="F65" s="3"/>
      <c r="G65" s="19"/>
      <c r="H65" s="11"/>
      <c r="I65" s="11"/>
      <c r="J65" s="11"/>
    </row>
    <row r="66">
      <c r="A66">
        <f>IFERROR(__xludf.DUMMYFUNCTION("""COMPUTED_VALUE"""),93.0)</f>
        <v>93</v>
      </c>
      <c r="B66" s="11" t="str">
        <f>IFERROR(__xludf.DUMMYFUNCTION("""COMPUTED_VALUE"""),"none")</f>
        <v>none</v>
      </c>
      <c r="C66" s="3"/>
      <c r="D66" s="3"/>
      <c r="F66" s="11"/>
      <c r="G66" s="11"/>
      <c r="H66" s="11"/>
      <c r="I66" s="11"/>
      <c r="J66" s="11"/>
    </row>
    <row r="67">
      <c r="A67">
        <f>IFERROR(__xludf.DUMMYFUNCTION("""COMPUTED_VALUE"""),94.0)</f>
        <v>94</v>
      </c>
      <c r="B67" s="11"/>
      <c r="C67" s="3"/>
      <c r="D67" s="3"/>
      <c r="E67" s="19"/>
      <c r="F67" s="19"/>
      <c r="G67" s="3"/>
      <c r="H67" s="3"/>
      <c r="J67" s="11"/>
    </row>
    <row r="68">
      <c r="A68">
        <f>IFERROR(__xludf.DUMMYFUNCTION("""COMPUTED_VALUE"""),95.0)</f>
        <v>95</v>
      </c>
      <c r="B68" s="11" t="str">
        <f>IFERROR(__xludf.DUMMYFUNCTION("""COMPUTED_VALUE"""),"Read compose send and permanently delete all your email from gmailjQuery3510829273208396826_1618308888071 really??")</f>
        <v>Read compose send and permanently delete all your email from gmailjQuery3510829273208396826_1618308888071 really??</v>
      </c>
      <c r="C68" s="3"/>
      <c r="D68" s="3"/>
      <c r="E68" s="11"/>
      <c r="F68" s="11"/>
      <c r="G68" s="11"/>
      <c r="J68" s="11"/>
    </row>
    <row r="69">
      <c r="A69">
        <f>IFERROR(__xludf.DUMMYFUNCTION("""COMPUTED_VALUE"""),96.0)</f>
        <v>96</v>
      </c>
      <c r="B69" s="11" t="str">
        <f>IFERROR(__xludf.DUMMYFUNCTION("""COMPUTED_VALUE"""),"I don't know how long they keep this data.")</f>
        <v>I don't know how long they keep this data.</v>
      </c>
      <c r="C69" s="32"/>
      <c r="D69" s="32"/>
      <c r="E69" s="3"/>
      <c r="F69" s="3"/>
      <c r="G69" s="3"/>
      <c r="J69" s="11"/>
    </row>
    <row r="70">
      <c r="A70">
        <f>IFERROR(__xludf.DUMMYFUNCTION("""COMPUTED_VALUE"""),97.0)</f>
        <v>97</v>
      </c>
      <c r="B70" s="11" t="str">
        <f>IFERROR(__xludf.DUMMYFUNCTION("""COMPUTED_VALUE"""),"I generally dislike anyone, including Google, having so much access to my information.")</f>
        <v>I generally dislike anyone, including Google, having so much access to my information.</v>
      </c>
      <c r="C70" s="3"/>
      <c r="D70" s="3"/>
      <c r="E70" s="3"/>
      <c r="F70" s="3"/>
      <c r="G70" s="3"/>
      <c r="H70" s="11"/>
      <c r="I70" s="11"/>
      <c r="J70" s="11"/>
    </row>
    <row r="71">
      <c r="A71">
        <f>IFERROR(__xludf.DUMMYFUNCTION("""COMPUTED_VALUE"""),98.0)</f>
        <v>98</v>
      </c>
      <c r="B71" s="11" t="str">
        <f>IFERROR(__xludf.DUMMYFUNCTION("""COMPUTED_VALUE"""),"I would like to know why PlayStation Network needs to see my primary email address or needs to see my personal information. For example, if I enter a credit card, PlayStation Network can see it and I'm not sure if that's safe.")</f>
        <v>I would like to know why PlayStation Network needs to see my primary email address or needs to see my personal information. For example, if I enter a credit card, PlayStation Network can see it and I'm not sure if that's safe.</v>
      </c>
      <c r="C71" s="3"/>
      <c r="D71" s="3"/>
      <c r="E71" s="3"/>
      <c r="F71" s="3"/>
      <c r="G71" s="3"/>
      <c r="H71" s="3"/>
      <c r="I71" s="3"/>
      <c r="J71" s="11"/>
    </row>
    <row r="72">
      <c r="A72">
        <f>IFERROR(__xludf.DUMMYFUNCTION("""COMPUTED_VALUE"""),99.0)</f>
        <v>99</v>
      </c>
      <c r="B72" s="11" t="str">
        <f>IFERROR(__xludf.DUMMYFUNCTION("""COMPUTED_VALUE"""),"I have none as the permissions it has are what I use IFTTT for.")</f>
        <v>I have none as the permissions it has are what I use IFTTT for.</v>
      </c>
      <c r="C72" s="3"/>
      <c r="D72" s="3"/>
      <c r="E72" s="11"/>
      <c r="F72" s="11"/>
      <c r="G72" s="11"/>
      <c r="H72" s="11"/>
      <c r="I72" s="11"/>
      <c r="J72" s="11"/>
    </row>
    <row r="73">
      <c r="A73">
        <f>IFERROR(__xludf.DUMMYFUNCTION("""COMPUTED_VALUE"""),100.0)</f>
        <v>100</v>
      </c>
      <c r="B73" s="11"/>
      <c r="C73" s="3"/>
      <c r="D73" s="3"/>
      <c r="E73" s="3"/>
      <c r="F73" s="3"/>
      <c r="G73" s="3"/>
      <c r="H73" s="3"/>
      <c r="I73" s="11"/>
      <c r="J73" s="11"/>
    </row>
    <row r="74">
      <c r="A74">
        <f>IFERROR(__xludf.DUMMYFUNCTION("""COMPUTED_VALUE"""),101.0)</f>
        <v>101</v>
      </c>
      <c r="B74" s="11" t="str">
        <f>IFERROR(__xludf.DUMMYFUNCTION("""COMPUTED_VALUE"""),"I'm slightly concerned about the data profile Samsung may be building on me. But I have many Samsung devices and understand that unifying the data may be a benefit to my experience.")</f>
        <v>I'm slightly concerned about the data profile Samsung may be building on me. But I have many Samsung devices and understand that unifying the data may be a benefit to my experience.</v>
      </c>
      <c r="C74" s="3"/>
      <c r="D74" s="3"/>
      <c r="E74" s="3"/>
      <c r="F74" s="11"/>
      <c r="G74" s="11"/>
      <c r="H74" s="11"/>
      <c r="I74" s="11"/>
      <c r="J74" s="11"/>
    </row>
    <row r="75">
      <c r="A75">
        <f>IFERROR(__xludf.DUMMYFUNCTION("""COMPUTED_VALUE"""),102.0)</f>
        <v>102</v>
      </c>
      <c r="B75" s="11"/>
      <c r="C75" s="3"/>
      <c r="D75" s="3"/>
      <c r="E75" s="3"/>
      <c r="F75" s="11"/>
      <c r="G75" s="11"/>
      <c r="H75" s="11"/>
      <c r="I75" s="11"/>
      <c r="J75" s="11"/>
    </row>
    <row r="76">
      <c r="A76">
        <f>IFERROR(__xludf.DUMMYFUNCTION("""COMPUTED_VALUE"""),103.0)</f>
        <v>103</v>
      </c>
      <c r="B76" s="11"/>
      <c r="C76" s="3"/>
      <c r="D76" s="3"/>
      <c r="E76" s="3"/>
      <c r="F76" s="11"/>
      <c r="G76" s="11"/>
      <c r="H76" s="11"/>
      <c r="I76" s="11"/>
      <c r="J76" s="11"/>
    </row>
    <row r="77">
      <c r="A77">
        <f>IFERROR(__xludf.DUMMYFUNCTION("""COMPUTED_VALUE"""),104.0)</f>
        <v>104</v>
      </c>
      <c r="B77" s="11" t="str">
        <f>IFERROR(__xludf.DUMMYFUNCTION("""COMPUTED_VALUE"""),"will i be able to delete my information permanently off here.")</f>
        <v>will i be able to delete my information permanently off here.</v>
      </c>
      <c r="C77" s="3"/>
      <c r="D77" s="3"/>
      <c r="E77" s="3"/>
      <c r="F77" s="11"/>
      <c r="G77" s="11"/>
      <c r="H77" s="11"/>
      <c r="I77" s="11"/>
      <c r="J77" s="11"/>
    </row>
    <row r="78">
      <c r="A78">
        <f>IFERROR(__xludf.DUMMYFUNCTION("""COMPUTED_VALUE"""),105.0)</f>
        <v>105</v>
      </c>
      <c r="B78" s="11" t="str">
        <f>IFERROR(__xludf.DUMMYFUNCTION("""COMPUTED_VALUE"""),"Don't have any concerns")</f>
        <v>Don't have any concerns</v>
      </c>
      <c r="C78" s="3"/>
      <c r="D78" s="3"/>
      <c r="E78" s="11"/>
      <c r="F78" s="11"/>
      <c r="G78" s="11"/>
      <c r="H78" s="11"/>
      <c r="I78" s="11"/>
      <c r="J78" s="11"/>
    </row>
    <row r="79">
      <c r="A79">
        <f>IFERROR(__xludf.DUMMYFUNCTION("""COMPUTED_VALUE"""),106.0)</f>
        <v>106</v>
      </c>
      <c r="B79" s="11" t="str">
        <f>IFERROR(__xludf.DUMMYFUNCTION("""COMPUTED_VALUE"""),"dont use this app so dont need it")</f>
        <v>dont use this app so dont need it</v>
      </c>
      <c r="C79" s="3"/>
      <c r="D79" s="3"/>
      <c r="E79" s="11"/>
      <c r="F79" s="11"/>
      <c r="G79" s="11"/>
      <c r="H79" s="11"/>
      <c r="I79" s="11"/>
      <c r="J79" s="11"/>
    </row>
    <row r="80">
      <c r="A80">
        <f>IFERROR(__xludf.DUMMYFUNCTION("""COMPUTED_VALUE"""),107.0)</f>
        <v>107</v>
      </c>
      <c r="B80" s="11" t="str">
        <f>IFERROR(__xludf.DUMMYFUNCTION("""COMPUTED_VALUE"""),"None, I believe that for Route to work properly and help me as much as it does it is necessary for it to have access to my e-mails. I don't know what it needs my publicly available info for, but I made it publicly available so I'm not concerned.")</f>
        <v>None, I believe that for Route to work properly and help me as much as it does it is necessary for it to have access to my e-mails. I don't know what it needs my publicly available info for, but I made it publicly available so I'm not concerned.</v>
      </c>
      <c r="C80" s="3"/>
      <c r="D80" s="3"/>
      <c r="E80" s="3"/>
      <c r="F80" s="11"/>
      <c r="G80" s="11"/>
      <c r="H80" s="11"/>
      <c r="I80" s="11"/>
      <c r="J80" s="11"/>
    </row>
    <row r="81">
      <c r="A81">
        <f>IFERROR(__xludf.DUMMYFUNCTION("""COMPUTED_VALUE"""),108.0)</f>
        <v>108</v>
      </c>
      <c r="B81" s="11" t="str">
        <f>IFERROR(__xludf.DUMMYFUNCTION("""COMPUTED_VALUE"""),"I could care less.")</f>
        <v>I could care less.</v>
      </c>
      <c r="C81" s="3"/>
      <c r="D81" s="3"/>
      <c r="E81" s="3"/>
      <c r="F81" s="3"/>
      <c r="G81" s="11"/>
      <c r="H81" s="11"/>
      <c r="I81" s="11"/>
      <c r="J81" s="11"/>
    </row>
    <row r="82">
      <c r="A82">
        <f>IFERROR(__xludf.DUMMYFUNCTION("""COMPUTED_VALUE"""),109.0)</f>
        <v>109</v>
      </c>
      <c r="B82" s="11" t="str">
        <f>IFERROR(__xludf.DUMMYFUNCTION("""COMPUTED_VALUE"""),"There is potential for my info to be used improperly, especially if Route is hacked.")</f>
        <v>There is potential for my info to be used improperly, especially if Route is hacked.</v>
      </c>
      <c r="C82" s="3"/>
      <c r="D82" s="3"/>
      <c r="E82" s="11"/>
      <c r="F82" s="11"/>
      <c r="G82" s="11"/>
      <c r="H82" s="11"/>
      <c r="I82" s="11"/>
      <c r="J82" s="11"/>
    </row>
    <row r="83">
      <c r="A83">
        <f>IFERROR(__xludf.DUMMYFUNCTION("""COMPUTED_VALUE"""),110.0)</f>
        <v>110</v>
      </c>
      <c r="B83" s="11"/>
      <c r="C83" s="3"/>
      <c r="D83" s="3"/>
      <c r="E83" s="3"/>
      <c r="F83" s="3"/>
      <c r="G83" s="11"/>
      <c r="H83" s="11"/>
      <c r="I83" s="11"/>
      <c r="J83" s="11"/>
    </row>
    <row r="84">
      <c r="A84">
        <f>IFERROR(__xludf.DUMMYFUNCTION("""COMPUTED_VALUE"""),112.0)</f>
        <v>112</v>
      </c>
      <c r="B84" s="11"/>
      <c r="C84" s="3"/>
      <c r="D84" s="3"/>
      <c r="E84" s="3"/>
      <c r="F84" s="3"/>
      <c r="G84" s="3"/>
      <c r="H84" s="11"/>
      <c r="I84" s="11"/>
      <c r="J84" s="11"/>
    </row>
    <row r="85">
      <c r="A85">
        <f>IFERROR(__xludf.DUMMYFUNCTION("""COMPUTED_VALUE"""),113.0)</f>
        <v>113</v>
      </c>
      <c r="B85" s="11"/>
      <c r="C85" s="3"/>
      <c r="D85" s="3"/>
      <c r="E85" s="3"/>
      <c r="F85" s="11"/>
      <c r="G85" s="11"/>
      <c r="H85" s="11"/>
      <c r="I85" s="11"/>
      <c r="J85" s="11"/>
    </row>
    <row r="86">
      <c r="A86">
        <f>IFERROR(__xludf.DUMMYFUNCTION("""COMPUTED_VALUE"""),114.0)</f>
        <v>114</v>
      </c>
      <c r="B86" s="11"/>
      <c r="C86" s="3"/>
      <c r="D86" s="3"/>
      <c r="E86" s="3"/>
      <c r="F86" s="3"/>
      <c r="G86" s="3"/>
      <c r="H86" s="11"/>
      <c r="I86" s="11"/>
      <c r="J86" s="11"/>
    </row>
    <row r="87">
      <c r="A87">
        <f>IFERROR(__xludf.DUMMYFUNCTION("""COMPUTED_VALUE"""),115.0)</f>
        <v>115</v>
      </c>
      <c r="B87" s="11" t="str">
        <f>IFERROR(__xludf.DUMMYFUNCTION("""COMPUTED_VALUE"""),"Google needs to access youtube so the only concern would be someone having access to my youtube viewing or rentals.")</f>
        <v>Google needs to access youtube so the only concern would be someone having access to my youtube viewing or rentals.</v>
      </c>
      <c r="C87" s="3"/>
      <c r="D87" s="11"/>
      <c r="E87" s="11"/>
      <c r="F87" s="11"/>
      <c r="G87" s="11"/>
      <c r="H87" s="11"/>
      <c r="I87" s="11"/>
      <c r="J87" s="11"/>
    </row>
    <row r="88">
      <c r="A88">
        <f>IFERROR(__xludf.DUMMYFUNCTION("""COMPUTED_VALUE"""),116.0)</f>
        <v>116</v>
      </c>
      <c r="B88" s="11"/>
      <c r="C88" s="3"/>
      <c r="D88" s="3"/>
      <c r="E88" s="11"/>
      <c r="F88" s="11"/>
      <c r="G88" s="11"/>
      <c r="H88" s="11"/>
      <c r="I88" s="11"/>
      <c r="J88" s="11"/>
    </row>
    <row r="89">
      <c r="A89">
        <f>IFERROR(__xludf.DUMMYFUNCTION("""COMPUTED_VALUE"""),117.0)</f>
        <v>117</v>
      </c>
      <c r="B89" s="11"/>
      <c r="C89" s="3"/>
      <c r="D89" s="3"/>
      <c r="E89" s="3"/>
      <c r="F89" s="3"/>
      <c r="G89" s="11"/>
      <c r="H89" s="11"/>
      <c r="I89" s="11"/>
      <c r="J89" s="11"/>
    </row>
    <row r="90">
      <c r="A90">
        <f>IFERROR(__xludf.DUMMYFUNCTION("""COMPUTED_VALUE"""),118.0)</f>
        <v>118</v>
      </c>
      <c r="B90" s="11" t="str">
        <f>IFERROR(__xludf.DUMMYFUNCTION("""COMPUTED_VALUE"""),"I think that they have asked for more information than they need for the app to run and what are they doing with that information?")</f>
        <v>I think that they have asked for more information than they need for the app to run and what are they doing with that information?</v>
      </c>
      <c r="C90" s="3"/>
      <c r="D90" s="3"/>
      <c r="E90" s="11"/>
      <c r="F90" s="11"/>
      <c r="G90" s="11"/>
      <c r="H90" s="11"/>
      <c r="I90" s="11"/>
      <c r="J90" s="11"/>
    </row>
    <row r="91">
      <c r="A91">
        <f>IFERROR(__xludf.DUMMYFUNCTION("""COMPUTED_VALUE"""),120.0)</f>
        <v>120</v>
      </c>
      <c r="B91" s="11" t="str">
        <f>IFERROR(__xludf.DUMMYFUNCTION("""COMPUTED_VALUE"""),"Really don't worry that much and its low risk if something does happen")</f>
        <v>Really don't worry that much and its low risk if something does happen</v>
      </c>
      <c r="C91" s="3"/>
      <c r="D91" s="3"/>
      <c r="E91" s="3"/>
      <c r="F91" s="11"/>
      <c r="G91" s="11"/>
      <c r="H91" s="11"/>
      <c r="I91" s="11"/>
      <c r="J91" s="11"/>
    </row>
    <row r="92">
      <c r="A92">
        <f>IFERROR(__xludf.DUMMYFUNCTION("""COMPUTED_VALUE"""),121.0)</f>
        <v>121</v>
      </c>
      <c r="B92" s="11" t="str">
        <f>IFERROR(__xludf.DUMMYFUNCTION("""COMPUTED_VALUE"""),"I don't remember authorizing it, and I really don't think Quora should have access to my contacts for any reason.")</f>
        <v>I don't remember authorizing it, and I really don't think Quora should have access to my contacts for any reason.</v>
      </c>
      <c r="C92" s="3"/>
      <c r="D92" s="3"/>
      <c r="E92" s="3"/>
      <c r="F92" s="11"/>
      <c r="G92" s="11"/>
      <c r="H92" s="11"/>
      <c r="I92" s="11"/>
      <c r="J92" s="11"/>
    </row>
    <row r="93">
      <c r="A93">
        <f>IFERROR(__xludf.DUMMYFUNCTION("""COMPUTED_VALUE"""),122.0)</f>
        <v>122</v>
      </c>
      <c r="B93" s="11" t="str">
        <f>IFERROR(__xludf.DUMMYFUNCTION("""COMPUTED_VALUE"""),"I only needed canvas to have these permissions to upload assignments, but school just finished up for me, so at the moment I don't need it. I don't have any concerns with Canvas having these permissions")</f>
        <v>I only needed canvas to have these permissions to upload assignments, but school just finished up for me, so at the moment I don't need it. I don't have any concerns with Canvas having these permissions</v>
      </c>
      <c r="C93" s="3"/>
      <c r="D93" s="3"/>
      <c r="E93" s="11"/>
      <c r="F93" s="11"/>
      <c r="G93" s="11"/>
      <c r="H93" s="11"/>
      <c r="I93" s="11"/>
      <c r="J93" s="11"/>
    </row>
    <row r="94">
      <c r="A94">
        <f>IFERROR(__xludf.DUMMYFUNCTION("""COMPUTED_VALUE"""),123.0)</f>
        <v>123</v>
      </c>
      <c r="B94" s="11" t="str">
        <f>IFERROR(__xludf.DUMMYFUNCTION("""COMPUTED_VALUE"""),"I have no concerns because these are necessary in order to provide me with full use of my Mac")</f>
        <v>I have no concerns because these are necessary in order to provide me with full use of my Mac</v>
      </c>
      <c r="C94" s="3"/>
      <c r="D94" s="3"/>
      <c r="E94" s="11"/>
      <c r="F94" s="11"/>
      <c r="G94" s="11"/>
      <c r="H94" s="11"/>
      <c r="I94" s="11"/>
      <c r="J94" s="11"/>
    </row>
    <row r="95">
      <c r="A95">
        <f>IFERROR(__xludf.DUMMYFUNCTION("""COMPUTED_VALUE"""),124.0)</f>
        <v>124</v>
      </c>
      <c r="B95" s="11"/>
      <c r="C95" s="3"/>
      <c r="D95" s="3"/>
      <c r="E95" s="11"/>
      <c r="F95" s="11"/>
      <c r="G95" s="11"/>
      <c r="H95" s="11"/>
      <c r="I95" s="11"/>
      <c r="J95" s="11"/>
    </row>
    <row r="96">
      <c r="A96">
        <f>IFERROR(__xludf.DUMMYFUNCTION("""COMPUTED_VALUE"""),125.0)</f>
        <v>125</v>
      </c>
      <c r="B96" s="11"/>
      <c r="C96" s="3"/>
      <c r="D96" s="3"/>
      <c r="E96" s="3"/>
      <c r="F96" s="11"/>
      <c r="G96" s="11"/>
      <c r="H96" s="11"/>
      <c r="I96" s="11"/>
      <c r="J96" s="11"/>
    </row>
    <row r="97">
      <c r="A97">
        <f>IFERROR(__xludf.DUMMYFUNCTION("""COMPUTED_VALUE"""),126.0)</f>
        <v>126</v>
      </c>
      <c r="B97" s="11" t="str">
        <f>IFERROR(__xludf.DUMMYFUNCTION("""COMPUTED_VALUE"""),"I'm afraid a data leak might happen and other people outside of Windows might get their hands on my info.")</f>
        <v>I'm afraid a data leak might happen and other people outside of Windows might get their hands on my info.</v>
      </c>
      <c r="C97" s="3"/>
      <c r="D97" s="3"/>
      <c r="E97" s="11"/>
      <c r="F97" s="11"/>
      <c r="G97" s="11"/>
      <c r="H97" s="11"/>
      <c r="I97" s="11"/>
      <c r="J97" s="11"/>
    </row>
    <row r="98">
      <c r="A98">
        <f>IFERROR(__xludf.DUMMYFUNCTION("""COMPUTED_VALUE"""),127.0)</f>
        <v>127</v>
      </c>
      <c r="B98" s="11" t="str">
        <f>IFERROR(__xludf.DUMMYFUNCTION("""COMPUTED_VALUE"""),"I have a concern they will track my data from this app and sell services and ads based on it. I'm concerned they monitor my activity on it.")</f>
        <v>I have a concern they will track my data from this app and sell services and ads based on it. I'm concerned they monitor my activity on it.</v>
      </c>
      <c r="C98" s="3"/>
      <c r="D98" s="3"/>
      <c r="E98" s="3"/>
      <c r="F98" s="3"/>
      <c r="G98" s="11"/>
      <c r="H98" s="11"/>
      <c r="I98" s="11"/>
      <c r="J98" s="11"/>
    </row>
    <row r="99">
      <c r="A99">
        <f>IFERROR(__xludf.DUMMYFUNCTION("""COMPUTED_VALUE"""),128.0)</f>
        <v>128</v>
      </c>
      <c r="B99" s="11" t="str">
        <f>IFERROR(__xludf.DUMMYFUNCTION("""COMPUTED_VALUE"""),"I do not like that they can compose and delete my emails.")</f>
        <v>I do not like that they can compose and delete my emails.</v>
      </c>
      <c r="C99" s="3"/>
      <c r="D99" s="11"/>
      <c r="E99" s="11"/>
      <c r="F99" s="11"/>
      <c r="G99" s="11"/>
      <c r="H99" s="11"/>
      <c r="I99" s="11"/>
      <c r="J99" s="11"/>
    </row>
    <row r="100">
      <c r="A100">
        <f>IFERROR(__xludf.DUMMYFUNCTION("""COMPUTED_VALUE"""),129.0)</f>
        <v>129</v>
      </c>
      <c r="B100" s="11"/>
      <c r="C100" s="3"/>
      <c r="D100" s="11"/>
      <c r="E100" s="11"/>
      <c r="F100" s="11"/>
      <c r="G100" s="11"/>
      <c r="H100" s="11"/>
      <c r="I100" s="11"/>
      <c r="J100" s="11"/>
    </row>
    <row r="101">
      <c r="A101">
        <f>IFERROR(__xludf.DUMMYFUNCTION("""COMPUTED_VALUE"""),130.0)</f>
        <v>130</v>
      </c>
      <c r="B101" s="11"/>
      <c r="C101" s="3"/>
      <c r="D101" s="3"/>
      <c r="E101" s="3"/>
      <c r="F101" s="11"/>
      <c r="G101" s="11"/>
      <c r="H101" s="11"/>
      <c r="I101" s="11"/>
      <c r="J101" s="11"/>
    </row>
    <row r="102">
      <c r="A102">
        <f>IFERROR(__xludf.DUMMYFUNCTION("""COMPUTED_VALUE"""),131.0)</f>
        <v>131</v>
      </c>
      <c r="B102" s="11" t="str">
        <f>IFERROR(__xludf.DUMMYFUNCTION("""COMPUTED_VALUE"""),"Why would they have access to my computer at all. I don't understand how they can delete my files, or put more information on my computer then I asked for. I really can't believe they can see my google drive files. There are things in there that are for m"&amp;"e or my family.")</f>
        <v>Why would they have access to my computer at all. I don't understand how they can delete my files, or put more information on my computer then I asked for. I really can't believe they can see my google drive files. There are things in there that are for me or my family.</v>
      </c>
      <c r="C102" s="3"/>
      <c r="D102" s="3"/>
      <c r="E102" s="3"/>
      <c r="F102" s="11"/>
      <c r="G102" s="11"/>
      <c r="H102" s="11"/>
      <c r="I102" s="11"/>
      <c r="J102" s="11"/>
    </row>
    <row r="103">
      <c r="A103">
        <f>IFERROR(__xludf.DUMMYFUNCTION("""COMPUTED_VALUE"""),132.0)</f>
        <v>132</v>
      </c>
      <c r="B103" s="11" t="str">
        <f>IFERROR(__xludf.DUMMYFUNCTION("""COMPUTED_VALUE"""),"i guess cause i dont recall putting it on or using it. and the fact they can delete my contacts.")</f>
        <v>i guess cause i dont recall putting it on or using it. and the fact they can delete my contacts.</v>
      </c>
      <c r="C103" s="3"/>
      <c r="D103" s="3"/>
      <c r="E103" s="11"/>
      <c r="F103" s="11"/>
      <c r="G103" s="11"/>
      <c r="H103" s="11"/>
      <c r="I103" s="11"/>
      <c r="J103" s="11"/>
    </row>
    <row r="104">
      <c r="A104">
        <f>IFERROR(__xludf.DUMMYFUNCTION("""COMPUTED_VALUE"""),133.0)</f>
        <v>133</v>
      </c>
      <c r="B104" s="11" t="str">
        <f>IFERROR(__xludf.DUMMYFUNCTION("""COMPUTED_VALUE"""),"I really don't have any concerns.")</f>
        <v>I really don't have any concerns.</v>
      </c>
      <c r="C104" s="3"/>
      <c r="D104" s="3"/>
      <c r="E104" s="11"/>
      <c r="F104" s="11"/>
      <c r="G104" s="11"/>
      <c r="H104" s="11"/>
      <c r="I104" s="11"/>
      <c r="J104" s="11"/>
    </row>
    <row r="105">
      <c r="A105">
        <f>IFERROR(__xludf.DUMMYFUNCTION("""COMPUTED_VALUE"""),134.0)</f>
        <v>134</v>
      </c>
      <c r="B105" s="11" t="str">
        <f>IFERROR(__xludf.DUMMYFUNCTION("""COMPUTED_VALUE"""),"Seems weird that they have the ability to delete so much, why do they need that ability?")</f>
        <v>Seems weird that they have the ability to delete so much, why do they need that ability?</v>
      </c>
      <c r="C105" s="3"/>
      <c r="D105" s="3"/>
      <c r="E105" s="3"/>
      <c r="F105" s="3"/>
      <c r="G105" s="11"/>
      <c r="H105" s="11"/>
      <c r="I105" s="11"/>
      <c r="J105" s="11"/>
    </row>
    <row r="106">
      <c r="A106">
        <f>IFERROR(__xludf.DUMMYFUNCTION("""COMPUTED_VALUE"""),135.0)</f>
        <v>135</v>
      </c>
      <c r="B106" s="11" t="str">
        <f>IFERROR(__xludf.DUMMYFUNCTION("""COMPUTED_VALUE"""),"I have concerns about macOS viewing anything I write, but I think it is essential because it is the main operating system I use. Personally, I don't have much sensitive information on my accounts, so the convenience outweighs the costs that could happen w"&amp;"ith privacy issues.")</f>
        <v>I have concerns about macOS viewing anything I write, but I think it is essential because it is the main operating system I use. Personally, I don't have much sensitive information on my accounts, so the convenience outweighs the costs that could happen with privacy issues.</v>
      </c>
      <c r="C106" s="3"/>
      <c r="D106" s="3"/>
      <c r="E106" s="11"/>
      <c r="F106" s="11"/>
      <c r="G106" s="11"/>
      <c r="H106" s="11"/>
      <c r="I106" s="11"/>
      <c r="J106" s="11"/>
    </row>
    <row r="107">
      <c r="A107">
        <f>IFERROR(__xludf.DUMMYFUNCTION("""COMPUTED_VALUE"""),136.0)</f>
        <v>136</v>
      </c>
      <c r="B107" s="11" t="str">
        <f>IFERROR(__xludf.DUMMYFUNCTION("""COMPUTED_VALUE"""),"I'm unsure what my data is being used for and who it's being sent to")</f>
        <v>I'm unsure what my data is being used for and who it's being sent to</v>
      </c>
      <c r="C107" s="3"/>
      <c r="D107" s="3"/>
      <c r="E107" s="3"/>
      <c r="F107" s="3"/>
      <c r="G107" s="11"/>
      <c r="H107" s="11"/>
      <c r="I107" s="11"/>
      <c r="J107" s="11"/>
    </row>
    <row r="108">
      <c r="A108">
        <f>IFERROR(__xludf.DUMMYFUNCTION("""COMPUTED_VALUE"""),137.0)</f>
        <v>137</v>
      </c>
      <c r="B108" s="11"/>
      <c r="C108" s="3"/>
      <c r="D108" s="3"/>
      <c r="E108" s="3"/>
      <c r="F108" s="11"/>
      <c r="G108" s="11"/>
      <c r="H108" s="11"/>
      <c r="I108" s="11"/>
      <c r="J108" s="11"/>
    </row>
    <row r="109">
      <c r="A109">
        <f>IFERROR(__xludf.DUMMYFUNCTION("""COMPUTED_VALUE"""),138.0)</f>
        <v>138</v>
      </c>
      <c r="B109" s="11" t="str">
        <f>IFERROR(__xludf.DUMMYFUNCTION("""COMPUTED_VALUE"""),"none")</f>
        <v>none</v>
      </c>
      <c r="C109" s="3"/>
      <c r="D109" s="3"/>
      <c r="E109" s="11"/>
      <c r="F109" s="11"/>
      <c r="G109" s="11"/>
      <c r="H109" s="11"/>
      <c r="I109" s="11"/>
      <c r="J109" s="11"/>
    </row>
    <row r="110">
      <c r="A110">
        <f>IFERROR(__xludf.DUMMYFUNCTION("""COMPUTED_VALUE"""),139.0)</f>
        <v>139</v>
      </c>
      <c r="B110" s="11" t="str">
        <f>IFERROR(__xludf.DUMMYFUNCTION("""COMPUTED_VALUE"""),"i do not have any concern no matter how little.")</f>
        <v>i do not have any concern no matter how little.</v>
      </c>
      <c r="C110" s="3"/>
      <c r="D110" s="3"/>
      <c r="E110" s="3"/>
      <c r="F110" s="11"/>
      <c r="G110" s="11"/>
      <c r="H110" s="11"/>
      <c r="I110" s="11"/>
      <c r="J110" s="11"/>
    </row>
    <row r="111">
      <c r="A111">
        <f>IFERROR(__xludf.DUMMYFUNCTION("""COMPUTED_VALUE"""),140.0)</f>
        <v>140</v>
      </c>
      <c r="B111" s="11" t="str">
        <f>IFERROR(__xludf.DUMMYFUNCTION("""COMPUTED_VALUE"""),"It would help to know why certain permissions are required, but I don't have any huge concerns. We have to allow access or the app won't work, the consumer doesn't have a choice.")</f>
        <v>It would help to know why certain permissions are required, but I don't have any huge concerns. We have to allow access or the app won't work, the consumer doesn't have a choice.</v>
      </c>
      <c r="C111" s="19"/>
      <c r="D111" s="3"/>
      <c r="E111" s="3"/>
      <c r="F111" s="3"/>
      <c r="G111" s="11"/>
      <c r="H111" s="11"/>
      <c r="I111" s="11"/>
      <c r="J111" s="11"/>
    </row>
    <row r="112">
      <c r="A112">
        <f>IFERROR(__xludf.DUMMYFUNCTION("""COMPUTED_VALUE"""),141.0)</f>
        <v>141</v>
      </c>
      <c r="B112" s="11" t="str">
        <f>IFERROR(__xludf.DUMMYFUNCTION("""COMPUTED_VALUE"""),"none")</f>
        <v>none</v>
      </c>
      <c r="C112" s="3"/>
      <c r="D112" s="3"/>
      <c r="E112" s="3"/>
      <c r="F112" s="11"/>
      <c r="G112" s="11"/>
      <c r="H112" s="11"/>
      <c r="I112" s="11"/>
      <c r="J112" s="11"/>
    </row>
    <row r="113">
      <c r="A113">
        <f>IFERROR(__xludf.DUMMYFUNCTION("""COMPUTED_VALUE"""),143.0)</f>
        <v>143</v>
      </c>
      <c r="B113" s="11" t="str">
        <f>IFERROR(__xludf.DUMMYFUNCTION("""COMPUTED_VALUE"""),"I don't like knowing Yahoo can delete all of my files.")</f>
        <v>I don't like knowing Yahoo can delete all of my files.</v>
      </c>
      <c r="C113" s="3"/>
      <c r="D113" s="3"/>
      <c r="E113" s="11"/>
      <c r="F113" s="11"/>
      <c r="G113" s="11"/>
      <c r="H113" s="11"/>
      <c r="I113" s="11"/>
      <c r="J113" s="11"/>
    </row>
    <row r="114">
      <c r="A114">
        <f>IFERROR(__xludf.DUMMYFUNCTION("""COMPUTED_VALUE"""),144.0)</f>
        <v>144</v>
      </c>
      <c r="B114" s="11" t="str">
        <f>IFERROR(__xludf.DUMMYFUNCTION("""COMPUTED_VALUE"""),"im just surprised that its been on my account for so long and i didnt even realize it. i dont do much on youtube so i dont know how much it has truly affected my account, however, it is a little concerning they could do something if they wished. im not su"&amp;"re how far the access can go")</f>
        <v>im just surprised that its been on my account for so long and i didnt even realize it. i dont do much on youtube so i dont know how much it has truly affected my account, however, it is a little concerning they could do something if they wished. im not sure how far the access can go</v>
      </c>
      <c r="C114" s="3"/>
      <c r="D114" s="3"/>
      <c r="E114" s="3"/>
      <c r="F114" s="3"/>
      <c r="G114" s="11"/>
      <c r="H114" s="11"/>
      <c r="I114" s="11"/>
      <c r="J114" s="11"/>
    </row>
    <row r="115">
      <c r="A115">
        <f>IFERROR(__xludf.DUMMYFUNCTION("""COMPUTED_VALUE"""),145.0)</f>
        <v>145</v>
      </c>
      <c r="B115" s="11"/>
      <c r="C115" s="3"/>
      <c r="D115" s="11"/>
      <c r="E115" s="11"/>
      <c r="F115" s="11"/>
      <c r="G115" s="11"/>
      <c r="H115" s="11"/>
      <c r="I115" s="11"/>
      <c r="J115" s="11"/>
    </row>
    <row r="116">
      <c r="A116">
        <f>IFERROR(__xludf.DUMMYFUNCTION("""COMPUTED_VALUE"""),146.0)</f>
        <v>146</v>
      </c>
      <c r="B116" s="11"/>
      <c r="C116" s="3"/>
      <c r="D116" s="3"/>
      <c r="E116" s="3"/>
      <c r="F116" s="3"/>
      <c r="G116" s="11"/>
      <c r="H116" s="11"/>
      <c r="I116" s="11"/>
      <c r="J116" s="11"/>
    </row>
    <row r="117">
      <c r="A117">
        <f>IFERROR(__xludf.DUMMYFUNCTION("""COMPUTED_VALUE"""),147.0)</f>
        <v>147</v>
      </c>
      <c r="B117" s="11" t="str">
        <f>IFERROR(__xludf.DUMMYFUNCTION("""COMPUTED_VALUE"""),"That maybe it has access to something it shouldnt")</f>
        <v>That maybe it has access to something it shouldnt</v>
      </c>
      <c r="C117" s="3"/>
      <c r="D117" s="3"/>
      <c r="E117" s="11"/>
      <c r="F117" s="11"/>
      <c r="G117" s="11"/>
      <c r="H117" s="11"/>
      <c r="I117" s="11"/>
      <c r="J117" s="11"/>
    </row>
    <row r="118">
      <c r="A118">
        <f>IFERROR(__xludf.DUMMYFUNCTION("""COMPUTED_VALUE"""),148.0)</f>
        <v>148</v>
      </c>
      <c r="B118" s="11"/>
      <c r="C118" s="3"/>
      <c r="D118" s="3"/>
      <c r="E118" s="11"/>
      <c r="F118" s="11"/>
      <c r="G118" s="11"/>
      <c r="H118" s="11"/>
      <c r="I118" s="11"/>
      <c r="J118" s="11"/>
    </row>
    <row r="119">
      <c r="A119">
        <f>IFERROR(__xludf.DUMMYFUNCTION("""COMPUTED_VALUE"""),149.0)</f>
        <v>149</v>
      </c>
      <c r="B119" s="11" t="str">
        <f>IFERROR(__xludf.DUMMYFUNCTION("""COMPUTED_VALUE"""),"It doesn't need to compose or delete emails really. This could affect me quite a bit if Unroll.me decided to exercise the permissions.")</f>
        <v>It doesn't need to compose or delete emails really. This could affect me quite a bit if Unroll.me decided to exercise the permissions.</v>
      </c>
      <c r="C119" s="3"/>
      <c r="D119" s="3"/>
      <c r="E119" s="11"/>
      <c r="F119" s="11"/>
      <c r="G119" s="11"/>
      <c r="H119" s="11"/>
      <c r="I119" s="11"/>
      <c r="J119" s="11"/>
    </row>
    <row r="120">
      <c r="A120">
        <f>IFERROR(__xludf.DUMMYFUNCTION("""COMPUTED_VALUE"""),150.0)</f>
        <v>150</v>
      </c>
      <c r="B120" s="11"/>
      <c r="C120" s="3"/>
      <c r="D120" s="11"/>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c r="C122" s="3"/>
      <c r="D122" s="3"/>
      <c r="E122" s="3"/>
      <c r="F122" s="11"/>
      <c r="G122" s="11"/>
      <c r="H122" s="11"/>
      <c r="I122" s="11"/>
      <c r="J122" s="11"/>
    </row>
    <row r="123">
      <c r="A123">
        <f>IFERROR(__xludf.DUMMYFUNCTION("""COMPUTED_VALUE"""),153.0)</f>
        <v>153</v>
      </c>
      <c r="B123" s="11" t="str">
        <f>IFERROR(__xludf.DUMMYFUNCTION("""COMPUTED_VALUE"""),"no concerns")</f>
        <v>no concerns</v>
      </c>
      <c r="C123" s="3"/>
      <c r="D123" s="3"/>
      <c r="E123" s="3"/>
      <c r="F123" s="3"/>
      <c r="G123" s="11"/>
      <c r="H123" s="11"/>
      <c r="I123" s="11"/>
      <c r="J123" s="11"/>
    </row>
    <row r="124">
      <c r="A124">
        <f>IFERROR(__xludf.DUMMYFUNCTION("""COMPUTED_VALUE"""),154.0)</f>
        <v>154</v>
      </c>
      <c r="B124" s="11" t="str">
        <f>IFERROR(__xludf.DUMMYFUNCTION("""COMPUTED_VALUE"""),"None")</f>
        <v>None</v>
      </c>
      <c r="C124" s="3"/>
      <c r="D124" s="11"/>
      <c r="E124" s="11"/>
      <c r="F124" s="11"/>
      <c r="G124" s="11"/>
      <c r="H124" s="11"/>
      <c r="I124" s="11"/>
      <c r="J124" s="11"/>
    </row>
    <row r="125">
      <c r="A125">
        <f>IFERROR(__xludf.DUMMYFUNCTION("""COMPUTED_VALUE"""),155.0)</f>
        <v>155</v>
      </c>
      <c r="B125" s="11" t="str">
        <f>IFERROR(__xludf.DUMMYFUNCTION("""COMPUTED_VALUE"""),"I am only concerned about the very slight possibility that this app will try to access other parts of my account without notifying me beforehand. However, that chance is extremely slim.")</f>
        <v>I am only concerned about the very slight possibility that this app will try to access other parts of my account without notifying me beforehand. However, that chance is extremely slim.</v>
      </c>
      <c r="C125" s="3"/>
      <c r="D125" s="3"/>
      <c r="E125" s="11"/>
      <c r="F125" s="11"/>
      <c r="G125" s="11"/>
      <c r="H125" s="11"/>
      <c r="I125" s="11"/>
      <c r="J125" s="11"/>
    </row>
    <row r="126">
      <c r="A126">
        <f>IFERROR(__xludf.DUMMYFUNCTION("""COMPUTED_VALUE"""),156.0)</f>
        <v>156</v>
      </c>
      <c r="B126" s="11" t="str">
        <f>IFERROR(__xludf.DUMMYFUNCTION("""COMPUTED_VALUE"""),"Just having the information out there is mildly concerning, you don't know who has access to it.")</f>
        <v>Just having the information out there is mildly concerning, you don't know who has access to it.</v>
      </c>
      <c r="C126" s="3"/>
      <c r="D126" s="3"/>
      <c r="E126" s="11"/>
      <c r="F126" s="11"/>
      <c r="G126" s="11"/>
      <c r="H126" s="11"/>
      <c r="I126" s="11"/>
      <c r="J126" s="11"/>
    </row>
    <row r="127">
      <c r="A127">
        <f>IFERROR(__xludf.DUMMYFUNCTION("""COMPUTED_VALUE"""),157.0)</f>
        <v>157</v>
      </c>
      <c r="B127" s="11" t="str">
        <f>IFERROR(__xludf.DUMMYFUNCTION("""COMPUTED_VALUE"""),"Although Shop can be quite handy, being able to edit settings in your email and seeing all of my messages can be quite worrying.")</f>
        <v>Although Shop can be quite handy, being able to edit settings in your email and seeing all of my messages can be quite worrying.</v>
      </c>
      <c r="C127" s="3"/>
      <c r="D127" s="11"/>
      <c r="E127" s="11"/>
      <c r="F127" s="11"/>
      <c r="G127" s="11"/>
      <c r="H127" s="11"/>
      <c r="I127" s="11"/>
      <c r="J127" s="11"/>
    </row>
    <row r="128">
      <c r="A128">
        <f>IFERROR(__xludf.DUMMYFUNCTION("""COMPUTED_VALUE"""),158.0)</f>
        <v>158</v>
      </c>
      <c r="B128" s="11" t="str">
        <f>IFERROR(__xludf.DUMMYFUNCTION("""COMPUTED_VALUE"""),"I am not sure why they would need my contacts.")</f>
        <v>I am not sure why they would need my contacts.</v>
      </c>
      <c r="C128" s="3"/>
      <c r="D128" s="3"/>
      <c r="E128" s="3"/>
      <c r="F128" s="3"/>
      <c r="G128" s="11"/>
      <c r="H128" s="11"/>
      <c r="I128" s="11"/>
      <c r="J128" s="11"/>
    </row>
    <row r="129">
      <c r="A129">
        <f>IFERROR(__xludf.DUMMYFUNCTION("""COMPUTED_VALUE"""),159.0)</f>
        <v>159</v>
      </c>
      <c r="B129" s="11"/>
      <c r="C129" s="3"/>
      <c r="D129" s="3"/>
      <c r="E129" s="11"/>
      <c r="F129" s="11"/>
      <c r="G129" s="11"/>
      <c r="H129" s="11"/>
      <c r="I129" s="11"/>
      <c r="J129" s="11"/>
    </row>
    <row r="130">
      <c r="A130">
        <f>IFERROR(__xludf.DUMMYFUNCTION("""COMPUTED_VALUE"""),160.0)</f>
        <v>160</v>
      </c>
      <c r="B130" s="11"/>
      <c r="C130" s="3"/>
      <c r="D130" s="3"/>
      <c r="E130" s="3"/>
      <c r="F130" s="3"/>
      <c r="G130" s="11"/>
      <c r="H130" s="11"/>
      <c r="I130" s="11"/>
      <c r="J130" s="11"/>
    </row>
    <row r="131">
      <c r="A131">
        <f>IFERROR(__xludf.DUMMYFUNCTION("""COMPUTED_VALUE"""),161.0)</f>
        <v>161</v>
      </c>
      <c r="B131" s="11" t="str">
        <f>IFERROR(__xludf.DUMMYFUNCTION("""COMPUTED_VALUE"""),"I'm not sure why it needs to know my basic account info. It is a game and it shouldn't care about my Google account email address. And It has been since 2019...so I don't even remember the installation.")</f>
        <v>I'm not sure why it needs to know my basic account info. It is a game and it shouldn't care about my Google account email address. And It has been since 2019...so I don't even remember the installation.</v>
      </c>
      <c r="C131" s="3"/>
      <c r="D131" s="3"/>
      <c r="E131" s="11"/>
      <c r="F131" s="11"/>
      <c r="G131" s="11"/>
      <c r="H131" s="11"/>
      <c r="I131" s="11"/>
      <c r="J131" s="11"/>
    </row>
    <row r="132">
      <c r="A132">
        <f>IFERROR(__xludf.DUMMYFUNCTION("""COMPUTED_VALUE"""),162.0)</f>
        <v>162</v>
      </c>
      <c r="B132" s="11" t="str">
        <f>IFERROR(__xludf.DUMMYFUNCTION("""COMPUTED_VALUE"""),"I don't know why they would need to send emails but I think it might be so that I can refer other people to the site. Regardless, they shouldn't have the right to read my emails.")</f>
        <v>I don't know why they would need to send emails but I think it might be so that I can refer other people to the site. Regardless, they shouldn't have the right to read my emails.</v>
      </c>
      <c r="C132" s="3"/>
      <c r="D132" s="3"/>
      <c r="E132" s="11"/>
      <c r="F132" s="11"/>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11" t="str">
        <f>IFERROR(__xludf.DUMMYFUNCTION("""COMPUTED_VALUE"""),"None, I trust JBL.")</f>
        <v>None, I trust JBL.</v>
      </c>
      <c r="C134" s="3"/>
      <c r="D134" s="3"/>
      <c r="E134" s="3"/>
      <c r="F134" s="11"/>
      <c r="G134" s="11"/>
      <c r="H134" s="11"/>
      <c r="I134" s="11"/>
      <c r="J134" s="11"/>
    </row>
    <row r="135">
      <c r="A135">
        <f>IFERROR(__xludf.DUMMYFUNCTION("""COMPUTED_VALUE"""),165.0)</f>
        <v>165</v>
      </c>
      <c r="B135" s="11" t="str">
        <f>IFERROR(__xludf.DUMMYFUNCTION("""COMPUTED_VALUE"""),"I am concerned the app will delete or edit files it should not be touching rather than just documents it is supposed to be interacting with.")</f>
        <v>I am concerned the app will delete or edit files it should not be touching rather than just documents it is supposed to be interacting with.</v>
      </c>
      <c r="C135" s="3"/>
      <c r="D135" s="3"/>
      <c r="E135" s="11"/>
      <c r="F135" s="11"/>
      <c r="G135" s="11"/>
      <c r="H135" s="11"/>
      <c r="I135" s="11"/>
      <c r="J135" s="11"/>
    </row>
    <row r="136">
      <c r="A136">
        <f>IFERROR(__xludf.DUMMYFUNCTION("""COMPUTED_VALUE"""),166.0)</f>
        <v>166</v>
      </c>
      <c r="B136" s="11" t="str">
        <f>IFERROR(__xludf.DUMMYFUNCTION("""COMPUTED_VALUE"""),"I don't use eM Client for my Calendar tasks so I am a bit concerned that it has access to it. But I understand why that is because I could use eM Client for my Calendar taks even though I don't use it at this time. It does have to have access to the rest "&amp;"listed above and I am not concerned about those.")</f>
        <v>I don't use eM Client for my Calendar tasks so I am a bit concerned that it has access to it. But I understand why that is because I could use eM Client for my Calendar taks even though I don't use it at this time. It does have to have access to the rest listed above and I am not concerned about those.</v>
      </c>
      <c r="C136" s="3"/>
      <c r="D136" s="3"/>
      <c r="E136" s="3"/>
      <c r="F136" s="11"/>
      <c r="G136" s="11"/>
      <c r="H136" s="11"/>
      <c r="I136" s="11"/>
      <c r="J136" s="11"/>
    </row>
    <row r="137">
      <c r="A137">
        <f>IFERROR(__xludf.DUMMYFUNCTION("""COMPUTED_VALUE"""),167.0)</f>
        <v>167</v>
      </c>
      <c r="B137" s="11"/>
      <c r="C137" s="3"/>
      <c r="D137" s="3"/>
      <c r="E137" s="11"/>
      <c r="F137" s="11"/>
      <c r="G137" s="11"/>
      <c r="H137" s="11"/>
      <c r="I137" s="11"/>
      <c r="J137" s="11"/>
    </row>
    <row r="138">
      <c r="A138">
        <f>IFERROR(__xludf.DUMMYFUNCTION("""COMPUTED_VALUE"""),168.0)</f>
        <v>168</v>
      </c>
      <c r="B138" s="11"/>
      <c r="C138" s="3"/>
      <c r="D138" s="3"/>
      <c r="E138" s="3"/>
      <c r="F138" s="11"/>
      <c r="G138" s="11"/>
      <c r="H138" s="11"/>
      <c r="I138" s="11"/>
      <c r="J138" s="11"/>
    </row>
    <row r="139">
      <c r="A139">
        <f>IFERROR(__xludf.DUMMYFUNCTION("""COMPUTED_VALUE"""),169.0)</f>
        <v>169</v>
      </c>
      <c r="B139" s="11" t="str">
        <f>IFERROR(__xludf.DUMMYFUNCTION("""COMPUTED_VALUE"""),"It might remove documents I don't want removed.")</f>
        <v>It might remove documents I don't want removed.</v>
      </c>
      <c r="C139" s="3"/>
      <c r="D139" s="3"/>
      <c r="E139" s="3"/>
      <c r="F139" s="11"/>
      <c r="G139" s="11"/>
      <c r="H139" s="11"/>
      <c r="I139" s="11"/>
      <c r="J139" s="11"/>
    </row>
    <row r="140">
      <c r="A140">
        <f>IFERROR(__xludf.DUMMYFUNCTION("""COMPUTED_VALUE"""),170.0)</f>
        <v>170</v>
      </c>
      <c r="B140" s="11" t="str">
        <f>IFERROR(__xludf.DUMMYFUNCTION("""COMPUTED_VALUE"""),"no concerns. it just needs to be able to adjust things")</f>
        <v>no concerns. it just needs to be able to adjust things</v>
      </c>
      <c r="C140" s="3"/>
      <c r="D140" s="3"/>
      <c r="E140" s="3"/>
      <c r="F140" s="3"/>
      <c r="G140" s="11"/>
      <c r="H140" s="11"/>
      <c r="I140" s="11"/>
      <c r="J140" s="11"/>
    </row>
    <row r="141">
      <c r="A141">
        <f>IFERROR(__xludf.DUMMYFUNCTION("""COMPUTED_VALUE"""),171.0)</f>
        <v>171</v>
      </c>
      <c r="B141" s="11" t="str">
        <f>IFERROR(__xludf.DUMMYFUNCTION("""COMPUTED_VALUE"""),"I don't have any concerns about Quora holding these permissions because the things make Quora easier for me to use and I trust Quora.")</f>
        <v>I don't have any concerns about Quora holding these permissions because the things make Quora easier for me to use and I trust Quora.</v>
      </c>
      <c r="C141" s="3"/>
      <c r="D141" s="3"/>
      <c r="E141" s="11"/>
      <c r="F141" s="11"/>
      <c r="G141" s="11"/>
      <c r="H141" s="11"/>
      <c r="I141" s="11"/>
      <c r="J141" s="11"/>
    </row>
    <row r="142">
      <c r="A142">
        <f>IFERROR(__xludf.DUMMYFUNCTION("""COMPUTED_VALUE"""),172.0)</f>
        <v>172</v>
      </c>
      <c r="B142" s="11"/>
      <c r="C142" s="3"/>
      <c r="D142" s="3"/>
      <c r="E142" s="11"/>
      <c r="F142" s="11"/>
      <c r="G142" s="11"/>
      <c r="H142" s="11"/>
      <c r="I142" s="11"/>
      <c r="J142" s="11"/>
    </row>
    <row r="143">
      <c r="A143">
        <f>IFERROR(__xludf.DUMMYFUNCTION("""COMPUTED_VALUE"""),173.0)</f>
        <v>173</v>
      </c>
      <c r="B143" s="11" t="str">
        <f>IFERROR(__xludf.DUMMYFUNCTION("""COMPUTED_VALUE"""),"None")</f>
        <v>None</v>
      </c>
      <c r="C143" s="3"/>
      <c r="D143" s="3"/>
      <c r="E143" s="3"/>
      <c r="F143" s="11"/>
      <c r="G143" s="11"/>
      <c r="H143" s="11"/>
      <c r="I143" s="11"/>
      <c r="J143" s="11"/>
    </row>
    <row r="144">
      <c r="A144">
        <f>IFERROR(__xludf.DUMMYFUNCTION("""COMPUTED_VALUE"""),174.0)</f>
        <v>174</v>
      </c>
      <c r="B144" s="11" t="str">
        <f>IFERROR(__xludf.DUMMYFUNCTION("""COMPUTED_VALUE"""),"They can act like they are me and send emails from my account. Sounds very unsecure.")</f>
        <v>They can act like they are me and send emails from my account. Sounds very unsecure.</v>
      </c>
      <c r="C144" s="3"/>
      <c r="D144" s="3"/>
      <c r="E144" s="3"/>
      <c r="F144" s="3"/>
      <c r="G144" s="3"/>
      <c r="H144" s="11"/>
      <c r="I144" s="11"/>
      <c r="J144" s="11"/>
    </row>
    <row r="145">
      <c r="A145">
        <f>IFERROR(__xludf.DUMMYFUNCTION("""COMPUTED_VALUE"""),175.0)</f>
        <v>175</v>
      </c>
      <c r="B145" s="11" t="str">
        <f>IFERROR(__xludf.DUMMYFUNCTION("""COMPUTED_VALUE"""),"I wonder what personal info dropbox has exactly, and why they need it")</f>
        <v>I wonder what personal info dropbox has exactly, and why they need it</v>
      </c>
      <c r="C145" s="3"/>
      <c r="D145" s="3"/>
      <c r="E145" s="3"/>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IFERROR(__xludf.DUMMYFUNCTION("""COMPUTED_VALUE"""),"i dont have concerns, its a game ive played for years, google play allows me to keep my play history and track achievements so i dont have to deal with transferring save data when i get a new phone")</f>
        <v>i dont have concerns, its a game ive played for years, google play allows me to keep my play history and track achievements so i dont have to deal with transferring save data when i get a new phone</v>
      </c>
      <c r="C147" s="3"/>
      <c r="D147" s="3"/>
      <c r="E147" s="3"/>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IFERROR(__xludf.DUMMYFUNCTION("""COMPUTED_VALUE"""),"If the company gets hacked, someone can possibly delete my events and calendar settings.")</f>
        <v>If the company gets hacked, someone can possibly delete my events and calendar settings.</v>
      </c>
      <c r="C149" s="3"/>
      <c r="D149" s="11"/>
      <c r="E149" s="11"/>
      <c r="F149" s="11"/>
      <c r="H149" s="11"/>
      <c r="I149" s="11"/>
      <c r="J149" s="11"/>
    </row>
    <row r="150">
      <c r="A150">
        <f>IFERROR(__xludf.DUMMYFUNCTION("""COMPUTED_VALUE"""),181.0)</f>
        <v>181</v>
      </c>
      <c r="B150" s="11" t="str">
        <f>IFERROR(__xludf.DUMMYFUNCTION("""COMPUTED_VALUE"""),"It's a little weird that it can delete Play Games activity, and it's not clear if it's restricted to just this one game.")</f>
        <v>It's a little weird that it can delete Play Games activity, and it's not clear if it's restricted to just this one game.</v>
      </c>
      <c r="C150" s="3"/>
      <c r="D150" s="3"/>
      <c r="E150" s="3"/>
      <c r="F150" s="3"/>
      <c r="H150" s="11"/>
      <c r="I150" s="11"/>
      <c r="J150" s="11"/>
    </row>
    <row r="151">
      <c r="A151">
        <f>IFERROR(__xludf.DUMMYFUNCTION("""COMPUTED_VALUE"""),182.0)</f>
        <v>182</v>
      </c>
      <c r="B151" s="11" t="str">
        <f>IFERROR(__xludf.DUMMYFUNCTION("""COMPUTED_VALUE"""),"I remember that whenever someone sent me an image or gif it would automatically save it onto my phone, so I'm a bit concerned about it.")</f>
        <v>I remember that whenever someone sent me an image or gif it would automatically save it onto my phone, so I'm a bit concerned about it.</v>
      </c>
      <c r="C151" s="3"/>
      <c r="D151" s="3"/>
      <c r="E151" s="3"/>
      <c r="F151" s="3"/>
      <c r="H151" s="11"/>
      <c r="I151" s="11"/>
      <c r="J151" s="11"/>
    </row>
    <row r="152">
      <c r="A152">
        <f>IFERROR(__xludf.DUMMYFUNCTION("""COMPUTED_VALUE"""),183.0)</f>
        <v>183</v>
      </c>
      <c r="B152" s="11"/>
      <c r="C152" s="3"/>
      <c r="D152" s="3"/>
      <c r="E152" s="11"/>
      <c r="F152" s="11"/>
      <c r="H152" s="11"/>
      <c r="I152" s="11"/>
      <c r="J152" s="11"/>
    </row>
    <row r="153">
      <c r="A153">
        <f>IFERROR(__xludf.DUMMYFUNCTION("""COMPUTED_VALUE"""),184.0)</f>
        <v>184</v>
      </c>
      <c r="B153" s="11" t="str">
        <f>IFERROR(__xludf.DUMMYFUNCTION("""COMPUTED_VALUE"""),"I am not sure why they need to manage my YouTube account or videos and I am concerned what they are actually accessing and managing.")</f>
        <v>I am not sure why they need to manage my YouTube account or videos and I am concerned what they are actually accessing and managing.</v>
      </c>
      <c r="C153" s="3"/>
      <c r="D153" s="3"/>
      <c r="E153" s="11"/>
      <c r="F153" s="11"/>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c r="C155" s="11"/>
      <c r="D155" s="11"/>
      <c r="E155" s="11"/>
      <c r="F155" s="11"/>
      <c r="G155" s="11"/>
      <c r="H155" s="11"/>
      <c r="I155" s="11"/>
      <c r="J155" s="11"/>
    </row>
    <row r="156">
      <c r="A156">
        <f>IFERROR(__xludf.DUMMYFUNCTION("""COMPUTED_VALUE"""),187.0)</f>
        <v>187</v>
      </c>
      <c r="B156" s="11" t="str">
        <f>IFERROR(__xludf.DUMMYFUNCTION("""COMPUTED_VALUE"""),"I wonder why in the world Zoom would care about seeing my contacts and wanting to edit or even permanently delete them.")</f>
        <v>I wonder why in the world Zoom would care about seeing my contacts and wanting to edit or even permanently delete them.</v>
      </c>
      <c r="C156" s="11"/>
      <c r="D156" s="11"/>
      <c r="E156" s="11"/>
      <c r="F156" s="11"/>
      <c r="G156" s="11"/>
      <c r="H156" s="11"/>
      <c r="I156" s="11"/>
      <c r="J156" s="11"/>
    </row>
    <row r="157">
      <c r="A157">
        <f>IFERROR(__xludf.DUMMYFUNCTION("""COMPUTED_VALUE"""),188.0)</f>
        <v>188</v>
      </c>
      <c r="B157" s="11" t="str">
        <f>IFERROR(__xludf.DUMMYFUNCTION("""COMPUTED_VALUE"""),"I don't know how it got the permissions to do this in the first place. Plus I don't want any unnecessary parties to have access to my information.")</f>
        <v>I don't know how it got the permissions to do this in the first place. Plus I don't want any unnecessary parties to have access to my information.</v>
      </c>
      <c r="C157" s="11"/>
      <c r="D157" s="11"/>
      <c r="E157" s="11"/>
      <c r="F157" s="11"/>
      <c r="G157" s="11"/>
      <c r="H157" s="11"/>
      <c r="I157" s="11"/>
      <c r="J157" s="11"/>
    </row>
    <row r="158">
      <c r="A158">
        <f>IFERROR(__xludf.DUMMYFUNCTION("""COMPUTED_VALUE"""),189.0)</f>
        <v>189</v>
      </c>
      <c r="B158" s="11"/>
      <c r="C158" s="11"/>
      <c r="D158" s="11"/>
      <c r="E158" s="11"/>
      <c r="F158" s="11"/>
      <c r="G158" s="11"/>
      <c r="H158" s="11"/>
      <c r="I158" s="11"/>
      <c r="J158" s="11"/>
    </row>
    <row r="159">
      <c r="A159">
        <f>IFERROR(__xludf.DUMMYFUNCTION("""COMPUTED_VALUE"""),190.0)</f>
        <v>190</v>
      </c>
      <c r="B159" s="11" t="str">
        <f>IFERROR(__xludf.DUMMYFUNCTION("""COMPUTED_VALUE"""),"I no longer use the service and it seems like the app has access to more permission then I though based on the description given.")</f>
        <v>I no longer use the service and it seems like the app has access to more permission then I though based on the description given.</v>
      </c>
      <c r="C159" s="11"/>
      <c r="D159" s="11"/>
      <c r="E159" s="11"/>
      <c r="F159" s="11"/>
      <c r="G159" s="11"/>
      <c r="H159" s="11"/>
      <c r="I159" s="11"/>
      <c r="J159" s="11"/>
    </row>
    <row r="160">
      <c r="A160">
        <f>IFERROR(__xludf.DUMMYFUNCTION("""COMPUTED_VALUE"""),191.0)</f>
        <v>191</v>
      </c>
      <c r="B160" s="11"/>
      <c r="C160" s="11"/>
      <c r="D160" s="11"/>
      <c r="E160" s="11"/>
      <c r="F160" s="11"/>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c r="C162" s="11"/>
      <c r="D162" s="11"/>
      <c r="E162" s="11"/>
      <c r="F162" s="11"/>
      <c r="G162" s="11"/>
      <c r="H162" s="11"/>
      <c r="I162" s="11"/>
      <c r="J162" s="11"/>
    </row>
    <row r="163">
      <c r="A163">
        <f>IFERROR(__xludf.DUMMYFUNCTION("""COMPUTED_VALUE"""),194.0)</f>
        <v>194</v>
      </c>
      <c r="B163" s="11"/>
      <c r="C163" s="11"/>
      <c r="D163" s="11"/>
      <c r="E163" s="11"/>
      <c r="F163" s="11"/>
      <c r="G163" s="11"/>
      <c r="H163" s="11"/>
      <c r="I163" s="11"/>
      <c r="J163" s="11"/>
    </row>
    <row r="164">
      <c r="A164">
        <f>IFERROR(__xludf.DUMMYFUNCTION("""COMPUTED_VALUE"""),195.0)</f>
        <v>195</v>
      </c>
      <c r="B164" s="11" t="str">
        <f>IFERROR(__xludf.DUMMYFUNCTION("""COMPUTED_VALUE"""),"It should only have access to documents I use their service on, because I don't have a bibliography on every document in my Drive.")</f>
        <v>It should only have access to documents I use their service on, because I don't have a bibliography on every document in my Drive.</v>
      </c>
      <c r="C164" s="11"/>
      <c r="D164" s="11"/>
      <c r="E164" s="11"/>
      <c r="F164" s="11"/>
      <c r="G164" s="11"/>
      <c r="H164" s="11"/>
      <c r="I164" s="11"/>
      <c r="J164" s="11"/>
    </row>
    <row r="165">
      <c r="A165">
        <f>IFERROR(__xludf.DUMMYFUNCTION("""COMPUTED_VALUE"""),196.0)</f>
        <v>196</v>
      </c>
      <c r="B165" s="11" t="str">
        <f>IFERROR(__xludf.DUMMYFUNCTION("""COMPUTED_VALUE"""),"I do not know if the company can ever delete something I do not authorize, or use the personal info I have to sell to other places.")</f>
        <v>I do not know if the company can ever delete something I do not authorize, or use the personal info I have to sell to other places.</v>
      </c>
      <c r="C165" s="11"/>
      <c r="D165" s="11"/>
      <c r="E165" s="11"/>
      <c r="F165" s="11"/>
      <c r="G165" s="11"/>
      <c r="H165" s="11"/>
      <c r="I165" s="11"/>
      <c r="J165" s="11"/>
    </row>
    <row r="166">
      <c r="A166">
        <f>IFERROR(__xludf.DUMMYFUNCTION("""COMPUTED_VALUE"""),197.0)</f>
        <v>197</v>
      </c>
      <c r="B166" s="11" t="str">
        <f>IFERROR(__xludf.DUMMYFUNCTION("""COMPUTED_VALUE"""),"i dont have any i just forgot i had it")</f>
        <v>i dont have any i just forgot i had it</v>
      </c>
      <c r="C166" s="11"/>
      <c r="D166" s="11"/>
      <c r="E166" s="11"/>
      <c r="F166" s="11"/>
      <c r="G166" s="11"/>
      <c r="H166" s="11"/>
      <c r="I166" s="11"/>
      <c r="J166" s="11"/>
    </row>
    <row r="167">
      <c r="A167">
        <f>IFERROR(__xludf.DUMMYFUNCTION("""COMPUTED_VALUE"""),198.0)</f>
        <v>198</v>
      </c>
      <c r="B167" s="11" t="str">
        <f>IFERROR(__xludf.DUMMYFUNCTION("""COMPUTED_VALUE"""),"Worried that it might delete some of my info on a doc im working on when I use it, but honestly not a big deal.")</f>
        <v>Worried that it might delete some of my info on a doc im working on when I use it, but honestly not a big deal.</v>
      </c>
      <c r="C167" s="11"/>
      <c r="D167" s="11"/>
      <c r="E167" s="11"/>
      <c r="F167" s="11"/>
      <c r="G167" s="11"/>
      <c r="H167" s="11"/>
      <c r="I167" s="11"/>
      <c r="J167" s="11"/>
    </row>
    <row r="168">
      <c r="A168">
        <f>IFERROR(__xludf.DUMMYFUNCTION("""COMPUTED_VALUE"""),199.0)</f>
        <v>199</v>
      </c>
      <c r="B168" s="11"/>
      <c r="C168" s="11"/>
      <c r="D168" s="11"/>
      <c r="E168" s="11"/>
      <c r="F168" s="11"/>
      <c r="G168" s="11"/>
      <c r="H168" s="11"/>
      <c r="I168" s="11"/>
      <c r="J168" s="11"/>
    </row>
    <row r="169">
      <c r="A169">
        <f>IFERROR(__xludf.DUMMYFUNCTION("""COMPUTED_VALUE"""),200.0)</f>
        <v>200</v>
      </c>
      <c r="B169" s="11" t="str">
        <f>IFERROR(__xludf.DUMMYFUNCTION("""COMPUTED_VALUE"""),"I'm a bit concerned about the extent in which they have the ability to access my extensions.")</f>
        <v>I'm a bit concerned about the extent in which they have the ability to access my extensions.</v>
      </c>
      <c r="C169" s="11"/>
      <c r="D169" s="11"/>
      <c r="E169" s="11"/>
      <c r="F169" s="11"/>
      <c r="G169" s="11"/>
      <c r="H169" s="11"/>
      <c r="I169" s="11"/>
      <c r="J169" s="11"/>
    </row>
    <row r="170">
      <c r="A170">
        <f>IFERROR(__xludf.DUMMYFUNCTION("""COMPUTED_VALUE"""),201.0)</f>
        <v>201</v>
      </c>
      <c r="B170" s="11" t="str">
        <f>IFERROR(__xludf.DUMMYFUNCTION("""COMPUTED_VALUE"""),"security and privacy related to personal information")</f>
        <v>security and privacy related to personal information</v>
      </c>
      <c r="C170" s="11"/>
      <c r="D170" s="11"/>
      <c r="E170" s="11"/>
      <c r="F170" s="11"/>
      <c r="G170" s="11"/>
      <c r="H170" s="11"/>
      <c r="I170" s="11"/>
      <c r="J170" s="11"/>
    </row>
    <row r="171">
      <c r="A171">
        <f>IFERROR(__xludf.DUMMYFUNCTION("""COMPUTED_VALUE"""),202.0)</f>
        <v>202</v>
      </c>
      <c r="B171" s="11" t="str">
        <f>IFERROR(__xludf.DUMMYFUNCTION("""COMPUTED_VALUE"""),"I don't have any concerns about it. I'd simply like to remove it because I don't use the app anymore.")</f>
        <v>I don't have any concerns about it. I'd simply like to remove it because I don't use the app anymore.</v>
      </c>
      <c r="C171" s="11"/>
      <c r="D171" s="11"/>
      <c r="E171" s="11"/>
      <c r="F171" s="11"/>
      <c r="G171" s="11"/>
      <c r="H171" s="11"/>
      <c r="I171" s="11"/>
      <c r="J171" s="11"/>
    </row>
    <row r="172">
      <c r="A172">
        <f>IFERROR(__xludf.DUMMYFUNCTION("""COMPUTED_VALUE"""),203.0)</f>
        <v>203</v>
      </c>
      <c r="B172" s="11" t="str">
        <f>IFERROR(__xludf.DUMMYFUNCTION("""COMPUTED_VALUE"""),"I am just concerned that they might steal my money, it's a huge risk.")</f>
        <v>I am just concerned that they might steal my money, it's a huge risk.</v>
      </c>
      <c r="C172" s="11"/>
      <c r="D172" s="11"/>
      <c r="E172" s="11"/>
      <c r="F172" s="11"/>
      <c r="G172" s="11"/>
      <c r="H172" s="11"/>
      <c r="I172" s="11"/>
      <c r="J172" s="11"/>
    </row>
    <row r="173">
      <c r="A173">
        <f>IFERROR(__xludf.DUMMYFUNCTION("""COMPUTED_VALUE"""),204.0)</f>
        <v>204</v>
      </c>
      <c r="B173" s="11" t="str">
        <f>IFERROR(__xludf.DUMMYFUNCTION("""COMPUTED_VALUE"""),"About exactly what personal info it's using")</f>
        <v>About exactly what personal info it's using</v>
      </c>
      <c r="C173" s="11"/>
      <c r="D173" s="11"/>
      <c r="E173" s="11"/>
      <c r="F173" s="11"/>
      <c r="G173" s="11"/>
      <c r="H173" s="11"/>
      <c r="I173" s="11"/>
      <c r="J173" s="11"/>
    </row>
    <row r="174">
      <c r="A174">
        <f>IFERROR(__xludf.DUMMYFUNCTION("""COMPUTED_VALUE"""),205.0)</f>
        <v>205</v>
      </c>
      <c r="B174" s="11"/>
      <c r="C174" s="11"/>
      <c r="D174" s="11"/>
      <c r="E174" s="11"/>
      <c r="F174" s="11"/>
      <c r="G174" s="11"/>
      <c r="H174" s="11"/>
      <c r="I174" s="11"/>
      <c r="J174" s="11"/>
    </row>
    <row r="175">
      <c r="A175">
        <f>IFERROR(__xludf.DUMMYFUNCTION("""COMPUTED_VALUE"""),206.0)</f>
        <v>206</v>
      </c>
      <c r="B175" s="11" t="str">
        <f>IFERROR(__xludf.DUMMYFUNCTION("""COMPUTED_VALUE"""),"I don't have concerns about google, which is why I gave them access")</f>
        <v>I don't have concerns about google, which is why I gave them access</v>
      </c>
      <c r="C175" s="11"/>
      <c r="D175" s="11"/>
      <c r="E175" s="11"/>
      <c r="F175" s="11"/>
      <c r="G175" s="11"/>
      <c r="H175" s="11"/>
      <c r="I175" s="11"/>
      <c r="J175" s="11"/>
    </row>
    <row r="176">
      <c r="A176">
        <f>IFERROR(__xludf.DUMMYFUNCTION("""COMPUTED_VALUE"""),207.0)</f>
        <v>207</v>
      </c>
      <c r="B176" s="11"/>
      <c r="C176" s="11"/>
      <c r="D176" s="11"/>
      <c r="E176" s="11"/>
      <c r="F176" s="11"/>
      <c r="G176" s="11"/>
      <c r="H176" s="11"/>
      <c r="I176" s="11"/>
      <c r="J176" s="11"/>
    </row>
    <row r="177">
      <c r="A177">
        <f>IFERROR(__xludf.DUMMYFUNCTION("""COMPUTED_VALUE"""),208.0)</f>
        <v>208</v>
      </c>
      <c r="B177" s="11" t="str">
        <f>IFERROR(__xludf.DUMMYFUNCTION("""COMPUTED_VALUE"""),"I have a general idea of what they do with the information; my biggest concern is should they choose to monetize it for their own profit without my approval (i.e. sell to third-party advertisers).")</f>
        <v>I have a general idea of what they do with the information; my biggest concern is should they choose to monetize it for their own profit without my approval (i.e. sell to third-party advertisers).</v>
      </c>
      <c r="C177" s="11"/>
      <c r="D177" s="11"/>
      <c r="E177" s="11"/>
      <c r="F177" s="11"/>
      <c r="G177" s="11"/>
      <c r="H177" s="11"/>
      <c r="I177" s="11"/>
      <c r="J177" s="11"/>
    </row>
    <row r="178">
      <c r="A178">
        <f>IFERROR(__xludf.DUMMYFUNCTION("""COMPUTED_VALUE"""),209.0)</f>
        <v>209</v>
      </c>
      <c r="B178" s="11" t="str">
        <f>IFERROR(__xludf.DUMMYFUNCTION("""COMPUTED_VALUE"""),"No concerns")</f>
        <v>No concerns</v>
      </c>
      <c r="C178" s="11"/>
      <c r="D178" s="11"/>
      <c r="E178" s="11"/>
      <c r="F178" s="11"/>
      <c r="G178" s="11"/>
      <c r="H178" s="11"/>
      <c r="I178" s="11"/>
      <c r="J178" s="11"/>
    </row>
    <row r="179">
      <c r="A179">
        <f>IFERROR(__xludf.DUMMYFUNCTION("""COMPUTED_VALUE"""),210.0)</f>
        <v>210</v>
      </c>
      <c r="B179" s="11" t="str">
        <f>IFERROR(__xludf.DUMMYFUNCTION("""COMPUTED_VALUE"""),"why and compose emails? like without asking me 1st? that's not ok at all especially for an app i don't remember giving permission to")</f>
        <v>why and compose emails? like without asking me 1st? that's not ok at all especially for an app i don't remember giving permission to</v>
      </c>
      <c r="C179" s="11"/>
      <c r="D179" s="11"/>
      <c r="E179" s="11"/>
      <c r="F179" s="11"/>
      <c r="G179" s="11"/>
      <c r="H179" s="11"/>
      <c r="I179" s="11"/>
      <c r="J179" s="11"/>
    </row>
    <row r="180">
      <c r="A180">
        <f>IFERROR(__xludf.DUMMYFUNCTION("""COMPUTED_VALUE"""),211.0)</f>
        <v>211</v>
      </c>
      <c r="B180" s="11" t="str">
        <f>IFERROR(__xludf.DUMMYFUNCTION("""COMPUTED_VALUE"""),"I made a deliberate choice to log in Xodo using my Google account, instead of continuing to use it without logging in. I trust it. My biggest concern might be their own security, and whether someone else could use their access to my account in a bad light"&amp;".")</f>
        <v>I made a deliberate choice to log in Xodo using my Google account, instead of continuing to use it without logging in. I trust it. My biggest concern might be their own security, and whether someone else could use their access to my account in a bad light.</v>
      </c>
      <c r="C180" s="11"/>
      <c r="D180" s="11"/>
      <c r="E180" s="11"/>
      <c r="F180" s="11"/>
      <c r="G180" s="11"/>
      <c r="H180" s="11"/>
      <c r="I180" s="11"/>
      <c r="J180" s="11"/>
    </row>
    <row r="181">
      <c r="A181">
        <f>IFERROR(__xludf.DUMMYFUNCTION("""COMPUTED_VALUE"""),212.0)</f>
        <v>212</v>
      </c>
      <c r="B181" s="11" t="str">
        <f>IFERROR(__xludf.DUMMYFUNCTION("""COMPUTED_VALUE"""),"I don't really have any concerns besides the potential of selling my personal information.")</f>
        <v>I don't really have any concerns besides the potential of selling my personal information.</v>
      </c>
      <c r="C181" s="11"/>
      <c r="D181" s="11"/>
      <c r="E181" s="11"/>
      <c r="F181" s="11"/>
      <c r="G181" s="11"/>
      <c r="H181" s="11"/>
      <c r="I181" s="11"/>
      <c r="J181" s="11"/>
    </row>
    <row r="182">
      <c r="A182">
        <f>IFERROR(__xludf.DUMMYFUNCTION("""COMPUTED_VALUE"""),213.0)</f>
        <v>213</v>
      </c>
      <c r="B182" s="11" t="str">
        <f>IFERROR(__xludf.DUMMYFUNCTION("""COMPUTED_VALUE"""),"My main concern is that of the privacy of my contacts and emails of others that I have stored within Dropbox or Google.")</f>
        <v>My main concern is that of the privacy of my contacts and emails of others that I have stored within Dropbox or Google.</v>
      </c>
      <c r="C182" s="11"/>
      <c r="D182" s="11"/>
      <c r="E182" s="11"/>
      <c r="F182" s="11"/>
      <c r="G182" s="11"/>
      <c r="H182" s="11"/>
      <c r="I182" s="11"/>
      <c r="J182" s="11"/>
    </row>
    <row r="183">
      <c r="A183">
        <f>IFERROR(__xludf.DUMMYFUNCTION("""COMPUTED_VALUE"""),214.0)</f>
        <v>214</v>
      </c>
      <c r="B183" s="11" t="str">
        <f>IFERROR(__xludf.DUMMYFUNCTION("""COMPUTED_VALUE"""),"I'm not sure what other personal info it has access to; this doesn't seem necessary for the game to function")</f>
        <v>I'm not sure what other personal info it has access to; this doesn't seem necessary for the game to function</v>
      </c>
      <c r="C183" s="11"/>
      <c r="D183" s="11"/>
      <c r="E183" s="11"/>
      <c r="F183" s="11"/>
      <c r="G183" s="11"/>
      <c r="H183" s="11"/>
      <c r="I183" s="11"/>
      <c r="J183" s="11"/>
    </row>
    <row r="184">
      <c r="A184">
        <f>IFERROR(__xludf.DUMMYFUNCTION("""COMPUTED_VALUE"""),216.0)</f>
        <v>216</v>
      </c>
      <c r="B184" s="11" t="str">
        <f>IFERROR(__xludf.DUMMYFUNCTION("""COMPUTED_VALUE"""),"I am concerned that it can see and download ALL of my files.")</f>
        <v>I am concerned that it can see and download ALL of my files.</v>
      </c>
      <c r="C184" s="11"/>
      <c r="D184" s="11"/>
      <c r="E184" s="11"/>
      <c r="F184" s="11"/>
      <c r="G184" s="11"/>
      <c r="H184" s="11"/>
      <c r="I184" s="11"/>
      <c r="J184" s="11"/>
    </row>
    <row r="185">
      <c r="A185">
        <f>IFERROR(__xludf.DUMMYFUNCTION("""COMPUTED_VALUE"""),218.0)</f>
        <v>218</v>
      </c>
      <c r="B185" s="11" t="str">
        <f>IFERROR(__xludf.DUMMYFUNCTION("""COMPUTED_VALUE"""),"My only concern is if it shares my files with others.")</f>
        <v>My only concern is if it shares my files with others.</v>
      </c>
      <c r="C185" s="11"/>
      <c r="D185" s="11"/>
      <c r="E185" s="11"/>
      <c r="F185" s="11"/>
      <c r="G185" s="11"/>
      <c r="H185" s="11"/>
      <c r="I185" s="11"/>
      <c r="J185" s="11"/>
    </row>
    <row r="186">
      <c r="A186">
        <f>IFERROR(__xludf.DUMMYFUNCTION("""COMPUTED_VALUE"""),219.0)</f>
        <v>219</v>
      </c>
      <c r="B186" s="11" t="str">
        <f>IFERROR(__xludf.DUMMYFUNCTION("""COMPUTED_VALUE"""),"I don't really trust them as a company, however, I had gotten my account hacked and so that was part of why I ended up linking it. I wanted to be able to resecure my account and linking it this way was one way to ensure it couldn't get hacked again.")</f>
        <v>I don't really trust them as a company, however, I had gotten my account hacked and so that was part of why I ended up linking it. I wanted to be able to resecure my account and linking it this way was one way to ensure it couldn't get hacked again.</v>
      </c>
      <c r="C186" s="11"/>
      <c r="D186" s="11"/>
      <c r="E186" s="11"/>
      <c r="F186" s="11"/>
      <c r="G186" s="11"/>
      <c r="H186" s="11"/>
      <c r="I186" s="11"/>
      <c r="J186" s="11"/>
    </row>
    <row r="187">
      <c r="A187">
        <f>IFERROR(__xludf.DUMMYFUNCTION("""COMPUTED_VALUE"""),220.0)</f>
        <v>220</v>
      </c>
      <c r="B187" s="11" t="str">
        <f>IFERROR(__xludf.DUMMYFUNCTION("""COMPUTED_VALUE"""),"My primary concern is that my privacy and information may be leaked to other third-parties that may use my information to send me ads or unwanted information (spam mail).")</f>
        <v>My primary concern is that my privacy and information may be leaked to other third-parties that may use my information to send me ads or unwanted information (spam mail).</v>
      </c>
      <c r="C187" s="11"/>
      <c r="D187" s="11"/>
      <c r="E187" s="11"/>
      <c r="F187" s="11"/>
      <c r="G187" s="11"/>
      <c r="H187" s="11"/>
      <c r="I187" s="11"/>
      <c r="J187" s="11"/>
    </row>
    <row r="188">
      <c r="A188">
        <f>IFERROR(__xludf.DUMMYFUNCTION("""COMPUTED_VALUE"""),221.0)</f>
        <v>221</v>
      </c>
      <c r="B188" s="11" t="str">
        <f>IFERROR(__xludf.DUMMYFUNCTION("""COMPUTED_VALUE"""),"dropbox has held my personal photos. I hope these are always private. Dropbox shouldnt have access to my friends' email addresses and phone numbers and dates of birth and all the info i keep in personal contacts")</f>
        <v>dropbox has held my personal photos. I hope these are always private. Dropbox shouldnt have access to my friends' email addresses and phone numbers and dates of birth and all the info i keep in personal contacts</v>
      </c>
      <c r="C188" s="11"/>
      <c r="D188" s="11"/>
      <c r="E188" s="11"/>
      <c r="F188" s="11"/>
      <c r="G188" s="11"/>
      <c r="H188" s="11"/>
      <c r="I188" s="11"/>
      <c r="J188" s="11"/>
    </row>
    <row r="189">
      <c r="A189">
        <f>IFERROR(__xludf.DUMMYFUNCTION("""COMPUTED_VALUE"""),222.0)</f>
        <v>222</v>
      </c>
      <c r="B189" s="11" t="str">
        <f>IFERROR(__xludf.DUMMYFUNCTION("""COMPUTED_VALUE"""),"I don't have any real concerns about Mailbird having access to this information, I know why they need the information and the app was very transparent about needing my permission to access this information. The only slight concern I would have is if the a"&amp;"pp had some sort of error or bug happen that would delete something that I did not request, however I have confidence in this app that this would be a very rare occurrence.")</f>
        <v>I don't have any real concerns about Mailbird having access to this information, I know why they need the information and the app was very transparent about needing my permission to access this information. The only slight concern I would have is if the app had some sort of error or bug happen that would delete something that I did not request, however I have confidence in this app that this would be a very rare occurrence.</v>
      </c>
      <c r="C189" s="11"/>
      <c r="D189" s="11"/>
      <c r="E189" s="11"/>
      <c r="F189" s="11"/>
      <c r="G189" s="11"/>
      <c r="H189" s="11"/>
      <c r="I189" s="11"/>
      <c r="J189" s="11"/>
    </row>
    <row r="190">
      <c r="A190">
        <f>IFERROR(__xludf.DUMMYFUNCTION("""COMPUTED_VALUE"""),223.0)</f>
        <v>223</v>
      </c>
      <c r="B190" s="11"/>
      <c r="C190" s="11"/>
      <c r="D190" s="11"/>
      <c r="E190" s="11"/>
      <c r="F190" s="11"/>
      <c r="G190" s="11"/>
      <c r="H190" s="11"/>
      <c r="I190" s="11"/>
      <c r="J190" s="11"/>
    </row>
    <row r="191">
      <c r="A191">
        <f>IFERROR(__xludf.DUMMYFUNCTION("""COMPUTED_VALUE"""),224.0)</f>
        <v>224</v>
      </c>
      <c r="B191" s="11" t="str">
        <f>IFERROR(__xludf.DUMMYFUNCTION("""COMPUTED_VALUE"""),"The only thing I'm concerned really about is the access to Google Drive. I mainly use this as an email tracker, so I don't understand why they need access to my files.")</f>
        <v>The only thing I'm concerned really about is the access to Google Drive. I mainly use this as an email tracker, so I don't understand why they need access to my files.</v>
      </c>
      <c r="C191" s="11"/>
      <c r="D191" s="11"/>
      <c r="E191" s="11"/>
      <c r="F191" s="11"/>
      <c r="G191" s="11"/>
      <c r="H191" s="11"/>
      <c r="I191" s="11"/>
      <c r="J191" s="11"/>
    </row>
    <row r="192">
      <c r="A192">
        <f>IFERROR(__xludf.DUMMYFUNCTION("""COMPUTED_VALUE"""),225.0)</f>
        <v>225</v>
      </c>
      <c r="B192" s="11" t="str">
        <f>IFERROR(__xludf.DUMMYFUNCTION("""COMPUTED_VALUE"""),"I don't have a major concern, but may restrict Amazon's access to my Gmail account in the future for general safety reasons.")</f>
        <v>I don't have a major concern, but may restrict Amazon's access to my Gmail account in the future for general safety reasons.</v>
      </c>
      <c r="C192" s="11"/>
      <c r="D192" s="11"/>
      <c r="E192" s="11"/>
      <c r="F192" s="11"/>
      <c r="G192" s="11"/>
      <c r="H192" s="11"/>
      <c r="I192" s="11"/>
      <c r="J192" s="11"/>
    </row>
    <row r="193">
      <c r="A193">
        <f>IFERROR(__xludf.DUMMYFUNCTION("""COMPUTED_VALUE"""),226.0)</f>
        <v>226</v>
      </c>
      <c r="B193" s="11" t="str">
        <f>IFERROR(__xludf.DUMMYFUNCTION("""COMPUTED_VALUE"""),"I'm concerned Zoom might accidentally delete or include meetings on my schedule without my knowing. Other than that, I'm not very concerned having Zoom on my account. Having Zoom on my account is quite helpful and makes my life easier.")</f>
        <v>I'm concerned Zoom might accidentally delete or include meetings on my schedule without my knowing. Other than that, I'm not very concerned having Zoom on my account. Having Zoom on my account is quite helpful and makes my life easier.</v>
      </c>
      <c r="C193" s="11"/>
      <c r="D193" s="11"/>
      <c r="E193" s="11"/>
      <c r="F193" s="11"/>
      <c r="G193" s="11"/>
      <c r="H193" s="11"/>
      <c r="I193" s="11"/>
      <c r="J193" s="11"/>
    </row>
    <row r="194">
      <c r="A194">
        <f>IFERROR(__xludf.DUMMYFUNCTION("""COMPUTED_VALUE"""),227.0)</f>
        <v>227</v>
      </c>
      <c r="B194" s="11" t="str">
        <f>IFERROR(__xludf.DUMMYFUNCTION("""COMPUTED_VALUE"""),"I am just concerned that they may sell my information to other companies.")</f>
        <v>I am just concerned that they may sell my information to other companies.</v>
      </c>
      <c r="C194" s="11"/>
      <c r="D194" s="11"/>
      <c r="E194" s="11"/>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c r="C197" s="11"/>
      <c r="D197" s="11"/>
      <c r="E197" s="11"/>
      <c r="F197" s="11"/>
      <c r="G197" s="11"/>
      <c r="H197" s="11"/>
      <c r="I197" s="11"/>
      <c r="J197" s="11"/>
    </row>
    <row r="198">
      <c r="A198">
        <f>IFERROR(__xludf.DUMMYFUNCTION("""COMPUTED_VALUE"""),231.0)</f>
        <v>231</v>
      </c>
      <c r="B198" s="11" t="str">
        <f>IFERROR(__xludf.DUMMYFUNCTION("""COMPUTED_VALUE"""),"It's a shopping tool app, and does require access to my email. I don't think I recall the ""delete all your email from Gmail"" though, so now I'm going to look into that.")</f>
        <v>It's a shopping tool app, and does require access to my email. I don't think I recall the "delete all your email from Gmail" though, so now I'm going to look into that.</v>
      </c>
      <c r="C198" s="11"/>
      <c r="D198" s="11"/>
      <c r="E198" s="11"/>
      <c r="F198" s="11"/>
      <c r="G198" s="11"/>
      <c r="H198" s="11"/>
      <c r="I198" s="11"/>
      <c r="J198" s="11"/>
    </row>
    <row r="199">
      <c r="A199">
        <f>IFERROR(__xludf.DUMMYFUNCTION("""COMPUTED_VALUE"""),232.0)</f>
        <v>232</v>
      </c>
      <c r="B199" s="11" t="str">
        <f>IFERROR(__xludf.DUMMYFUNCTION("""COMPUTED_VALUE"""),"I am not concerned with Clash Royale's single permission.")</f>
        <v>I am not concerned with Clash Royale's single permission.</v>
      </c>
      <c r="C199" s="11"/>
      <c r="D199" s="11"/>
      <c r="E199" s="11"/>
      <c r="F199" s="11"/>
      <c r="G199" s="11"/>
      <c r="H199" s="11"/>
      <c r="I199" s="11"/>
      <c r="J199" s="11"/>
    </row>
    <row r="200">
      <c r="A200">
        <f>IFERROR(__xludf.DUMMYFUNCTION("""COMPUTED_VALUE"""),233.0)</f>
        <v>233</v>
      </c>
      <c r="B200" s="11" t="str">
        <f>IFERROR(__xludf.DUMMYFUNCTION("""COMPUTED_VALUE"""),"I do not have any concerns.")</f>
        <v>I do not have any concerns.</v>
      </c>
      <c r="C200" s="11"/>
      <c r="D200" s="11"/>
      <c r="E200" s="11"/>
      <c r="F200" s="11"/>
      <c r="G200" s="11"/>
      <c r="H200" s="11"/>
      <c r="I200" s="11"/>
      <c r="J200" s="11"/>
    </row>
    <row r="201">
      <c r="A201">
        <f>IFERROR(__xludf.DUMMYFUNCTION("""COMPUTED_VALUE"""),234.0)</f>
        <v>234</v>
      </c>
      <c r="B201" s="11"/>
      <c r="C201" s="11"/>
      <c r="D201" s="11"/>
      <c r="E201" s="11"/>
      <c r="F201" s="11"/>
      <c r="G201" s="11"/>
      <c r="H201" s="11"/>
      <c r="I201" s="11"/>
      <c r="J201" s="11"/>
    </row>
    <row r="202">
      <c r="A202">
        <f>IFERROR(__xludf.DUMMYFUNCTION("""COMPUTED_VALUE"""),235.0)</f>
        <v>235</v>
      </c>
      <c r="B202" s="11" t="str">
        <f>IFERROR(__xludf.DUMMYFUNCTION("""COMPUTED_VALUE"""),"Why would they need access to drive? The app doesn't even use drive.")</f>
        <v>Why would they need access to drive? The app doesn't even use drive.</v>
      </c>
      <c r="C202" s="11"/>
      <c r="D202" s="11"/>
      <c r="E202" s="11"/>
      <c r="F202" s="11"/>
      <c r="G202" s="11"/>
      <c r="H202" s="11"/>
      <c r="I202" s="11"/>
      <c r="J202" s="11"/>
    </row>
    <row r="203">
      <c r="A203">
        <f>IFERROR(__xludf.DUMMYFUNCTION("""COMPUTED_VALUE"""),236.0)</f>
        <v>236</v>
      </c>
      <c r="B203" s="11"/>
      <c r="C203" s="11"/>
      <c r="D203" s="11"/>
      <c r="E203" s="11"/>
      <c r="F203" s="11"/>
      <c r="G203" s="11"/>
      <c r="H203" s="11"/>
      <c r="I203" s="11"/>
      <c r="J203" s="11"/>
    </row>
    <row r="204">
      <c r="A204">
        <f>IFERROR(__xludf.DUMMYFUNCTION("""COMPUTED_VALUE"""),237.0)</f>
        <v>237</v>
      </c>
      <c r="B204" s="11"/>
      <c r="C204" s="11"/>
      <c r="D204" s="11"/>
      <c r="E204" s="11"/>
      <c r="F204" s="11"/>
      <c r="G204" s="11"/>
      <c r="H204" s="11"/>
      <c r="I204" s="11"/>
      <c r="J204" s="11"/>
    </row>
    <row r="205">
      <c r="A205">
        <f>IFERROR(__xludf.DUMMYFUNCTION("""COMPUTED_VALUE"""),238.0)</f>
        <v>238</v>
      </c>
      <c r="B205" s="11" t="str">
        <f>IFERROR(__xludf.DUMMYFUNCTION("""COMPUTED_VALUE"""),"The control they have over contacts and the different thing they can do with contacts is concerning. Seeing contacts is actually really nice because then it helps you find connections and I would guess that's all they use that access for (and maybe to adv"&amp;"ertise to contacts) but still it seems like they wouldn't need anything more than the ability to see contacts.
 Personal info isn't too concerning, this seems pretty typical, but still surprising how easily LinkedIn can access it.")</f>
        <v>The control they have over contacts and the different thing they can do with contacts is concerning. Seeing contacts is actually really nice because then it helps you find connections and I would guess that's all they use that access for (and maybe to advertise to contacts) but still it seems like they wouldn't need anything more than the ability to see contacts.
 Personal info isn't too concerning, this seems pretty typical, but still surprising how easily LinkedIn can access it.</v>
      </c>
      <c r="C205" s="11"/>
      <c r="D205" s="11"/>
      <c r="E205" s="11"/>
      <c r="F205" s="11"/>
      <c r="G205" s="11"/>
      <c r="H205" s="11"/>
      <c r="I205" s="11"/>
      <c r="J205" s="11"/>
    </row>
    <row r="206">
      <c r="A206">
        <f>IFERROR(__xludf.DUMMYFUNCTION("""COMPUTED_VALUE"""),239.0)</f>
        <v>239</v>
      </c>
      <c r="B206" s="11" t="str">
        <f>IFERROR(__xludf.DUMMYFUNCTION("""COMPUTED_VALUE"""),"Its a uneasy feeling knowing that these permissions could be exploited. Its similar to strangers having access to your house and your not there.")</f>
        <v>Its a uneasy feeling knowing that these permissions could be exploited. Its similar to strangers having access to your house and your not there.</v>
      </c>
      <c r="C206" s="11"/>
      <c r="D206" s="11"/>
      <c r="E206" s="11"/>
      <c r="F206" s="11"/>
      <c r="G206" s="11"/>
      <c r="H206" s="11"/>
      <c r="I206" s="11"/>
      <c r="J206" s="11"/>
    </row>
    <row r="207">
      <c r="A207">
        <f>IFERROR(__xludf.DUMMYFUNCTION("""COMPUTED_VALUE"""),240.0)</f>
        <v>240</v>
      </c>
      <c r="B207" s="11"/>
      <c r="C207" s="11"/>
      <c r="D207" s="11"/>
      <c r="E207" s="11"/>
      <c r="F207" s="11"/>
      <c r="G207" s="11"/>
      <c r="H207" s="11"/>
      <c r="I207" s="11"/>
      <c r="J207" s="11"/>
    </row>
    <row r="208">
      <c r="A208">
        <f>IFERROR(__xludf.DUMMYFUNCTION("""COMPUTED_VALUE"""),241.0)</f>
        <v>241</v>
      </c>
      <c r="B208" s="11"/>
      <c r="C208" s="11"/>
      <c r="D208" s="11"/>
      <c r="E208" s="11"/>
      <c r="F208" s="11"/>
      <c r="G208" s="11"/>
      <c r="H208" s="11"/>
      <c r="I208" s="11"/>
      <c r="J208" s="11"/>
    </row>
    <row r="209">
      <c r="A209">
        <f>IFERROR(__xludf.DUMMYFUNCTION("""COMPUTED_VALUE"""),242.0)</f>
        <v>242</v>
      </c>
      <c r="B209" s="11"/>
      <c r="C209" s="11"/>
      <c r="D209" s="11"/>
      <c r="E209" s="11"/>
      <c r="F209" s="11"/>
      <c r="G209" s="11"/>
      <c r="H209" s="11"/>
      <c r="I209" s="11"/>
      <c r="J209" s="11"/>
    </row>
    <row r="210">
      <c r="A210">
        <f>IFERROR(__xludf.DUMMYFUNCTION("""COMPUTED_VALUE"""),243.0)</f>
        <v>243</v>
      </c>
      <c r="B210" s="11" t="str">
        <f>IFERROR(__xludf.DUMMYFUNCTION("""COMPUTED_VALUE"""),"I don't have any concerns - we actually pay wordstream to manage it")</f>
        <v>I don't have any concerns - we actually pay wordstream to manage it</v>
      </c>
      <c r="C210" s="11"/>
      <c r="D210" s="11"/>
      <c r="E210" s="11"/>
      <c r="F210" s="11"/>
      <c r="G210" s="11"/>
      <c r="H210" s="11"/>
      <c r="I210" s="11"/>
      <c r="J210" s="11"/>
    </row>
    <row r="211">
      <c r="A211">
        <f>IFERROR(__xludf.DUMMYFUNCTION("""COMPUTED_VALUE"""),244.0)</f>
        <v>244</v>
      </c>
      <c r="B211" s="11"/>
      <c r="C211" s="11"/>
      <c r="D211" s="11"/>
      <c r="E211" s="11"/>
      <c r="F211" s="11"/>
      <c r="G211" s="11"/>
      <c r="H211" s="11"/>
      <c r="I211" s="11"/>
      <c r="J211" s="11"/>
    </row>
    <row r="212">
      <c r="A212">
        <f>IFERROR(__xludf.DUMMYFUNCTION("""COMPUTED_VALUE"""),245.0)</f>
        <v>245</v>
      </c>
      <c r="B212" s="11" t="str">
        <f>IFERROR(__xludf.DUMMYFUNCTION("""COMPUTED_VALUE"""),"Not much in way of concerns other than contacts")</f>
        <v>Not much in way of concerns other than contacts</v>
      </c>
      <c r="C212" s="11"/>
      <c r="D212" s="11"/>
      <c r="E212" s="11"/>
      <c r="F212" s="11"/>
      <c r="G212" s="11"/>
      <c r="H212" s="11"/>
      <c r="I212" s="11"/>
      <c r="J212" s="11"/>
    </row>
    <row r="213">
      <c r="A213">
        <f>IFERROR(__xludf.DUMMYFUNCTION("""COMPUTED_VALUE"""),246.0)</f>
        <v>246</v>
      </c>
      <c r="B213" s="11" t="str">
        <f>IFERROR(__xludf.DUMMYFUNCTION("""COMPUTED_VALUE"""),"i have no concerns")</f>
        <v>i have no concerns</v>
      </c>
      <c r="C213" s="11"/>
      <c r="D213" s="11"/>
      <c r="E213" s="11"/>
      <c r="F213" s="11"/>
      <c r="G213" s="11"/>
      <c r="H213" s="11"/>
      <c r="I213" s="11"/>
      <c r="J213" s="11"/>
    </row>
    <row r="214">
      <c r="A214">
        <f>IFERROR(__xludf.DUMMYFUNCTION("""COMPUTED_VALUE"""),247.0)</f>
        <v>247</v>
      </c>
      <c r="B214" s="11"/>
      <c r="C214" s="11"/>
      <c r="D214" s="11"/>
      <c r="E214" s="11"/>
      <c r="F214" s="11"/>
      <c r="G214" s="11"/>
      <c r="H214" s="11"/>
      <c r="I214" s="11"/>
      <c r="J214" s="11"/>
    </row>
    <row r="215">
      <c r="A215">
        <f>IFERROR(__xludf.DUMMYFUNCTION("""COMPUTED_VALUE"""),248.0)</f>
        <v>248</v>
      </c>
      <c r="B215" s="11" t="str">
        <f>IFERROR(__xludf.DUMMYFUNCTION("""COMPUTED_VALUE"""),"I don't understand what they're doing with my Google Drive and I don't want them accessing my information in Drive. I don't know why a game would need to access Drive.")</f>
        <v>I don't understand what they're doing with my Google Drive and I don't want them accessing my information in Drive. I don't know why a game would need to access Drive.</v>
      </c>
      <c r="C215" s="11"/>
      <c r="D215" s="11"/>
      <c r="E215" s="11"/>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30.86"/>
  </cols>
  <sheetData>
    <row r="1">
      <c r="A1" s="15" t="s">
        <v>785</v>
      </c>
      <c r="B1" s="28"/>
      <c r="C1" s="28"/>
      <c r="D1" s="28"/>
      <c r="E1" s="15" t="s">
        <v>786</v>
      </c>
      <c r="F1" s="28"/>
    </row>
    <row r="2">
      <c r="A2" s="45" t="str">
        <f>IFERROR(__xludf.DUMMYFUNCTION("QUERY({'Q14-old (secondary)'!C2:C1000;'Q14-old (secondary)'!D2:D1000;'Q14-old (secondary)'!E2:E1000;'Q14-old (secondary)'!F2:F1000;'Q14-old (secondary)'!G2:G1000;'Q14-old (secondary)'!H2:H1000;'Q14-old (secondary)'!I2:I1000;'Q14-old (secondary)'!J2:J1000;"&amp;"'Q14-old (secondary)'!K2:K1000}, ""select Col1, count(Col1) where Col1 is not null group by Col1 order by Col1 asc"")"),"")</f>
        <v/>
      </c>
      <c r="B2" s="28" t="str">
        <f>IFERROR(__xludf.DUMMYFUNCTION("""COMPUTED_VALUE"""),"count ")</f>
        <v>count </v>
      </c>
      <c r="C2" s="28"/>
      <c r="D2" s="28"/>
      <c r="E2" s="28" t="str">
        <f>IFERROR(__xludf.DUMMYFUNCTION("QUERY({'Q14-old (secondary)'!C2:C1000;'Q14-old (secondary)'!D2:D1000;'Q14-old (secondary)'!E2:E1000;'Q14-old (secondary)'!F2:F1000;'Q14-old (secondary)'!G2:G1000;'Q14-old (secondary)'!H2:H1000;'Q14-old (secondary)'!I2:I1000;'Q14-old (secondary)'!J2:J1000;"&amp;"'Q14-old (secondary)'!K2:K1000}, ""select Col1, count(Col1) where Col1 is not null and not Col1 contains '-&gt;' group by Col1 order by count(Col1) asc"")"),"")</f>
        <v/>
      </c>
      <c r="F2" s="28" t="str">
        <f>IFERROR(__xludf.DUMMYFUNCTION("""COMPUTED_VALUE"""),"count ")</f>
        <v>count </v>
      </c>
    </row>
    <row r="3">
      <c r="A3" t="str">
        <f>IFERROR(__xludf.DUMMYFUNCTION("""COMPUTED_VALUE"""),"app_beneficial")</f>
        <v>app_beneficial</v>
      </c>
      <c r="B3">
        <f>IFERROR(__xludf.DUMMYFUNCTION("""COMPUTED_VALUE"""),3.0)</f>
        <v>3</v>
      </c>
      <c r="E3" t="str">
        <f>IFERROR(__xludf.DUMMYFUNCTION("""COMPUTED_VALUE"""),"do_not_recall_authorizing")</f>
        <v>do_not_recall_authorizing</v>
      </c>
      <c r="F3">
        <f>IFERROR(__xludf.DUMMYFUNCTION("""COMPUTED_VALUE"""),1.0)</f>
        <v>1</v>
      </c>
    </row>
    <row r="4">
      <c r="A4" t="str">
        <f>IFERROR(__xludf.DUMMYFUNCTION("""COMPUTED_VALUE"""),"concerned")</f>
        <v>concerned</v>
      </c>
      <c r="B4">
        <f>IFERROR(__xludf.DUMMYFUNCTION("""COMPUTED_VALUE"""),15.0)</f>
        <v>15</v>
      </c>
      <c r="E4" t="str">
        <f>IFERROR(__xludf.DUMMYFUNCTION("""COMPUTED_VALUE"""),"trust_app")</f>
        <v>trust_app</v>
      </c>
      <c r="F4">
        <f>IFERROR(__xludf.DUMMYFUNCTION("""COMPUTED_VALUE"""),1.0)</f>
        <v>1</v>
      </c>
    </row>
    <row r="5">
      <c r="A5" t="str">
        <f>IFERROR(__xludf.DUMMYFUNCTION("""COMPUTED_VALUE"""),"concerned-&gt;access_when_not_using_app")</f>
        <v>concerned-&gt;access_when_not_using_app</v>
      </c>
      <c r="B5">
        <f>IFERROR(__xludf.DUMMYFUNCTION("""COMPUTED_VALUE"""),1.0)</f>
        <v>1</v>
      </c>
      <c r="E5" t="str">
        <f>IFERROR(__xludf.DUMMYFUNCTION("""COMPUTED_VALUE"""),"infrequent_use")</f>
        <v>infrequent_use</v>
      </c>
      <c r="F5">
        <f>IFERROR(__xludf.DUMMYFUNCTION("""COMPUTED_VALUE"""),2.0)</f>
        <v>2</v>
      </c>
    </row>
    <row r="6">
      <c r="A6" t="str">
        <f>IFERROR(__xludf.DUMMYFUNCTION("""COMPUTED_VALUE"""),"concerned-&gt;data_leak")</f>
        <v>concerned-&gt;data_leak</v>
      </c>
      <c r="B6">
        <f>IFERROR(__xludf.DUMMYFUNCTION("""COMPUTED_VALUE"""),2.0)</f>
        <v>2</v>
      </c>
      <c r="E6" t="str">
        <f>IFERROR(__xludf.DUMMYFUNCTION("""COMPUTED_VALUE"""),"app_beneficial")</f>
        <v>app_beneficial</v>
      </c>
      <c r="F6">
        <f>IFERROR(__xludf.DUMMYFUNCTION("""COMPUTED_VALUE"""),3.0)</f>
        <v>3</v>
      </c>
    </row>
    <row r="7">
      <c r="A7" t="str">
        <f>IFERROR(__xludf.DUMMYFUNCTION("""COMPUTED_VALUE"""),"concerned-&gt;misuse")</f>
        <v>concerned-&gt;misuse</v>
      </c>
      <c r="B7">
        <f>IFERROR(__xludf.DUMMYFUNCTION("""COMPUTED_VALUE"""),3.0)</f>
        <v>3</v>
      </c>
      <c r="E7" t="str">
        <f>IFERROR(__xludf.DUMMYFUNCTION("""COMPUTED_VALUE"""),"unknowns")</f>
        <v>unknowns</v>
      </c>
      <c r="F7">
        <f>IFERROR(__xludf.DUMMYFUNCTION("""COMPUTED_VALUE"""),3.0)</f>
        <v>3</v>
      </c>
    </row>
    <row r="8">
      <c r="A8" t="str">
        <f>IFERROR(__xludf.DUMMYFUNCTION("""COMPUTED_VALUE"""),"concerned-&gt;permissions")</f>
        <v>concerned-&gt;permissions</v>
      </c>
      <c r="B8">
        <f>IFERROR(__xludf.DUMMYFUNCTION("""COMPUTED_VALUE"""),4.0)</f>
        <v>4</v>
      </c>
      <c r="E8" t="str">
        <f>IFERROR(__xludf.DUMMYFUNCTION("""COMPUTED_VALUE"""),"unconcerned")</f>
        <v>unconcerned</v>
      </c>
      <c r="F8">
        <f>IFERROR(__xludf.DUMMYFUNCTION("""COMPUTED_VALUE"""),12.0)</f>
        <v>12</v>
      </c>
    </row>
    <row r="9">
      <c r="A9" t="str">
        <f>IFERROR(__xludf.DUMMYFUNCTION("""COMPUTED_VALUE"""),"concerned-&gt;permissions-&gt;contacts")</f>
        <v>concerned-&gt;permissions-&gt;contacts</v>
      </c>
      <c r="B9">
        <f>IFERROR(__xludf.DUMMYFUNCTION("""COMPUTED_VALUE"""),2.0)</f>
        <v>2</v>
      </c>
      <c r="E9" t="str">
        <f>IFERROR(__xludf.DUMMYFUNCTION("""COMPUTED_VALUE"""),"concerned")</f>
        <v>concerned</v>
      </c>
      <c r="F9">
        <f>IFERROR(__xludf.DUMMYFUNCTION("""COMPUTED_VALUE"""),15.0)</f>
        <v>15</v>
      </c>
    </row>
    <row r="10">
      <c r="A10" t="str">
        <f>IFERROR(__xludf.DUMMYFUNCTION("""COMPUTED_VALUE"""),"concerned-&gt;permissions-&gt;email")</f>
        <v>concerned-&gt;permissions-&gt;email</v>
      </c>
      <c r="B10">
        <f>IFERROR(__xludf.DUMMYFUNCTION("""COMPUTED_VALUE"""),1.0)</f>
        <v>1</v>
      </c>
    </row>
    <row r="11">
      <c r="A11" t="str">
        <f>IFERROR(__xludf.DUMMYFUNCTION("""COMPUTED_VALUE"""),"concerned-&gt;permissions_after_deleted_app")</f>
        <v>concerned-&gt;permissions_after_deleted_app</v>
      </c>
      <c r="B11">
        <f>IFERROR(__xludf.DUMMYFUNCTION("""COMPUTED_VALUE"""),1.0)</f>
        <v>1</v>
      </c>
    </row>
    <row r="12">
      <c r="A12" t="str">
        <f>IFERROR(__xludf.DUMMYFUNCTION("""COMPUTED_VALUE"""),"concerned-&gt;personal_data")</f>
        <v>concerned-&gt;personal_data</v>
      </c>
      <c r="B12">
        <f>IFERROR(__xludf.DUMMYFUNCTION("""COMPUTED_VALUE"""),3.0)</f>
        <v>3</v>
      </c>
    </row>
    <row r="13">
      <c r="A13" t="str">
        <f>IFERROR(__xludf.DUMMYFUNCTION("""COMPUTED_VALUE"""),"concerned-&gt;personal_data-&gt;selling_data")</f>
        <v>concerned-&gt;personal_data-&gt;selling_data</v>
      </c>
      <c r="B13">
        <f>IFERROR(__xludf.DUMMYFUNCTION("""COMPUTED_VALUE"""),1.0)</f>
        <v>1</v>
      </c>
    </row>
    <row r="14">
      <c r="A14" t="str">
        <f>IFERROR(__xludf.DUMMYFUNCTION("""COMPUTED_VALUE"""),"concerned-&gt;personal_data-&gt;used_for_advertising")</f>
        <v>concerned-&gt;personal_data-&gt;used_for_advertising</v>
      </c>
      <c r="B14">
        <f>IFERROR(__xludf.DUMMYFUNCTION("""COMPUTED_VALUE"""),2.0)</f>
        <v>2</v>
      </c>
    </row>
    <row r="15">
      <c r="A15" t="str">
        <f>IFERROR(__xludf.DUMMYFUNCTION("""COMPUTED_VALUE"""),"concerned-&gt;tracking")</f>
        <v>concerned-&gt;tracking</v>
      </c>
      <c r="B15">
        <f>IFERROR(__xludf.DUMMYFUNCTION("""COMPUTED_VALUE"""),2.0)</f>
        <v>2</v>
      </c>
    </row>
    <row r="16">
      <c r="A16" t="str">
        <f>IFERROR(__xludf.DUMMYFUNCTION("""COMPUTED_VALUE"""),"concerned-&gt;unecessary_access_to_data")</f>
        <v>concerned-&gt;unecessary_access_to_data</v>
      </c>
      <c r="B16">
        <f>IFERROR(__xludf.DUMMYFUNCTION("""COMPUTED_VALUE"""),4.0)</f>
        <v>4</v>
      </c>
    </row>
    <row r="17">
      <c r="A17" t="str">
        <f>IFERROR(__xludf.DUMMYFUNCTION("""COMPUTED_VALUE"""),"do_not_recall_authorizing")</f>
        <v>do_not_recall_authorizing</v>
      </c>
      <c r="B17">
        <f>IFERROR(__xludf.DUMMYFUNCTION("""COMPUTED_VALUE"""),1.0)</f>
        <v>1</v>
      </c>
    </row>
    <row r="18">
      <c r="A18" t="str">
        <f>IFERROR(__xludf.DUMMYFUNCTION("""COMPUTED_VALUE"""),"infrequent_use")</f>
        <v>infrequent_use</v>
      </c>
      <c r="B18">
        <f>IFERROR(__xludf.DUMMYFUNCTION("""COMPUTED_VALUE"""),2.0)</f>
        <v>2</v>
      </c>
    </row>
    <row r="19">
      <c r="A19" t="str">
        <f>IFERROR(__xludf.DUMMYFUNCTION("""COMPUTED_VALUE"""),"trust_app")</f>
        <v>trust_app</v>
      </c>
      <c r="B19">
        <f>IFERROR(__xludf.DUMMYFUNCTION("""COMPUTED_VALUE"""),1.0)</f>
        <v>1</v>
      </c>
    </row>
    <row r="20">
      <c r="A20" t="str">
        <f>IFERROR(__xludf.DUMMYFUNCTION("""COMPUTED_VALUE"""),"unconcerned")</f>
        <v>unconcerned</v>
      </c>
      <c r="B20">
        <f>IFERROR(__xludf.DUMMYFUNCTION("""COMPUTED_VALUE"""),12.0)</f>
        <v>12</v>
      </c>
    </row>
    <row r="21">
      <c r="A21" t="str">
        <f>IFERROR(__xludf.DUMMYFUNCTION("""COMPUTED_VALUE"""),"unconcerned-&gt;low_permission_level")</f>
        <v>unconcerned-&gt;low_permission_level</v>
      </c>
      <c r="B21">
        <f>IFERROR(__xludf.DUMMYFUNCTION("""COMPUTED_VALUE"""),1.0)</f>
        <v>1</v>
      </c>
    </row>
    <row r="22">
      <c r="A22" t="str">
        <f>IFERROR(__xludf.DUMMYFUNCTION("""COMPUTED_VALUE"""),"unconcerned-&gt;low_permission_level'")</f>
        <v>unconcerned-&gt;low_permission_level'</v>
      </c>
      <c r="B22">
        <f>IFERROR(__xludf.DUMMYFUNCTION("""COMPUTED_VALUE"""),1.0)</f>
        <v>1</v>
      </c>
    </row>
    <row r="23">
      <c r="A23" t="str">
        <f>IFERROR(__xludf.DUMMYFUNCTION("""COMPUTED_VALUE"""),"unconcerned-&gt;permissions_necessary")</f>
        <v>unconcerned-&gt;permissions_necessary</v>
      </c>
      <c r="B23">
        <f>IFERROR(__xludf.DUMMYFUNCTION("""COMPUTED_VALUE"""),3.0)</f>
        <v>3</v>
      </c>
    </row>
    <row r="24">
      <c r="A24" t="str">
        <f>IFERROR(__xludf.DUMMYFUNCTION("""COMPUTED_VALUE"""),"unknowns")</f>
        <v>unknowns</v>
      </c>
      <c r="B24">
        <f>IFERROR(__xludf.DUMMYFUNCTION("""COMPUTED_VALUE"""),3.0)</f>
        <v>3</v>
      </c>
    </row>
    <row r="25">
      <c r="A25" t="str">
        <f>IFERROR(__xludf.DUMMYFUNCTION("""COMPUTED_VALUE"""),"unknowns-&gt;how_data_used")</f>
        <v>unknowns-&gt;how_data_used</v>
      </c>
      <c r="B25">
        <f>IFERROR(__xludf.DUMMYFUNCTION("""COMPUTED_VALUE"""),1.0)</f>
        <v>1</v>
      </c>
    </row>
    <row r="26">
      <c r="A26" t="str">
        <f>IFERROR(__xludf.DUMMYFUNCTION("""COMPUTED_VALUE"""),"unknowns-&gt;what_permission_allows")</f>
        <v>unknowns-&gt;what_permission_allows</v>
      </c>
      <c r="B26">
        <f>IFERROR(__xludf.DUMMYFUNCTION("""COMPUTED_VALUE"""),1.0)</f>
        <v>1</v>
      </c>
    </row>
    <row r="27">
      <c r="A27" t="str">
        <f>IFERROR(__xludf.DUMMYFUNCTION("""COMPUTED_VALUE"""),"unknowns-&gt;why_permissions_necessary")</f>
        <v>unknowns-&gt;why_permissions_necessary</v>
      </c>
      <c r="B27">
        <f>IFERROR(__xludf.DUMMYFUNCTION("""COMPUTED_VALUE"""),1.0)</f>
        <v>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14"/>
    <col customWidth="1" min="2" max="2" width="48.14"/>
    <col customWidth="1" min="3" max="4" width="26.0"/>
    <col customWidth="1" min="5" max="10" width="30.29"/>
  </cols>
  <sheetData>
    <row r="1">
      <c r="A1" s="41" t="str">
        <f>IFERROR(__xludf.DUMMYFUNCTION("QUERY('All Responses'!2:1001,""select A,E"")"),"Response ID")</f>
        <v>Response ID</v>
      </c>
      <c r="B1" s="16" t="str">
        <f>IFERROR(__xludf.DUMMYFUNCTION("""COMPUTED_VALUE"""),"rfl_what_settings")</f>
        <v>rfl_what_settings</v>
      </c>
      <c r="C1" s="16" t="s">
        <v>750</v>
      </c>
      <c r="D1" s="16" t="s">
        <v>751</v>
      </c>
      <c r="E1" s="16" t="s">
        <v>752</v>
      </c>
      <c r="F1" s="16" t="s">
        <v>753</v>
      </c>
      <c r="G1" s="16" t="s">
        <v>754</v>
      </c>
      <c r="H1" s="16" t="s">
        <v>755</v>
      </c>
      <c r="I1" s="16" t="s">
        <v>756</v>
      </c>
      <c r="J1" s="16" t="s">
        <v>757</v>
      </c>
    </row>
    <row r="2">
      <c r="A2" s="42">
        <f>IFERROR(__xludf.DUMMYFUNCTION("""COMPUTED_VALUE"""),27.0)</f>
        <v>27</v>
      </c>
      <c r="B2" s="18"/>
      <c r="C2" s="3"/>
      <c r="D2" s="3"/>
      <c r="E2" s="3"/>
      <c r="F2" s="3"/>
      <c r="G2" s="3"/>
      <c r="H2" s="11"/>
      <c r="I2" s="11"/>
      <c r="J2" s="11"/>
    </row>
    <row r="3">
      <c r="A3" s="42">
        <f>IFERROR(__xludf.DUMMYFUNCTION("""COMPUTED_VALUE"""),29.0)</f>
        <v>29</v>
      </c>
      <c r="B3" s="18"/>
      <c r="C3" s="3"/>
      <c r="E3" s="3"/>
      <c r="F3" s="3"/>
      <c r="G3" s="11"/>
      <c r="H3" s="11"/>
      <c r="I3" s="11"/>
      <c r="J3" s="11"/>
    </row>
    <row r="4">
      <c r="A4" s="42">
        <f>IFERROR(__xludf.DUMMYFUNCTION("""COMPUTED_VALUE"""),30.0)</f>
        <v>30</v>
      </c>
      <c r="B4" s="18" t="str">
        <f>IFERROR(__xludf.DUMMYFUNCTION("""COMPUTED_VALUE"""),"I would just get rid of the ones I don't use at all anymore.")</f>
        <v>I would just get rid of the ones I don't use at all anymore.</v>
      </c>
      <c r="C4" s="31" t="s">
        <v>812</v>
      </c>
      <c r="D4" s="31" t="s">
        <v>813</v>
      </c>
      <c r="E4" s="38"/>
      <c r="F4" s="3"/>
      <c r="G4" s="11"/>
      <c r="H4" s="11"/>
      <c r="I4" s="11"/>
      <c r="J4" s="11"/>
    </row>
    <row r="5">
      <c r="A5" s="42">
        <f>IFERROR(__xludf.DUMMYFUNCTION("""COMPUTED_VALUE"""),31.0)</f>
        <v>31</v>
      </c>
      <c r="B5" s="18"/>
      <c r="C5" s="3"/>
      <c r="D5" s="3"/>
      <c r="E5" s="3"/>
      <c r="F5" s="3"/>
      <c r="G5" s="3"/>
      <c r="H5" s="11"/>
      <c r="I5" s="11"/>
      <c r="J5" s="11"/>
    </row>
    <row r="6">
      <c r="A6" s="42">
        <f>IFERROR(__xludf.DUMMYFUNCTION("""COMPUTED_VALUE"""),32.0)</f>
        <v>32</v>
      </c>
      <c r="B6" s="18"/>
      <c r="C6" s="3"/>
      <c r="D6" s="3"/>
      <c r="E6" s="11"/>
      <c r="F6" s="11"/>
      <c r="G6" s="11"/>
      <c r="H6" s="11"/>
      <c r="I6" s="11"/>
      <c r="J6" s="11"/>
    </row>
    <row r="7">
      <c r="A7" s="42">
        <f>IFERROR(__xludf.DUMMYFUNCTION("""COMPUTED_VALUE"""),34.0)</f>
        <v>34</v>
      </c>
      <c r="B7" s="18" t="str">
        <f>IFERROR(__xludf.DUMMYFUNCTION("""COMPUTED_VALUE"""),"I would like to remove several of the apps that have access to my account, as I do not use them and don't want them to have access to my data if I am not benefitting from them.")</f>
        <v>I would like to remove several of the apps that have access to my account, as I do not use them and don't want them to have access to my data if I am not benefitting from them.</v>
      </c>
      <c r="C7" s="31" t="s">
        <v>812</v>
      </c>
      <c r="D7" s="31" t="s">
        <v>813</v>
      </c>
      <c r="F7" s="3"/>
      <c r="G7" s="3"/>
      <c r="H7" s="3"/>
      <c r="I7" s="11"/>
      <c r="J7" s="11"/>
    </row>
    <row r="8">
      <c r="A8" s="42">
        <f>IFERROR(__xludf.DUMMYFUNCTION("""COMPUTED_VALUE"""),35.0)</f>
        <v>35</v>
      </c>
      <c r="B8" s="18" t="str">
        <f>IFERROR(__xludf.DUMMYFUNCTION("""COMPUTED_VALUE"""),"I will revoke access to some apps that I do not foresee using in the near future. And see about changing access to apps that I do use to make sure the accesses are necessary for my user experience.")</f>
        <v>I will revoke access to some apps that I do not foresee using in the near future. And see about changing access to apps that I do use to make sure the accesses are necessary for my user experience.</v>
      </c>
      <c r="C8" s="31" t="s">
        <v>812</v>
      </c>
      <c r="D8" s="31" t="s">
        <v>813</v>
      </c>
      <c r="E8" s="3" t="s">
        <v>814</v>
      </c>
      <c r="F8" s="3" t="s">
        <v>815</v>
      </c>
      <c r="G8" s="11"/>
      <c r="H8" s="11"/>
      <c r="I8" s="11"/>
      <c r="J8" s="11"/>
    </row>
    <row r="9">
      <c r="A9" s="42">
        <f>IFERROR(__xludf.DUMMYFUNCTION("""COMPUTED_VALUE"""),36.0)</f>
        <v>36</v>
      </c>
      <c r="B9" s="18" t="str">
        <f>IFERROR(__xludf.DUMMYFUNCTION("""COMPUTED_VALUE"""),"I would change contacts access.")</f>
        <v>I would change contacts access.</v>
      </c>
      <c r="C9" s="3" t="s">
        <v>814</v>
      </c>
      <c r="D9" s="3" t="s">
        <v>816</v>
      </c>
      <c r="E9" s="3"/>
      <c r="F9" s="3"/>
      <c r="G9" s="3"/>
      <c r="H9" s="11"/>
      <c r="I9" s="11"/>
      <c r="J9" s="11"/>
    </row>
    <row r="10">
      <c r="A10" s="42">
        <f>IFERROR(__xludf.DUMMYFUNCTION("""COMPUTED_VALUE"""),37.0)</f>
        <v>37</v>
      </c>
      <c r="B10" s="18"/>
      <c r="D10" s="3"/>
      <c r="E10" s="3"/>
      <c r="F10" s="11"/>
      <c r="G10" s="11"/>
      <c r="H10" s="11"/>
      <c r="I10" s="11"/>
      <c r="J10" s="11"/>
    </row>
    <row r="11">
      <c r="A11" s="42">
        <f>IFERROR(__xludf.DUMMYFUNCTION("""COMPUTED_VALUE"""),38.0)</f>
        <v>38</v>
      </c>
      <c r="B11" s="18" t="str">
        <f>IFERROR(__xludf.DUMMYFUNCTION("""COMPUTED_VALUE"""),"I would change access to the apps that I no longer use (google hub)")</f>
        <v>I would change access to the apps that I no longer use (google hub)</v>
      </c>
      <c r="C11" s="31" t="s">
        <v>812</v>
      </c>
      <c r="D11" s="31" t="s">
        <v>813</v>
      </c>
      <c r="E11" s="11"/>
      <c r="F11" s="11"/>
      <c r="G11" s="11"/>
      <c r="H11" s="11"/>
      <c r="I11" s="11"/>
      <c r="J11" s="11"/>
    </row>
    <row r="12">
      <c r="A12" s="42">
        <f>IFERROR(__xludf.DUMMYFUNCTION("""COMPUTED_VALUE"""),39.0)</f>
        <v>39</v>
      </c>
      <c r="B12" s="18"/>
      <c r="C12" s="3"/>
      <c r="D12" s="3"/>
      <c r="E12" s="11"/>
      <c r="F12" s="11"/>
      <c r="G12" s="11"/>
      <c r="H12" s="11"/>
      <c r="I12" s="11"/>
      <c r="J12" s="11"/>
    </row>
    <row r="13">
      <c r="A13" s="42">
        <f>IFERROR(__xludf.DUMMYFUNCTION("""COMPUTED_VALUE"""),40.0)</f>
        <v>40</v>
      </c>
      <c r="B13" s="18" t="str">
        <f>IFERROR(__xludf.DUMMYFUNCTION("""COMPUTED_VALUE"""),"I don't know if I understood the question.")</f>
        <v>I don't know if I understood the question.</v>
      </c>
      <c r="C13" s="3"/>
      <c r="D13" s="3"/>
      <c r="E13" s="11"/>
      <c r="F13" s="11"/>
      <c r="H13" s="11"/>
      <c r="I13" s="11"/>
      <c r="J13" s="11"/>
    </row>
    <row r="14">
      <c r="A14" s="42">
        <f>IFERROR(__xludf.DUMMYFUNCTION("""COMPUTED_VALUE"""),41.0)</f>
        <v>41</v>
      </c>
      <c r="B14" s="18"/>
      <c r="C14" s="3"/>
      <c r="D14" s="3"/>
      <c r="E14" s="21"/>
      <c r="F14" s="46"/>
      <c r="G14" s="47"/>
      <c r="H14" s="11"/>
      <c r="I14" s="11"/>
      <c r="J14" s="11"/>
    </row>
    <row r="15">
      <c r="A15" s="42">
        <f>IFERROR(__xludf.DUMMYFUNCTION("""COMPUTED_VALUE"""),42.0)</f>
        <v>42</v>
      </c>
      <c r="B15" s="18" t="str">
        <f>IFERROR(__xludf.DUMMYFUNCTION("""COMPUTED_VALUE"""),"I will limit access to only apps I use on a regular basis.")</f>
        <v>I will limit access to only apps I use on a regular basis.</v>
      </c>
      <c r="C15" s="31" t="s">
        <v>812</v>
      </c>
      <c r="D15" s="31" t="s">
        <v>813</v>
      </c>
      <c r="E15" s="11"/>
      <c r="F15" s="11"/>
      <c r="G15" s="11"/>
      <c r="H15" s="11"/>
      <c r="I15" s="11"/>
      <c r="J15" s="11"/>
      <c r="K15" s="48"/>
      <c r="L15" s="48"/>
      <c r="M15" s="48"/>
      <c r="N15" s="48"/>
      <c r="O15" s="48"/>
      <c r="P15" s="48"/>
      <c r="Q15" s="48"/>
      <c r="R15" s="48"/>
      <c r="S15" s="48"/>
      <c r="T15" s="48"/>
      <c r="U15" s="48"/>
      <c r="V15" s="48"/>
      <c r="W15" s="48"/>
      <c r="X15" s="48"/>
      <c r="Y15" s="48"/>
      <c r="Z15" s="48"/>
    </row>
    <row r="16">
      <c r="A16" s="42">
        <f>IFERROR(__xludf.DUMMYFUNCTION("""COMPUTED_VALUE"""),43.0)</f>
        <v>43</v>
      </c>
      <c r="B16" s="18"/>
      <c r="C16" s="3"/>
      <c r="D16" s="3"/>
      <c r="E16" s="3"/>
      <c r="F16" s="3"/>
      <c r="G16" s="11"/>
      <c r="H16" s="11"/>
      <c r="I16" s="11"/>
      <c r="J16" s="11"/>
      <c r="K16" s="48"/>
      <c r="L16" s="48"/>
      <c r="M16" s="48"/>
      <c r="N16" s="48"/>
      <c r="O16" s="48"/>
      <c r="P16" s="48"/>
      <c r="Q16" s="48"/>
      <c r="R16" s="48"/>
      <c r="S16" s="48"/>
      <c r="T16" s="48"/>
      <c r="U16" s="48"/>
      <c r="V16" s="48"/>
      <c r="W16" s="48"/>
      <c r="X16" s="48"/>
      <c r="Y16" s="48"/>
      <c r="Z16" s="48"/>
    </row>
    <row r="17">
      <c r="A17" s="42">
        <f>IFERROR(__xludf.DUMMYFUNCTION("""COMPUTED_VALUE"""),44.0)</f>
        <v>44</v>
      </c>
      <c r="B17" s="18" t="str">
        <f>IFERROR(__xludf.DUMMYFUNCTION("""COMPUTED_VALUE"""),"I would delete and change the apps that have access to my google account.")</f>
        <v>I would delete and change the apps that have access to my google account.</v>
      </c>
      <c r="C17" s="31" t="s">
        <v>812</v>
      </c>
      <c r="D17" s="31" t="s">
        <v>817</v>
      </c>
      <c r="E17" s="19"/>
      <c r="F17" s="11"/>
      <c r="G17" s="11"/>
      <c r="H17" s="11"/>
      <c r="I17" s="11"/>
      <c r="J17" s="11"/>
    </row>
    <row r="18">
      <c r="A18" s="42">
        <f>IFERROR(__xludf.DUMMYFUNCTION("""COMPUTED_VALUE"""),45.0)</f>
        <v>45</v>
      </c>
      <c r="B18" s="18" t="str">
        <f>IFERROR(__xludf.DUMMYFUNCTION("""COMPUTED_VALUE"""),"I'd remove the apps I'm not using")</f>
        <v>I'd remove the apps I'm not using</v>
      </c>
      <c r="C18" s="31" t="s">
        <v>812</v>
      </c>
      <c r="D18" s="31" t="s">
        <v>813</v>
      </c>
      <c r="E18" s="3"/>
      <c r="F18" s="11"/>
      <c r="G18" s="11"/>
      <c r="H18" s="11"/>
      <c r="I18" s="11"/>
      <c r="J18" s="11"/>
    </row>
    <row r="19">
      <c r="A19" s="42">
        <f>IFERROR(__xludf.DUMMYFUNCTION("""COMPUTED_VALUE"""),46.0)</f>
        <v>46</v>
      </c>
      <c r="B19" s="18"/>
      <c r="C19" s="19"/>
      <c r="D19" s="19"/>
      <c r="E19" s="3"/>
      <c r="F19" s="11"/>
      <c r="G19" s="11"/>
      <c r="H19" s="11"/>
      <c r="I19" s="11"/>
      <c r="J19" s="11"/>
    </row>
    <row r="20">
      <c r="A20" s="42">
        <f>IFERROR(__xludf.DUMMYFUNCTION("""COMPUTED_VALUE"""),47.0)</f>
        <v>47</v>
      </c>
      <c r="B20" s="18" t="str">
        <f>IFERROR(__xludf.DUMMYFUNCTION("""COMPUTED_VALUE"""),"I would not allow them access to anything if possible.")</f>
        <v>I would not allow them access to anything if possible.</v>
      </c>
      <c r="C20" s="31" t="s">
        <v>812</v>
      </c>
      <c r="D20" s="31" t="s">
        <v>818</v>
      </c>
      <c r="E20" s="3"/>
      <c r="F20" s="3"/>
      <c r="G20" s="11"/>
      <c r="H20" s="11"/>
      <c r="I20" s="11"/>
      <c r="J20" s="11"/>
    </row>
    <row r="21">
      <c r="A21" s="42">
        <f>IFERROR(__xludf.DUMMYFUNCTION("""COMPUTED_VALUE"""),48.0)</f>
        <v>48</v>
      </c>
      <c r="B21" s="18" t="str">
        <f>IFERROR(__xludf.DUMMYFUNCTION("""COMPUTED_VALUE"""),"I would revoke account access from all the apps that have access.")</f>
        <v>I would revoke account access from all the apps that have access.</v>
      </c>
      <c r="C21" s="31" t="s">
        <v>812</v>
      </c>
      <c r="D21" s="31" t="s">
        <v>818</v>
      </c>
      <c r="E21" s="11"/>
      <c r="F21" s="11"/>
      <c r="G21" s="11"/>
      <c r="H21" s="11"/>
      <c r="I21" s="11"/>
      <c r="J21" s="11"/>
    </row>
    <row r="22">
      <c r="A22" s="42">
        <f>IFERROR(__xludf.DUMMYFUNCTION("""COMPUTED_VALUE"""),49.0)</f>
        <v>49</v>
      </c>
      <c r="B22" s="18" t="str">
        <f>IFERROR(__xludf.DUMMYFUNCTION("""COMPUTED_VALUE"""),"I would definitely remove many of the apps that I do not use anymore. They absolutely do not need to be linked to my Google account anymore. Even while using the app I feel that it did not need that access.")</f>
        <v>I would definitely remove many of the apps that I do not use anymore. They absolutely do not need to be linked to my Google account anymore. Even while using the app I feel that it did not need that access.</v>
      </c>
      <c r="C22" s="31" t="s">
        <v>812</v>
      </c>
      <c r="D22" s="31" t="s">
        <v>813</v>
      </c>
      <c r="E22" s="21"/>
      <c r="F22" s="21"/>
      <c r="G22" s="21"/>
      <c r="H22" s="49"/>
      <c r="I22" s="11"/>
      <c r="J22" s="11"/>
    </row>
    <row r="23">
      <c r="A23" s="42">
        <f>IFERROR(__xludf.DUMMYFUNCTION("""COMPUTED_VALUE"""),50.0)</f>
        <v>50</v>
      </c>
      <c r="B23" s="18" t="str">
        <f>IFERROR(__xludf.DUMMYFUNCTION("""COMPUTED_VALUE"""),"There are apps I do not use and do not recall allowing access to my google account")</f>
        <v>There are apps I do not use and do not recall allowing access to my google account</v>
      </c>
      <c r="C23" s="31" t="s">
        <v>812</v>
      </c>
      <c r="D23" s="31" t="s">
        <v>813</v>
      </c>
      <c r="E23" s="31" t="s">
        <v>819</v>
      </c>
      <c r="F23" s="21"/>
      <c r="G23" s="21"/>
      <c r="H23" s="24"/>
      <c r="I23" s="24"/>
      <c r="J23" s="11"/>
    </row>
    <row r="24">
      <c r="A24" s="42">
        <f>IFERROR(__xludf.DUMMYFUNCTION("""COMPUTED_VALUE"""),51.0)</f>
        <v>51</v>
      </c>
      <c r="B24" s="18"/>
      <c r="C24" s="50"/>
      <c r="D24" s="3"/>
      <c r="E24" s="11"/>
      <c r="F24" s="11"/>
      <c r="G24" s="11"/>
      <c r="H24" s="11"/>
      <c r="I24" s="11"/>
      <c r="J24" s="11"/>
    </row>
    <row r="25">
      <c r="A25" s="42">
        <f>IFERROR(__xludf.DUMMYFUNCTION("""COMPUTED_VALUE"""),52.0)</f>
        <v>52</v>
      </c>
      <c r="B25" s="18" t="str">
        <f>IFERROR(__xludf.DUMMYFUNCTION("""COMPUTED_VALUE"""),"Remove settings I don't feel are needed for individual apps.")</f>
        <v>Remove settings I don't feel are needed for individual apps.</v>
      </c>
      <c r="C25" s="3" t="s">
        <v>814</v>
      </c>
      <c r="D25" s="3" t="s">
        <v>815</v>
      </c>
      <c r="E25" s="3"/>
      <c r="F25" s="11"/>
      <c r="G25" s="11"/>
      <c r="H25" s="11"/>
      <c r="I25" s="11"/>
      <c r="J25" s="11"/>
    </row>
    <row r="26">
      <c r="A26" s="42">
        <f>IFERROR(__xludf.DUMMYFUNCTION("""COMPUTED_VALUE"""),53.0)</f>
        <v>53</v>
      </c>
      <c r="B26" s="18"/>
      <c r="C26" s="3"/>
      <c r="D26" s="3"/>
      <c r="E26" s="3"/>
      <c r="F26" s="11"/>
      <c r="G26" s="11"/>
      <c r="H26" s="11"/>
      <c r="I26" s="11"/>
      <c r="J26" s="11"/>
    </row>
    <row r="27">
      <c r="A27" s="42">
        <f>IFERROR(__xludf.DUMMYFUNCTION("""COMPUTED_VALUE"""),54.0)</f>
        <v>54</v>
      </c>
      <c r="B27" s="18"/>
      <c r="C27" s="3"/>
      <c r="D27" s="3"/>
      <c r="E27" s="11"/>
      <c r="F27" s="11"/>
      <c r="G27" s="11"/>
      <c r="H27" s="11"/>
      <c r="I27" s="11"/>
      <c r="J27" s="11"/>
    </row>
    <row r="28">
      <c r="A28" s="42">
        <f>IFERROR(__xludf.DUMMYFUNCTION("""COMPUTED_VALUE"""),55.0)</f>
        <v>55</v>
      </c>
      <c r="B28" s="18"/>
      <c r="C28" s="3"/>
      <c r="D28" s="3"/>
      <c r="E28" s="3"/>
      <c r="F28" s="3"/>
      <c r="G28" s="11"/>
      <c r="H28" s="11"/>
      <c r="I28" s="11"/>
      <c r="J28" s="11"/>
    </row>
    <row r="29">
      <c r="A29">
        <f>IFERROR(__xludf.DUMMYFUNCTION("""COMPUTED_VALUE"""),56.0)</f>
        <v>56</v>
      </c>
      <c r="B29" s="11" t="str">
        <f>IFERROR(__xludf.DUMMYFUNCTION("""COMPUTED_VALUE"""),"I am pleased with my settings so far, but always feel I need to remain diligent so that my privacy does not become compromised. As such, I plan on removing Apps should they link to my account.")</f>
        <v>I am pleased with my settings so far, but always feel I need to remain diligent so that my privacy does not become compromised. As such, I plan on removing Apps should they link to my account.</v>
      </c>
      <c r="C29" s="31" t="s">
        <v>812</v>
      </c>
      <c r="D29" s="31" t="s">
        <v>817</v>
      </c>
      <c r="E29" s="19"/>
      <c r="F29" s="19"/>
      <c r="G29" s="11"/>
      <c r="H29" s="11"/>
      <c r="I29" s="11"/>
      <c r="J29" s="11"/>
    </row>
    <row r="30">
      <c r="A30">
        <f>IFERROR(__xludf.DUMMYFUNCTION("""COMPUTED_VALUE"""),57.0)</f>
        <v>57</v>
      </c>
      <c r="B30" s="11"/>
      <c r="C30" s="24"/>
      <c r="D30" s="3"/>
      <c r="E30" s="3"/>
      <c r="F30" s="11"/>
      <c r="G30" s="11"/>
      <c r="H30" s="11"/>
      <c r="I30" s="11"/>
      <c r="J30" s="11"/>
    </row>
    <row r="31">
      <c r="A31">
        <f>IFERROR(__xludf.DUMMYFUNCTION("""COMPUTED_VALUE"""),58.0)</f>
        <v>58</v>
      </c>
      <c r="B31" s="11"/>
      <c r="C31" s="3"/>
      <c r="D31" s="19"/>
      <c r="E31" s="11"/>
      <c r="F31" s="11"/>
      <c r="G31" s="11"/>
      <c r="H31" s="11"/>
      <c r="I31" s="11"/>
      <c r="J31" s="11"/>
      <c r="K31" s="48"/>
      <c r="L31" s="48"/>
      <c r="M31" s="48"/>
      <c r="N31" s="48"/>
      <c r="O31" s="48"/>
      <c r="P31" s="48"/>
      <c r="Q31" s="48"/>
      <c r="R31" s="48"/>
      <c r="S31" s="48"/>
      <c r="T31" s="48"/>
      <c r="U31" s="48"/>
      <c r="V31" s="48"/>
      <c r="W31" s="48"/>
      <c r="X31" s="48"/>
      <c r="Y31" s="48"/>
      <c r="Z31" s="48"/>
    </row>
    <row r="32">
      <c r="A32">
        <f>IFERROR(__xludf.DUMMYFUNCTION("""COMPUTED_VALUE"""),59.0)</f>
        <v>59</v>
      </c>
      <c r="B32" s="11" t="str">
        <f>IFERROR(__xludf.DUMMYFUNCTION("""COMPUTED_VALUE"""),"There is an app that has access to my account that I didn't realize it did. I will probably remove that app's access as I don't use it and don't feel comfortable allowing it access.")</f>
        <v>There is an app that has access to my account that I didn't realize it did. I will probably remove that app's access as I don't use it and don't feel comfortable allowing it access.</v>
      </c>
      <c r="C32" s="31" t="s">
        <v>812</v>
      </c>
      <c r="D32" s="31" t="s">
        <v>817</v>
      </c>
      <c r="E32" s="31" t="s">
        <v>819</v>
      </c>
      <c r="F32" s="11"/>
      <c r="G32" s="11"/>
      <c r="H32" s="11"/>
      <c r="I32" s="11"/>
      <c r="J32" s="11"/>
    </row>
    <row r="33">
      <c r="A33">
        <f>IFERROR(__xludf.DUMMYFUNCTION("""COMPUTED_VALUE"""),60.0)</f>
        <v>60</v>
      </c>
      <c r="B33" s="11" t="str">
        <f>IFERROR(__xludf.DUMMYFUNCTION("""COMPUTED_VALUE"""),"I would delete the app that I don't access so often anymore, so they won't have access to my google account.")</f>
        <v>I would delete the app that I don't access so often anymore, so they won't have access to my google account.</v>
      </c>
      <c r="C33" s="31" t="s">
        <v>812</v>
      </c>
      <c r="D33" s="31" t="s">
        <v>813</v>
      </c>
      <c r="E33" s="11"/>
      <c r="F33" s="11"/>
      <c r="G33" s="11"/>
      <c r="H33" s="11"/>
      <c r="I33" s="11"/>
      <c r="J33" s="11"/>
    </row>
    <row r="34">
      <c r="A34">
        <f>IFERROR(__xludf.DUMMYFUNCTION("""COMPUTED_VALUE"""),61.0)</f>
        <v>61</v>
      </c>
      <c r="B34" s="11"/>
      <c r="C34" s="51"/>
      <c r="D34" s="51"/>
      <c r="E34" s="11"/>
      <c r="F34" s="11"/>
      <c r="G34" s="11"/>
      <c r="H34" s="11"/>
      <c r="I34" s="11"/>
      <c r="J34" s="11"/>
    </row>
    <row r="35">
      <c r="A35">
        <f>IFERROR(__xludf.DUMMYFUNCTION("""COMPUTED_VALUE"""),62.0)</f>
        <v>62</v>
      </c>
      <c r="B35" s="11" t="str">
        <f>IFERROR(__xludf.DUMMYFUNCTION("""COMPUTED_VALUE"""),"I would removed access.")</f>
        <v>I would removed access.</v>
      </c>
      <c r="C35" s="31" t="s">
        <v>812</v>
      </c>
      <c r="D35" s="28"/>
      <c r="E35" s="11"/>
      <c r="F35" s="11"/>
      <c r="G35" s="11"/>
      <c r="H35" s="11"/>
      <c r="I35" s="11"/>
      <c r="J35" s="11"/>
    </row>
    <row r="36">
      <c r="A36">
        <f>IFERROR(__xludf.DUMMYFUNCTION("""COMPUTED_VALUE"""),63.0)</f>
        <v>63</v>
      </c>
      <c r="B36" s="11" t="str">
        <f>IFERROR(__xludf.DUMMYFUNCTION("""COMPUTED_VALUE"""),"I would eliminate access to those accounts that I don't use anymore and I would make sure all access is limited")</f>
        <v>I would eliminate access to those accounts that I don't use anymore and I would make sure all access is limited</v>
      </c>
      <c r="C36" s="31" t="s">
        <v>812</v>
      </c>
      <c r="D36" s="31" t="s">
        <v>813</v>
      </c>
      <c r="E36" s="3" t="s">
        <v>814</v>
      </c>
      <c r="F36" s="3" t="s">
        <v>820</v>
      </c>
      <c r="G36" s="11"/>
      <c r="H36" s="11"/>
      <c r="I36" s="11"/>
      <c r="J36" s="11"/>
      <c r="K36" s="48"/>
      <c r="L36" s="48"/>
      <c r="M36" s="48"/>
      <c r="N36" s="48"/>
      <c r="O36" s="48"/>
      <c r="P36" s="48"/>
      <c r="Q36" s="48"/>
      <c r="R36" s="48"/>
      <c r="S36" s="48"/>
      <c r="T36" s="48"/>
      <c r="U36" s="48"/>
      <c r="V36" s="48"/>
      <c r="W36" s="48"/>
      <c r="X36" s="48"/>
      <c r="Y36" s="48"/>
      <c r="Z36" s="48"/>
    </row>
    <row r="37">
      <c r="A37">
        <f>IFERROR(__xludf.DUMMYFUNCTION("""COMPUTED_VALUE"""),64.0)</f>
        <v>64</v>
      </c>
      <c r="B37" s="11" t="str">
        <f>IFERROR(__xludf.DUMMYFUNCTION("""COMPUTED_VALUE"""),"I would revoke permissions for many of these apps. I do not use many of them.")</f>
        <v>I would revoke permissions for many of these apps. I do not use many of them.</v>
      </c>
      <c r="C37" s="31" t="s">
        <v>812</v>
      </c>
      <c r="D37" s="31" t="s">
        <v>813</v>
      </c>
      <c r="E37" s="3"/>
      <c r="F37" s="3"/>
      <c r="G37" s="3"/>
      <c r="H37" s="11"/>
      <c r="I37" s="11"/>
      <c r="J37" s="11"/>
    </row>
    <row r="38">
      <c r="A38">
        <f>IFERROR(__xludf.DUMMYFUNCTION("""COMPUTED_VALUE"""),65.0)</f>
        <v>65</v>
      </c>
      <c r="B38" s="11" t="str">
        <f>IFERROR(__xludf.DUMMYFUNCTION("""COMPUTED_VALUE"""),"I would remove old apps that I no longer use.")</f>
        <v>I would remove old apps that I no longer use.</v>
      </c>
      <c r="C38" s="31" t="s">
        <v>812</v>
      </c>
      <c r="D38" s="31" t="s">
        <v>813</v>
      </c>
      <c r="E38" s="11"/>
      <c r="F38" s="11"/>
      <c r="G38" s="11"/>
      <c r="H38" s="11"/>
      <c r="I38" s="11"/>
      <c r="J38" s="11"/>
      <c r="K38" s="48"/>
      <c r="L38" s="48"/>
      <c r="M38" s="48"/>
      <c r="N38" s="48"/>
      <c r="O38" s="48"/>
      <c r="P38" s="48"/>
      <c r="Q38" s="48"/>
      <c r="R38" s="48"/>
      <c r="S38" s="48"/>
      <c r="T38" s="48"/>
      <c r="U38" s="48"/>
      <c r="V38" s="48"/>
      <c r="W38" s="48"/>
      <c r="X38" s="48"/>
      <c r="Y38" s="48"/>
      <c r="Z38" s="48"/>
    </row>
    <row r="39">
      <c r="A39">
        <f>IFERROR(__xludf.DUMMYFUNCTION("""COMPUTED_VALUE"""),66.0)</f>
        <v>66</v>
      </c>
      <c r="B39" s="11" t="str">
        <f>IFERROR(__xludf.DUMMYFUNCTION("""COMPUTED_VALUE"""),"I would likely remove some of the apps that I no longer use or are no longer relevant to me.")</f>
        <v>I would likely remove some of the apps that I no longer use or are no longer relevant to me.</v>
      </c>
      <c r="C39" s="3"/>
      <c r="D39" s="19"/>
      <c r="E39" s="11"/>
      <c r="F39" s="11"/>
      <c r="G39" s="11"/>
      <c r="H39" s="11"/>
      <c r="I39" s="11"/>
      <c r="J39" s="11"/>
      <c r="K39" s="48"/>
      <c r="L39" s="48"/>
      <c r="M39" s="48"/>
      <c r="N39" s="48"/>
      <c r="O39" s="48"/>
      <c r="P39" s="48"/>
      <c r="Q39" s="48"/>
      <c r="R39" s="48"/>
      <c r="S39" s="48"/>
      <c r="T39" s="48"/>
      <c r="U39" s="48"/>
      <c r="V39" s="48"/>
      <c r="W39" s="48"/>
      <c r="X39" s="48"/>
      <c r="Y39" s="48"/>
      <c r="Z39" s="48"/>
    </row>
    <row r="40">
      <c r="A40">
        <f>IFERROR(__xludf.DUMMYFUNCTION("""COMPUTED_VALUE"""),67.0)</f>
        <v>67</v>
      </c>
      <c r="B40" s="11"/>
      <c r="C40" s="52"/>
      <c r="D40" s="3"/>
      <c r="E40" s="3"/>
      <c r="F40" s="11"/>
      <c r="G40" s="11"/>
      <c r="H40" s="11"/>
      <c r="I40" s="11"/>
      <c r="J40" s="11"/>
    </row>
    <row r="41">
      <c r="A41">
        <f>IFERROR(__xludf.DUMMYFUNCTION("""COMPUTED_VALUE"""),68.0)</f>
        <v>68</v>
      </c>
      <c r="B41" s="11"/>
      <c r="C41" s="24"/>
      <c r="D41" s="3"/>
      <c r="E41" s="11"/>
      <c r="F41" s="11"/>
      <c r="G41" s="11"/>
      <c r="H41" s="11"/>
      <c r="I41" s="11"/>
      <c r="J41" s="11"/>
    </row>
    <row r="42">
      <c r="A42">
        <f>IFERROR(__xludf.DUMMYFUNCTION("""COMPUTED_VALUE"""),69.0)</f>
        <v>69</v>
      </c>
      <c r="B42" s="11" t="str">
        <f>IFERROR(__xludf.DUMMYFUNCTION("""COMPUTED_VALUE"""),"I will change what apps have access to what settings.")</f>
        <v>I will change what apps have access to what settings.</v>
      </c>
      <c r="C42" s="3" t="s">
        <v>814</v>
      </c>
      <c r="D42" s="3" t="s">
        <v>820</v>
      </c>
      <c r="E42" s="11"/>
      <c r="F42" s="11"/>
      <c r="G42" s="11"/>
      <c r="H42" s="11"/>
      <c r="I42" s="11"/>
      <c r="J42" s="11"/>
    </row>
    <row r="43">
      <c r="A43">
        <f>IFERROR(__xludf.DUMMYFUNCTION("""COMPUTED_VALUE"""),70.0)</f>
        <v>70</v>
      </c>
      <c r="B43" s="11"/>
      <c r="C43" s="3"/>
      <c r="D43" s="3"/>
      <c r="F43" s="3"/>
      <c r="G43" s="3"/>
      <c r="H43" s="3"/>
      <c r="I43" s="11"/>
      <c r="J43" s="11"/>
    </row>
    <row r="44">
      <c r="A44">
        <f>IFERROR(__xludf.DUMMYFUNCTION("""COMPUTED_VALUE"""),71.0)</f>
        <v>71</v>
      </c>
      <c r="B44" s="11" t="str">
        <f>IFERROR(__xludf.DUMMYFUNCTION("""COMPUTED_VALUE"""),"The storage access for the app")</f>
        <v>The storage access for the app</v>
      </c>
      <c r="C44" s="3" t="s">
        <v>814</v>
      </c>
      <c r="D44" s="3" t="s">
        <v>821</v>
      </c>
      <c r="E44" s="11"/>
      <c r="F44" s="11"/>
      <c r="G44" s="11"/>
      <c r="H44" s="11"/>
      <c r="I44" s="11"/>
      <c r="J44" s="11"/>
    </row>
    <row r="45">
      <c r="A45">
        <f>IFERROR(__xludf.DUMMYFUNCTION("""COMPUTED_VALUE"""),72.0)</f>
        <v>72</v>
      </c>
      <c r="B45" s="11"/>
      <c r="C45" s="3"/>
      <c r="D45" s="3"/>
      <c r="E45" s="11"/>
      <c r="F45" s="11"/>
      <c r="G45" s="11"/>
      <c r="H45" s="11"/>
      <c r="I45" s="11"/>
      <c r="J45" s="11"/>
    </row>
    <row r="46">
      <c r="A46">
        <f>IFERROR(__xludf.DUMMYFUNCTION("""COMPUTED_VALUE"""),73.0)</f>
        <v>73</v>
      </c>
      <c r="B46" s="11" t="str">
        <f>IFERROR(__xludf.DUMMYFUNCTION("""COMPUTED_VALUE"""),"I would change most apps that have access to my account")</f>
        <v>I would change most apps that have access to my account</v>
      </c>
      <c r="C46" s="31" t="s">
        <v>812</v>
      </c>
      <c r="D46" s="31" t="s">
        <v>817</v>
      </c>
      <c r="E46" s="11"/>
      <c r="F46" s="11"/>
      <c r="G46" s="11"/>
      <c r="H46" s="11"/>
      <c r="I46" s="11"/>
      <c r="J46" s="11"/>
      <c r="K46" s="48"/>
      <c r="L46" s="48"/>
      <c r="M46" s="48"/>
      <c r="N46" s="48"/>
      <c r="O46" s="48"/>
      <c r="P46" s="48"/>
      <c r="Q46" s="48"/>
      <c r="R46" s="48"/>
      <c r="S46" s="48"/>
      <c r="T46" s="48"/>
      <c r="U46" s="48"/>
      <c r="V46" s="48"/>
      <c r="W46" s="48"/>
      <c r="X46" s="48"/>
      <c r="Y46" s="48"/>
      <c r="Z46" s="48"/>
    </row>
    <row r="47">
      <c r="A47">
        <f>IFERROR(__xludf.DUMMYFUNCTION("""COMPUTED_VALUE"""),74.0)</f>
        <v>74</v>
      </c>
      <c r="B47" s="11" t="str">
        <f>IFERROR(__xludf.DUMMYFUNCTION("""COMPUTED_VALUE"""),"I will be removing Shop from access.")</f>
        <v>I will be removing Shop from access.</v>
      </c>
      <c r="C47" s="31" t="s">
        <v>812</v>
      </c>
      <c r="D47" s="31" t="s">
        <v>822</v>
      </c>
      <c r="E47" s="3"/>
      <c r="F47" s="11"/>
      <c r="G47" s="11"/>
      <c r="H47" s="11"/>
      <c r="I47" s="11"/>
      <c r="J47" s="11"/>
    </row>
    <row r="48">
      <c r="A48">
        <f>IFERROR(__xludf.DUMMYFUNCTION("""COMPUTED_VALUE"""),75.0)</f>
        <v>75</v>
      </c>
      <c r="B48" s="11"/>
      <c r="C48" s="3"/>
      <c r="D48" s="3"/>
      <c r="E48" s="11"/>
      <c r="F48" s="11"/>
      <c r="G48" s="11"/>
      <c r="H48" s="11"/>
      <c r="I48" s="11"/>
      <c r="J48" s="11"/>
    </row>
    <row r="49">
      <c r="A49">
        <f>IFERROR(__xludf.DUMMYFUNCTION("""COMPUTED_VALUE"""),76.0)</f>
        <v>76</v>
      </c>
      <c r="B49" s="11" t="str">
        <f>IFERROR(__xludf.DUMMYFUNCTION("""COMPUTED_VALUE"""),"I will delete apps I don't use and change user names for apps I do use.")</f>
        <v>I will delete apps I don't use and change user names for apps I do use.</v>
      </c>
      <c r="C49" s="31" t="s">
        <v>812</v>
      </c>
      <c r="D49" s="31" t="s">
        <v>813</v>
      </c>
      <c r="E49" s="3" t="s">
        <v>823</v>
      </c>
      <c r="F49" s="11"/>
      <c r="G49" s="11"/>
      <c r="H49" s="11"/>
      <c r="I49" s="11"/>
      <c r="J49" s="11"/>
    </row>
    <row r="50">
      <c r="A50">
        <f>IFERROR(__xludf.DUMMYFUNCTION("""COMPUTED_VALUE"""),77.0)</f>
        <v>77</v>
      </c>
      <c r="B50" s="11"/>
      <c r="C50" s="3"/>
      <c r="D50" s="3"/>
      <c r="E50" s="3"/>
      <c r="F50" s="3"/>
      <c r="G50" s="11"/>
      <c r="H50" s="11"/>
      <c r="I50" s="11"/>
      <c r="J50" s="11"/>
      <c r="K50" s="48"/>
      <c r="L50" s="48"/>
      <c r="M50" s="48"/>
      <c r="N50" s="48"/>
      <c r="O50" s="48"/>
      <c r="P50" s="48"/>
      <c r="Q50" s="48"/>
      <c r="R50" s="48"/>
      <c r="S50" s="48"/>
      <c r="T50" s="48"/>
      <c r="U50" s="48"/>
      <c r="V50" s="48"/>
      <c r="W50" s="48"/>
      <c r="X50" s="48"/>
      <c r="Y50" s="48"/>
      <c r="Z50" s="48"/>
    </row>
    <row r="51">
      <c r="A51">
        <f>IFERROR(__xludf.DUMMYFUNCTION("""COMPUTED_VALUE"""),78.0)</f>
        <v>78</v>
      </c>
      <c r="B51" s="11"/>
      <c r="C51" s="24"/>
      <c r="D51" s="24"/>
      <c r="E51" s="38"/>
      <c r="F51" s="11"/>
      <c r="G51" s="11"/>
      <c r="H51" s="11"/>
      <c r="I51" s="11"/>
      <c r="J51" s="11"/>
    </row>
    <row r="52">
      <c r="A52">
        <f>IFERROR(__xludf.DUMMYFUNCTION("""COMPUTED_VALUE"""),79.0)</f>
        <v>79</v>
      </c>
      <c r="B52" s="11"/>
      <c r="C52" s="24"/>
      <c r="D52" s="3"/>
      <c r="E52" s="11"/>
      <c r="F52" s="11"/>
      <c r="G52" s="11"/>
      <c r="H52" s="11"/>
      <c r="I52" s="11"/>
      <c r="J52" s="11"/>
    </row>
    <row r="53">
      <c r="A53">
        <f>IFERROR(__xludf.DUMMYFUNCTION("""COMPUTED_VALUE"""),80.0)</f>
        <v>80</v>
      </c>
      <c r="B53" s="11" t="str">
        <f>IFERROR(__xludf.DUMMYFUNCTION("""COMPUTED_VALUE"""),"remove powerdirector")</f>
        <v>remove powerdirector</v>
      </c>
      <c r="C53" s="31" t="s">
        <v>812</v>
      </c>
      <c r="D53" s="31" t="s">
        <v>822</v>
      </c>
      <c r="E53" s="3"/>
      <c r="F53" s="3"/>
      <c r="G53" s="11"/>
      <c r="H53" s="11"/>
      <c r="I53" s="11"/>
      <c r="J53" s="11"/>
    </row>
    <row r="54">
      <c r="A54">
        <f>IFERROR(__xludf.DUMMYFUNCTION("""COMPUTED_VALUE"""),81.0)</f>
        <v>81</v>
      </c>
      <c r="B54" s="11"/>
      <c r="C54" s="24"/>
      <c r="D54" s="3"/>
      <c r="E54" s="11"/>
      <c r="F54" s="11"/>
      <c r="G54" s="11"/>
      <c r="H54" s="11"/>
      <c r="I54" s="11"/>
      <c r="J54" s="11"/>
    </row>
    <row r="55">
      <c r="A55">
        <f>IFERROR(__xludf.DUMMYFUNCTION("""COMPUTED_VALUE"""),82.0)</f>
        <v>82</v>
      </c>
      <c r="B55" s="11" t="str">
        <f>IFERROR(__xludf.DUMMYFUNCTION("""COMPUTED_VALUE"""),"I would delete some of the apps that I don't use regularly.")</f>
        <v>I would delete some of the apps that I don't use regularly.</v>
      </c>
      <c r="C55" s="31" t="s">
        <v>812</v>
      </c>
      <c r="D55" s="31" t="s">
        <v>813</v>
      </c>
      <c r="E55" s="11"/>
      <c r="F55" s="11"/>
      <c r="G55" s="11"/>
      <c r="H55" s="11"/>
      <c r="I55" s="11"/>
      <c r="J55" s="11"/>
    </row>
    <row r="56">
      <c r="A56">
        <f>IFERROR(__xludf.DUMMYFUNCTION("""COMPUTED_VALUE"""),83.0)</f>
        <v>83</v>
      </c>
      <c r="B56" s="11" t="str">
        <f>IFERROR(__xludf.DUMMYFUNCTION("""COMPUTED_VALUE"""),"I would change which apps are connected to my account by removing a few")</f>
        <v>I would change which apps are connected to my account by removing a few</v>
      </c>
      <c r="C56" s="31" t="s">
        <v>812</v>
      </c>
      <c r="D56" s="31" t="s">
        <v>824</v>
      </c>
      <c r="E56" s="52"/>
      <c r="F56" s="3"/>
      <c r="G56" s="11"/>
      <c r="H56" s="11"/>
      <c r="I56" s="11"/>
      <c r="J56" s="11"/>
    </row>
    <row r="57">
      <c r="A57">
        <f>IFERROR(__xludf.DUMMYFUNCTION("""COMPUTED_VALUE"""),84.0)</f>
        <v>84</v>
      </c>
      <c r="B57" s="11"/>
      <c r="C57" s="3"/>
      <c r="D57" s="3"/>
      <c r="E57" s="11"/>
      <c r="F57" s="11"/>
      <c r="G57" s="11"/>
      <c r="H57" s="11"/>
      <c r="I57" s="11"/>
      <c r="J57" s="11"/>
    </row>
    <row r="58">
      <c r="A58">
        <f>IFERROR(__xludf.DUMMYFUNCTION("""COMPUTED_VALUE"""),85.0)</f>
        <v>85</v>
      </c>
      <c r="B58" s="11" t="str">
        <f>IFERROR(__xludf.DUMMYFUNCTION("""COMPUTED_VALUE"""),"I may want to change permission access for the apps that I am not currently using or did on a whim such as Clubhouse or Ebay, and only really keep permission for apps that I have a foreseeable future in legitimately needing for various projects.")</f>
        <v>I may want to change permission access for the apps that I am not currently using or did on a whim such as Clubhouse or Ebay, and only really keep permission for apps that I have a foreseeable future in legitimately needing for various projects.</v>
      </c>
      <c r="C58" s="3" t="s">
        <v>814</v>
      </c>
      <c r="D58" s="3" t="s">
        <v>825</v>
      </c>
      <c r="E58" s="3" t="s">
        <v>815</v>
      </c>
      <c r="F58" s="11"/>
      <c r="G58" s="11"/>
      <c r="H58" s="11"/>
      <c r="I58" s="11"/>
      <c r="J58" s="11"/>
    </row>
    <row r="59">
      <c r="A59">
        <f>IFERROR(__xludf.DUMMYFUNCTION("""COMPUTED_VALUE"""),86.0)</f>
        <v>86</v>
      </c>
      <c r="B59" s="11"/>
      <c r="C59" s="3"/>
      <c r="D59" s="3"/>
      <c r="E59" s="11"/>
      <c r="F59" s="11"/>
      <c r="G59" s="11"/>
      <c r="H59" s="11"/>
      <c r="I59" s="11"/>
      <c r="J59" s="11"/>
    </row>
    <row r="60">
      <c r="A60">
        <f>IFERROR(__xludf.DUMMYFUNCTION("""COMPUTED_VALUE"""),87.0)</f>
        <v>87</v>
      </c>
      <c r="B60" s="11" t="str">
        <f>IFERROR(__xludf.DUMMYFUNCTION("""COMPUTED_VALUE"""),"I would probably remove access from some sites that I don't really use anymore.")</f>
        <v>I would probably remove access from some sites that I don't really use anymore.</v>
      </c>
      <c r="C60" s="31" t="s">
        <v>812</v>
      </c>
      <c r="D60" s="31" t="s">
        <v>813</v>
      </c>
      <c r="E60" s="3"/>
      <c r="F60" s="3"/>
      <c r="G60" s="3"/>
      <c r="H60" s="11"/>
      <c r="I60" s="11"/>
      <c r="J60" s="11"/>
    </row>
    <row r="61">
      <c r="A61">
        <f>IFERROR(__xludf.DUMMYFUNCTION("""COMPUTED_VALUE"""),88.0)</f>
        <v>88</v>
      </c>
      <c r="B61" s="11"/>
      <c r="C61" s="24"/>
      <c r="D61" s="3"/>
      <c r="E61" s="11"/>
      <c r="F61" s="11"/>
      <c r="G61" s="11"/>
      <c r="H61" s="11"/>
      <c r="I61" s="11"/>
      <c r="J61" s="11"/>
    </row>
    <row r="62">
      <c r="A62">
        <f>IFERROR(__xludf.DUMMYFUNCTION("""COMPUTED_VALUE"""),89.0)</f>
        <v>89</v>
      </c>
      <c r="B62" s="11" t="str">
        <f>IFERROR(__xludf.DUMMYFUNCTION("""COMPUTED_VALUE"""),"I will likely vet Glean to decided if I'll keep it or discard it.")</f>
        <v>I will likely vet Glean to decided if I'll keep it or discard it.</v>
      </c>
      <c r="C62" s="3" t="s">
        <v>826</v>
      </c>
      <c r="D62" s="3" t="s">
        <v>827</v>
      </c>
      <c r="E62" s="3"/>
      <c r="F62" s="11"/>
      <c r="G62" s="11"/>
      <c r="H62" s="11"/>
      <c r="I62" s="11"/>
      <c r="J62" s="11"/>
    </row>
    <row r="63">
      <c r="A63">
        <f>IFERROR(__xludf.DUMMYFUNCTION("""COMPUTED_VALUE"""),90.0)</f>
        <v>90</v>
      </c>
      <c r="B63" s="11" t="str">
        <f>IFERROR(__xludf.DUMMYFUNCTION("""COMPUTED_VALUE"""),"All of them")</f>
        <v>All of them</v>
      </c>
      <c r="C63" s="31" t="s">
        <v>812</v>
      </c>
      <c r="D63" s="31" t="s">
        <v>818</v>
      </c>
      <c r="F63" s="3"/>
      <c r="G63" s="3"/>
      <c r="H63" s="11"/>
      <c r="I63" s="11"/>
      <c r="J63" s="11"/>
    </row>
    <row r="64">
      <c r="A64">
        <f>IFERROR(__xludf.DUMMYFUNCTION("""COMPUTED_VALUE"""),91.0)</f>
        <v>91</v>
      </c>
      <c r="B64" s="11"/>
      <c r="C64" s="52"/>
      <c r="D64" s="3"/>
      <c r="E64" s="11"/>
      <c r="F64" s="11"/>
      <c r="G64" s="11"/>
      <c r="H64" s="11"/>
      <c r="I64" s="11"/>
      <c r="J64" s="11"/>
    </row>
    <row r="65">
      <c r="A65">
        <f>IFERROR(__xludf.DUMMYFUNCTION("""COMPUTED_VALUE"""),92.0)</f>
        <v>92</v>
      </c>
      <c r="B65" s="11" t="str">
        <f>IFERROR(__xludf.DUMMYFUNCTION("""COMPUTED_VALUE"""),"I would remove Lumin PDF from my account altogether, as I no longer use the program.")</f>
        <v>I would remove Lumin PDF from my account altogether, as I no longer use the program.</v>
      </c>
      <c r="C65" s="31" t="s">
        <v>812</v>
      </c>
      <c r="D65" s="31" t="s">
        <v>813</v>
      </c>
      <c r="E65" s="24"/>
      <c r="F65" s="3"/>
      <c r="G65" s="19"/>
      <c r="H65" s="11"/>
      <c r="I65" s="11"/>
      <c r="J65" s="11"/>
    </row>
    <row r="66">
      <c r="A66">
        <f>IFERROR(__xludf.DUMMYFUNCTION("""COMPUTED_VALUE"""),93.0)</f>
        <v>93</v>
      </c>
      <c r="B66" s="11"/>
      <c r="C66" s="24"/>
      <c r="D66" s="3"/>
      <c r="F66" s="11"/>
      <c r="G66" s="11"/>
      <c r="H66" s="11"/>
      <c r="I66" s="11"/>
      <c r="J66" s="11"/>
    </row>
    <row r="67">
      <c r="A67">
        <f>IFERROR(__xludf.DUMMYFUNCTION("""COMPUTED_VALUE"""),94.0)</f>
        <v>94</v>
      </c>
      <c r="B67" s="11" t="str">
        <f>IFERROR(__xludf.DUMMYFUNCTION("""COMPUTED_VALUE"""),"I would take some of the Apps with Access off. The ones I clearly don't use, I would want to go away.")</f>
        <v>I would take some of the Apps with Access off. The ones I clearly don't use, I would want to go away.</v>
      </c>
      <c r="C67" s="31" t="s">
        <v>812</v>
      </c>
      <c r="D67" s="31" t="s">
        <v>813</v>
      </c>
      <c r="E67" s="19"/>
      <c r="F67" s="19"/>
      <c r="G67" s="3"/>
      <c r="H67" s="3"/>
      <c r="J67" s="11"/>
    </row>
    <row r="68">
      <c r="A68">
        <f>IFERROR(__xludf.DUMMYFUNCTION("""COMPUTED_VALUE"""),95.0)</f>
        <v>95</v>
      </c>
      <c r="B68" s="11"/>
      <c r="C68" s="3"/>
      <c r="D68" s="3"/>
      <c r="E68" s="11"/>
      <c r="F68" s="11"/>
      <c r="G68" s="11"/>
      <c r="J68" s="11"/>
    </row>
    <row r="69">
      <c r="A69">
        <f>IFERROR(__xludf.DUMMYFUNCTION("""COMPUTED_VALUE"""),96.0)</f>
        <v>96</v>
      </c>
      <c r="B69" s="11" t="str">
        <f>IFERROR(__xludf.DUMMYFUNCTION("""COMPUTED_VALUE"""),"I would make my setting more private and harder to gain access by third party apps.")</f>
        <v>I would make my setting more private and harder to gain access by third party apps.</v>
      </c>
      <c r="C69" s="3" t="s">
        <v>814</v>
      </c>
      <c r="D69" s="3" t="s">
        <v>820</v>
      </c>
      <c r="E69" s="3"/>
      <c r="F69" s="3"/>
      <c r="G69" s="3"/>
      <c r="J69" s="11"/>
    </row>
    <row r="70">
      <c r="A70">
        <f>IFERROR(__xludf.DUMMYFUNCTION("""COMPUTED_VALUE"""),97.0)</f>
        <v>97</v>
      </c>
      <c r="B70" s="11"/>
      <c r="C70" s="3"/>
      <c r="D70" s="3"/>
      <c r="E70" s="3"/>
      <c r="F70" s="3"/>
      <c r="G70" s="3"/>
      <c r="H70" s="11"/>
      <c r="I70" s="11"/>
      <c r="J70" s="11"/>
    </row>
    <row r="71">
      <c r="A71">
        <f>IFERROR(__xludf.DUMMYFUNCTION("""COMPUTED_VALUE"""),98.0)</f>
        <v>98</v>
      </c>
      <c r="B71" s="11" t="str">
        <f>IFERROR(__xludf.DUMMYFUNCTION("""COMPUTED_VALUE"""),"I would change third-party apps seeing my personal information.")</f>
        <v>I would change third-party apps seeing my personal information.</v>
      </c>
      <c r="C71" s="3" t="s">
        <v>814</v>
      </c>
      <c r="D71" s="3" t="s">
        <v>828</v>
      </c>
      <c r="E71" s="3"/>
      <c r="F71" s="3"/>
      <c r="G71" s="3"/>
      <c r="H71" s="3"/>
      <c r="I71" s="3"/>
      <c r="J71" s="11"/>
    </row>
    <row r="72">
      <c r="A72">
        <f>IFERROR(__xludf.DUMMYFUNCTION("""COMPUTED_VALUE"""),99.0)</f>
        <v>99</v>
      </c>
      <c r="B72" s="11"/>
      <c r="C72" s="3"/>
      <c r="D72" s="3"/>
      <c r="E72" s="11"/>
      <c r="F72" s="11"/>
      <c r="G72" s="11"/>
      <c r="H72" s="11"/>
      <c r="I72" s="11"/>
      <c r="J72" s="11"/>
    </row>
    <row r="73">
      <c r="A73">
        <f>IFERROR(__xludf.DUMMYFUNCTION("""COMPUTED_VALUE"""),100.0)</f>
        <v>100</v>
      </c>
      <c r="B73" s="11"/>
      <c r="C73" s="3"/>
      <c r="D73" s="3"/>
      <c r="E73" s="3"/>
      <c r="F73" s="3"/>
      <c r="G73" s="3"/>
      <c r="H73" s="3"/>
      <c r="I73" s="11"/>
      <c r="J73" s="11"/>
    </row>
    <row r="74">
      <c r="A74">
        <f>IFERROR(__xludf.DUMMYFUNCTION("""COMPUTED_VALUE"""),101.0)</f>
        <v>101</v>
      </c>
      <c r="B74" s="11"/>
      <c r="C74" s="3"/>
      <c r="D74" s="3"/>
      <c r="E74" s="3"/>
      <c r="F74" s="11"/>
      <c r="G74" s="11"/>
      <c r="H74" s="11"/>
      <c r="I74" s="11"/>
      <c r="J74" s="11"/>
    </row>
    <row r="75">
      <c r="A75">
        <f>IFERROR(__xludf.DUMMYFUNCTION("""COMPUTED_VALUE"""),102.0)</f>
        <v>102</v>
      </c>
      <c r="B75" s="11"/>
      <c r="C75" s="3"/>
      <c r="D75" s="3"/>
      <c r="E75" s="3"/>
      <c r="F75" s="11"/>
      <c r="G75" s="11"/>
      <c r="H75" s="11"/>
      <c r="I75" s="11"/>
      <c r="J75" s="11"/>
    </row>
    <row r="76">
      <c r="A76">
        <f>IFERROR(__xludf.DUMMYFUNCTION("""COMPUTED_VALUE"""),103.0)</f>
        <v>103</v>
      </c>
      <c r="B76" s="11" t="str">
        <f>IFERROR(__xludf.DUMMYFUNCTION("""COMPUTED_VALUE"""),"Some are apps that I only wanted for a moment or 2 and so I would totally disallow access or delete those apps. I usually am careful about minimizing the information I allow an app to see and many times do not even install it if it seems too bad.")</f>
        <v>Some are apps that I only wanted for a moment or 2 and so I would totally disallow access or delete those apps. I usually am careful about minimizing the information I allow an app to see and many times do not even install it if it seems too bad.</v>
      </c>
      <c r="C76" s="31" t="s">
        <v>812</v>
      </c>
      <c r="D76" s="31" t="s">
        <v>813</v>
      </c>
      <c r="E76" s="3"/>
      <c r="F76" s="11"/>
      <c r="G76" s="11"/>
      <c r="H76" s="11"/>
      <c r="I76" s="11"/>
      <c r="J76" s="11"/>
    </row>
    <row r="77">
      <c r="A77">
        <f>IFERROR(__xludf.DUMMYFUNCTION("""COMPUTED_VALUE"""),104.0)</f>
        <v>104</v>
      </c>
      <c r="B77" s="11"/>
      <c r="C77" s="3"/>
      <c r="D77" s="3"/>
      <c r="E77" s="3"/>
      <c r="F77" s="11"/>
      <c r="G77" s="11"/>
      <c r="H77" s="11"/>
      <c r="I77" s="11"/>
      <c r="J77" s="11"/>
    </row>
    <row r="78">
      <c r="A78">
        <f>IFERROR(__xludf.DUMMYFUNCTION("""COMPUTED_VALUE"""),105.0)</f>
        <v>105</v>
      </c>
      <c r="B78" s="11"/>
      <c r="C78" s="3"/>
      <c r="D78" s="3"/>
      <c r="E78" s="11"/>
      <c r="F78" s="11"/>
      <c r="G78" s="11"/>
      <c r="H78" s="11"/>
      <c r="I78" s="11"/>
      <c r="J78" s="11"/>
    </row>
    <row r="79">
      <c r="A79">
        <f>IFERROR(__xludf.DUMMYFUNCTION("""COMPUTED_VALUE"""),106.0)</f>
        <v>106</v>
      </c>
      <c r="B79" s="11" t="str">
        <f>IFERROR(__xludf.DUMMYFUNCTION("""COMPUTED_VALUE"""),"delete them all")</f>
        <v>delete them all</v>
      </c>
      <c r="C79" s="31" t="s">
        <v>812</v>
      </c>
      <c r="D79" s="31" t="s">
        <v>818</v>
      </c>
      <c r="E79" s="11"/>
      <c r="F79" s="11"/>
      <c r="G79" s="11"/>
      <c r="H79" s="11"/>
      <c r="I79" s="11"/>
      <c r="J79" s="11"/>
    </row>
    <row r="80">
      <c r="A80">
        <f>IFERROR(__xludf.DUMMYFUNCTION("""COMPUTED_VALUE"""),107.0)</f>
        <v>107</v>
      </c>
      <c r="B80" s="11" t="str">
        <f>IFERROR(__xludf.DUMMYFUNCTION("""COMPUTED_VALUE"""),"I would just delete a couple things that aren't relevant any longer.")</f>
        <v>I would just delete a couple things that aren't relevant any longer.</v>
      </c>
      <c r="C80" s="31" t="s">
        <v>812</v>
      </c>
      <c r="D80" s="31" t="s">
        <v>813</v>
      </c>
      <c r="E80" s="3"/>
      <c r="F80" s="11"/>
      <c r="G80" s="11"/>
      <c r="H80" s="11"/>
      <c r="I80" s="11"/>
      <c r="J80" s="11"/>
    </row>
    <row r="81">
      <c r="A81">
        <f>IFERROR(__xludf.DUMMYFUNCTION("""COMPUTED_VALUE"""),108.0)</f>
        <v>108</v>
      </c>
      <c r="B81" s="11"/>
      <c r="C81" s="3"/>
      <c r="D81" s="3"/>
      <c r="E81" s="3"/>
      <c r="F81" s="3"/>
      <c r="G81" s="11"/>
      <c r="H81" s="11"/>
      <c r="I81" s="11"/>
      <c r="J81" s="11"/>
      <c r="K81" s="48"/>
      <c r="L81" s="48"/>
      <c r="M81" s="48"/>
      <c r="N81" s="48"/>
      <c r="O81" s="48"/>
      <c r="P81" s="48"/>
      <c r="Q81" s="48"/>
      <c r="R81" s="48"/>
      <c r="S81" s="48"/>
      <c r="T81" s="48"/>
      <c r="U81" s="48"/>
      <c r="V81" s="48"/>
      <c r="W81" s="48"/>
      <c r="X81" s="48"/>
      <c r="Y81" s="48"/>
      <c r="Z81" s="48"/>
    </row>
    <row r="82">
      <c r="A82">
        <f>IFERROR(__xludf.DUMMYFUNCTION("""COMPUTED_VALUE"""),109.0)</f>
        <v>109</v>
      </c>
      <c r="B82" s="11"/>
      <c r="C82" s="3"/>
      <c r="D82" s="3"/>
      <c r="E82" s="11"/>
      <c r="F82" s="11"/>
      <c r="G82" s="11"/>
      <c r="H82" s="11"/>
      <c r="I82" s="11"/>
      <c r="J82" s="11"/>
    </row>
    <row r="83">
      <c r="A83">
        <f>IFERROR(__xludf.DUMMYFUNCTION("""COMPUTED_VALUE"""),110.0)</f>
        <v>110</v>
      </c>
      <c r="B83" s="11" t="str">
        <f>IFERROR(__xludf.DUMMYFUNCTION("""COMPUTED_VALUE"""),"I would review which apps have access and restrict those I don't use often or didn't know had access to my google account")</f>
        <v>I would review which apps have access and restrict those I don't use often or didn't know had access to my google account</v>
      </c>
      <c r="C83" s="27" t="s">
        <v>826</v>
      </c>
      <c r="D83" s="3" t="s">
        <v>814</v>
      </c>
      <c r="E83" s="3" t="s">
        <v>825</v>
      </c>
      <c r="F83" s="3" t="s">
        <v>820</v>
      </c>
      <c r="G83" s="11"/>
      <c r="H83" s="11"/>
      <c r="I83" s="11"/>
      <c r="J83" s="11"/>
      <c r="K83" s="48"/>
      <c r="L83" s="48"/>
      <c r="M83" s="48"/>
      <c r="N83" s="48"/>
      <c r="O83" s="48"/>
      <c r="P83" s="48"/>
      <c r="Q83" s="48"/>
      <c r="R83" s="48"/>
      <c r="S83" s="48"/>
      <c r="T83" s="48"/>
      <c r="U83" s="48"/>
      <c r="V83" s="48"/>
      <c r="W83" s="48"/>
      <c r="X83" s="48"/>
      <c r="Y83" s="48"/>
      <c r="Z83" s="48"/>
    </row>
    <row r="84">
      <c r="A84">
        <f>IFERROR(__xludf.DUMMYFUNCTION("""COMPUTED_VALUE"""),112.0)</f>
        <v>112</v>
      </c>
      <c r="B84" s="11"/>
      <c r="C84" s="3"/>
      <c r="D84" s="3"/>
      <c r="E84" s="3"/>
      <c r="F84" s="3"/>
      <c r="G84" s="3"/>
      <c r="H84" s="11"/>
      <c r="I84" s="11"/>
      <c r="J84" s="11"/>
    </row>
    <row r="85">
      <c r="A85">
        <f>IFERROR(__xludf.DUMMYFUNCTION("""COMPUTED_VALUE"""),113.0)</f>
        <v>113</v>
      </c>
      <c r="B85" s="11"/>
      <c r="C85" s="3"/>
      <c r="D85" s="3"/>
      <c r="E85" s="3"/>
      <c r="F85" s="11"/>
      <c r="G85" s="11"/>
      <c r="H85" s="11"/>
      <c r="I85" s="11"/>
      <c r="J85" s="11"/>
    </row>
    <row r="86">
      <c r="A86">
        <f>IFERROR(__xludf.DUMMYFUNCTION("""COMPUTED_VALUE"""),114.0)</f>
        <v>114</v>
      </c>
      <c r="B86" s="11"/>
      <c r="C86" s="3"/>
      <c r="D86" s="3"/>
      <c r="E86" s="3"/>
      <c r="F86" s="3"/>
      <c r="G86" s="3"/>
      <c r="H86" s="11"/>
      <c r="I86" s="11"/>
      <c r="J86" s="11"/>
    </row>
    <row r="87">
      <c r="A87">
        <f>IFERROR(__xludf.DUMMYFUNCTION("""COMPUTED_VALUE"""),115.0)</f>
        <v>115</v>
      </c>
      <c r="B87" s="11"/>
      <c r="C87" s="3"/>
      <c r="D87" s="11"/>
      <c r="E87" s="11"/>
      <c r="F87" s="11"/>
      <c r="G87" s="11"/>
      <c r="H87" s="11"/>
      <c r="I87" s="11"/>
      <c r="J87" s="11"/>
    </row>
    <row r="88">
      <c r="A88">
        <f>IFERROR(__xludf.DUMMYFUNCTION("""COMPUTED_VALUE"""),116.0)</f>
        <v>116</v>
      </c>
      <c r="B88" s="11"/>
      <c r="C88" s="3"/>
      <c r="D88" s="3"/>
      <c r="E88" s="11"/>
      <c r="F88" s="11"/>
      <c r="G88" s="11"/>
      <c r="H88" s="11"/>
      <c r="I88" s="11"/>
      <c r="J88" s="11"/>
    </row>
    <row r="89">
      <c r="A89">
        <f>IFERROR(__xludf.DUMMYFUNCTION("""COMPUTED_VALUE"""),117.0)</f>
        <v>117</v>
      </c>
      <c r="B89" s="11"/>
      <c r="C89" s="3"/>
      <c r="D89" s="3"/>
      <c r="E89" s="3"/>
      <c r="F89" s="3"/>
      <c r="G89" s="11"/>
      <c r="H89" s="11"/>
      <c r="I89" s="11"/>
      <c r="J89" s="11"/>
    </row>
    <row r="90">
      <c r="A90">
        <f>IFERROR(__xludf.DUMMYFUNCTION("""COMPUTED_VALUE"""),118.0)</f>
        <v>118</v>
      </c>
      <c r="B90" s="11"/>
      <c r="C90" s="3"/>
      <c r="D90" s="24"/>
      <c r="E90" s="3"/>
      <c r="F90" s="11"/>
      <c r="G90" s="11"/>
      <c r="H90" s="11"/>
      <c r="I90" s="11"/>
      <c r="J90" s="11"/>
    </row>
    <row r="91">
      <c r="A91">
        <f>IFERROR(__xludf.DUMMYFUNCTION("""COMPUTED_VALUE"""),120.0)</f>
        <v>120</v>
      </c>
      <c r="B91" s="11"/>
      <c r="C91" s="3"/>
      <c r="D91" s="3"/>
      <c r="E91" s="3"/>
      <c r="F91" s="11"/>
      <c r="G91" s="11"/>
      <c r="H91" s="11"/>
      <c r="I91" s="11"/>
      <c r="J91" s="11"/>
    </row>
    <row r="92">
      <c r="A92">
        <f>IFERROR(__xludf.DUMMYFUNCTION("""COMPUTED_VALUE"""),121.0)</f>
        <v>121</v>
      </c>
      <c r="B92" s="11"/>
      <c r="C92" s="3"/>
      <c r="D92" s="3"/>
      <c r="E92" s="3"/>
      <c r="F92" s="11"/>
      <c r="G92" s="11"/>
      <c r="H92" s="11"/>
      <c r="I92" s="11"/>
      <c r="J92" s="11"/>
    </row>
    <row r="93">
      <c r="A93">
        <f>IFERROR(__xludf.DUMMYFUNCTION("""COMPUTED_VALUE"""),122.0)</f>
        <v>122</v>
      </c>
      <c r="B93" s="11" t="str">
        <f>IFERROR(__xludf.DUMMYFUNCTION("""COMPUTED_VALUE"""),"I would make sure that the items I don't use anymore don't have access to my account or any part of it")</f>
        <v>I would make sure that the items I don't use anymore don't have access to my account or any part of it</v>
      </c>
      <c r="C93" s="31" t="s">
        <v>812</v>
      </c>
      <c r="D93" s="31" t="s">
        <v>813</v>
      </c>
      <c r="E93" s="11"/>
      <c r="F93" s="11"/>
      <c r="G93" s="11"/>
      <c r="H93" s="11"/>
      <c r="I93" s="11"/>
      <c r="J93" s="11"/>
    </row>
    <row r="94">
      <c r="A94">
        <f>IFERROR(__xludf.DUMMYFUNCTION("""COMPUTED_VALUE"""),123.0)</f>
        <v>123</v>
      </c>
      <c r="B94" s="11"/>
      <c r="C94" s="24"/>
      <c r="D94" s="24"/>
      <c r="E94" s="11"/>
      <c r="F94" s="11"/>
      <c r="G94" s="11"/>
      <c r="H94" s="11"/>
      <c r="I94" s="11"/>
      <c r="J94" s="11"/>
    </row>
    <row r="95">
      <c r="A95">
        <f>IFERROR(__xludf.DUMMYFUNCTION("""COMPUTED_VALUE"""),124.0)</f>
        <v>124</v>
      </c>
      <c r="B95" s="11"/>
      <c r="C95" s="24"/>
      <c r="D95" s="24"/>
      <c r="E95" s="24"/>
      <c r="F95" s="11"/>
      <c r="G95" s="11"/>
      <c r="H95" s="11"/>
      <c r="I95" s="11"/>
      <c r="J95" s="11"/>
    </row>
    <row r="96">
      <c r="A96">
        <f>IFERROR(__xludf.DUMMYFUNCTION("""COMPUTED_VALUE"""),125.0)</f>
        <v>125</v>
      </c>
      <c r="B96" s="11"/>
      <c r="C96" s="24"/>
      <c r="D96" s="3"/>
      <c r="E96" s="3"/>
      <c r="F96" s="11"/>
      <c r="G96" s="11"/>
      <c r="H96" s="11"/>
      <c r="I96" s="11"/>
      <c r="J96" s="11"/>
    </row>
    <row r="97">
      <c r="A97">
        <f>IFERROR(__xludf.DUMMYFUNCTION("""COMPUTED_VALUE"""),126.0)</f>
        <v>126</v>
      </c>
      <c r="B97" s="11"/>
      <c r="C97" s="24"/>
      <c r="D97" s="3"/>
      <c r="E97" s="11"/>
      <c r="F97" s="11"/>
      <c r="G97" s="11"/>
      <c r="H97" s="11"/>
      <c r="I97" s="11"/>
      <c r="J97" s="11"/>
    </row>
    <row r="98">
      <c r="A98">
        <f>IFERROR(__xludf.DUMMYFUNCTION("""COMPUTED_VALUE"""),127.0)</f>
        <v>127</v>
      </c>
      <c r="B98" s="11" t="str">
        <f>IFERROR(__xludf.DUMMYFUNCTION("""COMPUTED_VALUE"""),"I would want to know what third party data is used and potentially being marketed.")</f>
        <v>I would want to know what third party data is used and potentially being marketed.</v>
      </c>
      <c r="C98" s="27" t="s">
        <v>829</v>
      </c>
      <c r="D98" s="24"/>
      <c r="E98" s="3"/>
      <c r="F98" s="3"/>
      <c r="G98" s="11"/>
      <c r="H98" s="11"/>
      <c r="I98" s="11"/>
      <c r="J98" s="11"/>
    </row>
    <row r="99">
      <c r="A99">
        <f>IFERROR(__xludf.DUMMYFUNCTION("""COMPUTED_VALUE"""),128.0)</f>
        <v>128</v>
      </c>
      <c r="B99" s="11" t="str">
        <f>IFERROR(__xludf.DUMMYFUNCTION("""COMPUTED_VALUE"""),"I might remove some of the Apps with access to my account.")</f>
        <v>I might remove some of the Apps with access to my account.</v>
      </c>
      <c r="C99" s="31" t="s">
        <v>812</v>
      </c>
      <c r="D99" s="31" t="s">
        <v>824</v>
      </c>
      <c r="E99" s="11"/>
      <c r="F99" s="11"/>
      <c r="G99" s="11"/>
      <c r="H99" s="11"/>
      <c r="I99" s="11"/>
      <c r="J99" s="11"/>
    </row>
    <row r="100">
      <c r="A100">
        <f>IFERROR(__xludf.DUMMYFUNCTION("""COMPUTED_VALUE"""),129.0)</f>
        <v>129</v>
      </c>
      <c r="B100" s="11" t="str">
        <f>IFERROR(__xludf.DUMMYFUNCTION("""COMPUTED_VALUE"""),"I would disable some permissions I didn't realize some apps had, or revoke some permissions entirely.")</f>
        <v>I would disable some permissions I didn't realize some apps had, or revoke some permissions entirely.</v>
      </c>
      <c r="C100" s="3" t="s">
        <v>814</v>
      </c>
      <c r="D100" s="31" t="s">
        <v>812</v>
      </c>
      <c r="E100" s="31" t="s">
        <v>824</v>
      </c>
      <c r="G100" s="11"/>
      <c r="H100" s="11"/>
      <c r="I100" s="11"/>
      <c r="J100" s="11"/>
    </row>
    <row r="101">
      <c r="A101">
        <f>IFERROR(__xludf.DUMMYFUNCTION("""COMPUTED_VALUE"""),130.0)</f>
        <v>130</v>
      </c>
      <c r="B101" s="11"/>
      <c r="C101" s="24"/>
      <c r="D101" s="3"/>
      <c r="E101" s="3"/>
      <c r="F101" s="11"/>
      <c r="G101" s="11"/>
      <c r="H101" s="11"/>
      <c r="I101" s="11"/>
      <c r="J101" s="11"/>
    </row>
    <row r="102">
      <c r="A102">
        <f>IFERROR(__xludf.DUMMYFUNCTION("""COMPUTED_VALUE"""),131.0)</f>
        <v>131</v>
      </c>
      <c r="B102" s="11" t="str">
        <f>IFERROR(__xludf.DUMMYFUNCTION("""COMPUTED_VALUE"""),"I don't think any app should be able to change or delete my files. Other then photo sites. I don't think anyone needs my family photos.")</f>
        <v>I don't think any app should be able to change or delete my files. Other then photo sites. I don't think anyone needs my family photos.</v>
      </c>
      <c r="C102" s="3" t="s">
        <v>814</v>
      </c>
      <c r="D102" s="3" t="s">
        <v>830</v>
      </c>
      <c r="E102" s="3" t="s">
        <v>831</v>
      </c>
      <c r="F102" s="11"/>
      <c r="G102" s="11"/>
      <c r="H102" s="11"/>
      <c r="I102" s="11"/>
      <c r="J102" s="11"/>
      <c r="K102" s="48"/>
      <c r="L102" s="48"/>
      <c r="M102" s="48"/>
      <c r="N102" s="48"/>
      <c r="O102" s="48"/>
      <c r="P102" s="48"/>
      <c r="Q102" s="48"/>
      <c r="R102" s="48"/>
      <c r="S102" s="48"/>
      <c r="T102" s="48"/>
      <c r="U102" s="48"/>
      <c r="V102" s="48"/>
      <c r="W102" s="48"/>
      <c r="X102" s="48"/>
      <c r="Y102" s="48"/>
      <c r="Z102" s="48"/>
    </row>
    <row r="103">
      <c r="A103">
        <f>IFERROR(__xludf.DUMMYFUNCTION("""COMPUTED_VALUE"""),132.0)</f>
        <v>132</v>
      </c>
      <c r="B103" s="11"/>
      <c r="C103" s="24"/>
      <c r="D103" s="24"/>
      <c r="E103" s="11"/>
      <c r="F103" s="11"/>
      <c r="G103" s="11"/>
      <c r="H103" s="11"/>
      <c r="I103" s="11"/>
      <c r="J103" s="11"/>
    </row>
    <row r="104">
      <c r="A104">
        <f>IFERROR(__xludf.DUMMYFUNCTION("""COMPUTED_VALUE"""),133.0)</f>
        <v>133</v>
      </c>
      <c r="B104" s="11" t="str">
        <f>IFERROR(__xludf.DUMMYFUNCTION("""COMPUTED_VALUE"""),"I would remove access for some of the apps.")</f>
        <v>I would remove access for some of the apps.</v>
      </c>
      <c r="C104" s="31" t="s">
        <v>812</v>
      </c>
      <c r="D104" s="31" t="s">
        <v>824</v>
      </c>
      <c r="E104" s="11"/>
      <c r="F104" s="11"/>
      <c r="G104" s="11"/>
      <c r="H104" s="11"/>
      <c r="I104" s="11"/>
      <c r="J104" s="11"/>
    </row>
    <row r="105">
      <c r="A105">
        <f>IFERROR(__xludf.DUMMYFUNCTION("""COMPUTED_VALUE"""),134.0)</f>
        <v>134</v>
      </c>
      <c r="B105" s="11"/>
      <c r="C105" s="3"/>
      <c r="D105" s="3"/>
      <c r="E105" s="3"/>
      <c r="F105" s="3"/>
      <c r="G105" s="11"/>
      <c r="H105" s="11"/>
      <c r="I105" s="11"/>
      <c r="J105" s="11"/>
    </row>
    <row r="106">
      <c r="A106">
        <f>IFERROR(__xludf.DUMMYFUNCTION("""COMPUTED_VALUE"""),135.0)</f>
        <v>135</v>
      </c>
      <c r="B106" s="11" t="str">
        <f>IFERROR(__xludf.DUMMYFUNCTION("""COMPUTED_VALUE"""),"I would revoke access from a few accounts that I do not use as much, such as Paribus.")</f>
        <v>I would revoke access from a few accounts that I do not use as much, such as Paribus.</v>
      </c>
      <c r="C106" s="31" t="s">
        <v>812</v>
      </c>
      <c r="D106" s="31" t="s">
        <v>822</v>
      </c>
      <c r="E106" s="11"/>
      <c r="F106" s="11"/>
      <c r="G106" s="11"/>
      <c r="H106" s="11"/>
      <c r="I106" s="11"/>
      <c r="J106" s="11"/>
    </row>
    <row r="107">
      <c r="A107">
        <f>IFERROR(__xludf.DUMMYFUNCTION("""COMPUTED_VALUE"""),136.0)</f>
        <v>136</v>
      </c>
      <c r="B107" s="11" t="str">
        <f>IFERROR(__xludf.DUMMYFUNCTION("""COMPUTED_VALUE"""),"Arch Linux Chromium account access")</f>
        <v>Arch Linux Chromium account access</v>
      </c>
      <c r="C107" s="31" t="s">
        <v>812</v>
      </c>
      <c r="D107" s="31" t="s">
        <v>822</v>
      </c>
      <c r="E107" s="3"/>
      <c r="F107" s="3"/>
      <c r="G107" s="11"/>
      <c r="H107" s="11"/>
      <c r="I107" s="11"/>
      <c r="J107" s="11"/>
    </row>
    <row r="108">
      <c r="A108">
        <f>IFERROR(__xludf.DUMMYFUNCTION("""COMPUTED_VALUE"""),137.0)</f>
        <v>137</v>
      </c>
      <c r="B108" s="11"/>
      <c r="C108" s="3"/>
      <c r="D108" s="3"/>
      <c r="E108" s="3"/>
      <c r="F108" s="11"/>
      <c r="G108" s="11"/>
      <c r="H108" s="11"/>
      <c r="I108" s="11"/>
      <c r="J108" s="11"/>
    </row>
    <row r="109">
      <c r="A109">
        <f>IFERROR(__xludf.DUMMYFUNCTION("""COMPUTED_VALUE"""),138.0)</f>
        <v>138</v>
      </c>
      <c r="B109" s="11"/>
      <c r="C109" s="3"/>
      <c r="D109" s="3"/>
      <c r="E109" s="11"/>
      <c r="F109" s="11"/>
      <c r="G109" s="11"/>
      <c r="H109" s="11"/>
      <c r="I109" s="11"/>
      <c r="J109" s="11"/>
    </row>
    <row r="110">
      <c r="A110">
        <f>IFERROR(__xludf.DUMMYFUNCTION("""COMPUTED_VALUE"""),139.0)</f>
        <v>139</v>
      </c>
      <c r="B110" s="11"/>
      <c r="C110" s="3"/>
      <c r="D110" s="3"/>
      <c r="E110" s="3"/>
      <c r="F110" s="11"/>
      <c r="G110" s="11"/>
      <c r="H110" s="11"/>
      <c r="I110" s="11"/>
      <c r="J110" s="11"/>
    </row>
    <row r="111">
      <c r="A111">
        <f>IFERROR(__xludf.DUMMYFUNCTION("""COMPUTED_VALUE"""),140.0)</f>
        <v>140</v>
      </c>
      <c r="B111" s="11"/>
      <c r="C111" s="19"/>
      <c r="D111" s="3"/>
      <c r="E111" s="3"/>
      <c r="F111" s="3"/>
      <c r="G111" s="11"/>
      <c r="H111" s="11"/>
      <c r="I111" s="11"/>
      <c r="J111" s="11"/>
    </row>
    <row r="112">
      <c r="A112">
        <f>IFERROR(__xludf.DUMMYFUNCTION("""COMPUTED_VALUE"""),141.0)</f>
        <v>141</v>
      </c>
      <c r="B112" s="11" t="str">
        <f>IFERROR(__xludf.DUMMYFUNCTION("""COMPUTED_VALUE"""),"The one that is not Yahoo. I do not use the app so will detete it and the access to Google")</f>
        <v>The one that is not Yahoo. I do not use the app so will detete it and the access to Google</v>
      </c>
      <c r="C112" s="31" t="s">
        <v>812</v>
      </c>
      <c r="D112" s="31" t="s">
        <v>822</v>
      </c>
      <c r="E112" s="31" t="s">
        <v>813</v>
      </c>
      <c r="F112" s="11"/>
      <c r="G112" s="11"/>
      <c r="H112" s="11"/>
      <c r="I112" s="11"/>
      <c r="J112" s="11"/>
    </row>
    <row r="113">
      <c r="A113">
        <f>IFERROR(__xludf.DUMMYFUNCTION("""COMPUTED_VALUE"""),143.0)</f>
        <v>143</v>
      </c>
      <c r="B113" s="11" t="str">
        <f>IFERROR(__xludf.DUMMYFUNCTION("""COMPUTED_VALUE"""),"I would change it so that I know which sites have access to my account and what they could when they have access.")</f>
        <v>I would change it so that I know which sites have access to my account and what they could when they have access.</v>
      </c>
      <c r="C113" s="27" t="s">
        <v>826</v>
      </c>
      <c r="D113" s="3"/>
      <c r="E113" s="11"/>
      <c r="F113" s="11"/>
      <c r="G113" s="11"/>
      <c r="H113" s="11"/>
      <c r="I113" s="11"/>
      <c r="J113" s="11"/>
    </row>
    <row r="114">
      <c r="A114">
        <f>IFERROR(__xludf.DUMMYFUNCTION("""COMPUTED_VALUE"""),144.0)</f>
        <v>144</v>
      </c>
      <c r="B114" s="11" t="str">
        <f>IFERROR(__xludf.DUMMYFUNCTION("""COMPUTED_VALUE"""),"i would just change the apps i no longer want to have access")</f>
        <v>i would just change the apps i no longer want to have access</v>
      </c>
      <c r="C114" s="31" t="s">
        <v>812</v>
      </c>
      <c r="D114" s="31" t="s">
        <v>824</v>
      </c>
      <c r="E114" s="3"/>
      <c r="F114" s="3"/>
      <c r="G114" s="11"/>
      <c r="H114" s="11"/>
      <c r="I114" s="11"/>
      <c r="J114" s="11"/>
    </row>
    <row r="115">
      <c r="A115">
        <f>IFERROR(__xludf.DUMMYFUNCTION("""COMPUTED_VALUE"""),145.0)</f>
        <v>145</v>
      </c>
      <c r="B115" s="11"/>
      <c r="C115" s="3"/>
      <c r="D115" s="11"/>
      <c r="E115" s="11"/>
      <c r="F115" s="11"/>
      <c r="G115" s="11"/>
      <c r="H115" s="11"/>
      <c r="I115" s="11"/>
      <c r="J115" s="11"/>
    </row>
    <row r="116">
      <c r="A116">
        <f>IFERROR(__xludf.DUMMYFUNCTION("""COMPUTED_VALUE"""),146.0)</f>
        <v>146</v>
      </c>
      <c r="B116" s="11"/>
      <c r="C116" s="3"/>
      <c r="D116" s="3"/>
      <c r="E116" s="3"/>
      <c r="F116" s="3"/>
      <c r="G116" s="11"/>
      <c r="H116" s="11"/>
      <c r="I116" s="11"/>
      <c r="J116" s="11"/>
    </row>
    <row r="117">
      <c r="A117">
        <f>IFERROR(__xludf.DUMMYFUNCTION("""COMPUTED_VALUE"""),147.0)</f>
        <v>147</v>
      </c>
      <c r="B117" s="11"/>
      <c r="C117" s="3"/>
      <c r="D117" s="3"/>
      <c r="E117" s="11"/>
      <c r="F117" s="11"/>
      <c r="G117" s="11"/>
      <c r="H117" s="11"/>
      <c r="I117" s="11"/>
      <c r="J117" s="11"/>
    </row>
    <row r="118">
      <c r="A118">
        <f>IFERROR(__xludf.DUMMYFUNCTION("""COMPUTED_VALUE"""),148.0)</f>
        <v>148</v>
      </c>
      <c r="B118" s="11" t="str">
        <f>IFERROR(__xludf.DUMMYFUNCTION("""COMPUTED_VALUE"""),"I would remove sharing permissions for some apps")</f>
        <v>I would remove sharing permissions for some apps</v>
      </c>
      <c r="C118" s="3" t="s">
        <v>814</v>
      </c>
      <c r="D118" s="3" t="s">
        <v>832</v>
      </c>
      <c r="E118" s="11"/>
      <c r="F118" s="11"/>
      <c r="G118" s="11"/>
      <c r="H118" s="11"/>
      <c r="I118" s="11"/>
      <c r="J118" s="11"/>
    </row>
    <row r="119">
      <c r="A119">
        <f>IFERROR(__xludf.DUMMYFUNCTION("""COMPUTED_VALUE"""),149.0)</f>
        <v>149</v>
      </c>
      <c r="B119" s="11"/>
      <c r="C119" s="3"/>
      <c r="D119" s="3"/>
      <c r="E119" s="11"/>
      <c r="F119" s="11"/>
      <c r="G119" s="11"/>
      <c r="H119" s="11"/>
      <c r="I119" s="11"/>
      <c r="J119" s="11"/>
    </row>
    <row r="120">
      <c r="A120">
        <f>IFERROR(__xludf.DUMMYFUNCTION("""COMPUTED_VALUE"""),150.0)</f>
        <v>150</v>
      </c>
      <c r="B120" s="11" t="str">
        <f>IFERROR(__xludf.DUMMYFUNCTION("""COMPUTED_VALUE"""),"I don't know what Kappwing or whatever it was is or why it has access. I will remove it")</f>
        <v>I don't know what Kappwing or whatever it was is or why it has access. I will remove it</v>
      </c>
      <c r="C120" s="31" t="s">
        <v>812</v>
      </c>
      <c r="D120" s="27" t="s">
        <v>819</v>
      </c>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c r="C122" s="3"/>
      <c r="D122" s="3"/>
      <c r="E122" s="3"/>
      <c r="F122" s="11"/>
      <c r="G122" s="11"/>
      <c r="H122" s="11"/>
      <c r="I122" s="11"/>
      <c r="J122" s="11"/>
    </row>
    <row r="123">
      <c r="A123">
        <f>IFERROR(__xludf.DUMMYFUNCTION("""COMPUTED_VALUE"""),153.0)</f>
        <v>153</v>
      </c>
      <c r="B123" s="11" t="str">
        <f>IFERROR(__xludf.DUMMYFUNCTION("""COMPUTED_VALUE"""),"i would remove both apps entirely")</f>
        <v>i would remove both apps entirely</v>
      </c>
      <c r="C123" s="31" t="s">
        <v>812</v>
      </c>
      <c r="D123" s="31" t="s">
        <v>818</v>
      </c>
      <c r="E123" s="3"/>
      <c r="F123" s="3"/>
      <c r="G123" s="11"/>
      <c r="H123" s="11"/>
      <c r="I123" s="11"/>
      <c r="J123" s="11"/>
    </row>
    <row r="124">
      <c r="A124">
        <f>IFERROR(__xludf.DUMMYFUNCTION("""COMPUTED_VALUE"""),154.0)</f>
        <v>154</v>
      </c>
      <c r="B124" s="11" t="str">
        <f>IFERROR(__xludf.DUMMYFUNCTION("""COMPUTED_VALUE"""),"I would delete a few and probably change some that have more access than is necessary for their function.")</f>
        <v>I would delete a few and probably change some that have more access than is necessary for their function.</v>
      </c>
      <c r="C124" s="31" t="s">
        <v>812</v>
      </c>
      <c r="D124" s="31" t="s">
        <v>824</v>
      </c>
      <c r="E124" s="3" t="s">
        <v>814</v>
      </c>
      <c r="F124" s="3" t="s">
        <v>815</v>
      </c>
      <c r="G124" s="11"/>
      <c r="H124" s="11"/>
      <c r="I124" s="11"/>
      <c r="J124" s="11"/>
    </row>
    <row r="125">
      <c r="A125">
        <f>IFERROR(__xludf.DUMMYFUNCTION("""COMPUTED_VALUE"""),155.0)</f>
        <v>155</v>
      </c>
      <c r="B125" s="11" t="str">
        <f>IFERROR(__xludf.DUMMYFUNCTION("""COMPUTED_VALUE"""),"I am going to completely remove access from the games that I no longer play, and I will be more careful giving access to apps on a whim.")</f>
        <v>I am going to completely remove access from the games that I no longer play, and I will be more careful giving access to apps on a whim.</v>
      </c>
      <c r="C125" s="3"/>
      <c r="D125" s="3"/>
      <c r="E125" s="11"/>
      <c r="F125" s="11"/>
      <c r="G125" s="11"/>
      <c r="H125" s="11"/>
      <c r="I125" s="11"/>
      <c r="J125" s="11"/>
    </row>
    <row r="126">
      <c r="A126">
        <f>IFERROR(__xludf.DUMMYFUNCTION("""COMPUTED_VALUE"""),156.0)</f>
        <v>156</v>
      </c>
      <c r="B126" s="11"/>
      <c r="C126" s="3"/>
      <c r="D126" s="3"/>
      <c r="E126" s="11"/>
      <c r="F126" s="11"/>
      <c r="G126" s="11"/>
      <c r="H126" s="11"/>
      <c r="I126" s="11"/>
      <c r="J126" s="11"/>
    </row>
    <row r="127">
      <c r="A127">
        <f>IFERROR(__xludf.DUMMYFUNCTION("""COMPUTED_VALUE"""),157.0)</f>
        <v>157</v>
      </c>
      <c r="B127" s="11"/>
      <c r="C127" s="3"/>
      <c r="D127" s="11"/>
      <c r="E127" s="11"/>
      <c r="F127" s="11"/>
      <c r="G127" s="11"/>
      <c r="H127" s="11"/>
      <c r="I127" s="11"/>
      <c r="J127" s="11"/>
    </row>
    <row r="128">
      <c r="A128">
        <f>IFERROR(__xludf.DUMMYFUNCTION("""COMPUTED_VALUE"""),158.0)</f>
        <v>158</v>
      </c>
      <c r="B128" s="11" t="str">
        <f>IFERROR(__xludf.DUMMYFUNCTION("""COMPUTED_VALUE"""),"I would remove access to some apps.")</f>
        <v>I would remove access to some apps.</v>
      </c>
      <c r="C128" s="31" t="s">
        <v>812</v>
      </c>
      <c r="D128" s="31" t="s">
        <v>824</v>
      </c>
      <c r="E128" s="3"/>
      <c r="F128" s="3"/>
      <c r="G128" s="11"/>
      <c r="H128" s="11"/>
      <c r="I128" s="11"/>
      <c r="J128" s="11"/>
    </row>
    <row r="129">
      <c r="A129">
        <f>IFERROR(__xludf.DUMMYFUNCTION("""COMPUTED_VALUE"""),159.0)</f>
        <v>159</v>
      </c>
      <c r="B129" s="11"/>
      <c r="C129" s="3"/>
      <c r="D129" s="3"/>
      <c r="E129" s="11"/>
      <c r="F129" s="11"/>
      <c r="G129" s="11"/>
      <c r="H129" s="11"/>
      <c r="I129" s="11"/>
      <c r="J129" s="11"/>
    </row>
    <row r="130">
      <c r="A130">
        <f>IFERROR(__xludf.DUMMYFUNCTION("""COMPUTED_VALUE"""),160.0)</f>
        <v>160</v>
      </c>
      <c r="B130" s="26" t="str">
        <f>IFERROR(__xludf.DUMMYFUNCTION("""COMPUTED_VALUE"""),"I'll probably remove access to some I don't use anymore just to protect my information from any potential unwanted leaks.")</f>
        <v>I'll probably remove access to some I don't use anymore just to protect my information from any potential unwanted leaks.</v>
      </c>
      <c r="C130" s="31" t="s">
        <v>812</v>
      </c>
      <c r="D130" s="31" t="s">
        <v>813</v>
      </c>
      <c r="E130" s="3" t="s">
        <v>833</v>
      </c>
      <c r="F130" s="3" t="s">
        <v>834</v>
      </c>
      <c r="G130" s="11"/>
      <c r="H130" s="11"/>
      <c r="I130" s="11"/>
      <c r="J130" s="11"/>
    </row>
    <row r="131">
      <c r="A131">
        <f>IFERROR(__xludf.DUMMYFUNCTION("""COMPUTED_VALUE"""),161.0)</f>
        <v>161</v>
      </c>
      <c r="B131" s="11"/>
      <c r="C131" s="3"/>
      <c r="D131" s="3"/>
      <c r="E131" s="11"/>
      <c r="F131" s="11"/>
      <c r="G131" s="11"/>
      <c r="H131" s="11"/>
      <c r="I131" s="11"/>
      <c r="J131" s="11"/>
    </row>
    <row r="132">
      <c r="A132">
        <f>IFERROR(__xludf.DUMMYFUNCTION("""COMPUTED_VALUE"""),162.0)</f>
        <v>162</v>
      </c>
      <c r="B132" s="11" t="str">
        <f>IFERROR(__xludf.DUMMYFUNCTION("""COMPUTED_VALUE"""),"I need to get rid of most of these apps because I only use a few of them.")</f>
        <v>I need to get rid of most of these apps because I only use a few of them.</v>
      </c>
      <c r="C132" s="31" t="s">
        <v>812</v>
      </c>
      <c r="D132" s="31" t="s">
        <v>813</v>
      </c>
      <c r="E132" s="11"/>
      <c r="F132" s="11"/>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11"/>
      <c r="C134" s="3"/>
      <c r="D134" s="3"/>
      <c r="E134" s="3"/>
      <c r="F134" s="11"/>
      <c r="G134" s="11"/>
      <c r="H134" s="11"/>
      <c r="I134" s="11"/>
      <c r="J134" s="11"/>
    </row>
    <row r="135">
      <c r="A135">
        <f>IFERROR(__xludf.DUMMYFUNCTION("""COMPUTED_VALUE"""),165.0)</f>
        <v>165</v>
      </c>
      <c r="B135" s="11" t="str">
        <f>IFERROR(__xludf.DUMMYFUNCTION("""COMPUTED_VALUE"""),"Remove all access for SmallPDF")</f>
        <v>Remove all access for SmallPDF</v>
      </c>
      <c r="C135" s="31" t="s">
        <v>812</v>
      </c>
      <c r="D135" s="31" t="s">
        <v>822</v>
      </c>
      <c r="E135" s="11"/>
      <c r="F135" s="11"/>
      <c r="G135" s="11"/>
      <c r="H135" s="11"/>
      <c r="I135" s="11"/>
      <c r="J135" s="11"/>
    </row>
    <row r="136">
      <c r="A136">
        <f>IFERROR(__xludf.DUMMYFUNCTION("""COMPUTED_VALUE"""),166.0)</f>
        <v>166</v>
      </c>
      <c r="B136" s="26" t="str">
        <f>IFERROR(__xludf.DUMMYFUNCTION("""COMPUTED_VALUE"""),"I would remove certain apps from having access to my account. Especially those that don't really need to have access, for example the app that I removed from my phone.")</f>
        <v>I would remove certain apps from having access to my account. Especially those that don't really need to have access, for example the app that I removed from my phone.</v>
      </c>
      <c r="C136" s="31" t="s">
        <v>812</v>
      </c>
      <c r="D136" s="31" t="s">
        <v>813</v>
      </c>
      <c r="E136" s="3"/>
      <c r="F136" s="11"/>
      <c r="G136" s="11"/>
      <c r="H136" s="11"/>
      <c r="I136" s="11"/>
      <c r="J136" s="11"/>
    </row>
    <row r="137">
      <c r="A137">
        <f>IFERROR(__xludf.DUMMYFUNCTION("""COMPUTED_VALUE"""),167.0)</f>
        <v>167</v>
      </c>
      <c r="B137" s="11" t="str">
        <f>IFERROR(__xludf.DUMMYFUNCTION("""COMPUTED_VALUE"""),"I will most likely remove access to some of those third parties and, for those that I keep, I will probably try to restrict their access to my personal information even further.")</f>
        <v>I will most likely remove access to some of those third parties and, for those that I keep, I will probably try to restrict their access to my personal information even further.</v>
      </c>
      <c r="C137" s="31" t="s">
        <v>812</v>
      </c>
      <c r="D137" s="31" t="s">
        <v>824</v>
      </c>
      <c r="E137" s="3" t="s">
        <v>814</v>
      </c>
      <c r="F137" s="27" t="s">
        <v>820</v>
      </c>
      <c r="G137" s="27" t="s">
        <v>833</v>
      </c>
      <c r="H137" s="11"/>
      <c r="I137" s="11"/>
      <c r="J137" s="11"/>
    </row>
    <row r="138">
      <c r="A138">
        <f>IFERROR(__xludf.DUMMYFUNCTION("""COMPUTED_VALUE"""),168.0)</f>
        <v>168</v>
      </c>
      <c r="B138" s="11" t="str">
        <f>IFERROR(__xludf.DUMMYFUNCTION("""COMPUTED_VALUE"""),"i would remove wish from the listing as i don't use it")</f>
        <v>i would remove wish from the listing as i don't use it</v>
      </c>
      <c r="C138" s="31" t="s">
        <v>812</v>
      </c>
      <c r="D138" s="31" t="s">
        <v>813</v>
      </c>
      <c r="E138" s="3"/>
      <c r="F138" s="11"/>
      <c r="G138" s="11"/>
      <c r="H138" s="11"/>
      <c r="I138" s="11"/>
      <c r="J138" s="11"/>
    </row>
    <row r="139">
      <c r="A139">
        <f>IFERROR(__xludf.DUMMYFUNCTION("""COMPUTED_VALUE"""),169.0)</f>
        <v>169</v>
      </c>
      <c r="B139" s="11"/>
      <c r="C139" s="3"/>
      <c r="D139" s="3"/>
      <c r="E139" s="3"/>
      <c r="F139" s="11"/>
      <c r="G139" s="11"/>
      <c r="H139" s="11"/>
      <c r="I139" s="11"/>
      <c r="J139" s="11"/>
    </row>
    <row r="140">
      <c r="A140">
        <f>IFERROR(__xludf.DUMMYFUNCTION("""COMPUTED_VALUE"""),170.0)</f>
        <v>170</v>
      </c>
      <c r="B140" s="11" t="str">
        <f>IFERROR(__xludf.DUMMYFUNCTION("""COMPUTED_VALUE"""),"I'd like to see what all of my apps have access to.")</f>
        <v>I'd like to see what all of my apps have access to.</v>
      </c>
      <c r="C140" s="27" t="s">
        <v>826</v>
      </c>
      <c r="D140" s="3"/>
      <c r="E140" s="3"/>
      <c r="F140" s="3"/>
      <c r="G140" s="11"/>
      <c r="H140" s="11"/>
      <c r="I140" s="11"/>
      <c r="J140" s="11"/>
    </row>
    <row r="141">
      <c r="A141">
        <f>IFERROR(__xludf.DUMMYFUNCTION("""COMPUTED_VALUE"""),171.0)</f>
        <v>171</v>
      </c>
      <c r="B141" s="11"/>
      <c r="C141" s="3"/>
      <c r="D141" s="3"/>
      <c r="E141" s="11"/>
      <c r="F141" s="11"/>
      <c r="G141" s="11"/>
      <c r="H141" s="11"/>
      <c r="I141" s="11"/>
      <c r="J141" s="11"/>
    </row>
    <row r="142">
      <c r="A142">
        <f>IFERROR(__xludf.DUMMYFUNCTION("""COMPUTED_VALUE"""),172.0)</f>
        <v>172</v>
      </c>
      <c r="B142" s="11"/>
      <c r="C142" s="3"/>
      <c r="D142" s="3"/>
      <c r="E142" s="11"/>
      <c r="F142" s="11"/>
      <c r="G142" s="11"/>
      <c r="H142" s="11"/>
      <c r="I142" s="11"/>
      <c r="J142" s="11"/>
    </row>
    <row r="143">
      <c r="A143">
        <f>IFERROR(__xludf.DUMMYFUNCTION("""COMPUTED_VALUE"""),173.0)</f>
        <v>173</v>
      </c>
      <c r="B143" s="11"/>
      <c r="C143" s="3"/>
      <c r="D143" s="3"/>
      <c r="E143" s="3"/>
      <c r="F143" s="11"/>
      <c r="G143" s="11"/>
      <c r="H143" s="11"/>
      <c r="I143" s="11"/>
      <c r="J143" s="11"/>
    </row>
    <row r="144">
      <c r="A144">
        <f>IFERROR(__xludf.DUMMYFUNCTION("""COMPUTED_VALUE"""),174.0)</f>
        <v>174</v>
      </c>
      <c r="B144" s="11" t="str">
        <f>IFERROR(__xludf.DUMMYFUNCTION("""COMPUTED_VALUE"""),"I would limit the amount of information different apps can view - especially with my personal information.")</f>
        <v>I would limit the amount of information different apps can view - especially with my personal information.</v>
      </c>
      <c r="C144" s="3" t="s">
        <v>833</v>
      </c>
      <c r="D144" s="3" t="s">
        <v>814</v>
      </c>
      <c r="E144" s="27" t="s">
        <v>820</v>
      </c>
      <c r="F144" s="3"/>
      <c r="G144" s="3"/>
      <c r="H144" s="11"/>
      <c r="I144" s="11"/>
      <c r="J144" s="11"/>
    </row>
    <row r="145">
      <c r="A145">
        <f>IFERROR(__xludf.DUMMYFUNCTION("""COMPUTED_VALUE"""),175.0)</f>
        <v>175</v>
      </c>
      <c r="B145" s="11" t="str">
        <f>IFERROR(__xludf.DUMMYFUNCTION("""COMPUTED_VALUE"""),"I would remove some apps I don't use often")</f>
        <v>I would remove some apps I don't use often</v>
      </c>
      <c r="C145" s="31" t="s">
        <v>812</v>
      </c>
      <c r="D145" s="31" t="s">
        <v>813</v>
      </c>
      <c r="E145" s="3"/>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IFERROR(__xludf.DUMMYFUNCTION("""COMPUTED_VALUE"""),"remove apps that im unfamiliar with or dont use")</f>
        <v>remove apps that im unfamiliar with or dont use</v>
      </c>
      <c r="C147" s="31" t="s">
        <v>812</v>
      </c>
      <c r="D147" s="31" t="s">
        <v>813</v>
      </c>
      <c r="E147" s="31" t="s">
        <v>819</v>
      </c>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IFERROR(__xludf.DUMMYFUNCTION("""COMPUTED_VALUE"""),"I'd like to remove services that I don't use anymore.")</f>
        <v>I'd like to remove services that I don't use anymore.</v>
      </c>
      <c r="C149" s="31" t="s">
        <v>812</v>
      </c>
      <c r="D149" s="31" t="s">
        <v>813</v>
      </c>
      <c r="E149" s="11"/>
      <c r="F149" s="11"/>
      <c r="H149" s="11"/>
      <c r="I149" s="11"/>
      <c r="J149" s="11"/>
    </row>
    <row r="150">
      <c r="A150">
        <f>IFERROR(__xludf.DUMMYFUNCTION("""COMPUTED_VALUE"""),181.0)</f>
        <v>181</v>
      </c>
      <c r="B150" s="11"/>
      <c r="C150" s="3"/>
      <c r="D150" s="3"/>
      <c r="E150" s="3"/>
      <c r="F150" s="3"/>
      <c r="H150" s="11"/>
      <c r="I150" s="11"/>
      <c r="J150" s="11"/>
    </row>
    <row r="151">
      <c r="A151">
        <f>IFERROR(__xludf.DUMMYFUNCTION("""COMPUTED_VALUE"""),182.0)</f>
        <v>182</v>
      </c>
      <c r="B151" s="11" t="str">
        <f>IFERROR(__xludf.DUMMYFUNCTION("""COMPUTED_VALUE"""),"I would change settings that would increase security for any of my personal information.")</f>
        <v>I would change settings that would increase security for any of my personal information.</v>
      </c>
      <c r="C151" s="3" t="s">
        <v>833</v>
      </c>
      <c r="D151" s="3" t="s">
        <v>814</v>
      </c>
      <c r="E151" s="27" t="s">
        <v>820</v>
      </c>
      <c r="F151" s="3"/>
      <c r="H151" s="11"/>
      <c r="I151" s="11"/>
      <c r="J151" s="11"/>
    </row>
    <row r="152">
      <c r="A152">
        <f>IFERROR(__xludf.DUMMYFUNCTION("""COMPUTED_VALUE"""),183.0)</f>
        <v>183</v>
      </c>
      <c r="B152" s="11" t="str">
        <f>IFERROR(__xludf.DUMMYFUNCTION("""COMPUTED_VALUE"""),"I would periodically review my settings to make sure apps that have access to my account are still needed.")</f>
        <v>I would periodically review my settings to make sure apps that have access to my account are still needed.</v>
      </c>
      <c r="C152" s="3"/>
      <c r="D152" s="3"/>
      <c r="E152" s="11"/>
      <c r="F152" s="11"/>
      <c r="H152" s="11"/>
      <c r="I152" s="11"/>
      <c r="J152" s="11"/>
    </row>
    <row r="153">
      <c r="A153">
        <f>IFERROR(__xludf.DUMMYFUNCTION("""COMPUTED_VALUE"""),184.0)</f>
        <v>184</v>
      </c>
      <c r="B153" s="11" t="str">
        <f>IFERROR(__xludf.DUMMYFUNCTION("""COMPUTED_VALUE"""),"I will remove SocialToaster from having any access")</f>
        <v>I will remove SocialToaster from having any access</v>
      </c>
      <c r="C153" s="31" t="s">
        <v>812</v>
      </c>
      <c r="D153" s="31" t="s">
        <v>822</v>
      </c>
      <c r="E153" s="11"/>
      <c r="F153" s="11"/>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t="str">
        <f>IFERROR(__xludf.DUMMYFUNCTION("""COMPUTED_VALUE"""),"I would remove access to several apps that have it.")</f>
        <v>I would remove access to several apps that have it.</v>
      </c>
      <c r="C155" s="31" t="s">
        <v>812</v>
      </c>
      <c r="D155" s="31" t="s">
        <v>824</v>
      </c>
      <c r="E155" s="11"/>
      <c r="F155" s="11"/>
      <c r="G155" s="11"/>
      <c r="H155" s="11"/>
      <c r="I155" s="11"/>
      <c r="J155" s="11"/>
    </row>
    <row r="156">
      <c r="A156">
        <f>IFERROR(__xludf.DUMMYFUNCTION("""COMPUTED_VALUE"""),187.0)</f>
        <v>187</v>
      </c>
      <c r="B156" s="11" t="str">
        <f>IFERROR(__xludf.DUMMYFUNCTION("""COMPUTED_VALUE"""),"I would unauthorize one of the apps from being able to access my account (Quora). I see no reason why Quora would need to have this information and am uncomfortable with having this site have access to it. While I'm sure at one point I authorized it, I do"&amp;"n't remember doing so, and I don't remember why Quora thought it was necessary. Why would that site want to know all this stuff about me, anyway?")</f>
        <v>I would unauthorize one of the apps from being able to access my account (Quora). I see no reason why Quora would need to have this information and am uncomfortable with having this site have access to it. While I'm sure at one point I authorized it, I don't remember doing so, and I don't remember why Quora thought it was necessary. Why would that site want to know all this stuff about me, anyway?</v>
      </c>
      <c r="C156" s="31" t="s">
        <v>812</v>
      </c>
      <c r="D156" s="31" t="s">
        <v>822</v>
      </c>
      <c r="E156" s="3" t="s">
        <v>833</v>
      </c>
      <c r="F156" s="11"/>
      <c r="G156" s="11"/>
      <c r="H156" s="11"/>
      <c r="I156" s="11"/>
      <c r="J156" s="11"/>
    </row>
    <row r="157">
      <c r="A157">
        <f>IFERROR(__xludf.DUMMYFUNCTION("""COMPUTED_VALUE"""),188.0)</f>
        <v>188</v>
      </c>
      <c r="B157" s="11" t="str">
        <f>IFERROR(__xludf.DUMMYFUNCTION("""COMPUTED_VALUE"""),"I would change the permissions that rakuten has.")</f>
        <v>I would change the permissions that rakuten has.</v>
      </c>
      <c r="C157" s="3" t="s">
        <v>814</v>
      </c>
      <c r="D157" s="3" t="s">
        <v>835</v>
      </c>
      <c r="E157" s="11"/>
      <c r="F157" s="11"/>
      <c r="G157" s="11"/>
      <c r="H157" s="11"/>
      <c r="I157" s="11"/>
      <c r="J157" s="11"/>
    </row>
    <row r="158">
      <c r="A158">
        <f>IFERROR(__xludf.DUMMYFUNCTION("""COMPUTED_VALUE"""),189.0)</f>
        <v>189</v>
      </c>
      <c r="B158" s="11" t="str">
        <f>IFERROR(__xludf.DUMMYFUNCTION("""COMPUTED_VALUE"""),"stop allowing some services that i hadn't noticed.")</f>
        <v>stop allowing some services that i hadn't noticed.</v>
      </c>
      <c r="C158" s="31" t="s">
        <v>812</v>
      </c>
      <c r="D158" s="27" t="s">
        <v>819</v>
      </c>
      <c r="E158" s="11"/>
      <c r="F158" s="11"/>
      <c r="G158" s="11"/>
      <c r="H158" s="11"/>
      <c r="I158" s="11"/>
      <c r="J158" s="11"/>
    </row>
    <row r="159">
      <c r="A159">
        <f>IFERROR(__xludf.DUMMYFUNCTION("""COMPUTED_VALUE"""),190.0)</f>
        <v>190</v>
      </c>
      <c r="B159" s="11" t="str">
        <f>IFERROR(__xludf.DUMMYFUNCTION("""COMPUTED_VALUE"""),"I would go through and remove any apps that I no longer use or that have overreaching permissions.")</f>
        <v>I would go through and remove any apps that I no longer use or that have overreaching permissions.</v>
      </c>
      <c r="C159" s="31" t="s">
        <v>812</v>
      </c>
      <c r="D159" s="31" t="s">
        <v>813</v>
      </c>
      <c r="E159" s="11"/>
      <c r="F159" s="11"/>
      <c r="G159" s="11"/>
      <c r="H159" s="11"/>
      <c r="I159" s="11"/>
      <c r="J159" s="11"/>
    </row>
    <row r="160">
      <c r="A160">
        <f>IFERROR(__xludf.DUMMYFUNCTION("""COMPUTED_VALUE"""),191.0)</f>
        <v>191</v>
      </c>
      <c r="B160" s="11" t="str">
        <f>IFERROR(__xludf.DUMMYFUNCTION("""COMPUTED_VALUE"""),"i might get rid of a few apps that have access and limit access")</f>
        <v>i might get rid of a few apps that have access and limit access</v>
      </c>
      <c r="C160" s="31" t="s">
        <v>812</v>
      </c>
      <c r="D160" s="31" t="s">
        <v>824</v>
      </c>
      <c r="E160" s="3" t="s">
        <v>814</v>
      </c>
      <c r="F160" s="27" t="s">
        <v>820</v>
      </c>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t="str">
        <f>IFERROR(__xludf.DUMMYFUNCTION("""COMPUTED_VALUE"""),"I will remove the apps that have access to my account.")</f>
        <v>I will remove the apps that have access to my account.</v>
      </c>
      <c r="C162" s="31" t="s">
        <v>812</v>
      </c>
      <c r="D162" s="31" t="s">
        <v>818</v>
      </c>
      <c r="E162" s="11"/>
      <c r="F162" s="11"/>
      <c r="G162" s="11"/>
      <c r="H162" s="11"/>
      <c r="I162" s="11"/>
      <c r="J162" s="11"/>
    </row>
    <row r="163">
      <c r="A163">
        <f>IFERROR(__xludf.DUMMYFUNCTION("""COMPUTED_VALUE"""),194.0)</f>
        <v>194</v>
      </c>
      <c r="B163" s="11" t="str">
        <f>IFERROR(__xludf.DUMMYFUNCTION("""COMPUTED_VALUE"""),"I would change how apps control what my email does")</f>
        <v>I would change how apps control what my email does</v>
      </c>
      <c r="C163" s="3" t="s">
        <v>814</v>
      </c>
      <c r="D163" s="3" t="s">
        <v>836</v>
      </c>
      <c r="E163" s="11"/>
      <c r="F163" s="11"/>
      <c r="G163" s="11"/>
      <c r="H163" s="11"/>
      <c r="I163" s="11"/>
      <c r="J163" s="11"/>
    </row>
    <row r="164">
      <c r="A164">
        <f>IFERROR(__xludf.DUMMYFUNCTION("""COMPUTED_VALUE"""),195.0)</f>
        <v>195</v>
      </c>
      <c r="B164" s="11" t="str">
        <f>IFERROR(__xludf.DUMMYFUNCTION("""COMPUTED_VALUE"""),"I will remove permissions for services I don't use anymore.")</f>
        <v>I will remove permissions for services I don't use anymore.</v>
      </c>
      <c r="C164" s="31" t="s">
        <v>812</v>
      </c>
      <c r="D164" s="31" t="s">
        <v>813</v>
      </c>
      <c r="E164" s="11"/>
      <c r="F164" s="11"/>
      <c r="G164" s="11"/>
      <c r="H164" s="11"/>
      <c r="I164" s="11"/>
      <c r="J164" s="11"/>
    </row>
    <row r="165">
      <c r="A165">
        <f>IFERROR(__xludf.DUMMYFUNCTION("""COMPUTED_VALUE"""),196.0)</f>
        <v>196</v>
      </c>
      <c r="B165" s="11"/>
      <c r="C165" s="11"/>
      <c r="D165" s="11"/>
      <c r="E165" s="11"/>
      <c r="F165" s="11"/>
      <c r="G165" s="11"/>
      <c r="H165" s="11"/>
      <c r="I165" s="11"/>
      <c r="J165" s="11"/>
    </row>
    <row r="166">
      <c r="A166">
        <f>IFERROR(__xludf.DUMMYFUNCTION("""COMPUTED_VALUE"""),197.0)</f>
        <v>197</v>
      </c>
      <c r="B166" s="11"/>
      <c r="C166" s="11"/>
      <c r="D166" s="11"/>
      <c r="E166" s="11"/>
      <c r="F166" s="11"/>
      <c r="G166" s="11"/>
      <c r="H166" s="11"/>
      <c r="I166" s="11"/>
      <c r="J166" s="11"/>
    </row>
    <row r="167">
      <c r="A167">
        <f>IFERROR(__xludf.DUMMYFUNCTION("""COMPUTED_VALUE"""),198.0)</f>
        <v>198</v>
      </c>
      <c r="B167" s="11" t="str">
        <f>IFERROR(__xludf.DUMMYFUNCTION("""COMPUTED_VALUE"""),"Mostly getting rid of accounts that I no longer use that are hooked up to my google account. I might also delete some google doc exentsions since I no longer use them.")</f>
        <v>Mostly getting rid of accounts that I no longer use that are hooked up to my google account. I might also delete some google doc exentsions since I no longer use them.</v>
      </c>
      <c r="C167" s="31" t="s">
        <v>812</v>
      </c>
      <c r="D167" s="31" t="s">
        <v>813</v>
      </c>
      <c r="E167" s="11"/>
      <c r="F167" s="11"/>
      <c r="G167" s="11"/>
      <c r="H167" s="11"/>
      <c r="I167" s="11"/>
      <c r="J167" s="11"/>
    </row>
    <row r="168">
      <c r="A168">
        <f>IFERROR(__xludf.DUMMYFUNCTION("""COMPUTED_VALUE"""),199.0)</f>
        <v>199</v>
      </c>
      <c r="B168" s="11"/>
      <c r="C168" s="11"/>
      <c r="D168" s="11"/>
      <c r="E168" s="11"/>
      <c r="F168" s="11"/>
      <c r="G168" s="11"/>
      <c r="H168" s="11"/>
      <c r="I168" s="11"/>
      <c r="J168" s="11"/>
    </row>
    <row r="169">
      <c r="A169">
        <f>IFERROR(__xludf.DUMMYFUNCTION("""COMPUTED_VALUE"""),200.0)</f>
        <v>200</v>
      </c>
      <c r="B169" s="11"/>
      <c r="C169" s="11"/>
      <c r="D169" s="11"/>
      <c r="E169" s="11"/>
      <c r="F169" s="11"/>
      <c r="G169" s="11"/>
      <c r="H169" s="11"/>
      <c r="I169" s="11"/>
      <c r="J169" s="11"/>
    </row>
    <row r="170">
      <c r="A170">
        <f>IFERROR(__xludf.DUMMYFUNCTION("""COMPUTED_VALUE"""),201.0)</f>
        <v>201</v>
      </c>
      <c r="B170" s="11"/>
      <c r="C170" s="11"/>
      <c r="D170" s="11"/>
      <c r="E170" s="11"/>
      <c r="F170" s="11"/>
      <c r="G170" s="11"/>
      <c r="H170" s="11"/>
      <c r="I170" s="11"/>
      <c r="J170" s="11"/>
    </row>
    <row r="171">
      <c r="A171">
        <f>IFERROR(__xludf.DUMMYFUNCTION("""COMPUTED_VALUE"""),202.0)</f>
        <v>202</v>
      </c>
      <c r="B171" s="11"/>
      <c r="C171" s="11"/>
      <c r="D171" s="11"/>
      <c r="E171" s="11"/>
      <c r="F171" s="11"/>
      <c r="G171" s="11"/>
      <c r="H171" s="11"/>
      <c r="I171" s="11"/>
      <c r="J171" s="11"/>
    </row>
    <row r="172">
      <c r="A172">
        <f>IFERROR(__xludf.DUMMYFUNCTION("""COMPUTED_VALUE"""),203.0)</f>
        <v>203</v>
      </c>
      <c r="B172" s="11" t="str">
        <f>IFERROR(__xludf.DUMMYFUNCTION("""COMPUTED_VALUE"""),"I would change would they could see.")</f>
        <v>I would change would they could see.</v>
      </c>
      <c r="C172" s="3" t="s">
        <v>814</v>
      </c>
      <c r="D172" s="11"/>
      <c r="E172" s="11"/>
      <c r="F172" s="11"/>
      <c r="G172" s="11"/>
      <c r="H172" s="11"/>
      <c r="I172" s="11"/>
      <c r="J172" s="11"/>
    </row>
    <row r="173">
      <c r="A173">
        <f>IFERROR(__xludf.DUMMYFUNCTION("""COMPUTED_VALUE"""),204.0)</f>
        <v>204</v>
      </c>
      <c r="B173" s="11" t="str">
        <f>IFERROR(__xludf.DUMMYFUNCTION("""COMPUTED_VALUE"""),"I would change what have permission to use my account.")</f>
        <v>I would change what have permission to use my account.</v>
      </c>
      <c r="C173" s="3" t="s">
        <v>814</v>
      </c>
      <c r="D173" s="11"/>
      <c r="E173" s="11"/>
      <c r="F173" s="11"/>
      <c r="G173" s="11"/>
      <c r="H173" s="11"/>
      <c r="I173" s="11"/>
      <c r="J173" s="11"/>
    </row>
    <row r="174">
      <c r="A174">
        <f>IFERROR(__xludf.DUMMYFUNCTION("""COMPUTED_VALUE"""),205.0)</f>
        <v>205</v>
      </c>
      <c r="B174" s="11" t="str">
        <f>IFERROR(__xludf.DUMMYFUNCTION("""COMPUTED_VALUE"""),"less changing of settings and more removal of some apps that are no longer used.")</f>
        <v>less changing of settings and more removal of some apps that are no longer used.</v>
      </c>
      <c r="C174" s="31" t="s">
        <v>812</v>
      </c>
      <c r="D174" s="31" t="s">
        <v>813</v>
      </c>
      <c r="E174" s="11"/>
      <c r="F174" s="11"/>
      <c r="G174" s="11"/>
      <c r="H174" s="11"/>
      <c r="I174" s="11"/>
      <c r="J174" s="11"/>
    </row>
    <row r="175">
      <c r="A175">
        <f>IFERROR(__xludf.DUMMYFUNCTION("""COMPUTED_VALUE"""),206.0)</f>
        <v>206</v>
      </c>
      <c r="B175" s="11" t="str">
        <f>IFERROR(__xludf.DUMMYFUNCTION("""COMPUTED_VALUE"""),"access to contact info, calendar info, access to emails")</f>
        <v>access to contact info, calendar info, access to emails</v>
      </c>
      <c r="C175" s="3" t="s">
        <v>814</v>
      </c>
      <c r="D175" s="3" t="s">
        <v>816</v>
      </c>
      <c r="E175" s="3" t="s">
        <v>837</v>
      </c>
      <c r="F175" s="3" t="s">
        <v>836</v>
      </c>
      <c r="G175" s="11"/>
      <c r="H175" s="11"/>
      <c r="I175" s="11"/>
      <c r="J175" s="11"/>
    </row>
    <row r="176">
      <c r="A176">
        <f>IFERROR(__xludf.DUMMYFUNCTION("""COMPUTED_VALUE"""),207.0)</f>
        <v>207</v>
      </c>
      <c r="B176" s="11"/>
      <c r="C176" s="11"/>
      <c r="D176" s="11"/>
      <c r="E176" s="11"/>
      <c r="F176" s="11"/>
      <c r="G176" s="11"/>
      <c r="H176" s="11"/>
      <c r="I176" s="11"/>
      <c r="J176" s="11"/>
    </row>
    <row r="177">
      <c r="A177">
        <f>IFERROR(__xludf.DUMMYFUNCTION("""COMPUTED_VALUE"""),208.0)</f>
        <v>208</v>
      </c>
      <c r="B177" s="11"/>
      <c r="C177" s="11"/>
      <c r="D177" s="11"/>
      <c r="E177" s="11"/>
      <c r="F177" s="11"/>
      <c r="G177" s="11"/>
      <c r="H177" s="11"/>
      <c r="I177" s="11"/>
      <c r="J177" s="11"/>
    </row>
    <row r="178">
      <c r="A178">
        <f>IFERROR(__xludf.DUMMYFUNCTION("""COMPUTED_VALUE"""),209.0)</f>
        <v>209</v>
      </c>
      <c r="B178" s="11"/>
      <c r="C178" s="11"/>
      <c r="D178" s="11"/>
      <c r="E178" s="11"/>
      <c r="F178" s="11"/>
      <c r="G178" s="11"/>
      <c r="H178" s="11"/>
      <c r="I178" s="11"/>
      <c r="J178" s="11"/>
    </row>
    <row r="179">
      <c r="A179">
        <f>IFERROR(__xludf.DUMMYFUNCTION("""COMPUTED_VALUE"""),210.0)</f>
        <v>210</v>
      </c>
      <c r="B179" s="11" t="str">
        <f>IFERROR(__xludf.DUMMYFUNCTION("""COMPUTED_VALUE"""),"i need to go through and remove my info from sites i don't use like wayfair.")</f>
        <v>i need to go through and remove my info from sites i don't use like wayfair.</v>
      </c>
      <c r="C179" s="31" t="s">
        <v>812</v>
      </c>
      <c r="D179" s="31" t="s">
        <v>813</v>
      </c>
      <c r="E179" s="11"/>
      <c r="F179" s="11"/>
      <c r="G179" s="11"/>
      <c r="H179" s="11"/>
      <c r="I179" s="11"/>
      <c r="J179" s="11"/>
    </row>
    <row r="180">
      <c r="A180">
        <f>IFERROR(__xludf.DUMMYFUNCTION("""COMPUTED_VALUE"""),211.0)</f>
        <v>211</v>
      </c>
      <c r="B180" s="11"/>
      <c r="C180" s="11"/>
      <c r="D180" s="11"/>
      <c r="E180" s="11"/>
      <c r="F180" s="11"/>
      <c r="G180" s="11"/>
      <c r="H180" s="11"/>
      <c r="I180" s="11"/>
      <c r="J180" s="11"/>
    </row>
    <row r="181">
      <c r="A181">
        <f>IFERROR(__xludf.DUMMYFUNCTION("""COMPUTED_VALUE"""),212.0)</f>
        <v>212</v>
      </c>
      <c r="B181" s="11" t="str">
        <f>IFERROR(__xludf.DUMMYFUNCTION("""COMPUTED_VALUE"""),"I will probably review my list now and remove apps that I no longer use.")</f>
        <v>I will probably review my list now and remove apps that I no longer use.</v>
      </c>
      <c r="C181" s="31" t="s">
        <v>812</v>
      </c>
      <c r="D181" s="31" t="s">
        <v>813</v>
      </c>
      <c r="E181" s="3" t="s">
        <v>826</v>
      </c>
      <c r="F181" s="11"/>
      <c r="G181" s="11"/>
      <c r="H181" s="11"/>
      <c r="I181" s="11"/>
      <c r="J181" s="11"/>
    </row>
    <row r="182">
      <c r="A182">
        <f>IFERROR(__xludf.DUMMYFUNCTION("""COMPUTED_VALUE"""),213.0)</f>
        <v>213</v>
      </c>
      <c r="B182" s="11" t="str">
        <f>IFERROR(__xludf.DUMMYFUNCTION("""COMPUTED_VALUE"""),"I would re-consider certain privacy setting and uninstall certain apps I no longer use.")</f>
        <v>I would re-consider certain privacy setting and uninstall certain apps I no longer use.</v>
      </c>
      <c r="C182" s="31" t="s">
        <v>812</v>
      </c>
      <c r="D182" s="31" t="s">
        <v>813</v>
      </c>
      <c r="E182" t="s">
        <v>833</v>
      </c>
      <c r="F182" s="11"/>
      <c r="G182" s="11"/>
      <c r="H182" s="11"/>
      <c r="I182" s="11"/>
      <c r="J182" s="11"/>
    </row>
    <row r="183">
      <c r="A183">
        <f>IFERROR(__xludf.DUMMYFUNCTION("""COMPUTED_VALUE"""),214.0)</f>
        <v>214</v>
      </c>
      <c r="B183" s="11" t="str">
        <f>IFERROR(__xludf.DUMMYFUNCTION("""COMPUTED_VALUE"""),"I would remove some apps that I don't really use anymore")</f>
        <v>I would remove some apps that I don't really use anymore</v>
      </c>
      <c r="C183" s="31" t="s">
        <v>812</v>
      </c>
      <c r="D183" s="31" t="s">
        <v>813</v>
      </c>
      <c r="E183" s="11"/>
      <c r="F183" s="11"/>
      <c r="G183" s="11"/>
      <c r="H183" s="11"/>
      <c r="I183" s="11"/>
      <c r="J183" s="11"/>
    </row>
    <row r="184">
      <c r="A184">
        <f>IFERROR(__xludf.DUMMYFUNCTION("""COMPUTED_VALUE"""),216.0)</f>
        <v>216</v>
      </c>
      <c r="B184" s="11" t="str">
        <f>IFERROR(__xludf.DUMMYFUNCTION("""COMPUTED_VALUE"""),"I would disable the apps that I no longer use.")</f>
        <v>I would disable the apps that I no longer use.</v>
      </c>
      <c r="C184" s="31" t="s">
        <v>812</v>
      </c>
      <c r="D184" s="31" t="s">
        <v>813</v>
      </c>
      <c r="E184" s="11"/>
      <c r="F184" s="11"/>
      <c r="G184" s="11"/>
      <c r="H184" s="11"/>
      <c r="I184" s="11"/>
      <c r="J184" s="11"/>
    </row>
    <row r="185">
      <c r="A185">
        <f>IFERROR(__xludf.DUMMYFUNCTION("""COMPUTED_VALUE"""),218.0)</f>
        <v>218</v>
      </c>
      <c r="B185" s="11" t="str">
        <f>IFERROR(__xludf.DUMMYFUNCTION("""COMPUTED_VALUE"""),"What information is shared")</f>
        <v>What information is shared</v>
      </c>
      <c r="C185" t="s">
        <v>833</v>
      </c>
      <c r="D185" s="11"/>
      <c r="E185" s="11"/>
      <c r="F185" s="11"/>
      <c r="G185" s="11"/>
      <c r="H185" s="11"/>
      <c r="I185" s="11"/>
      <c r="J185" s="11"/>
    </row>
    <row r="186">
      <c r="A186">
        <f>IFERROR(__xludf.DUMMYFUNCTION("""COMPUTED_VALUE"""),219.0)</f>
        <v>219</v>
      </c>
      <c r="B186" s="11" t="str">
        <f>IFERROR(__xludf.DUMMYFUNCTION("""COMPUTED_VALUE"""),"I would go through and remove the apps that I no longer use or have installed because there isn't any reason for them to continue to have access to my account information.")</f>
        <v>I would go through and remove the apps that I no longer use or have installed because there isn't any reason for them to continue to have access to my account information.</v>
      </c>
      <c r="C186" s="31" t="s">
        <v>812</v>
      </c>
      <c r="D186" s="31" t="s">
        <v>813</v>
      </c>
      <c r="E186" s="11"/>
      <c r="F186" s="11"/>
      <c r="G186" s="11"/>
      <c r="H186" s="11"/>
      <c r="I186" s="11"/>
      <c r="J186" s="11"/>
    </row>
    <row r="187">
      <c r="A187">
        <f>IFERROR(__xludf.DUMMYFUNCTION("""COMPUTED_VALUE"""),220.0)</f>
        <v>220</v>
      </c>
      <c r="B187" s="11" t="str">
        <f>IFERROR(__xludf.DUMMYFUNCTION("""COMPUTED_VALUE"""),"I will change the privacy settings for certain applications and uninstall the ones that I no longer use.")</f>
        <v>I will change the privacy settings for certain applications and uninstall the ones that I no longer use.</v>
      </c>
      <c r="C187" s="3" t="s">
        <v>814</v>
      </c>
      <c r="D187" s="31" t="s">
        <v>812</v>
      </c>
      <c r="E187" s="31" t="s">
        <v>813</v>
      </c>
      <c r="F187" s="11"/>
      <c r="G187" s="11"/>
      <c r="H187" s="11"/>
      <c r="I187" s="11"/>
      <c r="J187" s="11"/>
    </row>
    <row r="188">
      <c r="A188">
        <f>IFERROR(__xludf.DUMMYFUNCTION("""COMPUTED_VALUE"""),221.0)</f>
        <v>221</v>
      </c>
      <c r="B188" s="11" t="str">
        <f>IFERROR(__xludf.DUMMYFUNCTION("""COMPUTED_VALUE"""),"I would remove dropbox's access to my contacts")</f>
        <v>I would remove dropbox's access to my contacts</v>
      </c>
      <c r="C188" s="3" t="s">
        <v>814</v>
      </c>
      <c r="D188" s="3" t="s">
        <v>816</v>
      </c>
      <c r="E188" s="11"/>
      <c r="F188" s="11"/>
      <c r="G188" s="11"/>
      <c r="H188" s="11"/>
      <c r="I188" s="11"/>
      <c r="J188" s="11"/>
    </row>
    <row r="189">
      <c r="A189">
        <f>IFERROR(__xludf.DUMMYFUNCTION("""COMPUTED_VALUE"""),222.0)</f>
        <v>222</v>
      </c>
      <c r="B189" s="11"/>
      <c r="C189" s="11"/>
      <c r="D189" s="11"/>
      <c r="E189" s="11"/>
      <c r="F189" s="11"/>
      <c r="G189" s="11"/>
      <c r="H189" s="11"/>
      <c r="I189" s="11"/>
      <c r="J189" s="11"/>
    </row>
    <row r="190">
      <c r="A190">
        <f>IFERROR(__xludf.DUMMYFUNCTION("""COMPUTED_VALUE"""),223.0)</f>
        <v>223</v>
      </c>
      <c r="B190" s="11"/>
      <c r="C190" s="11"/>
      <c r="D190" s="11"/>
      <c r="E190" s="11"/>
      <c r="F190" s="11"/>
      <c r="G190" s="11"/>
      <c r="H190" s="11"/>
      <c r="I190" s="11"/>
      <c r="J190" s="11"/>
    </row>
    <row r="191">
      <c r="A191">
        <f>IFERROR(__xludf.DUMMYFUNCTION("""COMPUTED_VALUE"""),224.0)</f>
        <v>224</v>
      </c>
      <c r="B191" s="11" t="str">
        <f>IFERROR(__xludf.DUMMYFUNCTION("""COMPUTED_VALUE"""),"I would delete Apollo, and maybe restrict Streak's access to my Google Drive.")</f>
        <v>I would delete Apollo, and maybe restrict Streak's access to my Google Drive.</v>
      </c>
      <c r="C191" s="31" t="s">
        <v>812</v>
      </c>
      <c r="D191" s="31" t="s">
        <v>822</v>
      </c>
      <c r="E191" s="3" t="s">
        <v>814</v>
      </c>
      <c r="F191" s="3" t="s">
        <v>835</v>
      </c>
      <c r="G191" s="3" t="s">
        <v>838</v>
      </c>
      <c r="H191" s="11"/>
      <c r="I191" s="11"/>
      <c r="J191" s="11"/>
    </row>
    <row r="192">
      <c r="A192">
        <f>IFERROR(__xludf.DUMMYFUNCTION("""COMPUTED_VALUE"""),225.0)</f>
        <v>225</v>
      </c>
      <c r="B192" s="11"/>
      <c r="C192" s="11"/>
      <c r="D192" s="11"/>
      <c r="E192" s="11"/>
      <c r="F192" s="11"/>
      <c r="G192" s="11"/>
      <c r="H192" s="11"/>
      <c r="I192" s="11"/>
      <c r="J192" s="11"/>
    </row>
    <row r="193">
      <c r="A193">
        <f>IFERROR(__xludf.DUMMYFUNCTION("""COMPUTED_VALUE"""),226.0)</f>
        <v>226</v>
      </c>
      <c r="B193" s="11" t="str">
        <f>IFERROR(__xludf.DUMMYFUNCTION("""COMPUTED_VALUE"""),"I would probably delete some of the apps I gave access to my account for. I don't use them enough and they don't need my data.")</f>
        <v>I would probably delete some of the apps I gave access to my account for. I don't use them enough and they don't need my data.</v>
      </c>
      <c r="C193" s="31" t="s">
        <v>812</v>
      </c>
      <c r="D193" s="31" t="s">
        <v>813</v>
      </c>
      <c r="E193" t="s">
        <v>833</v>
      </c>
      <c r="F193" s="11"/>
      <c r="G193" s="11"/>
      <c r="H193" s="11"/>
      <c r="I193" s="11"/>
      <c r="J193" s="11"/>
    </row>
    <row r="194">
      <c r="A194">
        <f>IFERROR(__xludf.DUMMYFUNCTION("""COMPUTED_VALUE"""),227.0)</f>
        <v>227</v>
      </c>
      <c r="B194" s="11"/>
      <c r="C194" s="11"/>
      <c r="D194" s="11"/>
      <c r="E194" s="11"/>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c r="C197" s="11"/>
      <c r="D197" s="11"/>
      <c r="E197" s="11"/>
      <c r="F197" s="11"/>
      <c r="G197" s="11"/>
      <c r="H197" s="11"/>
      <c r="I197" s="11"/>
      <c r="J197" s="11"/>
    </row>
    <row r="198">
      <c r="A198">
        <f>IFERROR(__xludf.DUMMYFUNCTION("""COMPUTED_VALUE"""),231.0)</f>
        <v>231</v>
      </c>
      <c r="B198" s="11"/>
      <c r="C198" s="11"/>
      <c r="D198" s="11"/>
      <c r="E198" s="11"/>
      <c r="F198" s="11"/>
      <c r="G198" s="11"/>
      <c r="H198" s="11"/>
      <c r="I198" s="11"/>
      <c r="J198" s="11"/>
    </row>
    <row r="199">
      <c r="A199">
        <f>IFERROR(__xludf.DUMMYFUNCTION("""COMPUTED_VALUE"""),232.0)</f>
        <v>232</v>
      </c>
      <c r="B199" s="11" t="str">
        <f>IFERROR(__xludf.DUMMYFUNCTION("""COMPUTED_VALUE"""),"I would remove the apps that I indicated earlier in the study.")</f>
        <v>I would remove the apps that I indicated earlier in the study.</v>
      </c>
      <c r="C199" s="31" t="s">
        <v>812</v>
      </c>
      <c r="D199" s="31" t="s">
        <v>824</v>
      </c>
      <c r="E199" s="11"/>
      <c r="F199" s="11"/>
      <c r="G199" s="11"/>
      <c r="H199" s="11"/>
      <c r="I199" s="11"/>
      <c r="J199" s="11"/>
    </row>
    <row r="200">
      <c r="A200">
        <f>IFERROR(__xludf.DUMMYFUNCTION("""COMPUTED_VALUE"""),233.0)</f>
        <v>233</v>
      </c>
      <c r="B200" s="11"/>
      <c r="C200" s="11"/>
      <c r="D200" s="11"/>
      <c r="E200" s="11"/>
      <c r="F200" s="11"/>
      <c r="G200" s="11"/>
      <c r="H200" s="11"/>
      <c r="I200" s="11"/>
      <c r="J200" s="11"/>
    </row>
    <row r="201">
      <c r="A201">
        <f>IFERROR(__xludf.DUMMYFUNCTION("""COMPUTED_VALUE"""),234.0)</f>
        <v>234</v>
      </c>
      <c r="B201" s="11"/>
      <c r="C201" s="11"/>
      <c r="D201" s="11"/>
      <c r="E201" s="11"/>
      <c r="F201" s="11"/>
      <c r="G201" s="11"/>
      <c r="H201" s="11"/>
      <c r="I201" s="11"/>
      <c r="J201" s="11"/>
    </row>
    <row r="202">
      <c r="A202">
        <f>IFERROR(__xludf.DUMMYFUNCTION("""COMPUTED_VALUE"""),235.0)</f>
        <v>235</v>
      </c>
      <c r="B202" s="11" t="str">
        <f>IFERROR(__xludf.DUMMYFUNCTION("""COMPUTED_VALUE"""),"The apps with access to google drive.")</f>
        <v>The apps with access to google drive.</v>
      </c>
      <c r="C202" s="31" t="s">
        <v>812</v>
      </c>
      <c r="D202" s="27" t="s">
        <v>839</v>
      </c>
      <c r="E202" s="11"/>
      <c r="F202" s="11"/>
      <c r="G202" s="11"/>
      <c r="H202" s="11"/>
      <c r="I202" s="11"/>
      <c r="J202" s="11"/>
    </row>
    <row r="203">
      <c r="A203">
        <f>IFERROR(__xludf.DUMMYFUNCTION("""COMPUTED_VALUE"""),236.0)</f>
        <v>236</v>
      </c>
      <c r="B203" s="11"/>
      <c r="C203" s="11"/>
      <c r="D203" s="11"/>
      <c r="E203" s="11"/>
      <c r="F203" s="11"/>
      <c r="G203" s="11"/>
      <c r="H203" s="11"/>
      <c r="I203" s="11"/>
      <c r="J203" s="11"/>
    </row>
    <row r="204">
      <c r="A204">
        <f>IFERROR(__xludf.DUMMYFUNCTION("""COMPUTED_VALUE"""),237.0)</f>
        <v>237</v>
      </c>
      <c r="B204" s="11"/>
      <c r="C204" s="11"/>
      <c r="D204" s="11"/>
      <c r="E204" s="11"/>
      <c r="F204" s="11"/>
      <c r="G204" s="11"/>
      <c r="H204" s="11"/>
      <c r="I204" s="11"/>
      <c r="J204" s="11"/>
    </row>
    <row r="205">
      <c r="A205">
        <f>IFERROR(__xludf.DUMMYFUNCTION("""COMPUTED_VALUE"""),238.0)</f>
        <v>238</v>
      </c>
      <c r="B205" s="26" t="str">
        <f>IFERROR(__xludf.DUMMYFUNCTION("""COMPUTED_VALUE"""),"I would like to review it more often to make sure apps I no longer use are updated and no longer have access. 
 Review to make sure that the access they have makes sense.")</f>
        <v>I would like to review it more often to make sure apps I no longer use are updated and no longer have access. 
 Review to make sure that the access they have makes sense.</v>
      </c>
      <c r="C205" s="27" t="s">
        <v>826</v>
      </c>
      <c r="D205" s="19" t="s">
        <v>840</v>
      </c>
      <c r="E205" s="31" t="s">
        <v>812</v>
      </c>
      <c r="F205" s="31" t="s">
        <v>813</v>
      </c>
      <c r="H205" s="11"/>
      <c r="I205" s="11"/>
      <c r="J205" s="11"/>
    </row>
    <row r="206">
      <c r="A206">
        <f>IFERROR(__xludf.DUMMYFUNCTION("""COMPUTED_VALUE"""),239.0)</f>
        <v>239</v>
      </c>
      <c r="B206" s="11"/>
      <c r="C206" s="11"/>
      <c r="D206" s="11"/>
      <c r="E206" s="11"/>
      <c r="F206" s="11"/>
      <c r="G206" s="11"/>
      <c r="H206" s="11"/>
      <c r="I206" s="11"/>
      <c r="J206" s="11"/>
    </row>
    <row r="207">
      <c r="A207">
        <f>IFERROR(__xludf.DUMMYFUNCTION("""COMPUTED_VALUE"""),240.0)</f>
        <v>240</v>
      </c>
      <c r="B207" s="11"/>
      <c r="C207" s="11"/>
      <c r="D207" s="11"/>
      <c r="E207" s="11"/>
      <c r="F207" s="11"/>
      <c r="G207" s="11"/>
      <c r="H207" s="11"/>
      <c r="I207" s="11"/>
      <c r="J207" s="11"/>
    </row>
    <row r="208">
      <c r="A208">
        <f>IFERROR(__xludf.DUMMYFUNCTION("""COMPUTED_VALUE"""),241.0)</f>
        <v>241</v>
      </c>
      <c r="B208" s="11" t="str">
        <f>IFERROR(__xludf.DUMMYFUNCTION("""COMPUTED_VALUE"""),"I would change the setting that allows me to sign into apps/websites with my Google account.")</f>
        <v>I would change the setting that allows me to sign into apps/websites with my Google account.</v>
      </c>
      <c r="C208" s="3" t="s">
        <v>841</v>
      </c>
      <c r="D208" s="11"/>
      <c r="E208" s="11"/>
      <c r="F208" s="11"/>
      <c r="G208" s="11"/>
      <c r="H208" s="11"/>
      <c r="I208" s="11"/>
      <c r="J208" s="11"/>
    </row>
    <row r="209">
      <c r="A209">
        <f>IFERROR(__xludf.DUMMYFUNCTION("""COMPUTED_VALUE"""),242.0)</f>
        <v>242</v>
      </c>
      <c r="B209" s="11" t="str">
        <f>IFERROR(__xludf.DUMMYFUNCTION("""COMPUTED_VALUE"""),"I would like to see all the apps that have access to my account. It would be important for me to know in case I notice something weird going on and I have to turn off access.")</f>
        <v>I would like to see all the apps that have access to my account. It would be important for me to know in case I notice something weird going on and I have to turn off access.</v>
      </c>
      <c r="C209" s="27" t="s">
        <v>826</v>
      </c>
      <c r="D209" s="27" t="s">
        <v>842</v>
      </c>
      <c r="E209" s="31" t="s">
        <v>812</v>
      </c>
      <c r="F209" s="11"/>
      <c r="G209" s="11"/>
      <c r="H209" s="11"/>
      <c r="I209" s="11"/>
      <c r="J209" s="11"/>
    </row>
    <row r="210">
      <c r="A210">
        <f>IFERROR(__xludf.DUMMYFUNCTION("""COMPUTED_VALUE"""),243.0)</f>
        <v>243</v>
      </c>
      <c r="B210" s="11" t="str">
        <f>IFERROR(__xludf.DUMMYFUNCTION("""COMPUTED_VALUE"""),"There is one app which is chinese characters. I am not sure what one that is")</f>
        <v>There is one app which is chinese characters. I am not sure what one that is</v>
      </c>
      <c r="C210" s="31" t="s">
        <v>812</v>
      </c>
      <c r="D210" s="27" t="s">
        <v>819</v>
      </c>
      <c r="E210" s="11"/>
      <c r="F210" s="11"/>
      <c r="G210" s="11"/>
      <c r="H210" s="11"/>
      <c r="I210" s="11"/>
      <c r="J210" s="11"/>
    </row>
    <row r="211">
      <c r="A211">
        <f>IFERROR(__xludf.DUMMYFUNCTION("""COMPUTED_VALUE"""),244.0)</f>
        <v>244</v>
      </c>
      <c r="B211" s="11"/>
      <c r="C211" s="11"/>
      <c r="D211" s="11"/>
      <c r="E211" s="11"/>
      <c r="F211" s="11"/>
      <c r="G211" s="11"/>
      <c r="H211" s="11"/>
      <c r="I211" s="11"/>
      <c r="J211" s="11"/>
    </row>
    <row r="212">
      <c r="A212">
        <f>IFERROR(__xludf.DUMMYFUNCTION("""COMPUTED_VALUE"""),245.0)</f>
        <v>245</v>
      </c>
      <c r="B212" s="11" t="str">
        <f>IFERROR(__xludf.DUMMYFUNCTION("""COMPUTED_VALUE"""),"contacts and other private info")</f>
        <v>contacts and other private info</v>
      </c>
      <c r="C212" t="s">
        <v>814</v>
      </c>
      <c r="D212" t="s">
        <v>816</v>
      </c>
      <c r="E212" t="s">
        <v>828</v>
      </c>
      <c r="F212" s="11"/>
      <c r="G212" s="11"/>
      <c r="H212" s="11"/>
      <c r="I212" s="11"/>
      <c r="J212" s="11"/>
    </row>
    <row r="213">
      <c r="A213">
        <f>IFERROR(__xludf.DUMMYFUNCTION("""COMPUTED_VALUE"""),246.0)</f>
        <v>246</v>
      </c>
      <c r="B213" s="11"/>
      <c r="C213" s="11"/>
      <c r="D213" s="11"/>
      <c r="E213" s="11"/>
      <c r="F213" s="11"/>
      <c r="G213" s="11"/>
      <c r="H213" s="11"/>
      <c r="I213" s="11"/>
      <c r="J213" s="11"/>
    </row>
    <row r="214">
      <c r="A214">
        <f>IFERROR(__xludf.DUMMYFUNCTION("""COMPUTED_VALUE"""),247.0)</f>
        <v>247</v>
      </c>
      <c r="B214" s="11"/>
      <c r="C214" s="11"/>
      <c r="D214" s="11"/>
      <c r="E214" s="11"/>
      <c r="F214" s="11"/>
      <c r="G214" s="11"/>
      <c r="H214" s="11"/>
      <c r="I214" s="11"/>
      <c r="J214" s="11"/>
    </row>
    <row r="215">
      <c r="A215">
        <f>IFERROR(__xludf.DUMMYFUNCTION("""COMPUTED_VALUE"""),248.0)</f>
        <v>248</v>
      </c>
      <c r="B215" s="11"/>
      <c r="C215" s="11"/>
      <c r="D215" s="11"/>
      <c r="E215" s="11"/>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40.71"/>
  </cols>
  <sheetData>
    <row r="1">
      <c r="A1" s="15" t="s">
        <v>785</v>
      </c>
      <c r="B1" s="28"/>
      <c r="C1" s="28"/>
      <c r="D1" s="28"/>
      <c r="E1" s="15" t="s">
        <v>786</v>
      </c>
      <c r="F1" s="28"/>
    </row>
    <row r="2">
      <c r="A2" s="28" t="str">
        <f>IFERROR(__xludf.DUMMYFUNCTION("QUERY({'Q19 (primary)'!C2:C1000;'Q19 (primary)'!D2:D1000;'Q19 (primary)'!E2:E1000;'Q19 (primary)'!F2:F1000;'Q19 (primary)'!G2:G1000;'Q19 (primary)'!H2:H1000;'Q19 (primary)'!I2:I1000;'Q19 (primary)'!J2:J1000;'Q19 (primary)'!K2:K1000}, ""select Col1, count("&amp;"Col1) where Col1 is not null group by Col1 order by Col1 asc"")"),"")</f>
        <v/>
      </c>
      <c r="B2" s="28" t="str">
        <f>IFERROR(__xludf.DUMMYFUNCTION("""COMPUTED_VALUE"""),"count ")</f>
        <v>count </v>
      </c>
      <c r="C2" s="28"/>
      <c r="D2" s="28"/>
      <c r="E2" s="28" t="str">
        <f>IFERROR(__xludf.DUMMYFUNCTION("QUERY({'Q19 (primary)'!C2:C1000;'Q19 (primary)'!D2:D1000;'Q19 (primary)'!E2:E1000;'Q19 (primary)'!F2:F1000;'Q19 (primary)'!G2:G1000;'Q19 (primary)'!H2:H1000;'Q19 (primary)'!I2:I1000;'Q19 (primary)'!J2:J1000;'Q19 (primary)'!K2:K1000}, ""select Col1, count("&amp;"Col1) where Col1 is not null and not Col1 contains '-&gt;' group by Col1 order by count(Col1) desc"")"),"")</f>
        <v/>
      </c>
      <c r="F2" s="28" t="str">
        <f>IFERROR(__xludf.DUMMYFUNCTION("""COMPUTED_VALUE"""),"count ")</f>
        <v>count </v>
      </c>
    </row>
    <row r="3">
      <c r="A3" t="str">
        <f>IFERROR(__xludf.DUMMYFUNCTION("""COMPUTED_VALUE"""),"change_permissions")</f>
        <v>change_permissions</v>
      </c>
      <c r="B3">
        <f>IFERROR(__xludf.DUMMYFUNCTION("""COMPUTED_VALUE"""),27.0)</f>
        <v>27</v>
      </c>
      <c r="E3" t="str">
        <f>IFERROR(__xludf.DUMMYFUNCTION("""COMPUTED_VALUE"""),"remove_app_access")</f>
        <v>remove_app_access</v>
      </c>
      <c r="F3">
        <f>IFERROR(__xludf.DUMMYFUNCTION("""COMPUTED_VALUE"""),76.0)</f>
        <v>76</v>
      </c>
      <c r="G3" s="40"/>
    </row>
    <row r="4">
      <c r="A4" t="str">
        <f>IFERROR(__xludf.DUMMYFUNCTION("""COMPUTED_VALUE"""),"change_permissions-&gt;account_info")</f>
        <v>change_permissions-&gt;account_info</v>
      </c>
      <c r="B4">
        <f>IFERROR(__xludf.DUMMYFUNCTION("""COMPUTED_VALUE"""),2.0)</f>
        <v>2</v>
      </c>
      <c r="E4" t="str">
        <f>IFERROR(__xludf.DUMMYFUNCTION("""COMPUTED_VALUE"""),"change_permissions")</f>
        <v>change_permissions</v>
      </c>
      <c r="F4">
        <f>IFERROR(__xludf.DUMMYFUNCTION("""COMPUTED_VALUE"""),27.0)</f>
        <v>27</v>
      </c>
      <c r="G4" s="40"/>
    </row>
    <row r="5">
      <c r="A5" t="str">
        <f>IFERROR(__xludf.DUMMYFUNCTION("""COMPUTED_VALUE"""),"change_permissions-&gt;calendar")</f>
        <v>change_permissions-&gt;calendar</v>
      </c>
      <c r="B5">
        <f>IFERROR(__xludf.DUMMYFUNCTION("""COMPUTED_VALUE"""),1.0)</f>
        <v>1</v>
      </c>
      <c r="E5" t="str">
        <f>IFERROR(__xludf.DUMMYFUNCTION("""COMPUTED_VALUE"""),"wants_to_protect_personal_data")</f>
        <v>wants_to_protect_personal_data</v>
      </c>
      <c r="F5">
        <f>IFERROR(__xludf.DUMMYFUNCTION("""COMPUTED_VALUE"""),8.0)</f>
        <v>8</v>
      </c>
      <c r="G5" s="40"/>
    </row>
    <row r="6">
      <c r="A6" t="str">
        <f>IFERROR(__xludf.DUMMYFUNCTION("""COMPUTED_VALUE"""),"change_permissions-&gt;change_files")</f>
        <v>change_permissions-&gt;change_files</v>
      </c>
      <c r="B6">
        <f>IFERROR(__xludf.DUMMYFUNCTION("""COMPUTED_VALUE"""),1.0)</f>
        <v>1</v>
      </c>
      <c r="E6" t="str">
        <f>IFERROR(__xludf.DUMMYFUNCTION("""COMPUTED_VALUE"""),"review_app_access")</f>
        <v>review_app_access</v>
      </c>
      <c r="F6">
        <f>IFERROR(__xludf.DUMMYFUNCTION("""COMPUTED_VALUE"""),7.0)</f>
        <v>7</v>
      </c>
      <c r="G6" s="40"/>
    </row>
    <row r="7">
      <c r="A7" t="str">
        <f>IFERROR(__xludf.DUMMYFUNCTION("""COMPUTED_VALUE"""),"change_permissions-&gt;contacts")</f>
        <v>change_permissions-&gt;contacts</v>
      </c>
      <c r="B7">
        <f>IFERROR(__xludf.DUMMYFUNCTION("""COMPUTED_VALUE"""),4.0)</f>
        <v>4</v>
      </c>
      <c r="E7" t="str">
        <f>IFERROR(__xludf.DUMMYFUNCTION("""COMPUTED_VALUE"""),"change_sso_access")</f>
        <v>change_sso_access</v>
      </c>
      <c r="F7">
        <f>IFERROR(__xludf.DUMMYFUNCTION("""COMPUTED_VALUE"""),1.0)</f>
        <v>1</v>
      </c>
      <c r="G7" s="40"/>
    </row>
    <row r="8">
      <c r="A8" t="str">
        <f>IFERROR(__xludf.DUMMYFUNCTION("""COMPUTED_VALUE"""),"change_permissions-&gt;delete_files")</f>
        <v>change_permissions-&gt;delete_files</v>
      </c>
      <c r="B8">
        <f>IFERROR(__xludf.DUMMYFUNCTION("""COMPUTED_VALUE"""),1.0)</f>
        <v>1</v>
      </c>
      <c r="E8" t="str">
        <f>IFERROR(__xludf.DUMMYFUNCTION("""COMPUTED_VALUE"""),"review_what_data_used")</f>
        <v>review_what_data_used</v>
      </c>
      <c r="F8">
        <f>IFERROR(__xludf.DUMMYFUNCTION("""COMPUTED_VALUE"""),1.0)</f>
        <v>1</v>
      </c>
      <c r="G8" s="40"/>
    </row>
    <row r="9">
      <c r="A9" t="str">
        <f>IFERROR(__xludf.DUMMYFUNCTION("""COMPUTED_VALUE"""),"change_permissions-&gt;email")</f>
        <v>change_permissions-&gt;email</v>
      </c>
      <c r="B9">
        <f>IFERROR(__xludf.DUMMYFUNCTION("""COMPUTED_VALUE"""),2.0)</f>
        <v>2</v>
      </c>
      <c r="E9" t="str">
        <f>IFERROR(__xludf.DUMMYFUNCTION("""COMPUTED_VALUE"""),"use_separate_account_for_app_access")</f>
        <v>use_separate_account_for_app_access</v>
      </c>
      <c r="F9">
        <f>IFERROR(__xludf.DUMMYFUNCTION("""COMPUTED_VALUE"""),1.0)</f>
        <v>1</v>
      </c>
      <c r="G9" s="40"/>
    </row>
    <row r="10">
      <c r="A10" t="str">
        <f>IFERROR(__xludf.DUMMYFUNCTION("""COMPUTED_VALUE"""),"change_permissions-&gt;google_drive")</f>
        <v>change_permissions-&gt;google_drive</v>
      </c>
      <c r="B10">
        <f>IFERROR(__xludf.DUMMYFUNCTION("""COMPUTED_VALUE"""),1.0)</f>
        <v>1</v>
      </c>
      <c r="G10" s="40"/>
    </row>
    <row r="11">
      <c r="A11" t="str">
        <f>IFERROR(__xludf.DUMMYFUNCTION("""COMPUTED_VALUE"""),"change_permissions-&gt;limit_access")</f>
        <v>change_permissions-&gt;limit_access</v>
      </c>
      <c r="B11">
        <f>IFERROR(__xludf.DUMMYFUNCTION("""COMPUTED_VALUE"""),8.0)</f>
        <v>8</v>
      </c>
      <c r="G11" s="40"/>
    </row>
    <row r="12">
      <c r="A12" t="str">
        <f>IFERROR(__xludf.DUMMYFUNCTION("""COMPUTED_VALUE"""),"change_permissions-&gt;remove_unnecessary")</f>
        <v>change_permissions-&gt;remove_unnecessary</v>
      </c>
      <c r="B12">
        <f>IFERROR(__xludf.DUMMYFUNCTION("""COMPUTED_VALUE"""),4.0)</f>
        <v>4</v>
      </c>
      <c r="G12" s="40"/>
    </row>
    <row r="13">
      <c r="A13" t="str">
        <f>IFERROR(__xludf.DUMMYFUNCTION("""COMPUTED_VALUE"""),"change_permissions-&gt;sharing")</f>
        <v>change_permissions-&gt;sharing</v>
      </c>
      <c r="B13">
        <f>IFERROR(__xludf.DUMMYFUNCTION("""COMPUTED_VALUE"""),1.0)</f>
        <v>1</v>
      </c>
      <c r="G13" s="40"/>
    </row>
    <row r="14">
      <c r="A14" t="str">
        <f>IFERROR(__xludf.DUMMYFUNCTION("""COMPUTED_VALUE"""),"change_permissions-&gt;specific_app")</f>
        <v>change_permissions-&gt;specific_app</v>
      </c>
      <c r="B14">
        <f>IFERROR(__xludf.DUMMYFUNCTION("""COMPUTED_VALUE"""),2.0)</f>
        <v>2</v>
      </c>
      <c r="G14" s="40"/>
    </row>
    <row r="15">
      <c r="A15" t="str">
        <f>IFERROR(__xludf.DUMMYFUNCTION("""COMPUTED_VALUE"""),"change_permissions-&gt;storage")</f>
        <v>change_permissions-&gt;storage</v>
      </c>
      <c r="B15">
        <f>IFERROR(__xludf.DUMMYFUNCTION("""COMPUTED_VALUE"""),1.0)</f>
        <v>1</v>
      </c>
      <c r="G15" s="40"/>
    </row>
    <row r="16">
      <c r="A16" t="str">
        <f>IFERROR(__xludf.DUMMYFUNCTION("""COMPUTED_VALUE"""),"change_permissions-&gt;unused_apps")</f>
        <v>change_permissions-&gt;unused_apps</v>
      </c>
      <c r="B16">
        <f>IFERROR(__xludf.DUMMYFUNCTION("""COMPUTED_VALUE"""),2.0)</f>
        <v>2</v>
      </c>
      <c r="G16" s="40"/>
    </row>
    <row r="17">
      <c r="A17" t="str">
        <f>IFERROR(__xludf.DUMMYFUNCTION("""COMPUTED_VALUE"""),"change_sso_access")</f>
        <v>change_sso_access</v>
      </c>
      <c r="B17">
        <f>IFERROR(__xludf.DUMMYFUNCTION("""COMPUTED_VALUE"""),1.0)</f>
        <v>1</v>
      </c>
      <c r="G17" s="40"/>
    </row>
    <row r="18">
      <c r="A18" t="str">
        <f>IFERROR(__xludf.DUMMYFUNCTION("""COMPUTED_VALUE"""),"remove_app_access")</f>
        <v>remove_app_access</v>
      </c>
      <c r="B18">
        <f>IFERROR(__xludf.DUMMYFUNCTION("""COMPUTED_VALUE"""),76.0)</f>
        <v>76</v>
      </c>
      <c r="G18" s="40"/>
    </row>
    <row r="19">
      <c r="A19" t="str">
        <f>IFERROR(__xludf.DUMMYFUNCTION("""COMPUTED_VALUE"""),"remove_app_access-&gt;all")</f>
        <v>remove_app_access-&gt;all</v>
      </c>
      <c r="B19">
        <f>IFERROR(__xludf.DUMMYFUNCTION("""COMPUTED_VALUE"""),6.0)</f>
        <v>6</v>
      </c>
      <c r="G19" s="40"/>
    </row>
    <row r="20">
      <c r="A20" t="str">
        <f>IFERROR(__xludf.DUMMYFUNCTION("""COMPUTED_VALUE"""),"remove_app_access-&gt;apps_with_account_access")</f>
        <v>remove_app_access-&gt;apps_with_account_access</v>
      </c>
      <c r="B20">
        <f>IFERROR(__xludf.DUMMYFUNCTION("""COMPUTED_VALUE"""),4.0)</f>
        <v>4</v>
      </c>
      <c r="G20" s="40"/>
    </row>
    <row r="21">
      <c r="A21" t="str">
        <f>IFERROR(__xludf.DUMMYFUNCTION("""COMPUTED_VALUE"""),"remove_app_access-&gt;apps_with_google_drive_access")</f>
        <v>remove_app_access-&gt;apps_with_google_drive_access</v>
      </c>
      <c r="B21">
        <f>IFERROR(__xludf.DUMMYFUNCTION("""COMPUTED_VALUE"""),1.0)</f>
        <v>1</v>
      </c>
      <c r="G21" s="40"/>
    </row>
    <row r="22">
      <c r="A22" t="str">
        <f>IFERROR(__xludf.DUMMYFUNCTION("""COMPUTED_VALUE"""),"remove_app_access-&gt;some_apps")</f>
        <v>remove_app_access-&gt;some_apps</v>
      </c>
      <c r="B22">
        <f>IFERROR(__xludf.DUMMYFUNCTION("""COMPUTED_VALUE"""),11.0)</f>
        <v>11</v>
      </c>
      <c r="G22" s="40"/>
    </row>
    <row r="23">
      <c r="A23" t="str">
        <f>IFERROR(__xludf.DUMMYFUNCTION("""COMPUTED_VALUE"""),"remove_app_access-&gt;specific_app")</f>
        <v>remove_app_access-&gt;specific_app</v>
      </c>
      <c r="B23">
        <f>IFERROR(__xludf.DUMMYFUNCTION("""COMPUTED_VALUE"""),9.0)</f>
        <v>9</v>
      </c>
      <c r="G23" s="40"/>
    </row>
    <row r="24">
      <c r="A24" t="str">
        <f>IFERROR(__xludf.DUMMYFUNCTION("""COMPUTED_VALUE"""),"remove_app_access-&gt;unfamiliar_apps")</f>
        <v>remove_app_access-&gt;unfamiliar_apps</v>
      </c>
      <c r="B24">
        <f>IFERROR(__xludf.DUMMYFUNCTION("""COMPUTED_VALUE"""),6.0)</f>
        <v>6</v>
      </c>
      <c r="G24" s="40"/>
    </row>
    <row r="25">
      <c r="A25" t="str">
        <f>IFERROR(__xludf.DUMMYFUNCTION("""COMPUTED_VALUE"""),"remove_app_access-&gt;unused_apps")</f>
        <v>remove_app_access-&gt;unused_apps</v>
      </c>
      <c r="B25">
        <f>IFERROR(__xludf.DUMMYFUNCTION("""COMPUTED_VALUE"""),41.0)</f>
        <v>41</v>
      </c>
      <c r="G25" s="40"/>
    </row>
    <row r="26">
      <c r="A26" t="str">
        <f>IFERROR(__xludf.DUMMYFUNCTION("""COMPUTED_VALUE"""),"review_app_access")</f>
        <v>review_app_access</v>
      </c>
      <c r="B26">
        <f>IFERROR(__xludf.DUMMYFUNCTION("""COMPUTED_VALUE"""),7.0)</f>
        <v>7</v>
      </c>
      <c r="G26" s="40"/>
    </row>
    <row r="27">
      <c r="A27" t="str">
        <f>IFERROR(__xludf.DUMMYFUNCTION("""COMPUTED_VALUE"""),"review_app_access-&gt;all")</f>
        <v>review_app_access-&gt;all</v>
      </c>
      <c r="B27">
        <f>IFERROR(__xludf.DUMMYFUNCTION("""COMPUTED_VALUE"""),1.0)</f>
        <v>1</v>
      </c>
      <c r="G27" s="40"/>
    </row>
    <row r="28">
      <c r="A28" t="str">
        <f>IFERROR(__xludf.DUMMYFUNCTION("""COMPUTED_VALUE"""),"review_app_access-&gt;specific_app")</f>
        <v>review_app_access-&gt;specific_app</v>
      </c>
      <c r="B28">
        <f>IFERROR(__xludf.DUMMYFUNCTION("""COMPUTED_VALUE"""),1.0)</f>
        <v>1</v>
      </c>
      <c r="G28" s="40"/>
    </row>
    <row r="29">
      <c r="A29" t="str">
        <f>IFERROR(__xludf.DUMMYFUNCTION("""COMPUTED_VALUE"""),"review_app_access-&gt;unused_apps")</f>
        <v>review_app_access-&gt;unused_apps</v>
      </c>
      <c r="B29">
        <f>IFERROR(__xludf.DUMMYFUNCTION("""COMPUTED_VALUE"""),1.0)</f>
        <v>1</v>
      </c>
      <c r="G29" s="40"/>
    </row>
    <row r="30">
      <c r="A30" t="str">
        <f>IFERROR(__xludf.DUMMYFUNCTION("""COMPUTED_VALUE"""),"review_what_data_used")</f>
        <v>review_what_data_used</v>
      </c>
      <c r="B30">
        <f>IFERROR(__xludf.DUMMYFUNCTION("""COMPUTED_VALUE"""),1.0)</f>
        <v>1</v>
      </c>
      <c r="G30" s="40"/>
    </row>
    <row r="31">
      <c r="A31" t="str">
        <f>IFERROR(__xludf.DUMMYFUNCTION("""COMPUTED_VALUE"""),"use_separate_account_for_app_access")</f>
        <v>use_separate_account_for_app_access</v>
      </c>
      <c r="B31">
        <f>IFERROR(__xludf.DUMMYFUNCTION("""COMPUTED_VALUE"""),1.0)</f>
        <v>1</v>
      </c>
      <c r="G31" s="40"/>
    </row>
    <row r="32">
      <c r="A32" t="str">
        <f>IFERROR(__xludf.DUMMYFUNCTION("""COMPUTED_VALUE"""),"wants_to_protect_personal_data")</f>
        <v>wants_to_protect_personal_data</v>
      </c>
      <c r="B32">
        <f>IFERROR(__xludf.DUMMYFUNCTION("""COMPUTED_VALUE"""),8.0)</f>
        <v>8</v>
      </c>
      <c r="G32" s="40"/>
    </row>
    <row r="33">
      <c r="A33" t="str">
        <f>IFERROR(__xludf.DUMMYFUNCTION("""COMPUTED_VALUE"""),"wants_to_protect_personal_data-&gt;leaks")</f>
        <v>wants_to_protect_personal_data-&gt;leaks</v>
      </c>
      <c r="B33">
        <f>IFERROR(__xludf.DUMMYFUNCTION("""COMPUTED_VALUE"""),1.0)</f>
        <v>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14"/>
    <col customWidth="1" min="2" max="2" width="48.14"/>
    <col customWidth="1" min="3" max="4" width="26.0"/>
    <col customWidth="1" min="5" max="10" width="30.29"/>
  </cols>
  <sheetData>
    <row r="1">
      <c r="A1" s="41" t="str">
        <f>IFERROR(__xludf.DUMMYFUNCTION("QUERY('All Responses'!2:1001,""select A,E"")"),"Response ID")</f>
        <v>Response ID</v>
      </c>
      <c r="B1" s="16" t="str">
        <f>IFERROR(__xludf.DUMMYFUNCTION("""COMPUTED_VALUE"""),"rfl_what_settings")</f>
        <v>rfl_what_settings</v>
      </c>
      <c r="C1" s="16" t="s">
        <v>750</v>
      </c>
      <c r="D1" s="16" t="s">
        <v>751</v>
      </c>
      <c r="E1" s="16" t="s">
        <v>752</v>
      </c>
      <c r="F1" s="16" t="s">
        <v>753</v>
      </c>
      <c r="G1" s="16" t="s">
        <v>754</v>
      </c>
      <c r="H1" s="16" t="s">
        <v>755</v>
      </c>
      <c r="I1" s="16" t="s">
        <v>756</v>
      </c>
      <c r="J1" s="16" t="s">
        <v>757</v>
      </c>
    </row>
    <row r="2">
      <c r="A2" s="42">
        <f>IFERROR(__xludf.DUMMYFUNCTION("""COMPUTED_VALUE"""),27.0)</f>
        <v>27</v>
      </c>
      <c r="B2" s="18"/>
      <c r="C2" s="31"/>
      <c r="D2" s="32"/>
      <c r="E2" s="31"/>
      <c r="F2" s="3"/>
      <c r="G2" s="3"/>
      <c r="H2" s="11"/>
      <c r="I2" s="11"/>
      <c r="J2" s="11"/>
    </row>
    <row r="3">
      <c r="A3" s="42">
        <f>IFERROR(__xludf.DUMMYFUNCTION("""COMPUTED_VALUE"""),29.0)</f>
        <v>29</v>
      </c>
      <c r="B3" s="18"/>
      <c r="C3" s="31"/>
      <c r="D3" s="3"/>
      <c r="E3" s="3"/>
      <c r="F3" s="3"/>
      <c r="G3" s="11"/>
      <c r="H3" s="11"/>
      <c r="I3" s="11"/>
      <c r="J3" s="11"/>
    </row>
    <row r="4">
      <c r="A4" s="42">
        <f>IFERROR(__xludf.DUMMYFUNCTION("""COMPUTED_VALUE"""),30.0)</f>
        <v>30</v>
      </c>
      <c r="B4" s="18" t="str">
        <f>IFERROR(__xludf.DUMMYFUNCTION("""COMPUTED_VALUE"""),"I would just get rid of the ones I don't use at all anymore.")</f>
        <v>I would just get rid of the ones I don't use at all anymore.</v>
      </c>
      <c r="C4" t="s">
        <v>813</v>
      </c>
      <c r="D4" s="19" t="s">
        <v>812</v>
      </c>
      <c r="E4" s="3"/>
      <c r="F4" s="3"/>
      <c r="G4" s="11"/>
      <c r="H4" s="11"/>
      <c r="I4" s="11"/>
      <c r="J4" s="11"/>
    </row>
    <row r="5">
      <c r="A5" s="42">
        <f>IFERROR(__xludf.DUMMYFUNCTION("""COMPUTED_VALUE"""),31.0)</f>
        <v>31</v>
      </c>
      <c r="B5" s="18"/>
      <c r="C5" s="31"/>
      <c r="D5" s="31"/>
      <c r="E5" s="3"/>
      <c r="F5" s="3"/>
      <c r="G5" s="3"/>
      <c r="H5" s="11"/>
      <c r="I5" s="11"/>
      <c r="J5" s="11"/>
    </row>
    <row r="6">
      <c r="A6" s="42">
        <f>IFERROR(__xludf.DUMMYFUNCTION("""COMPUTED_VALUE"""),32.0)</f>
        <v>32</v>
      </c>
      <c r="B6" s="18"/>
      <c r="C6" s="31"/>
      <c r="D6" s="11"/>
      <c r="E6" s="11"/>
      <c r="F6" s="11"/>
      <c r="G6" s="11"/>
      <c r="H6" s="11"/>
      <c r="I6" s="11"/>
      <c r="J6" s="11"/>
    </row>
    <row r="7">
      <c r="A7" s="42">
        <f>IFERROR(__xludf.DUMMYFUNCTION("""COMPUTED_VALUE"""),34.0)</f>
        <v>34</v>
      </c>
      <c r="B7" s="18" t="str">
        <f>IFERROR(__xludf.DUMMYFUNCTION("""COMPUTED_VALUE"""),"I would like to remove several of the apps that have access to my account, as I do not use them and don't want them to have access to my data if I am not benefitting from them.")</f>
        <v>I would like to remove several of the apps that have access to my account, as I do not use them and don't want them to have access to my data if I am not benefitting from them.</v>
      </c>
      <c r="C7" t="s">
        <v>813</v>
      </c>
      <c r="D7" s="19" t="s">
        <v>812</v>
      </c>
      <c r="E7" s="3"/>
      <c r="F7" s="3"/>
      <c r="G7" s="3"/>
      <c r="H7" s="3"/>
      <c r="I7" s="11"/>
      <c r="J7" s="11"/>
    </row>
    <row r="8">
      <c r="A8" s="42">
        <f>IFERROR(__xludf.DUMMYFUNCTION("""COMPUTED_VALUE"""),35.0)</f>
        <v>35</v>
      </c>
      <c r="B8" s="18" t="str">
        <f>IFERROR(__xludf.DUMMYFUNCTION("""COMPUTED_VALUE"""),"I will revoke access to some apps that I do not foresee using in the near future. And see about changing access to apps that I do use to make sure the accesses are necessary for my user experience.")</f>
        <v>I will revoke access to some apps that I do not foresee using in the near future. And see about changing access to apps that I do use to make sure the accesses are necessary for my user experience.</v>
      </c>
      <c r="C8" t="s">
        <v>813</v>
      </c>
      <c r="D8" t="s">
        <v>815</v>
      </c>
      <c r="E8" s="19" t="s">
        <v>812</v>
      </c>
      <c r="F8" s="19" t="s">
        <v>814</v>
      </c>
      <c r="G8" s="11"/>
      <c r="H8" s="11"/>
      <c r="I8" s="11"/>
      <c r="J8" s="11"/>
    </row>
    <row r="9">
      <c r="A9" s="42">
        <f>IFERROR(__xludf.DUMMYFUNCTION("""COMPUTED_VALUE"""),36.0)</f>
        <v>36</v>
      </c>
      <c r="B9" s="18" t="str">
        <f>IFERROR(__xludf.DUMMYFUNCTION("""COMPUTED_VALUE"""),"I would change contacts access.")</f>
        <v>I would change contacts access.</v>
      </c>
      <c r="C9" t="s">
        <v>816</v>
      </c>
      <c r="D9" s="19" t="s">
        <v>814</v>
      </c>
      <c r="E9" s="3"/>
      <c r="F9" s="3"/>
      <c r="G9" s="3"/>
      <c r="H9" s="11"/>
      <c r="I9" s="11"/>
      <c r="J9" s="11"/>
    </row>
    <row r="10">
      <c r="A10" s="42">
        <f>IFERROR(__xludf.DUMMYFUNCTION("""COMPUTED_VALUE"""),37.0)</f>
        <v>37</v>
      </c>
      <c r="B10" s="18"/>
      <c r="C10" s="32"/>
      <c r="D10" s="3"/>
      <c r="E10" s="3"/>
      <c r="G10" s="11"/>
      <c r="H10" s="11"/>
      <c r="I10" s="11"/>
      <c r="J10" s="11"/>
    </row>
    <row r="11">
      <c r="A11" s="42">
        <f>IFERROR(__xludf.DUMMYFUNCTION("""COMPUTED_VALUE"""),38.0)</f>
        <v>38</v>
      </c>
      <c r="B11" s="18" t="str">
        <f>IFERROR(__xludf.DUMMYFUNCTION("""COMPUTED_VALUE"""),"I would change access to the apps that I no longer use (google hub)")</f>
        <v>I would change access to the apps that I no longer use (google hub)</v>
      </c>
      <c r="C11" t="s">
        <v>813</v>
      </c>
      <c r="D11" s="19" t="s">
        <v>812</v>
      </c>
      <c r="E11" s="11"/>
      <c r="F11" s="11"/>
      <c r="G11" s="11"/>
      <c r="H11" s="11"/>
      <c r="I11" s="11"/>
      <c r="J11" s="11"/>
    </row>
    <row r="12">
      <c r="A12" s="42">
        <f>IFERROR(__xludf.DUMMYFUNCTION("""COMPUTED_VALUE"""),39.0)</f>
        <v>39</v>
      </c>
      <c r="B12" s="18"/>
      <c r="C12" s="31"/>
      <c r="D12" s="3"/>
      <c r="E12" s="11"/>
      <c r="F12" s="11"/>
      <c r="G12" s="11"/>
      <c r="H12" s="11"/>
      <c r="I12" s="11"/>
      <c r="J12" s="11"/>
    </row>
    <row r="13">
      <c r="A13" s="42">
        <f>IFERROR(__xludf.DUMMYFUNCTION("""COMPUTED_VALUE"""),40.0)</f>
        <v>40</v>
      </c>
      <c r="B13" s="18" t="str">
        <f>IFERROR(__xludf.DUMMYFUNCTION("""COMPUTED_VALUE"""),"I don't know if I understood the question.")</f>
        <v>I don't know if I understood the question.</v>
      </c>
      <c r="C13" s="3"/>
      <c r="D13" s="3"/>
      <c r="E13" s="11"/>
      <c r="F13" s="11"/>
      <c r="G13" s="11"/>
      <c r="H13" s="11"/>
      <c r="I13" s="11"/>
      <c r="J13" s="11"/>
    </row>
    <row r="14">
      <c r="A14" s="42">
        <f>IFERROR(__xludf.DUMMYFUNCTION("""COMPUTED_VALUE"""),41.0)</f>
        <v>41</v>
      </c>
      <c r="B14" s="18"/>
      <c r="C14" s="31"/>
      <c r="D14" s="3"/>
      <c r="E14" s="21"/>
      <c r="F14" s="46"/>
      <c r="G14" s="47"/>
      <c r="H14" s="11"/>
      <c r="I14" s="11"/>
      <c r="J14" s="11"/>
    </row>
    <row r="15">
      <c r="A15" s="42">
        <f>IFERROR(__xludf.DUMMYFUNCTION("""COMPUTED_VALUE"""),42.0)</f>
        <v>42</v>
      </c>
      <c r="B15" s="18" t="str">
        <f>IFERROR(__xludf.DUMMYFUNCTION("""COMPUTED_VALUE"""),"I will limit access to only apps I use on a regular basis.")</f>
        <v>I will limit access to only apps I use on a regular basis.</v>
      </c>
      <c r="C15" t="s">
        <v>813</v>
      </c>
      <c r="D15" s="19" t="s">
        <v>812</v>
      </c>
      <c r="E15" s="11"/>
      <c r="F15" s="11"/>
      <c r="G15" s="11"/>
      <c r="H15" s="11"/>
      <c r="I15" s="11"/>
      <c r="J15" s="11"/>
    </row>
    <row r="16">
      <c r="A16" s="42">
        <f>IFERROR(__xludf.DUMMYFUNCTION("""COMPUTED_VALUE"""),43.0)</f>
        <v>43</v>
      </c>
      <c r="B16" s="18"/>
      <c r="C16" s="31"/>
      <c r="D16" s="32"/>
      <c r="E16" s="3"/>
      <c r="F16" s="11"/>
      <c r="G16" s="11"/>
      <c r="H16" s="11"/>
      <c r="I16" s="11"/>
      <c r="J16" s="11"/>
    </row>
    <row r="17">
      <c r="A17" s="42">
        <f>IFERROR(__xludf.DUMMYFUNCTION("""COMPUTED_VALUE"""),44.0)</f>
        <v>44</v>
      </c>
      <c r="B17" s="18" t="str">
        <f>IFERROR(__xludf.DUMMYFUNCTION("""COMPUTED_VALUE"""),"I would delete and change the apps that have access to my google account.")</f>
        <v>I would delete and change the apps that have access to my google account.</v>
      </c>
      <c r="C17" t="s">
        <v>817</v>
      </c>
      <c r="D17" s="19" t="s">
        <v>812</v>
      </c>
      <c r="E17" s="19"/>
      <c r="F17" s="11"/>
      <c r="G17" s="11"/>
      <c r="H17" s="11"/>
      <c r="I17" s="11"/>
      <c r="J17" s="11"/>
    </row>
    <row r="18">
      <c r="A18" s="42">
        <f>IFERROR(__xludf.DUMMYFUNCTION("""COMPUTED_VALUE"""),45.0)</f>
        <v>45</v>
      </c>
      <c r="B18" s="18" t="str">
        <f>IFERROR(__xludf.DUMMYFUNCTION("""COMPUTED_VALUE"""),"I'd remove the apps I'm not using")</f>
        <v>I'd remove the apps I'm not using</v>
      </c>
      <c r="C18" t="s">
        <v>813</v>
      </c>
      <c r="D18" s="19" t="s">
        <v>812</v>
      </c>
      <c r="E18" s="3"/>
      <c r="F18" s="11"/>
      <c r="G18" s="11"/>
      <c r="H18" s="11"/>
      <c r="I18" s="11"/>
      <c r="J18" s="11"/>
    </row>
    <row r="19">
      <c r="A19" s="42">
        <f>IFERROR(__xludf.DUMMYFUNCTION("""COMPUTED_VALUE"""),46.0)</f>
        <v>46</v>
      </c>
      <c r="B19" s="18"/>
      <c r="C19" s="31"/>
      <c r="D19" s="19"/>
      <c r="E19" s="3"/>
      <c r="F19" s="11"/>
      <c r="G19" s="11"/>
      <c r="H19" s="11"/>
      <c r="I19" s="11"/>
      <c r="J19" s="11"/>
    </row>
    <row r="20">
      <c r="A20" s="42">
        <f>IFERROR(__xludf.DUMMYFUNCTION("""COMPUTED_VALUE"""),47.0)</f>
        <v>47</v>
      </c>
      <c r="B20" s="18" t="str">
        <f>IFERROR(__xludf.DUMMYFUNCTION("""COMPUTED_VALUE"""),"I would not allow them access to anything if possible.")</f>
        <v>I would not allow them access to anything if possible.</v>
      </c>
      <c r="C20" t="s">
        <v>818</v>
      </c>
      <c r="D20" s="19" t="s">
        <v>812</v>
      </c>
      <c r="E20" s="3"/>
      <c r="F20" s="11"/>
      <c r="G20" s="11"/>
      <c r="H20" s="11"/>
      <c r="I20" s="11"/>
      <c r="J20" s="11"/>
    </row>
    <row r="21">
      <c r="A21" s="42">
        <f>IFERROR(__xludf.DUMMYFUNCTION("""COMPUTED_VALUE"""),48.0)</f>
        <v>48</v>
      </c>
      <c r="B21" s="18" t="str">
        <f>IFERROR(__xludf.DUMMYFUNCTION("""COMPUTED_VALUE"""),"I would revoke account access from all the apps that have access.")</f>
        <v>I would revoke account access from all the apps that have access.</v>
      </c>
      <c r="C21" t="s">
        <v>818</v>
      </c>
      <c r="D21" s="19" t="s">
        <v>812</v>
      </c>
      <c r="E21" s="11"/>
      <c r="F21" s="11"/>
      <c r="G21" s="11"/>
      <c r="H21" s="11"/>
      <c r="I21" s="11"/>
      <c r="J21" s="11"/>
    </row>
    <row r="22">
      <c r="A22" s="42">
        <f>IFERROR(__xludf.DUMMYFUNCTION("""COMPUTED_VALUE"""),49.0)</f>
        <v>49</v>
      </c>
      <c r="B22" s="18" t="str">
        <f>IFERROR(__xludf.DUMMYFUNCTION("""COMPUTED_VALUE"""),"I would definitely remove many of the apps that I do not use anymore. They absolutely do not need to be linked to my Google account anymore. Even while using the app I feel that it did not need that access.")</f>
        <v>I would definitely remove many of the apps that I do not use anymore. They absolutely do not need to be linked to my Google account anymore. Even while using the app I feel that it did not need that access.</v>
      </c>
      <c r="C22" t="s">
        <v>813</v>
      </c>
      <c r="D22" t="s">
        <v>815</v>
      </c>
      <c r="E22" s="19" t="s">
        <v>812</v>
      </c>
      <c r="F22" s="19" t="s">
        <v>814</v>
      </c>
      <c r="G22" s="11"/>
      <c r="H22" s="11"/>
      <c r="I22" s="11"/>
      <c r="J22" s="11"/>
    </row>
    <row r="23">
      <c r="A23" s="42">
        <f>IFERROR(__xludf.DUMMYFUNCTION("""COMPUTED_VALUE"""),50.0)</f>
        <v>50</v>
      </c>
      <c r="B23" s="18" t="str">
        <f>IFERROR(__xludf.DUMMYFUNCTION("""COMPUTED_VALUE"""),"There are apps I do not use and do not recall allowing access to my google account")</f>
        <v>There are apps I do not use and do not recall allowing access to my google account</v>
      </c>
      <c r="C23" t="s">
        <v>813</v>
      </c>
      <c r="D23" t="s">
        <v>819</v>
      </c>
      <c r="E23" s="19" t="s">
        <v>812</v>
      </c>
      <c r="F23" s="11"/>
      <c r="G23" s="11"/>
      <c r="H23" s="11"/>
      <c r="I23" s="11"/>
      <c r="J23" s="11"/>
    </row>
    <row r="24">
      <c r="A24" s="42">
        <f>IFERROR(__xludf.DUMMYFUNCTION("""COMPUTED_VALUE"""),51.0)</f>
        <v>51</v>
      </c>
      <c r="B24" s="18"/>
      <c r="C24" s="3"/>
      <c r="D24" s="3"/>
      <c r="E24" s="11"/>
      <c r="F24" s="11"/>
      <c r="G24" s="11"/>
      <c r="H24" s="11"/>
      <c r="I24" s="11"/>
      <c r="J24" s="11"/>
    </row>
    <row r="25">
      <c r="A25" s="42">
        <f>IFERROR(__xludf.DUMMYFUNCTION("""COMPUTED_VALUE"""),52.0)</f>
        <v>52</v>
      </c>
      <c r="B25" s="18" t="str">
        <f>IFERROR(__xludf.DUMMYFUNCTION("""COMPUTED_VALUE"""),"Remove settings I don't feel are needed for individual apps.")</f>
        <v>Remove settings I don't feel are needed for individual apps.</v>
      </c>
      <c r="C25" t="s">
        <v>815</v>
      </c>
      <c r="D25" s="19" t="s">
        <v>814</v>
      </c>
      <c r="E25" s="3"/>
      <c r="F25" s="11"/>
      <c r="G25" s="11"/>
      <c r="H25" s="11"/>
      <c r="I25" s="11"/>
      <c r="J25" s="11"/>
    </row>
    <row r="26">
      <c r="A26" s="42">
        <f>IFERROR(__xludf.DUMMYFUNCTION("""COMPUTED_VALUE"""),53.0)</f>
        <v>53</v>
      </c>
      <c r="B26" s="18"/>
      <c r="C26" s="19"/>
      <c r="D26" s="3"/>
      <c r="E26" s="3"/>
      <c r="F26" s="11"/>
      <c r="G26" s="11"/>
      <c r="H26" s="11"/>
      <c r="I26" s="11"/>
      <c r="J26" s="11"/>
    </row>
    <row r="27">
      <c r="A27" s="42">
        <f>IFERROR(__xludf.DUMMYFUNCTION("""COMPUTED_VALUE"""),54.0)</f>
        <v>54</v>
      </c>
      <c r="B27" s="18"/>
      <c r="C27" s="3"/>
      <c r="D27" s="3"/>
      <c r="E27" s="11"/>
      <c r="F27" s="11"/>
      <c r="G27" s="11"/>
      <c r="H27" s="11"/>
      <c r="I27" s="11"/>
      <c r="J27" s="11"/>
    </row>
    <row r="28">
      <c r="A28" s="42">
        <f>IFERROR(__xludf.DUMMYFUNCTION("""COMPUTED_VALUE"""),55.0)</f>
        <v>55</v>
      </c>
      <c r="B28" s="18"/>
      <c r="C28" s="3"/>
      <c r="D28" s="3"/>
      <c r="E28" s="19"/>
      <c r="F28" s="19"/>
      <c r="G28" s="11"/>
      <c r="H28" s="11"/>
      <c r="I28" s="11"/>
      <c r="J28" s="11"/>
    </row>
    <row r="29">
      <c r="A29">
        <f>IFERROR(__xludf.DUMMYFUNCTION("""COMPUTED_VALUE"""),56.0)</f>
        <v>56</v>
      </c>
      <c r="B29" s="11" t="str">
        <f>IFERROR(__xludf.DUMMYFUNCTION("""COMPUTED_VALUE"""),"I am pleased with my settings so far, but always feel I need to remain diligent so that my privacy does not become compromised. As such, I plan on removing Apps should they link to my account.")</f>
        <v>I am pleased with my settings so far, but always feel I need to remain diligent so that my privacy does not become compromised. As such, I plan on removing Apps should they link to my account.</v>
      </c>
      <c r="C29" t="s">
        <v>817</v>
      </c>
      <c r="D29" t="s">
        <v>833</v>
      </c>
      <c r="E29" s="19" t="s">
        <v>812</v>
      </c>
      <c r="F29" s="19"/>
      <c r="G29" s="11"/>
      <c r="H29" s="11"/>
      <c r="I29" s="11"/>
      <c r="J29" s="11"/>
    </row>
    <row r="30">
      <c r="A30">
        <f>IFERROR(__xludf.DUMMYFUNCTION("""COMPUTED_VALUE"""),57.0)</f>
        <v>57</v>
      </c>
      <c r="B30" s="11"/>
      <c r="C30" s="3"/>
      <c r="D30" s="3"/>
      <c r="E30" s="3"/>
      <c r="F30" s="11"/>
      <c r="G30" s="11"/>
      <c r="H30" s="11"/>
      <c r="I30" s="11"/>
      <c r="J30" s="11"/>
    </row>
    <row r="31">
      <c r="A31">
        <f>IFERROR(__xludf.DUMMYFUNCTION("""COMPUTED_VALUE"""),58.0)</f>
        <v>58</v>
      </c>
      <c r="B31" s="11"/>
      <c r="C31" s="3"/>
      <c r="D31" s="19"/>
      <c r="E31" s="11"/>
      <c r="F31" s="11"/>
      <c r="G31" s="11"/>
      <c r="H31" s="11"/>
      <c r="I31" s="11"/>
      <c r="J31" s="11"/>
    </row>
    <row r="32">
      <c r="A32">
        <f>IFERROR(__xludf.DUMMYFUNCTION("""COMPUTED_VALUE"""),59.0)</f>
        <v>59</v>
      </c>
      <c r="B32" s="11" t="str">
        <f>IFERROR(__xludf.DUMMYFUNCTION("""COMPUTED_VALUE"""),"There is an app that has access to my account that I didn't realize it did. I will probably remove that app's access as I don't use it and don't feel comfortable allowing it access.")</f>
        <v>There is an app that has access to my account that I didn't realize it did. I will probably remove that app's access as I don't use it and don't feel comfortable allowing it access.</v>
      </c>
      <c r="C32" t="s">
        <v>819</v>
      </c>
      <c r="D32" s="19" t="s">
        <v>812</v>
      </c>
      <c r="E32" s="11"/>
      <c r="F32" s="11"/>
      <c r="G32" s="11"/>
      <c r="H32" s="11"/>
      <c r="I32" s="11"/>
      <c r="J32" s="11"/>
    </row>
    <row r="33">
      <c r="A33">
        <f>IFERROR(__xludf.DUMMYFUNCTION("""COMPUTED_VALUE"""),60.0)</f>
        <v>60</v>
      </c>
      <c r="B33" s="11" t="str">
        <f>IFERROR(__xludf.DUMMYFUNCTION("""COMPUTED_VALUE"""),"I would delete the app that I don't access so often anymore, so they won't have access to my google account.")</f>
        <v>I would delete the app that I don't access so often anymore, so they won't have access to my google account.</v>
      </c>
      <c r="C33" t="s">
        <v>813</v>
      </c>
      <c r="D33" s="19" t="s">
        <v>812</v>
      </c>
      <c r="E33" s="11"/>
      <c r="F33" s="11"/>
      <c r="G33" s="11"/>
      <c r="H33" s="11"/>
      <c r="I33" s="11"/>
      <c r="J33" s="11"/>
    </row>
    <row r="34">
      <c r="A34">
        <f>IFERROR(__xludf.DUMMYFUNCTION("""COMPUTED_VALUE"""),61.0)</f>
        <v>61</v>
      </c>
      <c r="B34" s="11"/>
      <c r="C34" s="3"/>
      <c r="D34" s="3"/>
      <c r="E34" s="11"/>
      <c r="F34" s="11"/>
      <c r="G34" s="11"/>
      <c r="H34" s="11"/>
      <c r="I34" s="11"/>
      <c r="J34" s="11"/>
    </row>
    <row r="35">
      <c r="A35">
        <f>IFERROR(__xludf.DUMMYFUNCTION("""COMPUTED_VALUE"""),62.0)</f>
        <v>62</v>
      </c>
      <c r="B35" s="11" t="str">
        <f>IFERROR(__xludf.DUMMYFUNCTION("""COMPUTED_VALUE"""),"I would removed access.")</f>
        <v>I would removed access.</v>
      </c>
      <c r="C35" t="s">
        <v>812</v>
      </c>
      <c r="D35" s="11"/>
      <c r="E35" s="11"/>
      <c r="F35" s="11"/>
      <c r="G35" s="11"/>
      <c r="H35" s="11"/>
      <c r="I35" s="11"/>
      <c r="J35" s="11"/>
    </row>
    <row r="36">
      <c r="A36">
        <f>IFERROR(__xludf.DUMMYFUNCTION("""COMPUTED_VALUE"""),63.0)</f>
        <v>63</v>
      </c>
      <c r="B36" s="11" t="str">
        <f>IFERROR(__xludf.DUMMYFUNCTION("""COMPUTED_VALUE"""),"I would eliminate access to those accounts that I don't use anymore and I would make sure all access is limited")</f>
        <v>I would eliminate access to those accounts that I don't use anymore and I would make sure all access is limited</v>
      </c>
      <c r="C36" t="s">
        <v>813</v>
      </c>
      <c r="D36" t="s">
        <v>820</v>
      </c>
      <c r="E36" s="19" t="s">
        <v>812</v>
      </c>
      <c r="F36" s="19" t="s">
        <v>814</v>
      </c>
      <c r="G36" s="11"/>
      <c r="H36" s="11"/>
      <c r="I36" s="11"/>
      <c r="J36" s="11"/>
    </row>
    <row r="37">
      <c r="A37">
        <f>IFERROR(__xludf.DUMMYFUNCTION("""COMPUTED_VALUE"""),64.0)</f>
        <v>64</v>
      </c>
      <c r="B37" s="11" t="str">
        <f>IFERROR(__xludf.DUMMYFUNCTION("""COMPUTED_VALUE"""),"I would revoke permissions for many of these apps. I do not use many of them.")</f>
        <v>I would revoke permissions for many of these apps. I do not use many of them.</v>
      </c>
      <c r="C37" t="s">
        <v>825</v>
      </c>
      <c r="D37" s="19" t="s">
        <v>814</v>
      </c>
      <c r="E37" s="3"/>
      <c r="F37" s="3"/>
      <c r="G37" s="3"/>
      <c r="H37" s="11"/>
      <c r="I37" s="11"/>
      <c r="J37" s="11"/>
    </row>
    <row r="38">
      <c r="A38">
        <f>IFERROR(__xludf.DUMMYFUNCTION("""COMPUTED_VALUE"""),65.0)</f>
        <v>65</v>
      </c>
      <c r="B38" s="11" t="str">
        <f>IFERROR(__xludf.DUMMYFUNCTION("""COMPUTED_VALUE"""),"I would remove old apps that I no longer use.")</f>
        <v>I would remove old apps that I no longer use.</v>
      </c>
      <c r="C38" t="s">
        <v>813</v>
      </c>
      <c r="D38" s="19" t="s">
        <v>812</v>
      </c>
      <c r="E38" s="11"/>
      <c r="F38" s="11"/>
      <c r="G38" s="11"/>
      <c r="H38" s="11"/>
      <c r="I38" s="11"/>
      <c r="J38" s="11"/>
    </row>
    <row r="39">
      <c r="A39">
        <f>IFERROR(__xludf.DUMMYFUNCTION("""COMPUTED_VALUE"""),66.0)</f>
        <v>66</v>
      </c>
      <c r="B39" s="11" t="str">
        <f>IFERROR(__xludf.DUMMYFUNCTION("""COMPUTED_VALUE"""),"I would likely remove some of the apps that I no longer use or are no longer relevant to me.")</f>
        <v>I would likely remove some of the apps that I no longer use or are no longer relevant to me.</v>
      </c>
      <c r="C39" t="s">
        <v>813</v>
      </c>
      <c r="D39" s="19" t="s">
        <v>812</v>
      </c>
      <c r="E39" s="11"/>
      <c r="F39" s="11"/>
      <c r="G39" s="11"/>
      <c r="H39" s="11"/>
      <c r="I39" s="11"/>
      <c r="J39" s="11"/>
    </row>
    <row r="40">
      <c r="A40">
        <f>IFERROR(__xludf.DUMMYFUNCTION("""COMPUTED_VALUE"""),67.0)</f>
        <v>67</v>
      </c>
      <c r="B40" s="11"/>
      <c r="C40" s="3"/>
      <c r="D40" s="3"/>
      <c r="E40" s="3"/>
      <c r="F40" s="11"/>
      <c r="G40" s="11"/>
      <c r="H40" s="11"/>
      <c r="I40" s="11"/>
      <c r="J40" s="11"/>
    </row>
    <row r="41">
      <c r="A41">
        <f>IFERROR(__xludf.DUMMYFUNCTION("""COMPUTED_VALUE"""),68.0)</f>
        <v>68</v>
      </c>
      <c r="B41" s="11"/>
      <c r="C41" s="19"/>
      <c r="D41" s="3"/>
      <c r="E41" s="11"/>
      <c r="F41" s="11"/>
      <c r="G41" s="11"/>
      <c r="H41" s="11"/>
      <c r="I41" s="11"/>
      <c r="J41" s="11"/>
    </row>
    <row r="42">
      <c r="A42">
        <f>IFERROR(__xludf.DUMMYFUNCTION("""COMPUTED_VALUE"""),69.0)</f>
        <v>69</v>
      </c>
      <c r="B42" s="11" t="str">
        <f>IFERROR(__xludf.DUMMYFUNCTION("""COMPUTED_VALUE"""),"I will change what apps have access to what settings.")</f>
        <v>I will change what apps have access to what settings.</v>
      </c>
      <c r="C42" s="3"/>
      <c r="D42" s="11"/>
      <c r="E42" s="11"/>
      <c r="F42" s="11"/>
      <c r="G42" s="11"/>
      <c r="H42" s="11"/>
      <c r="I42" s="11"/>
      <c r="J42" s="11"/>
    </row>
    <row r="43">
      <c r="A43">
        <f>IFERROR(__xludf.DUMMYFUNCTION("""COMPUTED_VALUE"""),70.0)</f>
        <v>70</v>
      </c>
      <c r="B43" s="11"/>
      <c r="C43" s="3"/>
      <c r="D43" s="3"/>
      <c r="F43" s="3"/>
      <c r="G43" s="3"/>
      <c r="H43" s="3"/>
      <c r="I43" s="11"/>
      <c r="J43" s="11"/>
    </row>
    <row r="44">
      <c r="A44">
        <f>IFERROR(__xludf.DUMMYFUNCTION("""COMPUTED_VALUE"""),71.0)</f>
        <v>71</v>
      </c>
      <c r="B44" s="11" t="str">
        <f>IFERROR(__xludf.DUMMYFUNCTION("""COMPUTED_VALUE"""),"The storage access for the app")</f>
        <v>The storage access for the app</v>
      </c>
      <c r="C44" s="3"/>
      <c r="D44" s="3"/>
      <c r="E44" s="11"/>
      <c r="F44" s="11"/>
      <c r="G44" s="11"/>
      <c r="H44" s="11"/>
      <c r="I44" s="11"/>
      <c r="J44" s="11"/>
    </row>
    <row r="45">
      <c r="A45">
        <f>IFERROR(__xludf.DUMMYFUNCTION("""COMPUTED_VALUE"""),72.0)</f>
        <v>72</v>
      </c>
      <c r="B45" s="11"/>
      <c r="C45" s="3"/>
      <c r="D45" s="3"/>
      <c r="E45" s="11"/>
      <c r="F45" s="11"/>
      <c r="G45" s="11"/>
      <c r="H45" s="11"/>
      <c r="I45" s="11"/>
      <c r="J45" s="11"/>
    </row>
    <row r="46">
      <c r="A46">
        <f>IFERROR(__xludf.DUMMYFUNCTION("""COMPUTED_VALUE"""),73.0)</f>
        <v>73</v>
      </c>
      <c r="B46" s="11" t="str">
        <f>IFERROR(__xludf.DUMMYFUNCTION("""COMPUTED_VALUE"""),"I would change most apps that have access to my account")</f>
        <v>I would change most apps that have access to my account</v>
      </c>
      <c r="C46" s="3"/>
      <c r="D46" s="3"/>
      <c r="E46" s="11"/>
      <c r="F46" s="11"/>
      <c r="G46" s="11"/>
      <c r="H46" s="11"/>
      <c r="I46" s="11"/>
      <c r="J46" s="11"/>
    </row>
    <row r="47">
      <c r="A47">
        <f>IFERROR(__xludf.DUMMYFUNCTION("""COMPUTED_VALUE"""),74.0)</f>
        <v>74</v>
      </c>
      <c r="B47" s="11" t="str">
        <f>IFERROR(__xludf.DUMMYFUNCTION("""COMPUTED_VALUE"""),"I will be removing Shop from access.")</f>
        <v>I will be removing Shop from access.</v>
      </c>
      <c r="C47" s="3"/>
      <c r="D47" s="3"/>
      <c r="E47" s="3"/>
      <c r="F47" s="11"/>
      <c r="G47" s="11"/>
      <c r="H47" s="11"/>
      <c r="I47" s="11"/>
      <c r="J47" s="11"/>
    </row>
    <row r="48">
      <c r="A48">
        <f>IFERROR(__xludf.DUMMYFUNCTION("""COMPUTED_VALUE"""),75.0)</f>
        <v>75</v>
      </c>
      <c r="B48" s="11"/>
      <c r="C48" s="3"/>
      <c r="D48" s="3"/>
      <c r="E48" s="11"/>
      <c r="F48" s="11"/>
      <c r="G48" s="11"/>
      <c r="H48" s="11"/>
      <c r="I48" s="11"/>
      <c r="J48" s="11"/>
    </row>
    <row r="49">
      <c r="A49">
        <f>IFERROR(__xludf.DUMMYFUNCTION("""COMPUTED_VALUE"""),76.0)</f>
        <v>76</v>
      </c>
      <c r="B49" s="11" t="str">
        <f>IFERROR(__xludf.DUMMYFUNCTION("""COMPUTED_VALUE"""),"I will delete apps I don't use and change user names for apps I do use.")</f>
        <v>I will delete apps I don't use and change user names for apps I do use.</v>
      </c>
      <c r="C49" s="3"/>
      <c r="D49" s="3"/>
      <c r="E49" s="11"/>
      <c r="F49" s="11"/>
      <c r="G49" s="11"/>
      <c r="H49" s="11"/>
      <c r="I49" s="11"/>
      <c r="J49" s="11"/>
    </row>
    <row r="50">
      <c r="A50">
        <f>IFERROR(__xludf.DUMMYFUNCTION("""COMPUTED_VALUE"""),77.0)</f>
        <v>77</v>
      </c>
      <c r="B50" s="11"/>
      <c r="C50" s="3"/>
      <c r="D50" s="11"/>
      <c r="E50" s="11"/>
      <c r="F50" s="11"/>
      <c r="G50" s="11"/>
      <c r="H50" s="11"/>
      <c r="I50" s="11"/>
      <c r="J50" s="11"/>
    </row>
    <row r="51">
      <c r="A51">
        <f>IFERROR(__xludf.DUMMYFUNCTION("""COMPUTED_VALUE"""),78.0)</f>
        <v>78</v>
      </c>
      <c r="B51" s="11"/>
      <c r="C51" s="3"/>
      <c r="D51" s="3"/>
      <c r="E51" s="3"/>
      <c r="F51" s="11"/>
      <c r="G51" s="11"/>
      <c r="H51" s="11"/>
      <c r="I51" s="11"/>
      <c r="J51" s="11"/>
    </row>
    <row r="52">
      <c r="A52">
        <f>IFERROR(__xludf.DUMMYFUNCTION("""COMPUTED_VALUE"""),79.0)</f>
        <v>79</v>
      </c>
      <c r="B52" s="11"/>
      <c r="C52" s="3"/>
      <c r="D52" s="3"/>
      <c r="E52" s="11"/>
      <c r="F52" s="11"/>
      <c r="G52" s="11"/>
      <c r="H52" s="11"/>
      <c r="I52" s="11"/>
      <c r="J52" s="11"/>
    </row>
    <row r="53">
      <c r="A53">
        <f>IFERROR(__xludf.DUMMYFUNCTION("""COMPUTED_VALUE"""),80.0)</f>
        <v>80</v>
      </c>
      <c r="B53" s="11" t="str">
        <f>IFERROR(__xludf.DUMMYFUNCTION("""COMPUTED_VALUE"""),"remove powerdirector")</f>
        <v>remove powerdirector</v>
      </c>
      <c r="C53" s="3"/>
      <c r="D53" s="3"/>
      <c r="E53" s="3"/>
      <c r="F53" s="3"/>
      <c r="G53" s="11"/>
      <c r="H53" s="11"/>
      <c r="I53" s="11"/>
      <c r="J53" s="11"/>
    </row>
    <row r="54">
      <c r="A54">
        <f>IFERROR(__xludf.DUMMYFUNCTION("""COMPUTED_VALUE"""),81.0)</f>
        <v>81</v>
      </c>
      <c r="B54" s="11"/>
      <c r="C54" s="3"/>
      <c r="D54" s="3"/>
      <c r="E54" s="11"/>
      <c r="F54" s="11"/>
      <c r="G54" s="11"/>
      <c r="H54" s="11"/>
      <c r="I54" s="11"/>
      <c r="J54" s="11"/>
    </row>
    <row r="55">
      <c r="A55">
        <f>IFERROR(__xludf.DUMMYFUNCTION("""COMPUTED_VALUE"""),82.0)</f>
        <v>82</v>
      </c>
      <c r="B55" s="11" t="str">
        <f>IFERROR(__xludf.DUMMYFUNCTION("""COMPUTED_VALUE"""),"I would delete some of the apps that I don't use regularly.")</f>
        <v>I would delete some of the apps that I don't use regularly.</v>
      </c>
      <c r="C55" s="3"/>
      <c r="D55" s="3"/>
      <c r="E55" s="11"/>
      <c r="F55" s="11"/>
      <c r="G55" s="11"/>
      <c r="H55" s="11"/>
      <c r="I55" s="11"/>
      <c r="J55" s="11"/>
    </row>
    <row r="56">
      <c r="A56">
        <f>IFERROR(__xludf.DUMMYFUNCTION("""COMPUTED_VALUE"""),83.0)</f>
        <v>83</v>
      </c>
      <c r="B56" s="11" t="str">
        <f>IFERROR(__xludf.DUMMYFUNCTION("""COMPUTED_VALUE"""),"I would change which apps are connected to my account by removing a few")</f>
        <v>I would change which apps are connected to my account by removing a few</v>
      </c>
      <c r="C56" s="3"/>
      <c r="D56" s="11"/>
      <c r="E56" s="11"/>
      <c r="F56" s="11"/>
      <c r="G56" s="11"/>
      <c r="H56" s="11"/>
      <c r="I56" s="11"/>
      <c r="J56" s="11"/>
    </row>
    <row r="57">
      <c r="A57">
        <f>IFERROR(__xludf.DUMMYFUNCTION("""COMPUTED_VALUE"""),84.0)</f>
        <v>84</v>
      </c>
      <c r="B57" s="11"/>
      <c r="C57" s="3"/>
      <c r="D57" s="3"/>
      <c r="E57" s="11"/>
      <c r="F57" s="11"/>
      <c r="G57" s="11"/>
      <c r="H57" s="11"/>
      <c r="I57" s="11"/>
      <c r="J57" s="11"/>
    </row>
    <row r="58">
      <c r="A58">
        <f>IFERROR(__xludf.DUMMYFUNCTION("""COMPUTED_VALUE"""),85.0)</f>
        <v>85</v>
      </c>
      <c r="B58" s="11" t="str">
        <f>IFERROR(__xludf.DUMMYFUNCTION("""COMPUTED_VALUE"""),"I may want to change permission access for the apps that I am not currently using or did on a whim such as Clubhouse or Ebay, and only really keep permission for apps that I have a foreseeable future in legitimately needing for various projects.")</f>
        <v>I may want to change permission access for the apps that I am not currently using or did on a whim such as Clubhouse or Ebay, and only really keep permission for apps that I have a foreseeable future in legitimately needing for various projects.</v>
      </c>
      <c r="C58" s="3"/>
      <c r="D58" s="3"/>
      <c r="E58" s="3"/>
      <c r="F58" s="11"/>
      <c r="G58" s="11"/>
      <c r="H58" s="11"/>
      <c r="I58" s="11"/>
      <c r="J58" s="11"/>
    </row>
    <row r="59">
      <c r="A59">
        <f>IFERROR(__xludf.DUMMYFUNCTION("""COMPUTED_VALUE"""),86.0)</f>
        <v>86</v>
      </c>
      <c r="B59" s="11"/>
      <c r="C59" s="3"/>
      <c r="D59" s="3"/>
      <c r="E59" s="11"/>
      <c r="F59" s="11"/>
      <c r="G59" s="11"/>
      <c r="H59" s="11"/>
      <c r="I59" s="11"/>
      <c r="J59" s="11"/>
    </row>
    <row r="60">
      <c r="A60">
        <f>IFERROR(__xludf.DUMMYFUNCTION("""COMPUTED_VALUE"""),87.0)</f>
        <v>87</v>
      </c>
      <c r="B60" s="11" t="str">
        <f>IFERROR(__xludf.DUMMYFUNCTION("""COMPUTED_VALUE"""),"I would probably remove access from some sites that I don't really use anymore.")</f>
        <v>I would probably remove access from some sites that I don't really use anymore.</v>
      </c>
      <c r="C60" s="3"/>
      <c r="D60" s="3"/>
      <c r="E60" s="3"/>
      <c r="F60" s="3"/>
      <c r="G60" s="3"/>
      <c r="H60" s="11"/>
      <c r="I60" s="11"/>
      <c r="J60" s="11"/>
    </row>
    <row r="61">
      <c r="A61">
        <f>IFERROR(__xludf.DUMMYFUNCTION("""COMPUTED_VALUE"""),88.0)</f>
        <v>88</v>
      </c>
      <c r="B61" s="11"/>
      <c r="C61" s="19"/>
      <c r="D61" s="11"/>
      <c r="E61" s="11"/>
      <c r="F61" s="11"/>
      <c r="G61" s="11"/>
      <c r="H61" s="11"/>
      <c r="I61" s="11"/>
      <c r="J61" s="11"/>
    </row>
    <row r="62">
      <c r="A62">
        <f>IFERROR(__xludf.DUMMYFUNCTION("""COMPUTED_VALUE"""),89.0)</f>
        <v>89</v>
      </c>
      <c r="B62" s="11" t="str">
        <f>IFERROR(__xludf.DUMMYFUNCTION("""COMPUTED_VALUE"""),"I will likely vet Glean to decided if I'll keep it or discard it.")</f>
        <v>I will likely vet Glean to decided if I'll keep it or discard it.</v>
      </c>
      <c r="C62" s="3"/>
      <c r="D62" s="3"/>
      <c r="E62" s="11"/>
      <c r="F62" s="11"/>
      <c r="G62" s="11"/>
      <c r="H62" s="11"/>
      <c r="I62" s="11"/>
      <c r="J62" s="11"/>
    </row>
    <row r="63">
      <c r="A63">
        <f>IFERROR(__xludf.DUMMYFUNCTION("""COMPUTED_VALUE"""),90.0)</f>
        <v>90</v>
      </c>
      <c r="B63" s="11" t="str">
        <f>IFERROR(__xludf.DUMMYFUNCTION("""COMPUTED_VALUE"""),"All of them")</f>
        <v>All of them</v>
      </c>
      <c r="C63" s="3"/>
      <c r="D63" s="3"/>
      <c r="F63" s="3"/>
      <c r="G63" s="3"/>
      <c r="H63" s="11"/>
      <c r="I63" s="11"/>
      <c r="J63" s="11"/>
    </row>
    <row r="64">
      <c r="A64">
        <f>IFERROR(__xludf.DUMMYFUNCTION("""COMPUTED_VALUE"""),91.0)</f>
        <v>91</v>
      </c>
      <c r="B64" s="11"/>
      <c r="C64" s="3"/>
      <c r="D64" s="3"/>
      <c r="E64" s="11"/>
      <c r="F64" s="11"/>
      <c r="G64" s="11"/>
      <c r="H64" s="11"/>
      <c r="I64" s="11"/>
      <c r="J64" s="11"/>
    </row>
    <row r="65">
      <c r="A65">
        <f>IFERROR(__xludf.DUMMYFUNCTION("""COMPUTED_VALUE"""),92.0)</f>
        <v>92</v>
      </c>
      <c r="B65" s="11" t="str">
        <f>IFERROR(__xludf.DUMMYFUNCTION("""COMPUTED_VALUE"""),"I would remove Lumin PDF from my account altogether, as I no longer use the program.")</f>
        <v>I would remove Lumin PDF from my account altogether, as I no longer use the program.</v>
      </c>
      <c r="C65" s="3"/>
      <c r="D65" s="3"/>
      <c r="E65" s="3"/>
      <c r="F65" s="3"/>
      <c r="G65" s="19"/>
      <c r="H65" s="11"/>
      <c r="I65" s="11"/>
      <c r="J65" s="11"/>
    </row>
    <row r="66">
      <c r="A66">
        <f>IFERROR(__xludf.DUMMYFUNCTION("""COMPUTED_VALUE"""),93.0)</f>
        <v>93</v>
      </c>
      <c r="B66" s="11"/>
      <c r="C66" s="3"/>
      <c r="D66" s="3"/>
      <c r="F66" s="11"/>
      <c r="G66" s="11"/>
      <c r="H66" s="11"/>
      <c r="I66" s="11"/>
      <c r="J66" s="11"/>
    </row>
    <row r="67">
      <c r="A67">
        <f>IFERROR(__xludf.DUMMYFUNCTION("""COMPUTED_VALUE"""),94.0)</f>
        <v>94</v>
      </c>
      <c r="B67" s="11" t="str">
        <f>IFERROR(__xludf.DUMMYFUNCTION("""COMPUTED_VALUE"""),"I would take some of the Apps with Access off. The ones I clearly don't use, I would want to go away.")</f>
        <v>I would take some of the Apps with Access off. The ones I clearly don't use, I would want to go away.</v>
      </c>
      <c r="C67" s="3"/>
      <c r="D67" s="3"/>
      <c r="E67" s="19"/>
      <c r="F67" s="19"/>
      <c r="G67" s="3"/>
      <c r="H67" s="3"/>
      <c r="J67" s="11"/>
    </row>
    <row r="68">
      <c r="A68">
        <f>IFERROR(__xludf.DUMMYFUNCTION("""COMPUTED_VALUE"""),95.0)</f>
        <v>95</v>
      </c>
      <c r="B68" s="11"/>
      <c r="C68" s="3"/>
      <c r="D68" s="3"/>
      <c r="E68" s="11"/>
      <c r="F68" s="11"/>
      <c r="G68" s="11"/>
      <c r="J68" s="11"/>
    </row>
    <row r="69">
      <c r="A69">
        <f>IFERROR(__xludf.DUMMYFUNCTION("""COMPUTED_VALUE"""),96.0)</f>
        <v>96</v>
      </c>
      <c r="B69" s="11" t="str">
        <f>IFERROR(__xludf.DUMMYFUNCTION("""COMPUTED_VALUE"""),"I would make my setting more private and harder to gain access by third party apps.")</f>
        <v>I would make my setting more private and harder to gain access by third party apps.</v>
      </c>
      <c r="C69" s="3"/>
      <c r="D69" s="3"/>
      <c r="E69" s="3"/>
      <c r="F69" s="3"/>
      <c r="G69" s="3"/>
      <c r="J69" s="11"/>
    </row>
    <row r="70">
      <c r="A70">
        <f>IFERROR(__xludf.DUMMYFUNCTION("""COMPUTED_VALUE"""),97.0)</f>
        <v>97</v>
      </c>
      <c r="B70" s="11"/>
      <c r="C70" s="3"/>
      <c r="D70" s="3"/>
      <c r="E70" s="3"/>
      <c r="F70" s="3"/>
      <c r="G70" s="3"/>
      <c r="H70" s="11"/>
      <c r="I70" s="11"/>
      <c r="J70" s="11"/>
    </row>
    <row r="71">
      <c r="A71">
        <f>IFERROR(__xludf.DUMMYFUNCTION("""COMPUTED_VALUE"""),98.0)</f>
        <v>98</v>
      </c>
      <c r="B71" s="11" t="str">
        <f>IFERROR(__xludf.DUMMYFUNCTION("""COMPUTED_VALUE"""),"I would change third-party apps seeing my personal information.")</f>
        <v>I would change third-party apps seeing my personal information.</v>
      </c>
      <c r="C71" s="3"/>
      <c r="D71" s="3"/>
      <c r="E71" s="3"/>
      <c r="F71" s="3"/>
      <c r="G71" s="3"/>
      <c r="H71" s="3"/>
      <c r="I71" s="3"/>
      <c r="J71" s="11"/>
    </row>
    <row r="72">
      <c r="A72">
        <f>IFERROR(__xludf.DUMMYFUNCTION("""COMPUTED_VALUE"""),99.0)</f>
        <v>99</v>
      </c>
      <c r="B72" s="11"/>
      <c r="C72" s="3"/>
      <c r="D72" s="3"/>
      <c r="E72" s="11"/>
      <c r="F72" s="11"/>
      <c r="G72" s="11"/>
      <c r="H72" s="11"/>
      <c r="I72" s="11"/>
      <c r="J72" s="11"/>
    </row>
    <row r="73">
      <c r="A73">
        <f>IFERROR(__xludf.DUMMYFUNCTION("""COMPUTED_VALUE"""),100.0)</f>
        <v>100</v>
      </c>
      <c r="B73" s="11"/>
      <c r="C73" s="3"/>
      <c r="D73" s="3"/>
      <c r="E73" s="3"/>
      <c r="F73" s="3"/>
      <c r="G73" s="3"/>
      <c r="H73" s="3"/>
      <c r="I73" s="11"/>
      <c r="J73" s="11"/>
    </row>
    <row r="74">
      <c r="A74">
        <f>IFERROR(__xludf.DUMMYFUNCTION("""COMPUTED_VALUE"""),101.0)</f>
        <v>101</v>
      </c>
      <c r="B74" s="11"/>
      <c r="C74" s="3"/>
      <c r="D74" s="3"/>
      <c r="E74" s="3"/>
      <c r="F74" s="11"/>
      <c r="G74" s="11"/>
      <c r="H74" s="11"/>
      <c r="I74" s="11"/>
      <c r="J74" s="11"/>
    </row>
    <row r="75">
      <c r="A75">
        <f>IFERROR(__xludf.DUMMYFUNCTION("""COMPUTED_VALUE"""),102.0)</f>
        <v>102</v>
      </c>
      <c r="B75" s="11"/>
      <c r="C75" s="3"/>
      <c r="D75" s="3"/>
      <c r="E75" s="3"/>
      <c r="F75" s="11"/>
      <c r="G75" s="11"/>
      <c r="H75" s="11"/>
      <c r="I75" s="11"/>
      <c r="J75" s="11"/>
    </row>
    <row r="76">
      <c r="A76">
        <f>IFERROR(__xludf.DUMMYFUNCTION("""COMPUTED_VALUE"""),103.0)</f>
        <v>103</v>
      </c>
      <c r="B76" s="11" t="str">
        <f>IFERROR(__xludf.DUMMYFUNCTION("""COMPUTED_VALUE"""),"Some are apps that I only wanted for a moment or 2 and so I would totally disallow access or delete those apps. I usually am careful about minimizing the information I allow an app to see and many times do not even install it if it seems too bad.")</f>
        <v>Some are apps that I only wanted for a moment or 2 and so I would totally disallow access or delete those apps. I usually am careful about minimizing the information I allow an app to see and many times do not even install it if it seems too bad.</v>
      </c>
      <c r="C76" s="3"/>
      <c r="D76" s="3"/>
      <c r="E76" s="3"/>
      <c r="F76" s="11"/>
      <c r="G76" s="11"/>
      <c r="H76" s="11"/>
      <c r="I76" s="11"/>
      <c r="J76" s="11"/>
    </row>
    <row r="77">
      <c r="A77">
        <f>IFERROR(__xludf.DUMMYFUNCTION("""COMPUTED_VALUE"""),104.0)</f>
        <v>104</v>
      </c>
      <c r="B77" s="11"/>
      <c r="C77" s="3"/>
      <c r="D77" s="3"/>
      <c r="E77" s="3"/>
      <c r="F77" s="11"/>
      <c r="G77" s="11"/>
      <c r="H77" s="11"/>
      <c r="I77" s="11"/>
      <c r="J77" s="11"/>
    </row>
    <row r="78">
      <c r="A78">
        <f>IFERROR(__xludf.DUMMYFUNCTION("""COMPUTED_VALUE"""),105.0)</f>
        <v>105</v>
      </c>
      <c r="B78" s="11"/>
      <c r="C78" s="3"/>
      <c r="D78" s="3"/>
      <c r="E78" s="11"/>
      <c r="F78" s="11"/>
      <c r="G78" s="11"/>
      <c r="H78" s="11"/>
      <c r="I78" s="11"/>
      <c r="J78" s="11"/>
    </row>
    <row r="79">
      <c r="A79">
        <f>IFERROR(__xludf.DUMMYFUNCTION("""COMPUTED_VALUE"""),106.0)</f>
        <v>106</v>
      </c>
      <c r="B79" s="11" t="str">
        <f>IFERROR(__xludf.DUMMYFUNCTION("""COMPUTED_VALUE"""),"delete them all")</f>
        <v>delete them all</v>
      </c>
      <c r="C79" s="3"/>
      <c r="D79" s="3"/>
      <c r="E79" s="11"/>
      <c r="F79" s="11"/>
      <c r="G79" s="11"/>
      <c r="H79" s="11"/>
      <c r="I79" s="11"/>
      <c r="J79" s="11"/>
    </row>
    <row r="80">
      <c r="A80">
        <f>IFERROR(__xludf.DUMMYFUNCTION("""COMPUTED_VALUE"""),107.0)</f>
        <v>107</v>
      </c>
      <c r="B80" s="11" t="str">
        <f>IFERROR(__xludf.DUMMYFUNCTION("""COMPUTED_VALUE"""),"I would just delete a couple things that aren't relevant any longer.")</f>
        <v>I would just delete a couple things that aren't relevant any longer.</v>
      </c>
      <c r="C80" s="3"/>
      <c r="D80" s="3"/>
      <c r="E80" s="3"/>
      <c r="F80" s="11"/>
      <c r="G80" s="11"/>
      <c r="H80" s="11"/>
      <c r="I80" s="11"/>
      <c r="J80" s="11"/>
    </row>
    <row r="81">
      <c r="A81">
        <f>IFERROR(__xludf.DUMMYFUNCTION("""COMPUTED_VALUE"""),108.0)</f>
        <v>108</v>
      </c>
      <c r="B81" s="11"/>
      <c r="C81" s="3"/>
      <c r="D81" s="3"/>
      <c r="E81" s="3"/>
      <c r="F81" s="3"/>
      <c r="G81" s="11"/>
      <c r="H81" s="11"/>
      <c r="I81" s="11"/>
      <c r="J81" s="11"/>
    </row>
    <row r="82">
      <c r="A82">
        <f>IFERROR(__xludf.DUMMYFUNCTION("""COMPUTED_VALUE"""),109.0)</f>
        <v>109</v>
      </c>
      <c r="B82" s="11"/>
      <c r="C82" s="3"/>
      <c r="D82" s="3"/>
      <c r="E82" s="11"/>
      <c r="F82" s="11"/>
      <c r="G82" s="11"/>
      <c r="H82" s="11"/>
      <c r="I82" s="11"/>
      <c r="J82" s="11"/>
    </row>
    <row r="83">
      <c r="A83">
        <f>IFERROR(__xludf.DUMMYFUNCTION("""COMPUTED_VALUE"""),110.0)</f>
        <v>110</v>
      </c>
      <c r="B83" s="11" t="str">
        <f>IFERROR(__xludf.DUMMYFUNCTION("""COMPUTED_VALUE"""),"I would review which apps have access and restrict those I don't use often or didn't know had access to my google account")</f>
        <v>I would review which apps have access and restrict those I don't use often or didn't know had access to my google account</v>
      </c>
      <c r="C83" s="3"/>
      <c r="D83" s="3"/>
      <c r="E83" s="3"/>
      <c r="F83" s="3"/>
      <c r="G83" s="11"/>
      <c r="H83" s="11"/>
      <c r="I83" s="11"/>
      <c r="J83" s="11"/>
    </row>
    <row r="84">
      <c r="A84">
        <f>IFERROR(__xludf.DUMMYFUNCTION("""COMPUTED_VALUE"""),112.0)</f>
        <v>112</v>
      </c>
      <c r="B84" s="11"/>
      <c r="C84" s="3"/>
      <c r="D84" s="3"/>
      <c r="E84" s="3"/>
      <c r="F84" s="3"/>
      <c r="G84" s="3"/>
      <c r="H84" s="11"/>
      <c r="I84" s="11"/>
      <c r="J84" s="11"/>
    </row>
    <row r="85">
      <c r="A85">
        <f>IFERROR(__xludf.DUMMYFUNCTION("""COMPUTED_VALUE"""),113.0)</f>
        <v>113</v>
      </c>
      <c r="B85" s="11"/>
      <c r="C85" s="3"/>
      <c r="D85" s="3"/>
      <c r="E85" s="3"/>
      <c r="F85" s="11"/>
      <c r="G85" s="11"/>
      <c r="H85" s="11"/>
      <c r="I85" s="11"/>
      <c r="J85" s="11"/>
    </row>
    <row r="86">
      <c r="A86">
        <f>IFERROR(__xludf.DUMMYFUNCTION("""COMPUTED_VALUE"""),114.0)</f>
        <v>114</v>
      </c>
      <c r="B86" s="11"/>
      <c r="C86" s="3"/>
      <c r="D86" s="3"/>
      <c r="E86" s="3"/>
      <c r="F86" s="3"/>
      <c r="G86" s="3"/>
      <c r="H86" s="11"/>
      <c r="I86" s="11"/>
      <c r="J86" s="11"/>
    </row>
    <row r="87">
      <c r="A87">
        <f>IFERROR(__xludf.DUMMYFUNCTION("""COMPUTED_VALUE"""),115.0)</f>
        <v>115</v>
      </c>
      <c r="B87" s="11"/>
      <c r="C87" s="3"/>
      <c r="D87" s="11"/>
      <c r="E87" s="11"/>
      <c r="F87" s="11"/>
      <c r="G87" s="11"/>
      <c r="H87" s="11"/>
      <c r="I87" s="11"/>
      <c r="J87" s="11"/>
    </row>
    <row r="88">
      <c r="A88">
        <f>IFERROR(__xludf.DUMMYFUNCTION("""COMPUTED_VALUE"""),116.0)</f>
        <v>116</v>
      </c>
      <c r="B88" s="11"/>
      <c r="C88" s="3"/>
      <c r="D88" s="3"/>
      <c r="E88" s="11"/>
      <c r="F88" s="11"/>
      <c r="G88" s="11"/>
      <c r="H88" s="11"/>
      <c r="I88" s="11"/>
      <c r="J88" s="11"/>
    </row>
    <row r="89">
      <c r="A89">
        <f>IFERROR(__xludf.DUMMYFUNCTION("""COMPUTED_VALUE"""),117.0)</f>
        <v>117</v>
      </c>
      <c r="B89" s="11"/>
      <c r="C89" s="3"/>
      <c r="D89" s="3"/>
      <c r="E89" s="3"/>
      <c r="F89" s="3"/>
      <c r="G89" s="11"/>
      <c r="H89" s="11"/>
      <c r="I89" s="11"/>
      <c r="J89" s="11"/>
    </row>
    <row r="90">
      <c r="A90">
        <f>IFERROR(__xludf.DUMMYFUNCTION("""COMPUTED_VALUE"""),118.0)</f>
        <v>118</v>
      </c>
      <c r="B90" s="11"/>
      <c r="C90" s="3"/>
      <c r="D90" s="3"/>
      <c r="E90" s="11"/>
      <c r="F90" s="11"/>
      <c r="G90" s="11"/>
      <c r="H90" s="11"/>
      <c r="I90" s="11"/>
      <c r="J90" s="11"/>
    </row>
    <row r="91">
      <c r="A91">
        <f>IFERROR(__xludf.DUMMYFUNCTION("""COMPUTED_VALUE"""),120.0)</f>
        <v>120</v>
      </c>
      <c r="B91" s="11"/>
      <c r="C91" s="3"/>
      <c r="D91" s="3"/>
      <c r="E91" s="3"/>
      <c r="F91" s="11"/>
      <c r="G91" s="11"/>
      <c r="H91" s="11"/>
      <c r="I91" s="11"/>
      <c r="J91" s="11"/>
    </row>
    <row r="92">
      <c r="A92">
        <f>IFERROR(__xludf.DUMMYFUNCTION("""COMPUTED_VALUE"""),121.0)</f>
        <v>121</v>
      </c>
      <c r="B92" s="11"/>
      <c r="C92" s="3"/>
      <c r="D92" s="3"/>
      <c r="E92" s="3"/>
      <c r="F92" s="11"/>
      <c r="G92" s="11"/>
      <c r="H92" s="11"/>
      <c r="I92" s="11"/>
      <c r="J92" s="11"/>
    </row>
    <row r="93">
      <c r="A93">
        <f>IFERROR(__xludf.DUMMYFUNCTION("""COMPUTED_VALUE"""),122.0)</f>
        <v>122</v>
      </c>
      <c r="B93" s="11" t="str">
        <f>IFERROR(__xludf.DUMMYFUNCTION("""COMPUTED_VALUE"""),"I would make sure that the items I don't use anymore don't have access to my account or any part of it")</f>
        <v>I would make sure that the items I don't use anymore don't have access to my account or any part of it</v>
      </c>
      <c r="C93" s="3"/>
      <c r="D93" s="3"/>
      <c r="E93" s="11"/>
      <c r="F93" s="11"/>
      <c r="G93" s="11"/>
      <c r="H93" s="11"/>
      <c r="I93" s="11"/>
      <c r="J93" s="11"/>
    </row>
    <row r="94">
      <c r="A94">
        <f>IFERROR(__xludf.DUMMYFUNCTION("""COMPUTED_VALUE"""),123.0)</f>
        <v>123</v>
      </c>
      <c r="B94" s="11"/>
      <c r="C94" s="3"/>
      <c r="D94" s="3"/>
      <c r="E94" s="11"/>
      <c r="F94" s="11"/>
      <c r="G94" s="11"/>
      <c r="H94" s="11"/>
      <c r="I94" s="11"/>
      <c r="J94" s="11"/>
    </row>
    <row r="95">
      <c r="A95">
        <f>IFERROR(__xludf.DUMMYFUNCTION("""COMPUTED_VALUE"""),124.0)</f>
        <v>124</v>
      </c>
      <c r="B95" s="11"/>
      <c r="C95" s="3"/>
      <c r="D95" s="3"/>
      <c r="E95" s="11"/>
      <c r="F95" s="11"/>
      <c r="G95" s="11"/>
      <c r="H95" s="11"/>
      <c r="I95" s="11"/>
      <c r="J95" s="11"/>
    </row>
    <row r="96">
      <c r="A96">
        <f>IFERROR(__xludf.DUMMYFUNCTION("""COMPUTED_VALUE"""),125.0)</f>
        <v>125</v>
      </c>
      <c r="B96" s="11"/>
      <c r="C96" s="3"/>
      <c r="D96" s="3"/>
      <c r="E96" s="3"/>
      <c r="F96" s="11"/>
      <c r="G96" s="11"/>
      <c r="H96" s="11"/>
      <c r="I96" s="11"/>
      <c r="J96" s="11"/>
    </row>
    <row r="97">
      <c r="A97">
        <f>IFERROR(__xludf.DUMMYFUNCTION("""COMPUTED_VALUE"""),126.0)</f>
        <v>126</v>
      </c>
      <c r="B97" s="11"/>
      <c r="C97" s="3"/>
      <c r="D97" s="3"/>
      <c r="E97" s="11"/>
      <c r="F97" s="11"/>
      <c r="G97" s="11"/>
      <c r="H97" s="11"/>
      <c r="I97" s="11"/>
      <c r="J97" s="11"/>
    </row>
    <row r="98">
      <c r="A98">
        <f>IFERROR(__xludf.DUMMYFUNCTION("""COMPUTED_VALUE"""),127.0)</f>
        <v>127</v>
      </c>
      <c r="B98" s="11" t="str">
        <f>IFERROR(__xludf.DUMMYFUNCTION("""COMPUTED_VALUE"""),"I would want to know what third party data is used and potentially being marketed.")</f>
        <v>I would want to know what third party data is used and potentially being marketed.</v>
      </c>
      <c r="C98" s="3"/>
      <c r="D98" s="3"/>
      <c r="E98" s="3"/>
      <c r="F98" s="3"/>
      <c r="G98" s="11"/>
      <c r="H98" s="11"/>
      <c r="I98" s="11"/>
      <c r="J98" s="11"/>
    </row>
    <row r="99">
      <c r="A99">
        <f>IFERROR(__xludf.DUMMYFUNCTION("""COMPUTED_VALUE"""),128.0)</f>
        <v>128</v>
      </c>
      <c r="B99" s="11" t="str">
        <f>IFERROR(__xludf.DUMMYFUNCTION("""COMPUTED_VALUE"""),"I might remove some of the Apps with access to my account.")</f>
        <v>I might remove some of the Apps with access to my account.</v>
      </c>
      <c r="C99" s="3"/>
      <c r="D99" s="11"/>
      <c r="E99" s="11"/>
      <c r="F99" s="11"/>
      <c r="G99" s="11"/>
      <c r="H99" s="11"/>
      <c r="I99" s="11"/>
      <c r="J99" s="11"/>
    </row>
    <row r="100">
      <c r="A100">
        <f>IFERROR(__xludf.DUMMYFUNCTION("""COMPUTED_VALUE"""),129.0)</f>
        <v>129</v>
      </c>
      <c r="B100" s="11" t="str">
        <f>IFERROR(__xludf.DUMMYFUNCTION("""COMPUTED_VALUE"""),"I would disable some permissions I didn't realize some apps had, or revoke some permissions entirely.")</f>
        <v>I would disable some permissions I didn't realize some apps had, or revoke some permissions entirely.</v>
      </c>
      <c r="C100" s="3"/>
      <c r="D100" s="11"/>
      <c r="E100" s="11"/>
      <c r="F100" s="11"/>
      <c r="G100" s="11"/>
      <c r="H100" s="11"/>
      <c r="I100" s="11"/>
      <c r="J100" s="11"/>
    </row>
    <row r="101">
      <c r="A101">
        <f>IFERROR(__xludf.DUMMYFUNCTION("""COMPUTED_VALUE"""),130.0)</f>
        <v>130</v>
      </c>
      <c r="B101" s="11"/>
      <c r="C101" s="3"/>
      <c r="D101" s="3"/>
      <c r="E101" s="3"/>
      <c r="F101" s="11"/>
      <c r="G101" s="11"/>
      <c r="H101" s="11"/>
      <c r="I101" s="11"/>
      <c r="J101" s="11"/>
    </row>
    <row r="102">
      <c r="A102">
        <f>IFERROR(__xludf.DUMMYFUNCTION("""COMPUTED_VALUE"""),131.0)</f>
        <v>131</v>
      </c>
      <c r="B102" s="11" t="str">
        <f>IFERROR(__xludf.DUMMYFUNCTION("""COMPUTED_VALUE"""),"I don't think any app should be able to change or delete my files. Other then photo sites. I don't think anyone needs my family photos.")</f>
        <v>I don't think any app should be able to change or delete my files. Other then photo sites. I don't think anyone needs my family photos.</v>
      </c>
      <c r="C102" s="3"/>
      <c r="D102" s="3"/>
      <c r="E102" s="3"/>
      <c r="F102" s="11"/>
      <c r="G102" s="11"/>
      <c r="H102" s="11"/>
      <c r="I102" s="11"/>
      <c r="J102" s="11"/>
    </row>
    <row r="103">
      <c r="A103">
        <f>IFERROR(__xludf.DUMMYFUNCTION("""COMPUTED_VALUE"""),132.0)</f>
        <v>132</v>
      </c>
      <c r="B103" s="11"/>
      <c r="C103" s="3"/>
      <c r="D103" s="3"/>
      <c r="E103" s="11"/>
      <c r="F103" s="11"/>
      <c r="G103" s="11"/>
      <c r="H103" s="11"/>
      <c r="I103" s="11"/>
      <c r="J103" s="11"/>
    </row>
    <row r="104">
      <c r="A104">
        <f>IFERROR(__xludf.DUMMYFUNCTION("""COMPUTED_VALUE"""),133.0)</f>
        <v>133</v>
      </c>
      <c r="B104" s="11" t="str">
        <f>IFERROR(__xludf.DUMMYFUNCTION("""COMPUTED_VALUE"""),"I would remove access for some of the apps.")</f>
        <v>I would remove access for some of the apps.</v>
      </c>
      <c r="C104" s="3"/>
      <c r="D104" s="3"/>
      <c r="E104" s="11"/>
      <c r="F104" s="11"/>
      <c r="G104" s="11"/>
      <c r="H104" s="11"/>
      <c r="I104" s="11"/>
      <c r="J104" s="11"/>
    </row>
    <row r="105">
      <c r="A105">
        <f>IFERROR(__xludf.DUMMYFUNCTION("""COMPUTED_VALUE"""),134.0)</f>
        <v>134</v>
      </c>
      <c r="B105" s="11"/>
      <c r="C105" s="3"/>
      <c r="D105" s="3"/>
      <c r="E105" s="3"/>
      <c r="F105" s="3"/>
      <c r="G105" s="11"/>
      <c r="H105" s="11"/>
      <c r="I105" s="11"/>
      <c r="J105" s="11"/>
    </row>
    <row r="106">
      <c r="A106">
        <f>IFERROR(__xludf.DUMMYFUNCTION("""COMPUTED_VALUE"""),135.0)</f>
        <v>135</v>
      </c>
      <c r="B106" s="11" t="str">
        <f>IFERROR(__xludf.DUMMYFUNCTION("""COMPUTED_VALUE"""),"I would revoke access from a few accounts that I do not use as much, such as Paribus.")</f>
        <v>I would revoke access from a few accounts that I do not use as much, such as Paribus.</v>
      </c>
      <c r="C106" s="3"/>
      <c r="D106" s="3"/>
      <c r="E106" s="11"/>
      <c r="F106" s="11"/>
      <c r="G106" s="11"/>
      <c r="H106" s="11"/>
      <c r="I106" s="11"/>
      <c r="J106" s="11"/>
    </row>
    <row r="107">
      <c r="A107">
        <f>IFERROR(__xludf.DUMMYFUNCTION("""COMPUTED_VALUE"""),136.0)</f>
        <v>136</v>
      </c>
      <c r="B107" s="11" t="str">
        <f>IFERROR(__xludf.DUMMYFUNCTION("""COMPUTED_VALUE"""),"Arch Linux Chromium account access")</f>
        <v>Arch Linux Chromium account access</v>
      </c>
      <c r="C107" s="3"/>
      <c r="D107" s="3"/>
      <c r="E107" s="3"/>
      <c r="F107" s="3"/>
      <c r="G107" s="11"/>
      <c r="H107" s="11"/>
      <c r="I107" s="11"/>
      <c r="J107" s="11"/>
    </row>
    <row r="108">
      <c r="A108">
        <f>IFERROR(__xludf.DUMMYFUNCTION("""COMPUTED_VALUE"""),137.0)</f>
        <v>137</v>
      </c>
      <c r="B108" s="11"/>
      <c r="C108" s="3"/>
      <c r="D108" s="3"/>
      <c r="E108" s="3"/>
      <c r="F108" s="11"/>
      <c r="G108" s="11"/>
      <c r="H108" s="11"/>
      <c r="I108" s="11"/>
      <c r="J108" s="11"/>
    </row>
    <row r="109">
      <c r="A109">
        <f>IFERROR(__xludf.DUMMYFUNCTION("""COMPUTED_VALUE"""),138.0)</f>
        <v>138</v>
      </c>
      <c r="B109" s="11"/>
      <c r="C109" s="3"/>
      <c r="D109" s="3"/>
      <c r="E109" s="11"/>
      <c r="F109" s="11"/>
      <c r="G109" s="11"/>
      <c r="H109" s="11"/>
      <c r="I109" s="11"/>
      <c r="J109" s="11"/>
    </row>
    <row r="110">
      <c r="A110">
        <f>IFERROR(__xludf.DUMMYFUNCTION("""COMPUTED_VALUE"""),139.0)</f>
        <v>139</v>
      </c>
      <c r="B110" s="11"/>
      <c r="C110" s="3"/>
      <c r="D110" s="3"/>
      <c r="E110" s="3"/>
      <c r="F110" s="11"/>
      <c r="G110" s="11"/>
      <c r="H110" s="11"/>
      <c r="I110" s="11"/>
      <c r="J110" s="11"/>
    </row>
    <row r="111">
      <c r="A111">
        <f>IFERROR(__xludf.DUMMYFUNCTION("""COMPUTED_VALUE"""),140.0)</f>
        <v>140</v>
      </c>
      <c r="B111" s="11"/>
      <c r="C111" s="19"/>
      <c r="D111" s="3"/>
      <c r="E111" s="3"/>
      <c r="F111" s="3"/>
      <c r="G111" s="11"/>
      <c r="H111" s="11"/>
      <c r="I111" s="11"/>
      <c r="J111" s="11"/>
    </row>
    <row r="112">
      <c r="A112">
        <f>IFERROR(__xludf.DUMMYFUNCTION("""COMPUTED_VALUE"""),141.0)</f>
        <v>141</v>
      </c>
      <c r="B112" s="11" t="str">
        <f>IFERROR(__xludf.DUMMYFUNCTION("""COMPUTED_VALUE"""),"The one that is not Yahoo. I do not use the app so will detete it and the access to Google")</f>
        <v>The one that is not Yahoo. I do not use the app so will detete it and the access to Google</v>
      </c>
      <c r="C112" s="3"/>
      <c r="D112" s="3"/>
      <c r="E112" s="3"/>
      <c r="F112" s="11"/>
      <c r="G112" s="11"/>
      <c r="H112" s="11"/>
      <c r="I112" s="11"/>
      <c r="J112" s="11"/>
    </row>
    <row r="113">
      <c r="A113">
        <f>IFERROR(__xludf.DUMMYFUNCTION("""COMPUTED_VALUE"""),143.0)</f>
        <v>143</v>
      </c>
      <c r="B113" s="11" t="str">
        <f>IFERROR(__xludf.DUMMYFUNCTION("""COMPUTED_VALUE"""),"I would change it so that I know which sites have access to my account and what they could when they have access.")</f>
        <v>I would change it so that I know which sites have access to my account and what they could when they have access.</v>
      </c>
      <c r="C113" s="3"/>
      <c r="D113" s="3"/>
      <c r="E113" s="11"/>
      <c r="F113" s="11"/>
      <c r="G113" s="11"/>
      <c r="H113" s="11"/>
      <c r="I113" s="11"/>
      <c r="J113" s="11"/>
    </row>
    <row r="114">
      <c r="A114">
        <f>IFERROR(__xludf.DUMMYFUNCTION("""COMPUTED_VALUE"""),144.0)</f>
        <v>144</v>
      </c>
      <c r="B114" s="11" t="str">
        <f>IFERROR(__xludf.DUMMYFUNCTION("""COMPUTED_VALUE"""),"i would just change the apps i no longer want to have access")</f>
        <v>i would just change the apps i no longer want to have access</v>
      </c>
      <c r="C114" s="3"/>
      <c r="D114" s="3"/>
      <c r="E114" s="3"/>
      <c r="F114" s="3"/>
      <c r="G114" s="11"/>
      <c r="H114" s="11"/>
      <c r="I114" s="11"/>
      <c r="J114" s="11"/>
    </row>
    <row r="115">
      <c r="A115">
        <f>IFERROR(__xludf.DUMMYFUNCTION("""COMPUTED_VALUE"""),145.0)</f>
        <v>145</v>
      </c>
      <c r="B115" s="11"/>
      <c r="C115" s="3"/>
      <c r="D115" s="11"/>
      <c r="E115" s="11"/>
      <c r="F115" s="11"/>
      <c r="G115" s="11"/>
      <c r="H115" s="11"/>
      <c r="I115" s="11"/>
      <c r="J115" s="11"/>
    </row>
    <row r="116">
      <c r="A116">
        <f>IFERROR(__xludf.DUMMYFUNCTION("""COMPUTED_VALUE"""),146.0)</f>
        <v>146</v>
      </c>
      <c r="B116" s="11"/>
      <c r="C116" s="3"/>
      <c r="D116" s="3"/>
      <c r="E116" s="3"/>
      <c r="F116" s="3"/>
      <c r="G116" s="11"/>
      <c r="H116" s="11"/>
      <c r="I116" s="11"/>
      <c r="J116" s="11"/>
    </row>
    <row r="117">
      <c r="A117">
        <f>IFERROR(__xludf.DUMMYFUNCTION("""COMPUTED_VALUE"""),147.0)</f>
        <v>147</v>
      </c>
      <c r="B117" s="11"/>
      <c r="C117" s="3"/>
      <c r="D117" s="3"/>
      <c r="E117" s="11"/>
      <c r="F117" s="11"/>
      <c r="G117" s="11"/>
      <c r="H117" s="11"/>
      <c r="I117" s="11"/>
      <c r="J117" s="11"/>
    </row>
    <row r="118">
      <c r="A118">
        <f>IFERROR(__xludf.DUMMYFUNCTION("""COMPUTED_VALUE"""),148.0)</f>
        <v>148</v>
      </c>
      <c r="B118" s="11" t="str">
        <f>IFERROR(__xludf.DUMMYFUNCTION("""COMPUTED_VALUE"""),"I would remove sharing permissions for some apps")</f>
        <v>I would remove sharing permissions for some apps</v>
      </c>
      <c r="C118" s="3"/>
      <c r="D118" s="3"/>
      <c r="E118" s="11"/>
      <c r="F118" s="11"/>
      <c r="G118" s="11"/>
      <c r="H118" s="11"/>
      <c r="I118" s="11"/>
      <c r="J118" s="11"/>
    </row>
    <row r="119">
      <c r="A119">
        <f>IFERROR(__xludf.DUMMYFUNCTION("""COMPUTED_VALUE"""),149.0)</f>
        <v>149</v>
      </c>
      <c r="B119" s="11"/>
      <c r="C119" s="3"/>
      <c r="D119" s="3"/>
      <c r="E119" s="11"/>
      <c r="F119" s="11"/>
      <c r="G119" s="11"/>
      <c r="H119" s="11"/>
      <c r="I119" s="11"/>
      <c r="J119" s="11"/>
    </row>
    <row r="120">
      <c r="A120">
        <f>IFERROR(__xludf.DUMMYFUNCTION("""COMPUTED_VALUE"""),150.0)</f>
        <v>150</v>
      </c>
      <c r="B120" s="11" t="str">
        <f>IFERROR(__xludf.DUMMYFUNCTION("""COMPUTED_VALUE"""),"I don't know what Kappwing or whatever it was is or why it has access. I will remove it")</f>
        <v>I don't know what Kappwing or whatever it was is or why it has access. I will remove it</v>
      </c>
      <c r="C120" s="3"/>
      <c r="D120" s="11"/>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c r="C122" s="3"/>
      <c r="D122" s="3"/>
      <c r="E122" s="3"/>
      <c r="F122" s="11"/>
      <c r="G122" s="11"/>
      <c r="H122" s="11"/>
      <c r="I122" s="11"/>
      <c r="J122" s="11"/>
    </row>
    <row r="123">
      <c r="A123">
        <f>IFERROR(__xludf.DUMMYFUNCTION("""COMPUTED_VALUE"""),153.0)</f>
        <v>153</v>
      </c>
      <c r="B123" s="11" t="str">
        <f>IFERROR(__xludf.DUMMYFUNCTION("""COMPUTED_VALUE"""),"i would remove both apps entirely")</f>
        <v>i would remove both apps entirely</v>
      </c>
      <c r="C123" s="3"/>
      <c r="D123" s="3"/>
      <c r="E123" s="3"/>
      <c r="F123" s="3"/>
      <c r="G123" s="11"/>
      <c r="H123" s="11"/>
      <c r="I123" s="11"/>
      <c r="J123" s="11"/>
    </row>
    <row r="124">
      <c r="A124">
        <f>IFERROR(__xludf.DUMMYFUNCTION("""COMPUTED_VALUE"""),154.0)</f>
        <v>154</v>
      </c>
      <c r="B124" s="11" t="str">
        <f>IFERROR(__xludf.DUMMYFUNCTION("""COMPUTED_VALUE"""),"I would delete a few and probably change some that have more access than is necessary for their function.")</f>
        <v>I would delete a few and probably change some that have more access than is necessary for their function.</v>
      </c>
      <c r="C124" s="3"/>
      <c r="D124" s="11"/>
      <c r="E124" s="11"/>
      <c r="F124" s="11"/>
      <c r="G124" s="11"/>
      <c r="H124" s="11"/>
      <c r="I124" s="11"/>
      <c r="J124" s="11"/>
    </row>
    <row r="125">
      <c r="A125">
        <f>IFERROR(__xludf.DUMMYFUNCTION("""COMPUTED_VALUE"""),155.0)</f>
        <v>155</v>
      </c>
      <c r="B125" s="11" t="str">
        <f>IFERROR(__xludf.DUMMYFUNCTION("""COMPUTED_VALUE"""),"I am going to completely remove access from the games that I no longer play, and I will be more careful giving access to apps on a whim.")</f>
        <v>I am going to completely remove access from the games that I no longer play, and I will be more careful giving access to apps on a whim.</v>
      </c>
      <c r="C125" s="3"/>
      <c r="D125" s="3"/>
      <c r="E125" s="11"/>
      <c r="F125" s="11"/>
      <c r="G125" s="11"/>
      <c r="H125" s="11"/>
      <c r="I125" s="11"/>
      <c r="J125" s="11"/>
    </row>
    <row r="126">
      <c r="A126">
        <f>IFERROR(__xludf.DUMMYFUNCTION("""COMPUTED_VALUE"""),156.0)</f>
        <v>156</v>
      </c>
      <c r="B126" s="11"/>
      <c r="C126" s="3"/>
      <c r="D126" s="3"/>
      <c r="E126" s="11"/>
      <c r="F126" s="11"/>
      <c r="G126" s="11"/>
      <c r="H126" s="11"/>
      <c r="I126" s="11"/>
      <c r="J126" s="11"/>
    </row>
    <row r="127">
      <c r="A127">
        <f>IFERROR(__xludf.DUMMYFUNCTION("""COMPUTED_VALUE"""),157.0)</f>
        <v>157</v>
      </c>
      <c r="B127" s="11"/>
      <c r="C127" s="3"/>
      <c r="D127" s="11"/>
      <c r="E127" s="11"/>
      <c r="F127" s="11"/>
      <c r="G127" s="11"/>
      <c r="H127" s="11"/>
      <c r="I127" s="11"/>
      <c r="J127" s="11"/>
    </row>
    <row r="128">
      <c r="A128">
        <f>IFERROR(__xludf.DUMMYFUNCTION("""COMPUTED_VALUE"""),158.0)</f>
        <v>158</v>
      </c>
      <c r="B128" s="11" t="str">
        <f>IFERROR(__xludf.DUMMYFUNCTION("""COMPUTED_VALUE"""),"I would remove access to some apps.")</f>
        <v>I would remove access to some apps.</v>
      </c>
      <c r="C128" s="3"/>
      <c r="D128" s="3"/>
      <c r="E128" s="3"/>
      <c r="F128" s="3"/>
      <c r="G128" s="11"/>
      <c r="H128" s="11"/>
      <c r="I128" s="11"/>
      <c r="J128" s="11"/>
    </row>
    <row r="129">
      <c r="A129">
        <f>IFERROR(__xludf.DUMMYFUNCTION("""COMPUTED_VALUE"""),159.0)</f>
        <v>159</v>
      </c>
      <c r="B129" s="11"/>
      <c r="C129" s="3"/>
      <c r="D129" s="3"/>
      <c r="E129" s="11"/>
      <c r="F129" s="11"/>
      <c r="G129" s="11"/>
      <c r="H129" s="11"/>
      <c r="I129" s="11"/>
      <c r="J129" s="11"/>
    </row>
    <row r="130">
      <c r="A130">
        <f>IFERROR(__xludf.DUMMYFUNCTION("""COMPUTED_VALUE"""),160.0)</f>
        <v>160</v>
      </c>
      <c r="B130" s="11" t="str">
        <f>IFERROR(__xludf.DUMMYFUNCTION("""COMPUTED_VALUE"""),"I'll probably remove access to some I don't use anymore just to protect my information from any potential unwanted leaks.")</f>
        <v>I'll probably remove access to some I don't use anymore just to protect my information from any potential unwanted leaks.</v>
      </c>
      <c r="C130" s="3"/>
      <c r="D130" s="3"/>
      <c r="E130" s="3"/>
      <c r="F130" s="3"/>
      <c r="G130" s="11"/>
      <c r="H130" s="11"/>
      <c r="I130" s="11"/>
      <c r="J130" s="11"/>
    </row>
    <row r="131">
      <c r="A131">
        <f>IFERROR(__xludf.DUMMYFUNCTION("""COMPUTED_VALUE"""),161.0)</f>
        <v>161</v>
      </c>
      <c r="B131" s="11"/>
      <c r="C131" s="3"/>
      <c r="D131" s="3"/>
      <c r="E131" s="11"/>
      <c r="F131" s="11"/>
      <c r="G131" s="11"/>
      <c r="H131" s="11"/>
      <c r="I131" s="11"/>
      <c r="J131" s="11"/>
    </row>
    <row r="132">
      <c r="A132">
        <f>IFERROR(__xludf.DUMMYFUNCTION("""COMPUTED_VALUE"""),162.0)</f>
        <v>162</v>
      </c>
      <c r="B132" s="11" t="str">
        <f>IFERROR(__xludf.DUMMYFUNCTION("""COMPUTED_VALUE"""),"I need to get rid of most of these apps because I only use a few of them.")</f>
        <v>I need to get rid of most of these apps because I only use a few of them.</v>
      </c>
      <c r="C132" s="3"/>
      <c r="D132" s="3"/>
      <c r="E132" s="11"/>
      <c r="F132" s="11"/>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11"/>
      <c r="C134" s="3"/>
      <c r="D134" s="3"/>
      <c r="E134" s="3"/>
      <c r="F134" s="11"/>
      <c r="G134" s="11"/>
      <c r="H134" s="11"/>
      <c r="I134" s="11"/>
      <c r="J134" s="11"/>
    </row>
    <row r="135">
      <c r="A135">
        <f>IFERROR(__xludf.DUMMYFUNCTION("""COMPUTED_VALUE"""),165.0)</f>
        <v>165</v>
      </c>
      <c r="B135" s="11" t="str">
        <f>IFERROR(__xludf.DUMMYFUNCTION("""COMPUTED_VALUE"""),"Remove all access for SmallPDF")</f>
        <v>Remove all access for SmallPDF</v>
      </c>
      <c r="C135" s="3"/>
      <c r="D135" s="3"/>
      <c r="E135" s="11"/>
      <c r="F135" s="11"/>
      <c r="G135" s="11"/>
      <c r="H135" s="11"/>
      <c r="I135" s="11"/>
      <c r="J135" s="11"/>
    </row>
    <row r="136">
      <c r="A136">
        <f>IFERROR(__xludf.DUMMYFUNCTION("""COMPUTED_VALUE"""),166.0)</f>
        <v>166</v>
      </c>
      <c r="B136" s="11" t="str">
        <f>IFERROR(__xludf.DUMMYFUNCTION("""COMPUTED_VALUE"""),"I would remove certain apps from having access to my account. Especially those that don't really need to have access, for example the app that I removed from my phone.")</f>
        <v>I would remove certain apps from having access to my account. Especially those that don't really need to have access, for example the app that I removed from my phone.</v>
      </c>
      <c r="C136" s="3"/>
      <c r="D136" s="3"/>
      <c r="E136" s="3"/>
      <c r="F136" s="11"/>
      <c r="G136" s="11"/>
      <c r="H136" s="11"/>
      <c r="I136" s="11"/>
      <c r="J136" s="11"/>
    </row>
    <row r="137">
      <c r="A137">
        <f>IFERROR(__xludf.DUMMYFUNCTION("""COMPUTED_VALUE"""),167.0)</f>
        <v>167</v>
      </c>
      <c r="B137" s="11" t="str">
        <f>IFERROR(__xludf.DUMMYFUNCTION("""COMPUTED_VALUE"""),"I will most likely remove access to some of those third parties and, for those that I keep, I will probably try to restrict their access to my personal information even further.")</f>
        <v>I will most likely remove access to some of those third parties and, for those that I keep, I will probably try to restrict their access to my personal information even further.</v>
      </c>
      <c r="C137" s="3"/>
      <c r="D137" s="3"/>
      <c r="E137" s="11"/>
      <c r="F137" s="11"/>
      <c r="G137" s="11"/>
      <c r="H137" s="11"/>
      <c r="I137" s="11"/>
      <c r="J137" s="11"/>
    </row>
    <row r="138">
      <c r="A138">
        <f>IFERROR(__xludf.DUMMYFUNCTION("""COMPUTED_VALUE"""),168.0)</f>
        <v>168</v>
      </c>
      <c r="B138" s="11" t="str">
        <f>IFERROR(__xludf.DUMMYFUNCTION("""COMPUTED_VALUE"""),"i would remove wish from the listing as i don't use it")</f>
        <v>i would remove wish from the listing as i don't use it</v>
      </c>
      <c r="C138" s="3"/>
      <c r="D138" s="3"/>
      <c r="E138" s="3"/>
      <c r="F138" s="11"/>
      <c r="G138" s="11"/>
      <c r="H138" s="11"/>
      <c r="I138" s="11"/>
      <c r="J138" s="11"/>
    </row>
    <row r="139">
      <c r="A139">
        <f>IFERROR(__xludf.DUMMYFUNCTION("""COMPUTED_VALUE"""),169.0)</f>
        <v>169</v>
      </c>
      <c r="B139" s="11"/>
      <c r="C139" s="3"/>
      <c r="D139" s="3"/>
      <c r="E139" s="3"/>
      <c r="F139" s="11"/>
      <c r="G139" s="11"/>
      <c r="H139" s="11"/>
      <c r="I139" s="11"/>
      <c r="J139" s="11"/>
    </row>
    <row r="140">
      <c r="A140">
        <f>IFERROR(__xludf.DUMMYFUNCTION("""COMPUTED_VALUE"""),170.0)</f>
        <v>170</v>
      </c>
      <c r="B140" s="11" t="str">
        <f>IFERROR(__xludf.DUMMYFUNCTION("""COMPUTED_VALUE"""),"I'd like to see what all of my apps have access to.")</f>
        <v>I'd like to see what all of my apps have access to.</v>
      </c>
      <c r="C140" s="3"/>
      <c r="D140" s="3"/>
      <c r="E140" s="3"/>
      <c r="F140" s="3"/>
      <c r="G140" s="11"/>
      <c r="H140" s="11"/>
      <c r="I140" s="11"/>
      <c r="J140" s="11"/>
    </row>
    <row r="141">
      <c r="A141">
        <f>IFERROR(__xludf.DUMMYFUNCTION("""COMPUTED_VALUE"""),171.0)</f>
        <v>171</v>
      </c>
      <c r="B141" s="11"/>
      <c r="C141" s="3"/>
      <c r="D141" s="3"/>
      <c r="E141" s="11"/>
      <c r="F141" s="11"/>
      <c r="G141" s="11"/>
      <c r="H141" s="11"/>
      <c r="I141" s="11"/>
      <c r="J141" s="11"/>
    </row>
    <row r="142">
      <c r="A142">
        <f>IFERROR(__xludf.DUMMYFUNCTION("""COMPUTED_VALUE"""),172.0)</f>
        <v>172</v>
      </c>
      <c r="B142" s="11"/>
      <c r="C142" s="3"/>
      <c r="D142" s="3"/>
      <c r="E142" s="11"/>
      <c r="F142" s="11"/>
      <c r="G142" s="11"/>
      <c r="H142" s="11"/>
      <c r="I142" s="11"/>
      <c r="J142" s="11"/>
    </row>
    <row r="143">
      <c r="A143">
        <f>IFERROR(__xludf.DUMMYFUNCTION("""COMPUTED_VALUE"""),173.0)</f>
        <v>173</v>
      </c>
      <c r="B143" s="11"/>
      <c r="C143" s="3"/>
      <c r="D143" s="3"/>
      <c r="E143" s="3"/>
      <c r="F143" s="11"/>
      <c r="G143" s="11"/>
      <c r="H143" s="11"/>
      <c r="I143" s="11"/>
      <c r="J143" s="11"/>
    </row>
    <row r="144">
      <c r="A144">
        <f>IFERROR(__xludf.DUMMYFUNCTION("""COMPUTED_VALUE"""),174.0)</f>
        <v>174</v>
      </c>
      <c r="B144" s="11" t="str">
        <f>IFERROR(__xludf.DUMMYFUNCTION("""COMPUTED_VALUE"""),"I would limit the amount of information different apps can view - especially with my personal information.")</f>
        <v>I would limit the amount of information different apps can view - especially with my personal information.</v>
      </c>
      <c r="C144" s="3"/>
      <c r="D144" s="3"/>
      <c r="E144" s="3"/>
      <c r="F144" s="3"/>
      <c r="G144" s="3"/>
      <c r="H144" s="11"/>
      <c r="I144" s="11"/>
      <c r="J144" s="11"/>
    </row>
    <row r="145">
      <c r="A145">
        <f>IFERROR(__xludf.DUMMYFUNCTION("""COMPUTED_VALUE"""),175.0)</f>
        <v>175</v>
      </c>
      <c r="B145" s="11" t="str">
        <f>IFERROR(__xludf.DUMMYFUNCTION("""COMPUTED_VALUE"""),"I would remove some apps I don't use often")</f>
        <v>I would remove some apps I don't use often</v>
      </c>
      <c r="C145" s="3"/>
      <c r="D145" s="3"/>
      <c r="E145" s="3"/>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IFERROR(__xludf.DUMMYFUNCTION("""COMPUTED_VALUE"""),"remove apps that im unfamiliar with or dont use")</f>
        <v>remove apps that im unfamiliar with or dont use</v>
      </c>
      <c r="C147" s="3"/>
      <c r="D147" s="3"/>
      <c r="E147" s="3"/>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IFERROR(__xludf.DUMMYFUNCTION("""COMPUTED_VALUE"""),"I'd like to remove services that I don't use anymore.")</f>
        <v>I'd like to remove services that I don't use anymore.</v>
      </c>
      <c r="C149" s="3"/>
      <c r="D149" s="11"/>
      <c r="E149" s="11"/>
      <c r="F149" s="11"/>
      <c r="H149" s="11"/>
      <c r="I149" s="11"/>
      <c r="J149" s="11"/>
    </row>
    <row r="150">
      <c r="A150">
        <f>IFERROR(__xludf.DUMMYFUNCTION("""COMPUTED_VALUE"""),181.0)</f>
        <v>181</v>
      </c>
      <c r="B150" s="11"/>
      <c r="C150" s="3"/>
      <c r="D150" s="3"/>
      <c r="E150" s="3"/>
      <c r="F150" s="3"/>
      <c r="H150" s="11"/>
      <c r="I150" s="11"/>
      <c r="J150" s="11"/>
    </row>
    <row r="151">
      <c r="A151">
        <f>IFERROR(__xludf.DUMMYFUNCTION("""COMPUTED_VALUE"""),182.0)</f>
        <v>182</v>
      </c>
      <c r="B151" s="11" t="str">
        <f>IFERROR(__xludf.DUMMYFUNCTION("""COMPUTED_VALUE"""),"I would change settings that would increase security for any of my personal information.")</f>
        <v>I would change settings that would increase security for any of my personal information.</v>
      </c>
      <c r="C151" s="3"/>
      <c r="D151" s="3"/>
      <c r="E151" s="3"/>
      <c r="F151" s="3"/>
      <c r="H151" s="11"/>
      <c r="I151" s="11"/>
      <c r="J151" s="11"/>
    </row>
    <row r="152">
      <c r="A152">
        <f>IFERROR(__xludf.DUMMYFUNCTION("""COMPUTED_VALUE"""),183.0)</f>
        <v>183</v>
      </c>
      <c r="B152" s="11" t="str">
        <f>IFERROR(__xludf.DUMMYFUNCTION("""COMPUTED_VALUE"""),"I would periodically review my settings to make sure apps that have access to my account are still needed.")</f>
        <v>I would periodically review my settings to make sure apps that have access to my account are still needed.</v>
      </c>
      <c r="C152" s="3"/>
      <c r="D152" s="3"/>
      <c r="E152" s="11"/>
      <c r="F152" s="11"/>
      <c r="H152" s="11"/>
      <c r="I152" s="11"/>
      <c r="J152" s="11"/>
    </row>
    <row r="153">
      <c r="A153">
        <f>IFERROR(__xludf.DUMMYFUNCTION("""COMPUTED_VALUE"""),184.0)</f>
        <v>184</v>
      </c>
      <c r="B153" s="11" t="str">
        <f>IFERROR(__xludf.DUMMYFUNCTION("""COMPUTED_VALUE"""),"I will remove SocialToaster from having any access")</f>
        <v>I will remove SocialToaster from having any access</v>
      </c>
      <c r="C153" s="3"/>
      <c r="D153" s="3"/>
      <c r="E153" s="11"/>
      <c r="F153" s="11"/>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t="str">
        <f>IFERROR(__xludf.DUMMYFUNCTION("""COMPUTED_VALUE"""),"I would remove access to several apps that have it.")</f>
        <v>I would remove access to several apps that have it.</v>
      </c>
      <c r="C155" s="11"/>
      <c r="D155" s="11"/>
      <c r="E155" s="11"/>
      <c r="F155" s="11"/>
      <c r="G155" s="11"/>
      <c r="H155" s="11"/>
      <c r="I155" s="11"/>
      <c r="J155" s="11"/>
    </row>
    <row r="156">
      <c r="A156">
        <f>IFERROR(__xludf.DUMMYFUNCTION("""COMPUTED_VALUE"""),187.0)</f>
        <v>187</v>
      </c>
      <c r="B156" s="11" t="str">
        <f>IFERROR(__xludf.DUMMYFUNCTION("""COMPUTED_VALUE"""),"I would unauthorize one of the apps from being able to access my account (Quora). I see no reason why Quora would need to have this information and am uncomfortable with having this site have access to it. While I'm sure at one point I authorized it, I do"&amp;"n't remember doing so, and I don't remember why Quora thought it was necessary. Why would that site want to know all this stuff about me, anyway?")</f>
        <v>I would unauthorize one of the apps from being able to access my account (Quora). I see no reason why Quora would need to have this information and am uncomfortable with having this site have access to it. While I'm sure at one point I authorized it, I don't remember doing so, and I don't remember why Quora thought it was necessary. Why would that site want to know all this stuff about me, anyway?</v>
      </c>
      <c r="C156" s="11"/>
      <c r="D156" s="11"/>
      <c r="E156" s="11"/>
      <c r="F156" s="11"/>
      <c r="G156" s="11"/>
      <c r="H156" s="11"/>
      <c r="I156" s="11"/>
      <c r="J156" s="11"/>
    </row>
    <row r="157">
      <c r="A157">
        <f>IFERROR(__xludf.DUMMYFUNCTION("""COMPUTED_VALUE"""),188.0)</f>
        <v>188</v>
      </c>
      <c r="B157" s="11" t="str">
        <f>IFERROR(__xludf.DUMMYFUNCTION("""COMPUTED_VALUE"""),"I would change the permissions that rakuten has.")</f>
        <v>I would change the permissions that rakuten has.</v>
      </c>
      <c r="C157" s="11"/>
      <c r="D157" s="11"/>
      <c r="E157" s="11"/>
      <c r="F157" s="11"/>
      <c r="G157" s="11"/>
      <c r="H157" s="11"/>
      <c r="I157" s="11"/>
      <c r="J157" s="11"/>
    </row>
    <row r="158">
      <c r="A158">
        <f>IFERROR(__xludf.DUMMYFUNCTION("""COMPUTED_VALUE"""),189.0)</f>
        <v>189</v>
      </c>
      <c r="B158" s="11" t="str">
        <f>IFERROR(__xludf.DUMMYFUNCTION("""COMPUTED_VALUE"""),"stop allowing some services that i hadn't noticed.")</f>
        <v>stop allowing some services that i hadn't noticed.</v>
      </c>
      <c r="C158" s="11"/>
      <c r="D158" s="11"/>
      <c r="E158" s="11"/>
      <c r="F158" s="11"/>
      <c r="G158" s="11"/>
      <c r="H158" s="11"/>
      <c r="I158" s="11"/>
      <c r="J158" s="11"/>
    </row>
    <row r="159">
      <c r="A159">
        <f>IFERROR(__xludf.DUMMYFUNCTION("""COMPUTED_VALUE"""),190.0)</f>
        <v>190</v>
      </c>
      <c r="B159" s="11" t="str">
        <f>IFERROR(__xludf.DUMMYFUNCTION("""COMPUTED_VALUE"""),"I would go through and remove any apps that I no longer use or that have overreaching permissions.")</f>
        <v>I would go through and remove any apps that I no longer use or that have overreaching permissions.</v>
      </c>
      <c r="C159" s="11"/>
      <c r="D159" s="11"/>
      <c r="E159" s="11"/>
      <c r="F159" s="11"/>
      <c r="G159" s="11"/>
      <c r="H159" s="11"/>
      <c r="I159" s="11"/>
      <c r="J159" s="11"/>
    </row>
    <row r="160">
      <c r="A160">
        <f>IFERROR(__xludf.DUMMYFUNCTION("""COMPUTED_VALUE"""),191.0)</f>
        <v>191</v>
      </c>
      <c r="B160" s="11" t="str">
        <f>IFERROR(__xludf.DUMMYFUNCTION("""COMPUTED_VALUE"""),"i might get rid of a few apps that have access and limit access")</f>
        <v>i might get rid of a few apps that have access and limit access</v>
      </c>
      <c r="C160" s="11"/>
      <c r="D160" s="11"/>
      <c r="E160" s="11"/>
      <c r="F160" s="11"/>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t="str">
        <f>IFERROR(__xludf.DUMMYFUNCTION("""COMPUTED_VALUE"""),"I will remove the apps that have access to my account.")</f>
        <v>I will remove the apps that have access to my account.</v>
      </c>
      <c r="C162" s="11"/>
      <c r="D162" s="11"/>
      <c r="E162" s="11"/>
      <c r="F162" s="11"/>
      <c r="G162" s="11"/>
      <c r="H162" s="11"/>
      <c r="I162" s="11"/>
      <c r="J162" s="11"/>
    </row>
    <row r="163">
      <c r="A163">
        <f>IFERROR(__xludf.DUMMYFUNCTION("""COMPUTED_VALUE"""),194.0)</f>
        <v>194</v>
      </c>
      <c r="B163" s="11" t="str">
        <f>IFERROR(__xludf.DUMMYFUNCTION("""COMPUTED_VALUE"""),"I would change how apps control what my email does")</f>
        <v>I would change how apps control what my email does</v>
      </c>
      <c r="C163" s="11"/>
      <c r="D163" s="11"/>
      <c r="E163" s="11"/>
      <c r="F163" s="11"/>
      <c r="G163" s="11"/>
      <c r="H163" s="11"/>
      <c r="I163" s="11"/>
      <c r="J163" s="11"/>
    </row>
    <row r="164">
      <c r="A164">
        <f>IFERROR(__xludf.DUMMYFUNCTION("""COMPUTED_VALUE"""),195.0)</f>
        <v>195</v>
      </c>
      <c r="B164" s="11" t="str">
        <f>IFERROR(__xludf.DUMMYFUNCTION("""COMPUTED_VALUE"""),"I will remove permissions for services I don't use anymore.")</f>
        <v>I will remove permissions for services I don't use anymore.</v>
      </c>
      <c r="C164" s="11"/>
      <c r="D164" s="11"/>
      <c r="E164" s="11"/>
      <c r="F164" s="11"/>
      <c r="G164" s="11"/>
      <c r="H164" s="11"/>
      <c r="I164" s="11"/>
      <c r="J164" s="11"/>
    </row>
    <row r="165">
      <c r="A165">
        <f>IFERROR(__xludf.DUMMYFUNCTION("""COMPUTED_VALUE"""),196.0)</f>
        <v>196</v>
      </c>
      <c r="B165" s="11"/>
      <c r="C165" s="11"/>
      <c r="D165" s="11"/>
      <c r="E165" s="11"/>
      <c r="F165" s="11"/>
      <c r="G165" s="11"/>
      <c r="H165" s="11"/>
      <c r="I165" s="11"/>
      <c r="J165" s="11"/>
    </row>
    <row r="166">
      <c r="A166">
        <f>IFERROR(__xludf.DUMMYFUNCTION("""COMPUTED_VALUE"""),197.0)</f>
        <v>197</v>
      </c>
      <c r="B166" s="11"/>
      <c r="C166" s="11"/>
      <c r="D166" s="11"/>
      <c r="E166" s="11"/>
      <c r="F166" s="11"/>
      <c r="G166" s="11"/>
      <c r="H166" s="11"/>
      <c r="I166" s="11"/>
      <c r="J166" s="11"/>
    </row>
    <row r="167">
      <c r="A167">
        <f>IFERROR(__xludf.DUMMYFUNCTION("""COMPUTED_VALUE"""),198.0)</f>
        <v>198</v>
      </c>
      <c r="B167" s="11" t="str">
        <f>IFERROR(__xludf.DUMMYFUNCTION("""COMPUTED_VALUE"""),"Mostly getting rid of accounts that I no longer use that are hooked up to my google account. I might also delete some google doc exentsions since I no longer use them.")</f>
        <v>Mostly getting rid of accounts that I no longer use that are hooked up to my google account. I might also delete some google doc exentsions since I no longer use them.</v>
      </c>
      <c r="C167" s="11"/>
      <c r="D167" s="11"/>
      <c r="E167" s="11"/>
      <c r="F167" s="11"/>
      <c r="G167" s="11"/>
      <c r="H167" s="11"/>
      <c r="I167" s="11"/>
      <c r="J167" s="11"/>
    </row>
    <row r="168">
      <c r="A168">
        <f>IFERROR(__xludf.DUMMYFUNCTION("""COMPUTED_VALUE"""),199.0)</f>
        <v>199</v>
      </c>
      <c r="B168" s="11"/>
      <c r="C168" s="11"/>
      <c r="D168" s="11"/>
      <c r="E168" s="11"/>
      <c r="F168" s="11"/>
      <c r="G168" s="11"/>
      <c r="H168" s="11"/>
      <c r="I168" s="11"/>
      <c r="J168" s="11"/>
    </row>
    <row r="169">
      <c r="A169">
        <f>IFERROR(__xludf.DUMMYFUNCTION("""COMPUTED_VALUE"""),200.0)</f>
        <v>200</v>
      </c>
      <c r="B169" s="11"/>
      <c r="C169" s="11"/>
      <c r="D169" s="11"/>
      <c r="E169" s="11"/>
      <c r="F169" s="11"/>
      <c r="G169" s="11"/>
      <c r="H169" s="11"/>
      <c r="I169" s="11"/>
      <c r="J169" s="11"/>
    </row>
    <row r="170">
      <c r="A170">
        <f>IFERROR(__xludf.DUMMYFUNCTION("""COMPUTED_VALUE"""),201.0)</f>
        <v>201</v>
      </c>
      <c r="B170" s="11"/>
      <c r="C170" s="11"/>
      <c r="D170" s="11"/>
      <c r="E170" s="11"/>
      <c r="F170" s="11"/>
      <c r="G170" s="11"/>
      <c r="H170" s="11"/>
      <c r="I170" s="11"/>
      <c r="J170" s="11"/>
    </row>
    <row r="171">
      <c r="A171">
        <f>IFERROR(__xludf.DUMMYFUNCTION("""COMPUTED_VALUE"""),202.0)</f>
        <v>202</v>
      </c>
      <c r="B171" s="11"/>
      <c r="C171" s="11"/>
      <c r="D171" s="11"/>
      <c r="E171" s="11"/>
      <c r="F171" s="11"/>
      <c r="G171" s="11"/>
      <c r="H171" s="11"/>
      <c r="I171" s="11"/>
      <c r="J171" s="11"/>
    </row>
    <row r="172">
      <c r="A172">
        <f>IFERROR(__xludf.DUMMYFUNCTION("""COMPUTED_VALUE"""),203.0)</f>
        <v>203</v>
      </c>
      <c r="B172" s="11" t="str">
        <f>IFERROR(__xludf.DUMMYFUNCTION("""COMPUTED_VALUE"""),"I would change would they could see.")</f>
        <v>I would change would they could see.</v>
      </c>
      <c r="C172" s="11"/>
      <c r="D172" s="11"/>
      <c r="E172" s="11"/>
      <c r="F172" s="11"/>
      <c r="G172" s="11"/>
      <c r="H172" s="11"/>
      <c r="I172" s="11"/>
      <c r="J172" s="11"/>
    </row>
    <row r="173">
      <c r="A173">
        <f>IFERROR(__xludf.DUMMYFUNCTION("""COMPUTED_VALUE"""),204.0)</f>
        <v>204</v>
      </c>
      <c r="B173" s="11" t="str">
        <f>IFERROR(__xludf.DUMMYFUNCTION("""COMPUTED_VALUE"""),"I would change what have permission to use my account.")</f>
        <v>I would change what have permission to use my account.</v>
      </c>
      <c r="C173" s="11"/>
      <c r="D173" s="11"/>
      <c r="E173" s="11"/>
      <c r="F173" s="11"/>
      <c r="G173" s="11"/>
      <c r="H173" s="11"/>
      <c r="I173" s="11"/>
      <c r="J173" s="11"/>
    </row>
    <row r="174">
      <c r="A174">
        <f>IFERROR(__xludf.DUMMYFUNCTION("""COMPUTED_VALUE"""),205.0)</f>
        <v>205</v>
      </c>
      <c r="B174" s="11" t="str">
        <f>IFERROR(__xludf.DUMMYFUNCTION("""COMPUTED_VALUE"""),"less changing of settings and more removal of some apps that are no longer used.")</f>
        <v>less changing of settings and more removal of some apps that are no longer used.</v>
      </c>
      <c r="C174" s="11"/>
      <c r="D174" s="11"/>
      <c r="E174" s="11"/>
      <c r="F174" s="11"/>
      <c r="G174" s="11"/>
      <c r="H174" s="11"/>
      <c r="I174" s="11"/>
      <c r="J174" s="11"/>
    </row>
    <row r="175">
      <c r="A175">
        <f>IFERROR(__xludf.DUMMYFUNCTION("""COMPUTED_VALUE"""),206.0)</f>
        <v>206</v>
      </c>
      <c r="B175" s="11" t="str">
        <f>IFERROR(__xludf.DUMMYFUNCTION("""COMPUTED_VALUE"""),"access to contact info, calendar info, access to emails")</f>
        <v>access to contact info, calendar info, access to emails</v>
      </c>
      <c r="C175" s="11"/>
      <c r="D175" s="11"/>
      <c r="E175" s="11"/>
      <c r="F175" s="11"/>
      <c r="G175" s="11"/>
      <c r="H175" s="11"/>
      <c r="I175" s="11"/>
      <c r="J175" s="11"/>
    </row>
    <row r="176">
      <c r="A176">
        <f>IFERROR(__xludf.DUMMYFUNCTION("""COMPUTED_VALUE"""),207.0)</f>
        <v>207</v>
      </c>
      <c r="B176" s="11"/>
      <c r="C176" s="11"/>
      <c r="D176" s="11"/>
      <c r="E176" s="11"/>
      <c r="F176" s="11"/>
      <c r="G176" s="11"/>
      <c r="H176" s="11"/>
      <c r="I176" s="11"/>
      <c r="J176" s="11"/>
    </row>
    <row r="177">
      <c r="A177">
        <f>IFERROR(__xludf.DUMMYFUNCTION("""COMPUTED_VALUE"""),208.0)</f>
        <v>208</v>
      </c>
      <c r="B177" s="11"/>
      <c r="C177" s="11"/>
      <c r="D177" s="11"/>
      <c r="E177" s="11"/>
      <c r="F177" s="11"/>
      <c r="G177" s="11"/>
      <c r="H177" s="11"/>
      <c r="I177" s="11"/>
      <c r="J177" s="11"/>
    </row>
    <row r="178">
      <c r="A178">
        <f>IFERROR(__xludf.DUMMYFUNCTION("""COMPUTED_VALUE"""),209.0)</f>
        <v>209</v>
      </c>
      <c r="B178" s="11"/>
      <c r="C178" s="11"/>
      <c r="D178" s="11"/>
      <c r="E178" s="11"/>
      <c r="F178" s="11"/>
      <c r="G178" s="11"/>
      <c r="H178" s="11"/>
      <c r="I178" s="11"/>
      <c r="J178" s="11"/>
    </row>
    <row r="179">
      <c r="A179">
        <f>IFERROR(__xludf.DUMMYFUNCTION("""COMPUTED_VALUE"""),210.0)</f>
        <v>210</v>
      </c>
      <c r="B179" s="11" t="str">
        <f>IFERROR(__xludf.DUMMYFUNCTION("""COMPUTED_VALUE"""),"i need to go through and remove my info from sites i don't use like wayfair.")</f>
        <v>i need to go through and remove my info from sites i don't use like wayfair.</v>
      </c>
      <c r="C179" s="11"/>
      <c r="D179" s="11"/>
      <c r="E179" s="11"/>
      <c r="F179" s="11"/>
      <c r="G179" s="11"/>
      <c r="H179" s="11"/>
      <c r="I179" s="11"/>
      <c r="J179" s="11"/>
    </row>
    <row r="180">
      <c r="A180">
        <f>IFERROR(__xludf.DUMMYFUNCTION("""COMPUTED_VALUE"""),211.0)</f>
        <v>211</v>
      </c>
      <c r="B180" s="11"/>
      <c r="C180" s="11"/>
      <c r="D180" s="11"/>
      <c r="E180" s="11"/>
      <c r="F180" s="11"/>
      <c r="G180" s="11"/>
      <c r="H180" s="11"/>
      <c r="I180" s="11"/>
      <c r="J180" s="11"/>
    </row>
    <row r="181">
      <c r="A181">
        <f>IFERROR(__xludf.DUMMYFUNCTION("""COMPUTED_VALUE"""),212.0)</f>
        <v>212</v>
      </c>
      <c r="B181" s="11" t="str">
        <f>IFERROR(__xludf.DUMMYFUNCTION("""COMPUTED_VALUE"""),"I will probably review my list now and remove apps that I no longer use.")</f>
        <v>I will probably review my list now and remove apps that I no longer use.</v>
      </c>
      <c r="C181" s="11"/>
      <c r="D181" s="11"/>
      <c r="E181" s="11"/>
      <c r="F181" s="11"/>
      <c r="G181" s="11"/>
      <c r="H181" s="11"/>
      <c r="I181" s="11"/>
      <c r="J181" s="11"/>
    </row>
    <row r="182">
      <c r="A182">
        <f>IFERROR(__xludf.DUMMYFUNCTION("""COMPUTED_VALUE"""),213.0)</f>
        <v>213</v>
      </c>
      <c r="B182" s="11" t="str">
        <f>IFERROR(__xludf.DUMMYFUNCTION("""COMPUTED_VALUE"""),"I would re-consider certain privacy setting and uninstall certain apps I no longer use.")</f>
        <v>I would re-consider certain privacy setting and uninstall certain apps I no longer use.</v>
      </c>
      <c r="C182" s="11"/>
      <c r="D182" s="11"/>
      <c r="E182" s="11"/>
      <c r="F182" s="11"/>
      <c r="G182" s="11"/>
      <c r="H182" s="11"/>
      <c r="I182" s="11"/>
      <c r="J182" s="11"/>
    </row>
    <row r="183">
      <c r="A183">
        <f>IFERROR(__xludf.DUMMYFUNCTION("""COMPUTED_VALUE"""),214.0)</f>
        <v>214</v>
      </c>
      <c r="B183" s="11" t="str">
        <f>IFERROR(__xludf.DUMMYFUNCTION("""COMPUTED_VALUE"""),"I would remove some apps that I don't really use anymore")</f>
        <v>I would remove some apps that I don't really use anymore</v>
      </c>
      <c r="C183" s="11"/>
      <c r="D183" s="11"/>
      <c r="E183" s="11"/>
      <c r="F183" s="11"/>
      <c r="G183" s="11"/>
      <c r="H183" s="11"/>
      <c r="I183" s="11"/>
      <c r="J183" s="11"/>
    </row>
    <row r="184">
      <c r="A184">
        <f>IFERROR(__xludf.DUMMYFUNCTION("""COMPUTED_VALUE"""),216.0)</f>
        <v>216</v>
      </c>
      <c r="B184" s="11" t="str">
        <f>IFERROR(__xludf.DUMMYFUNCTION("""COMPUTED_VALUE"""),"I would disable the apps that I no longer use.")</f>
        <v>I would disable the apps that I no longer use.</v>
      </c>
      <c r="C184" s="11"/>
      <c r="D184" s="11"/>
      <c r="E184" s="11"/>
      <c r="F184" s="11"/>
      <c r="G184" s="11"/>
      <c r="H184" s="11"/>
      <c r="I184" s="11"/>
      <c r="J184" s="11"/>
    </row>
    <row r="185">
      <c r="A185">
        <f>IFERROR(__xludf.DUMMYFUNCTION("""COMPUTED_VALUE"""),218.0)</f>
        <v>218</v>
      </c>
      <c r="B185" s="11" t="str">
        <f>IFERROR(__xludf.DUMMYFUNCTION("""COMPUTED_VALUE"""),"What information is shared")</f>
        <v>What information is shared</v>
      </c>
      <c r="C185" s="11"/>
      <c r="D185" s="11"/>
      <c r="E185" s="11"/>
      <c r="F185" s="11"/>
      <c r="G185" s="11"/>
      <c r="H185" s="11"/>
      <c r="I185" s="11"/>
      <c r="J185" s="11"/>
    </row>
    <row r="186">
      <c r="A186">
        <f>IFERROR(__xludf.DUMMYFUNCTION("""COMPUTED_VALUE"""),219.0)</f>
        <v>219</v>
      </c>
      <c r="B186" s="11" t="str">
        <f>IFERROR(__xludf.DUMMYFUNCTION("""COMPUTED_VALUE"""),"I would go through and remove the apps that I no longer use or have installed because there isn't any reason for them to continue to have access to my account information.")</f>
        <v>I would go through and remove the apps that I no longer use or have installed because there isn't any reason for them to continue to have access to my account information.</v>
      </c>
      <c r="C186" s="11"/>
      <c r="D186" s="11"/>
      <c r="E186" s="11"/>
      <c r="F186" s="11"/>
      <c r="G186" s="11"/>
      <c r="H186" s="11"/>
      <c r="I186" s="11"/>
      <c r="J186" s="11"/>
    </row>
    <row r="187">
      <c r="A187">
        <f>IFERROR(__xludf.DUMMYFUNCTION("""COMPUTED_VALUE"""),220.0)</f>
        <v>220</v>
      </c>
      <c r="B187" s="11" t="str">
        <f>IFERROR(__xludf.DUMMYFUNCTION("""COMPUTED_VALUE"""),"I will change the privacy settings for certain applications and uninstall the ones that I no longer use.")</f>
        <v>I will change the privacy settings for certain applications and uninstall the ones that I no longer use.</v>
      </c>
      <c r="C187" s="11"/>
      <c r="D187" s="11"/>
      <c r="E187" s="11"/>
      <c r="F187" s="11"/>
      <c r="G187" s="11"/>
      <c r="H187" s="11"/>
      <c r="I187" s="11"/>
      <c r="J187" s="11"/>
    </row>
    <row r="188">
      <c r="A188">
        <f>IFERROR(__xludf.DUMMYFUNCTION("""COMPUTED_VALUE"""),221.0)</f>
        <v>221</v>
      </c>
      <c r="B188" s="11" t="str">
        <f>IFERROR(__xludf.DUMMYFUNCTION("""COMPUTED_VALUE"""),"I would remove dropbox's access to my contacts")</f>
        <v>I would remove dropbox's access to my contacts</v>
      </c>
      <c r="C188" s="11"/>
      <c r="D188" s="11"/>
      <c r="E188" s="11"/>
      <c r="F188" s="11"/>
      <c r="G188" s="11"/>
      <c r="H188" s="11"/>
      <c r="I188" s="11"/>
      <c r="J188" s="11"/>
    </row>
    <row r="189">
      <c r="A189">
        <f>IFERROR(__xludf.DUMMYFUNCTION("""COMPUTED_VALUE"""),222.0)</f>
        <v>222</v>
      </c>
      <c r="B189" s="11"/>
      <c r="C189" s="11"/>
      <c r="D189" s="11"/>
      <c r="E189" s="11"/>
      <c r="F189" s="11"/>
      <c r="G189" s="11"/>
      <c r="H189" s="11"/>
      <c r="I189" s="11"/>
      <c r="J189" s="11"/>
    </row>
    <row r="190">
      <c r="A190">
        <f>IFERROR(__xludf.DUMMYFUNCTION("""COMPUTED_VALUE"""),223.0)</f>
        <v>223</v>
      </c>
      <c r="B190" s="11"/>
      <c r="C190" s="11"/>
      <c r="D190" s="11"/>
      <c r="E190" s="11"/>
      <c r="F190" s="11"/>
      <c r="G190" s="11"/>
      <c r="H190" s="11"/>
      <c r="I190" s="11"/>
      <c r="J190" s="11"/>
    </row>
    <row r="191">
      <c r="A191">
        <f>IFERROR(__xludf.DUMMYFUNCTION("""COMPUTED_VALUE"""),224.0)</f>
        <v>224</v>
      </c>
      <c r="B191" s="11" t="str">
        <f>IFERROR(__xludf.DUMMYFUNCTION("""COMPUTED_VALUE"""),"I would delete Apollo, and maybe restrict Streak's access to my Google Drive.")</f>
        <v>I would delete Apollo, and maybe restrict Streak's access to my Google Drive.</v>
      </c>
      <c r="C191" s="11"/>
      <c r="D191" s="11"/>
      <c r="E191" s="11"/>
      <c r="F191" s="11"/>
      <c r="G191" s="11"/>
      <c r="H191" s="11"/>
      <c r="I191" s="11"/>
      <c r="J191" s="11"/>
    </row>
    <row r="192">
      <c r="A192">
        <f>IFERROR(__xludf.DUMMYFUNCTION("""COMPUTED_VALUE"""),225.0)</f>
        <v>225</v>
      </c>
      <c r="B192" s="11"/>
      <c r="C192" s="11"/>
      <c r="D192" s="11"/>
      <c r="E192" s="11"/>
      <c r="F192" s="11"/>
      <c r="G192" s="11"/>
      <c r="H192" s="11"/>
      <c r="I192" s="11"/>
      <c r="J192" s="11"/>
    </row>
    <row r="193">
      <c r="A193">
        <f>IFERROR(__xludf.DUMMYFUNCTION("""COMPUTED_VALUE"""),226.0)</f>
        <v>226</v>
      </c>
      <c r="B193" s="11" t="str">
        <f>IFERROR(__xludf.DUMMYFUNCTION("""COMPUTED_VALUE"""),"I would probably delete some of the apps I gave access to my account for. I don't use them enough and they don't need my data.")</f>
        <v>I would probably delete some of the apps I gave access to my account for. I don't use them enough and they don't need my data.</v>
      </c>
      <c r="C193" s="11"/>
      <c r="D193" s="11"/>
      <c r="E193" s="11"/>
      <c r="F193" s="11"/>
      <c r="G193" s="11"/>
      <c r="H193" s="11"/>
      <c r="I193" s="11"/>
      <c r="J193" s="11"/>
    </row>
    <row r="194">
      <c r="A194">
        <f>IFERROR(__xludf.DUMMYFUNCTION("""COMPUTED_VALUE"""),227.0)</f>
        <v>227</v>
      </c>
      <c r="B194" s="11"/>
      <c r="C194" s="11"/>
      <c r="D194" s="11"/>
      <c r="E194" s="11"/>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c r="C197" s="11"/>
      <c r="D197" s="11"/>
      <c r="E197" s="11"/>
      <c r="F197" s="11"/>
      <c r="G197" s="11"/>
      <c r="H197" s="11"/>
      <c r="I197" s="11"/>
      <c r="J197" s="11"/>
    </row>
    <row r="198">
      <c r="A198">
        <f>IFERROR(__xludf.DUMMYFUNCTION("""COMPUTED_VALUE"""),231.0)</f>
        <v>231</v>
      </c>
      <c r="B198" s="11"/>
      <c r="C198" s="11"/>
      <c r="D198" s="11"/>
      <c r="E198" s="11"/>
      <c r="F198" s="11"/>
      <c r="G198" s="11"/>
      <c r="H198" s="11"/>
      <c r="I198" s="11"/>
      <c r="J198" s="11"/>
    </row>
    <row r="199">
      <c r="A199">
        <f>IFERROR(__xludf.DUMMYFUNCTION("""COMPUTED_VALUE"""),232.0)</f>
        <v>232</v>
      </c>
      <c r="B199" s="11" t="str">
        <f>IFERROR(__xludf.DUMMYFUNCTION("""COMPUTED_VALUE"""),"I would remove the apps that I indicated earlier in the study.")</f>
        <v>I would remove the apps that I indicated earlier in the study.</v>
      </c>
      <c r="C199" s="11"/>
      <c r="D199" s="11"/>
      <c r="E199" s="11"/>
      <c r="F199" s="11"/>
      <c r="G199" s="11"/>
      <c r="H199" s="11"/>
      <c r="I199" s="11"/>
      <c r="J199" s="11"/>
    </row>
    <row r="200">
      <c r="A200">
        <f>IFERROR(__xludf.DUMMYFUNCTION("""COMPUTED_VALUE"""),233.0)</f>
        <v>233</v>
      </c>
      <c r="B200" s="11"/>
      <c r="C200" s="11"/>
      <c r="D200" s="11"/>
      <c r="E200" s="11"/>
      <c r="F200" s="11"/>
      <c r="G200" s="11"/>
      <c r="H200" s="11"/>
      <c r="I200" s="11"/>
      <c r="J200" s="11"/>
    </row>
    <row r="201">
      <c r="A201">
        <f>IFERROR(__xludf.DUMMYFUNCTION("""COMPUTED_VALUE"""),234.0)</f>
        <v>234</v>
      </c>
      <c r="B201" s="11"/>
      <c r="C201" s="11"/>
      <c r="D201" s="11"/>
      <c r="E201" s="11"/>
      <c r="F201" s="11"/>
      <c r="G201" s="11"/>
      <c r="H201" s="11"/>
      <c r="I201" s="11"/>
      <c r="J201" s="11"/>
    </row>
    <row r="202">
      <c r="A202">
        <f>IFERROR(__xludf.DUMMYFUNCTION("""COMPUTED_VALUE"""),235.0)</f>
        <v>235</v>
      </c>
      <c r="B202" s="11" t="str">
        <f>IFERROR(__xludf.DUMMYFUNCTION("""COMPUTED_VALUE"""),"The apps with access to google drive.")</f>
        <v>The apps with access to google drive.</v>
      </c>
      <c r="C202" s="11"/>
      <c r="D202" s="11"/>
      <c r="E202" s="11"/>
      <c r="F202" s="11"/>
      <c r="G202" s="11"/>
      <c r="H202" s="11"/>
      <c r="I202" s="11"/>
      <c r="J202" s="11"/>
    </row>
    <row r="203">
      <c r="A203">
        <f>IFERROR(__xludf.DUMMYFUNCTION("""COMPUTED_VALUE"""),236.0)</f>
        <v>236</v>
      </c>
      <c r="B203" s="11"/>
      <c r="C203" s="11"/>
      <c r="D203" s="11"/>
      <c r="E203" s="11"/>
      <c r="F203" s="11"/>
      <c r="G203" s="11"/>
      <c r="H203" s="11"/>
      <c r="I203" s="11"/>
      <c r="J203" s="11"/>
    </row>
    <row r="204">
      <c r="A204">
        <f>IFERROR(__xludf.DUMMYFUNCTION("""COMPUTED_VALUE"""),237.0)</f>
        <v>237</v>
      </c>
      <c r="B204" s="11"/>
      <c r="C204" s="11"/>
      <c r="D204" s="11"/>
      <c r="E204" s="11"/>
      <c r="F204" s="11"/>
      <c r="G204" s="11"/>
      <c r="H204" s="11"/>
      <c r="I204" s="11"/>
      <c r="J204" s="11"/>
    </row>
    <row r="205">
      <c r="A205">
        <f>IFERROR(__xludf.DUMMYFUNCTION("""COMPUTED_VALUE"""),238.0)</f>
        <v>238</v>
      </c>
      <c r="B205" s="11" t="str">
        <f>IFERROR(__xludf.DUMMYFUNCTION("""COMPUTED_VALUE"""),"I would like to review it more often to make sure apps I no longer use are updated and no longer have access. 
 Review to make sure that the access they have makes sense.")</f>
        <v>I would like to review it more often to make sure apps I no longer use are updated and no longer have access. 
 Review to make sure that the access they have makes sense.</v>
      </c>
      <c r="C205" s="11"/>
      <c r="D205" s="11"/>
      <c r="E205" s="11"/>
      <c r="F205" s="11"/>
      <c r="G205" s="11"/>
      <c r="H205" s="11"/>
      <c r="I205" s="11"/>
      <c r="J205" s="11"/>
    </row>
    <row r="206">
      <c r="A206">
        <f>IFERROR(__xludf.DUMMYFUNCTION("""COMPUTED_VALUE"""),239.0)</f>
        <v>239</v>
      </c>
      <c r="B206" s="11"/>
      <c r="C206" s="11"/>
      <c r="D206" s="11"/>
      <c r="E206" s="11"/>
      <c r="F206" s="11"/>
      <c r="G206" s="11"/>
      <c r="H206" s="11"/>
      <c r="I206" s="11"/>
      <c r="J206" s="11"/>
    </row>
    <row r="207">
      <c r="A207">
        <f>IFERROR(__xludf.DUMMYFUNCTION("""COMPUTED_VALUE"""),240.0)</f>
        <v>240</v>
      </c>
      <c r="B207" s="11"/>
      <c r="C207" s="11"/>
      <c r="D207" s="11"/>
      <c r="E207" s="11"/>
      <c r="F207" s="11"/>
      <c r="G207" s="11"/>
      <c r="H207" s="11"/>
      <c r="I207" s="11"/>
      <c r="J207" s="11"/>
    </row>
    <row r="208">
      <c r="A208">
        <f>IFERROR(__xludf.DUMMYFUNCTION("""COMPUTED_VALUE"""),241.0)</f>
        <v>241</v>
      </c>
      <c r="B208" s="11" t="str">
        <f>IFERROR(__xludf.DUMMYFUNCTION("""COMPUTED_VALUE"""),"I would change the setting that allows me to sign into apps/websites with my Google account.")</f>
        <v>I would change the setting that allows me to sign into apps/websites with my Google account.</v>
      </c>
      <c r="C208" s="11"/>
      <c r="D208" s="11"/>
      <c r="E208" s="11"/>
      <c r="F208" s="11"/>
      <c r="G208" s="11"/>
      <c r="H208" s="11"/>
      <c r="I208" s="11"/>
      <c r="J208" s="11"/>
    </row>
    <row r="209">
      <c r="A209">
        <f>IFERROR(__xludf.DUMMYFUNCTION("""COMPUTED_VALUE"""),242.0)</f>
        <v>242</v>
      </c>
      <c r="B209" s="11" t="str">
        <f>IFERROR(__xludf.DUMMYFUNCTION("""COMPUTED_VALUE"""),"I would like to see all the apps that have access to my account. It would be important for me to know in case I notice something weird going on and I have to turn off access.")</f>
        <v>I would like to see all the apps that have access to my account. It would be important for me to know in case I notice something weird going on and I have to turn off access.</v>
      </c>
      <c r="C209" s="11"/>
      <c r="D209" s="11"/>
      <c r="E209" s="11"/>
      <c r="F209" s="11"/>
      <c r="G209" s="11"/>
      <c r="H209" s="11"/>
      <c r="I209" s="11"/>
      <c r="J209" s="11"/>
    </row>
    <row r="210">
      <c r="A210">
        <f>IFERROR(__xludf.DUMMYFUNCTION("""COMPUTED_VALUE"""),243.0)</f>
        <v>243</v>
      </c>
      <c r="B210" s="11" t="str">
        <f>IFERROR(__xludf.DUMMYFUNCTION("""COMPUTED_VALUE"""),"There is one app which is chinese characters. I am not sure what one that is")</f>
        <v>There is one app which is chinese characters. I am not sure what one that is</v>
      </c>
      <c r="C210" s="11"/>
      <c r="D210" s="11"/>
      <c r="E210" s="11"/>
      <c r="F210" s="11"/>
      <c r="G210" s="11"/>
      <c r="H210" s="11"/>
      <c r="I210" s="11"/>
      <c r="J210" s="11"/>
    </row>
    <row r="211">
      <c r="A211">
        <f>IFERROR(__xludf.DUMMYFUNCTION("""COMPUTED_VALUE"""),244.0)</f>
        <v>244</v>
      </c>
      <c r="B211" s="11"/>
      <c r="C211" s="11"/>
      <c r="D211" s="11"/>
      <c r="E211" s="11"/>
      <c r="F211" s="11"/>
      <c r="G211" s="11"/>
      <c r="H211" s="11"/>
      <c r="I211" s="11"/>
      <c r="J211" s="11"/>
    </row>
    <row r="212">
      <c r="A212">
        <f>IFERROR(__xludf.DUMMYFUNCTION("""COMPUTED_VALUE"""),245.0)</f>
        <v>245</v>
      </c>
      <c r="B212" s="11" t="str">
        <f>IFERROR(__xludf.DUMMYFUNCTION("""COMPUTED_VALUE"""),"contacts and other private info")</f>
        <v>contacts and other private info</v>
      </c>
      <c r="C212" s="11"/>
      <c r="D212" s="11"/>
      <c r="E212" s="11"/>
      <c r="F212" s="11"/>
      <c r="G212" s="11"/>
      <c r="H212" s="11"/>
      <c r="I212" s="11"/>
      <c r="J212" s="11"/>
    </row>
    <row r="213">
      <c r="A213">
        <f>IFERROR(__xludf.DUMMYFUNCTION("""COMPUTED_VALUE"""),246.0)</f>
        <v>246</v>
      </c>
      <c r="B213" s="11"/>
      <c r="C213" s="11"/>
      <c r="D213" s="11"/>
      <c r="E213" s="11"/>
      <c r="F213" s="11"/>
      <c r="G213" s="11"/>
      <c r="H213" s="11"/>
      <c r="I213" s="11"/>
      <c r="J213" s="11"/>
    </row>
    <row r="214">
      <c r="A214">
        <f>IFERROR(__xludf.DUMMYFUNCTION("""COMPUTED_VALUE"""),247.0)</f>
        <v>247</v>
      </c>
      <c r="B214" s="11"/>
      <c r="C214" s="11"/>
      <c r="D214" s="11"/>
      <c r="E214" s="11"/>
      <c r="F214" s="11"/>
      <c r="G214" s="11"/>
      <c r="H214" s="11"/>
      <c r="I214" s="11"/>
      <c r="J214" s="11"/>
    </row>
    <row r="215">
      <c r="A215">
        <f>IFERROR(__xludf.DUMMYFUNCTION("""COMPUTED_VALUE"""),248.0)</f>
        <v>248</v>
      </c>
      <c r="B215" s="11"/>
      <c r="C215" s="11"/>
      <c r="D215" s="11"/>
      <c r="E215" s="11"/>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30.86"/>
  </cols>
  <sheetData>
    <row r="1">
      <c r="A1" s="15" t="s">
        <v>785</v>
      </c>
      <c r="B1" s="28"/>
      <c r="C1" s="28"/>
      <c r="D1" s="28"/>
      <c r="E1" s="15" t="s">
        <v>786</v>
      </c>
      <c r="F1" s="28"/>
    </row>
    <row r="2">
      <c r="A2" s="28" t="str">
        <f>IFERROR(__xludf.DUMMYFUNCTION("QUERY({'Q19 (secondary)'!C2:C1000;'Q19 (secondary)'!D2:D1000;'Q19 (secondary)'!E2:E1000;'Q19 (secondary)'!F2:F1000;'Q19 (secondary)'!G2:G1000;'Q19 (secondary)'!H2:H1000;'Q19 (secondary)'!I2:I1000;'Q19 (secondary)'!J2:J1000;'Q19 (secondary)'!K2:K1000}, ""s"&amp;"elect Col1, count(Col1) where Col1 is not null group by Col1 order by Col1 asc"")"),"")</f>
        <v/>
      </c>
      <c r="B2" s="28" t="str">
        <f>IFERROR(__xludf.DUMMYFUNCTION("""COMPUTED_VALUE"""),"count ")</f>
        <v>count </v>
      </c>
      <c r="C2" s="28"/>
      <c r="D2" s="28"/>
      <c r="E2" s="28" t="str">
        <f>IFERROR(__xludf.DUMMYFUNCTION("QUERY({'Q19 (secondary)'!C2:C1000;'Q19 (secondary)'!D2:D1000;'Q19 (secondary)'!E2:E1000;'Q19 (secondary)'!F2:F1000;'Q19 (secondary)'!G2:G1000;'Q19 (secondary)'!H2:H1000;'Q19 (secondary)'!I2:I1000;'Q19 (secondary)'!J2:J1000;'Q19 (secondary)'!K2:K1000}, ""s"&amp;"elect Col1, count(Col1) where Col1 is not null and not Col1 contains '-&gt;' group by Col1 order by count(Col1) asc"")"),"")</f>
        <v/>
      </c>
      <c r="F2" s="28" t="str">
        <f>IFERROR(__xludf.DUMMYFUNCTION("""COMPUTED_VALUE"""),"count ")</f>
        <v>count </v>
      </c>
    </row>
    <row r="3">
      <c r="A3" t="str">
        <f>IFERROR(__xludf.DUMMYFUNCTION("""COMPUTED_VALUE"""),"change_permissions")</f>
        <v>change_permissions</v>
      </c>
      <c r="B3">
        <f>IFERROR(__xludf.DUMMYFUNCTION("""COMPUTED_VALUE"""),6.0)</f>
        <v>6</v>
      </c>
      <c r="E3" t="str">
        <f>IFERROR(__xludf.DUMMYFUNCTION("""COMPUTED_VALUE"""),"wants_to_protect_personal_data")</f>
        <v>wants_to_protect_personal_data</v>
      </c>
      <c r="F3">
        <f>IFERROR(__xludf.DUMMYFUNCTION("""COMPUTED_VALUE"""),1.0)</f>
        <v>1</v>
      </c>
    </row>
    <row r="4">
      <c r="A4" t="str">
        <f>IFERROR(__xludf.DUMMYFUNCTION("""COMPUTED_VALUE"""),"change_permissions-&gt;contacts")</f>
        <v>change_permissions-&gt;contacts</v>
      </c>
      <c r="B4">
        <f>IFERROR(__xludf.DUMMYFUNCTION("""COMPUTED_VALUE"""),1.0)</f>
        <v>1</v>
      </c>
      <c r="E4" t="str">
        <f>IFERROR(__xludf.DUMMYFUNCTION("""COMPUTED_VALUE"""),"change_permissions")</f>
        <v>change_permissions</v>
      </c>
      <c r="F4">
        <f>IFERROR(__xludf.DUMMYFUNCTION("""COMPUTED_VALUE"""),6.0)</f>
        <v>6</v>
      </c>
    </row>
    <row r="5">
      <c r="A5" t="str">
        <f>IFERROR(__xludf.DUMMYFUNCTION("""COMPUTED_VALUE"""),"change_permissions-&gt;limit_access")</f>
        <v>change_permissions-&gt;limit_access</v>
      </c>
      <c r="B5">
        <f>IFERROR(__xludf.DUMMYFUNCTION("""COMPUTED_VALUE"""),1.0)</f>
        <v>1</v>
      </c>
      <c r="E5" t="str">
        <f>IFERROR(__xludf.DUMMYFUNCTION("""COMPUTED_VALUE"""),"remove_app_access")</f>
        <v>remove_app_access</v>
      </c>
      <c r="F5">
        <f>IFERROR(__xludf.DUMMYFUNCTION("""COMPUTED_VALUE"""),18.0)</f>
        <v>18</v>
      </c>
    </row>
    <row r="6">
      <c r="A6" t="str">
        <f>IFERROR(__xludf.DUMMYFUNCTION("""COMPUTED_VALUE"""),"change_permissions-&gt;remove_unnecessary")</f>
        <v>change_permissions-&gt;remove_unnecessary</v>
      </c>
      <c r="B6">
        <f>IFERROR(__xludf.DUMMYFUNCTION("""COMPUTED_VALUE"""),3.0)</f>
        <v>3</v>
      </c>
    </row>
    <row r="7">
      <c r="A7" t="str">
        <f>IFERROR(__xludf.DUMMYFUNCTION("""COMPUTED_VALUE"""),"change_permissions-&gt;unused_apps")</f>
        <v>change_permissions-&gt;unused_apps</v>
      </c>
      <c r="B7">
        <f>IFERROR(__xludf.DUMMYFUNCTION("""COMPUTED_VALUE"""),1.0)</f>
        <v>1</v>
      </c>
    </row>
    <row r="8">
      <c r="A8" t="str">
        <f>IFERROR(__xludf.DUMMYFUNCTION("""COMPUTED_VALUE"""),"remove_app_access")</f>
        <v>remove_app_access</v>
      </c>
      <c r="B8">
        <f>IFERROR(__xludf.DUMMYFUNCTION("""COMPUTED_VALUE"""),18.0)</f>
        <v>18</v>
      </c>
    </row>
    <row r="9">
      <c r="A9" t="str">
        <f>IFERROR(__xludf.DUMMYFUNCTION("""COMPUTED_VALUE"""),"remove_app_access-&gt;all")</f>
        <v>remove_app_access-&gt;all</v>
      </c>
      <c r="B9">
        <f>IFERROR(__xludf.DUMMYFUNCTION("""COMPUTED_VALUE"""),2.0)</f>
        <v>2</v>
      </c>
    </row>
    <row r="10">
      <c r="A10" t="str">
        <f>IFERROR(__xludf.DUMMYFUNCTION("""COMPUTED_VALUE"""),"remove_app_access-&gt;apps_with_account_access")</f>
        <v>remove_app_access-&gt;apps_with_account_access</v>
      </c>
      <c r="B10">
        <f>IFERROR(__xludf.DUMMYFUNCTION("""COMPUTED_VALUE"""),2.0)</f>
        <v>2</v>
      </c>
    </row>
    <row r="11">
      <c r="A11" t="str">
        <f>IFERROR(__xludf.DUMMYFUNCTION("""COMPUTED_VALUE"""),"remove_app_access-&gt;unfamiliar_apps")</f>
        <v>remove_app_access-&gt;unfamiliar_apps</v>
      </c>
      <c r="B11">
        <f>IFERROR(__xludf.DUMMYFUNCTION("""COMPUTED_VALUE"""),2.0)</f>
        <v>2</v>
      </c>
    </row>
    <row r="12">
      <c r="A12" t="str">
        <f>IFERROR(__xludf.DUMMYFUNCTION("""COMPUTED_VALUE"""),"remove_app_access-&gt;unused_apps")</f>
        <v>remove_app_access-&gt;unused_apps</v>
      </c>
      <c r="B12">
        <f>IFERROR(__xludf.DUMMYFUNCTION("""COMPUTED_VALUE"""),12.0)</f>
        <v>12</v>
      </c>
    </row>
    <row r="13">
      <c r="A13" t="str">
        <f>IFERROR(__xludf.DUMMYFUNCTION("""COMPUTED_VALUE"""),"wants_to_protect_personal_data")</f>
        <v>wants_to_protect_personal_data</v>
      </c>
      <c r="B13">
        <f>IFERROR(__xludf.DUMMYFUNCTION("""COMPUTED_VALUE"""),1.0)</f>
        <v>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14"/>
    <col customWidth="1" min="2" max="2" width="48.14"/>
    <col customWidth="1" min="3" max="10" width="30.29"/>
  </cols>
  <sheetData>
    <row r="1">
      <c r="A1" s="41" t="str">
        <f>IFERROR(__xludf.DUMMYFUNCTION("QUERY('All Responses'!2:1001,""select A,F"")"),"Response ID")</f>
        <v>Response ID</v>
      </c>
      <c r="B1" s="16" t="str">
        <f>IFERROR(__xludf.DUMMYFUNCTION("""COMPUTED_VALUE"""),"rfl_what_review")</f>
        <v>rfl_what_review</v>
      </c>
      <c r="C1" s="16" t="s">
        <v>750</v>
      </c>
      <c r="D1" s="16" t="s">
        <v>751</v>
      </c>
      <c r="E1" s="16" t="s">
        <v>752</v>
      </c>
      <c r="F1" s="16" t="s">
        <v>753</v>
      </c>
      <c r="G1" s="16" t="s">
        <v>754</v>
      </c>
      <c r="H1" s="16" t="s">
        <v>755</v>
      </c>
      <c r="I1" s="16" t="s">
        <v>756</v>
      </c>
      <c r="J1" s="16" t="s">
        <v>757</v>
      </c>
    </row>
    <row r="2">
      <c r="A2" s="42">
        <f>IFERROR(__xludf.DUMMYFUNCTION("""COMPUTED_VALUE"""),27.0)</f>
        <v>27</v>
      </c>
      <c r="B2" s="18"/>
      <c r="C2" s="3"/>
      <c r="D2" s="3"/>
      <c r="E2" s="3"/>
      <c r="F2" s="3"/>
      <c r="G2" s="3"/>
      <c r="H2" s="11"/>
      <c r="I2" s="11"/>
      <c r="J2" s="11"/>
    </row>
    <row r="3">
      <c r="A3" s="42">
        <f>IFERROR(__xludf.DUMMYFUNCTION("""COMPUTED_VALUE"""),29.0)</f>
        <v>29</v>
      </c>
      <c r="B3" s="18" t="str">
        <f>IFERROR(__xludf.DUMMYFUNCTION("""COMPUTED_VALUE"""),"if I still need it connected")</f>
        <v>if I still need it connected</v>
      </c>
      <c r="C3" s="31" t="s">
        <v>826</v>
      </c>
      <c r="D3" s="31" t="s">
        <v>840</v>
      </c>
      <c r="E3" s="3"/>
      <c r="F3" s="3"/>
      <c r="G3" s="11"/>
      <c r="H3" s="11"/>
      <c r="I3" s="11"/>
      <c r="J3" s="11"/>
    </row>
    <row r="4">
      <c r="A4" s="42">
        <f>IFERROR(__xludf.DUMMYFUNCTION("""COMPUTED_VALUE"""),30.0)</f>
        <v>30</v>
      </c>
      <c r="B4" s="18" t="str">
        <f>IFERROR(__xludf.DUMMYFUNCTION("""COMPUTED_VALUE"""),"If I only installed it once and don't use it anymore.")</f>
        <v>If I only installed it once and don't use it anymore.</v>
      </c>
      <c r="C4" s="31" t="s">
        <v>826</v>
      </c>
      <c r="D4" s="31" t="s">
        <v>840</v>
      </c>
      <c r="E4" s="3"/>
      <c r="F4" s="3"/>
      <c r="G4" s="3"/>
      <c r="H4" s="11"/>
      <c r="I4" s="11"/>
      <c r="J4" s="11"/>
    </row>
    <row r="5">
      <c r="A5" s="42">
        <f>IFERROR(__xludf.DUMMYFUNCTION("""COMPUTED_VALUE"""),31.0)</f>
        <v>31</v>
      </c>
      <c r="B5" s="18" t="str">
        <f>IFERROR(__xludf.DUMMYFUNCTION("""COMPUTED_VALUE"""),"just to see if any games I've deleted are on there")</f>
        <v>just to see if any games I've deleted are on there</v>
      </c>
      <c r="C5" s="31" t="s">
        <v>826</v>
      </c>
      <c r="D5" s="31" t="s">
        <v>840</v>
      </c>
      <c r="E5" s="3"/>
      <c r="F5" s="3"/>
      <c r="G5" s="3"/>
      <c r="H5" s="11"/>
      <c r="I5" s="11"/>
      <c r="J5" s="11"/>
    </row>
    <row r="6">
      <c r="A6" s="42">
        <f>IFERROR(__xludf.DUMMYFUNCTION("""COMPUTED_VALUE"""),32.0)</f>
        <v>32</v>
      </c>
      <c r="B6" s="18"/>
      <c r="C6" s="3"/>
      <c r="D6" s="3"/>
      <c r="E6" s="11"/>
      <c r="F6" s="11"/>
      <c r="G6" s="11"/>
      <c r="H6" s="11"/>
      <c r="I6" s="11"/>
      <c r="J6" s="11"/>
    </row>
    <row r="7">
      <c r="A7" s="42">
        <f>IFERROR(__xludf.DUMMYFUNCTION("""COMPUTED_VALUE"""),34.0)</f>
        <v>34</v>
      </c>
      <c r="B7" s="18" t="str">
        <f>IFERROR(__xludf.DUMMYFUNCTION("""COMPUTED_VALUE"""),"I will review the apps that have access to my account and determine whether or not any should be removed. I will also check to make sure that the apps only have access to public information on my Google profile, and nothing more personal than that.")</f>
        <v>I will review the apps that have access to my account and determine whether or not any should be removed. I will also check to make sure that the apps only have access to public information on my Google profile, and nothing more personal than that.</v>
      </c>
      <c r="C7" s="31" t="s">
        <v>826</v>
      </c>
      <c r="D7" s="31" t="s">
        <v>843</v>
      </c>
      <c r="E7" s="31" t="s">
        <v>844</v>
      </c>
      <c r="F7" s="27" t="s">
        <v>812</v>
      </c>
      <c r="G7" s="3"/>
      <c r="H7" s="3"/>
      <c r="I7" s="11"/>
      <c r="J7" s="11"/>
    </row>
    <row r="8">
      <c r="A8" s="42">
        <f>IFERROR(__xludf.DUMMYFUNCTION("""COMPUTED_VALUE"""),35.0)</f>
        <v>35</v>
      </c>
      <c r="B8" s="18"/>
      <c r="C8" s="3"/>
      <c r="D8" s="3"/>
      <c r="E8" s="11"/>
      <c r="F8" s="11"/>
      <c r="G8" s="11"/>
      <c r="H8" s="11"/>
      <c r="I8" s="11"/>
      <c r="J8" s="11"/>
    </row>
    <row r="9">
      <c r="A9" s="42">
        <f>IFERROR(__xludf.DUMMYFUNCTION("""COMPUTED_VALUE"""),36.0)</f>
        <v>36</v>
      </c>
      <c r="B9" s="18" t="str">
        <f>IFERROR(__xludf.DUMMYFUNCTION("""COMPUTED_VALUE"""),"The type of information is has access to regarding my profile. Especially contacts.")</f>
        <v>The type of information is has access to regarding my profile. Especially contacts.</v>
      </c>
      <c r="C9" s="3" t="s">
        <v>826</v>
      </c>
      <c r="D9" s="31" t="s">
        <v>844</v>
      </c>
      <c r="E9" s="31" t="s">
        <v>843</v>
      </c>
      <c r="F9" s="3"/>
      <c r="G9" s="3"/>
      <c r="H9" s="11"/>
      <c r="I9" s="11"/>
      <c r="J9" s="11"/>
    </row>
    <row r="10">
      <c r="A10" s="42">
        <f>IFERROR(__xludf.DUMMYFUNCTION("""COMPUTED_VALUE"""),37.0)</f>
        <v>37</v>
      </c>
      <c r="B10" s="18" t="str">
        <f>IFERROR(__xludf.DUMMYFUNCTION("""COMPUTED_VALUE"""),"Any apps that I am no longer using, to revoke access. Any apps with more than basic permissions.")</f>
        <v>Any apps that I am no longer using, to revoke access. Any apps with more than basic permissions.</v>
      </c>
      <c r="C10" s="31" t="s">
        <v>812</v>
      </c>
      <c r="D10" s="31" t="s">
        <v>813</v>
      </c>
      <c r="E10" s="31" t="s">
        <v>845</v>
      </c>
      <c r="F10" s="31" t="s">
        <v>843</v>
      </c>
      <c r="G10" s="11"/>
      <c r="H10" s="11"/>
      <c r="I10" s="11"/>
      <c r="J10" s="11"/>
    </row>
    <row r="11">
      <c r="A11" s="42">
        <f>IFERROR(__xludf.DUMMYFUNCTION("""COMPUTED_VALUE"""),38.0)</f>
        <v>38</v>
      </c>
      <c r="B11" s="18"/>
      <c r="C11" s="3"/>
      <c r="D11" s="3"/>
      <c r="E11" s="11"/>
      <c r="F11" s="11"/>
      <c r="G11" s="11"/>
      <c r="H11" s="11"/>
      <c r="I11" s="11"/>
      <c r="J11" s="11"/>
    </row>
    <row r="12">
      <c r="A12" s="42">
        <f>IFERROR(__xludf.DUMMYFUNCTION("""COMPUTED_VALUE"""),39.0)</f>
        <v>39</v>
      </c>
      <c r="B12" s="18" t="str">
        <f>IFERROR(__xludf.DUMMYFUNCTION("""COMPUTED_VALUE"""),"What information the apps with access gather")</f>
        <v>What information the apps with access gather</v>
      </c>
      <c r="C12" s="3" t="s">
        <v>826</v>
      </c>
      <c r="D12" s="27" t="s">
        <v>846</v>
      </c>
      <c r="E12" s="11"/>
      <c r="F12" s="11"/>
      <c r="G12" s="11"/>
      <c r="H12" s="11"/>
      <c r="I12" s="11"/>
      <c r="J12" s="11"/>
    </row>
    <row r="13">
      <c r="A13" s="42">
        <f>IFERROR(__xludf.DUMMYFUNCTION("""COMPUTED_VALUE"""),40.0)</f>
        <v>40</v>
      </c>
      <c r="B13" s="20" t="str">
        <f>IFERROR(__xludf.DUMMYFUNCTION("""COMPUTED_VALUE"""),"To check on the accounts listed and if I want to purge any or adjust the permissions.")</f>
        <v>To check on the accounts listed and if I want to purge any or adjust the permissions.</v>
      </c>
      <c r="C13" s="3" t="s">
        <v>826</v>
      </c>
      <c r="D13" s="3" t="s">
        <v>843</v>
      </c>
      <c r="E13" s="31" t="s">
        <v>812</v>
      </c>
      <c r="F13" s="3" t="s">
        <v>814</v>
      </c>
      <c r="G13" s="11"/>
      <c r="H13" s="11"/>
      <c r="I13" s="11"/>
      <c r="J13" s="11"/>
    </row>
    <row r="14">
      <c r="A14" s="42">
        <f>IFERROR(__xludf.DUMMYFUNCTION("""COMPUTED_VALUE"""),41.0)</f>
        <v>41</v>
      </c>
      <c r="B14" s="18" t="str">
        <f>IFERROR(__xludf.DUMMYFUNCTION("""COMPUTED_VALUE"""),"I would make sure that only apps I've given permission to and regularly use have access to my account.")</f>
        <v>I would make sure that only apps I've given permission to and regularly use have access to my account.</v>
      </c>
      <c r="C14" s="31" t="s">
        <v>847</v>
      </c>
      <c r="D14" s="31" t="s">
        <v>840</v>
      </c>
      <c r="E14" s="3"/>
      <c r="F14" s="3"/>
      <c r="G14" s="11"/>
      <c r="H14" s="11"/>
      <c r="I14" s="11"/>
      <c r="J14" s="11"/>
    </row>
    <row r="15">
      <c r="A15" s="42">
        <f>IFERROR(__xludf.DUMMYFUNCTION("""COMPUTED_VALUE"""),42.0)</f>
        <v>42</v>
      </c>
      <c r="B15" s="18"/>
      <c r="C15" s="3"/>
      <c r="D15" s="3"/>
      <c r="E15" s="3"/>
      <c r="F15" s="11"/>
      <c r="G15" s="11"/>
      <c r="H15" s="11"/>
      <c r="I15" s="11"/>
      <c r="J15" s="11"/>
    </row>
    <row r="16">
      <c r="A16" s="42">
        <f>IFERROR(__xludf.DUMMYFUNCTION("""COMPUTED_VALUE"""),43.0)</f>
        <v>43</v>
      </c>
      <c r="B16" s="18"/>
      <c r="C16" s="3"/>
      <c r="D16" s="3"/>
      <c r="E16" s="3"/>
      <c r="F16" s="11"/>
      <c r="G16" s="11"/>
      <c r="H16" s="11"/>
      <c r="I16" s="11"/>
      <c r="J16" s="11"/>
    </row>
    <row r="17">
      <c r="A17" s="42">
        <f>IFERROR(__xludf.DUMMYFUNCTION("""COMPUTED_VALUE"""),44.0)</f>
        <v>44</v>
      </c>
      <c r="B17" s="18" t="str">
        <f>IFERROR(__xludf.DUMMYFUNCTION("""COMPUTED_VALUE"""),"Apps I don't remember authorizing or apps I don't use anymore.")</f>
        <v>Apps I don't remember authorizing or apps I don't use anymore.</v>
      </c>
      <c r="C17" s="3" t="s">
        <v>826</v>
      </c>
      <c r="D17" t="s">
        <v>840</v>
      </c>
      <c r="E17" t="s">
        <v>848</v>
      </c>
      <c r="G17" s="11"/>
      <c r="H17" s="11"/>
      <c r="I17" s="11"/>
      <c r="J17" s="11"/>
    </row>
    <row r="18">
      <c r="A18" s="42">
        <f>IFERROR(__xludf.DUMMYFUNCTION("""COMPUTED_VALUE"""),45.0)</f>
        <v>45</v>
      </c>
      <c r="B18" s="18" t="str">
        <f>IFERROR(__xludf.DUMMYFUNCTION("""COMPUTED_VALUE"""),"Apps that I haven't used in a while")</f>
        <v>Apps that I haven't used in a while</v>
      </c>
      <c r="C18" s="31" t="s">
        <v>826</v>
      </c>
      <c r="D18" s="31" t="s">
        <v>840</v>
      </c>
      <c r="E18" s="3"/>
      <c r="F18" s="11"/>
      <c r="G18" s="11"/>
      <c r="H18" s="11"/>
      <c r="I18" s="11"/>
      <c r="J18" s="11"/>
    </row>
    <row r="19">
      <c r="A19" s="42">
        <f>IFERROR(__xludf.DUMMYFUNCTION("""COMPUTED_VALUE"""),46.0)</f>
        <v>46</v>
      </c>
      <c r="B19" s="18" t="str">
        <f>IFERROR(__xludf.DUMMYFUNCTION("""COMPUTED_VALUE"""),"To see if any accounts that I don't remember authorizing show up")</f>
        <v>To see if any accounts that I don't remember authorizing show up</v>
      </c>
      <c r="C19" s="31" t="s">
        <v>826</v>
      </c>
      <c r="D19" s="30" t="s">
        <v>848</v>
      </c>
      <c r="E19" s="3"/>
      <c r="F19" s="11"/>
      <c r="G19" s="11"/>
      <c r="H19" s="11"/>
      <c r="I19" s="11"/>
      <c r="J19" s="11"/>
    </row>
    <row r="20">
      <c r="A20" s="42">
        <f>IFERROR(__xludf.DUMMYFUNCTION("""COMPUTED_VALUE"""),47.0)</f>
        <v>47</v>
      </c>
      <c r="B20" s="18" t="str">
        <f>IFERROR(__xludf.DUMMYFUNCTION("""COMPUTED_VALUE"""),"What apps have access to what. I do not want my personal info on the web.")</f>
        <v>What apps have access to what. I do not want my personal info on the web.</v>
      </c>
      <c r="C20" s="31" t="s">
        <v>826</v>
      </c>
      <c r="D20" s="31" t="s">
        <v>843</v>
      </c>
      <c r="E20" s="3" t="s">
        <v>846</v>
      </c>
      <c r="F20" s="11"/>
      <c r="G20" s="11"/>
      <c r="H20" s="11"/>
      <c r="I20" s="11"/>
      <c r="J20" s="11"/>
    </row>
    <row r="21">
      <c r="A21" s="42">
        <f>IFERROR(__xludf.DUMMYFUNCTION("""COMPUTED_VALUE"""),48.0)</f>
        <v>48</v>
      </c>
      <c r="B21" s="18" t="str">
        <f>IFERROR(__xludf.DUMMYFUNCTION("""COMPUTED_VALUE"""),"To see if any suspicious apps are using my data.")</f>
        <v>To see if any suspicious apps are using my data.</v>
      </c>
      <c r="C21" s="31" t="s">
        <v>826</v>
      </c>
      <c r="D21" s="31" t="s">
        <v>849</v>
      </c>
      <c r="E21" s="32"/>
      <c r="F21" s="11"/>
      <c r="G21" s="11"/>
      <c r="H21" s="11"/>
      <c r="I21" s="11"/>
      <c r="J21" s="11"/>
    </row>
    <row r="22">
      <c r="A22" s="42">
        <f>IFERROR(__xludf.DUMMYFUNCTION("""COMPUTED_VALUE"""),49.0)</f>
        <v>49</v>
      </c>
      <c r="B22" s="18" t="str">
        <f>IFERROR(__xludf.DUMMYFUNCTION("""COMPUTED_VALUE"""),"I would look to see if there are the same or more apps that have more permission to my account. I would like to remove them as I will after this survey.")</f>
        <v>I would look to see if there are the same or more apps that have more permission to my account. I would like to remove them as I will after this survey.</v>
      </c>
      <c r="C22" s="31" t="s">
        <v>826</v>
      </c>
      <c r="D22" s="31" t="s">
        <v>845</v>
      </c>
      <c r="E22" s="31" t="s">
        <v>812</v>
      </c>
      <c r="F22" s="3"/>
      <c r="G22" s="11"/>
      <c r="H22" s="11"/>
      <c r="I22" s="11"/>
      <c r="J22" s="11"/>
    </row>
    <row r="23">
      <c r="A23" s="42">
        <f>IFERROR(__xludf.DUMMYFUNCTION("""COMPUTED_VALUE"""),50.0)</f>
        <v>50</v>
      </c>
      <c r="B23" s="18" t="str">
        <f>IFERROR(__xludf.DUMMYFUNCTION("""COMPUTED_VALUE"""),"I would look for apps I was not aware had access to my google account")</f>
        <v>I would look for apps I was not aware had access to my google account</v>
      </c>
      <c r="C23" s="31" t="s">
        <v>826</v>
      </c>
      <c r="D23" s="31" t="s">
        <v>848</v>
      </c>
      <c r="E23" s="3"/>
      <c r="F23" s="11"/>
      <c r="G23" s="11"/>
      <c r="H23" s="11"/>
      <c r="I23" s="11"/>
      <c r="J23" s="11"/>
    </row>
    <row r="24">
      <c r="A24" s="42">
        <f>IFERROR(__xludf.DUMMYFUNCTION("""COMPUTED_VALUE"""),51.0)</f>
        <v>51</v>
      </c>
      <c r="B24" s="18" t="str">
        <f>IFERROR(__xludf.DUMMYFUNCTION("""COMPUTED_VALUE"""),"What type of access apps/websites have. For example mine are all Basic Account information but I know they can request access to most parts of my device and account.")</f>
        <v>What type of access apps/websites have. For example mine are all Basic Account information but I know they can request access to most parts of my device and account.</v>
      </c>
      <c r="C24" s="31" t="s">
        <v>826</v>
      </c>
      <c r="D24" t="s">
        <v>846</v>
      </c>
      <c r="E24" s="3" t="s">
        <v>843</v>
      </c>
      <c r="F24" s="3" t="s">
        <v>844</v>
      </c>
      <c r="G24" s="11"/>
      <c r="H24" s="11"/>
      <c r="I24" s="11"/>
      <c r="J24" s="11"/>
    </row>
    <row r="25">
      <c r="A25" s="42">
        <f>IFERROR(__xludf.DUMMYFUNCTION("""COMPUTED_VALUE"""),52.0)</f>
        <v>52</v>
      </c>
      <c r="B25" s="18" t="str">
        <f>IFERROR(__xludf.DUMMYFUNCTION("""COMPUTED_VALUE"""),"Make sure there aren't excess permissions for apps I'm using.")</f>
        <v>Make sure there aren't excess permissions for apps I'm using.</v>
      </c>
      <c r="C25" s="31" t="s">
        <v>826</v>
      </c>
      <c r="D25" s="31" t="s">
        <v>845</v>
      </c>
      <c r="E25" s="3" t="s">
        <v>843</v>
      </c>
      <c r="F25" s="11"/>
      <c r="G25" s="11"/>
      <c r="H25" s="11"/>
      <c r="I25" s="11"/>
      <c r="J25" s="11"/>
    </row>
    <row r="26">
      <c r="A26" s="42">
        <f>IFERROR(__xludf.DUMMYFUNCTION("""COMPUTED_VALUE"""),53.0)</f>
        <v>53</v>
      </c>
      <c r="B26" s="18" t="str">
        <f>IFERROR(__xludf.DUMMYFUNCTION("""COMPUTED_VALUE"""),"What apps i've given permissions to and what data they can access")</f>
        <v>What apps i've given permissions to and what data they can access</v>
      </c>
      <c r="C26" s="31" t="s">
        <v>826</v>
      </c>
      <c r="D26" t="s">
        <v>846</v>
      </c>
      <c r="E26" s="3" t="s">
        <v>843</v>
      </c>
      <c r="F26" s="11"/>
      <c r="G26" s="11"/>
      <c r="H26" s="11"/>
      <c r="I26" s="11"/>
      <c r="J26" s="11"/>
    </row>
    <row r="27">
      <c r="A27" s="42">
        <f>IFERROR(__xludf.DUMMYFUNCTION("""COMPUTED_VALUE"""),54.0)</f>
        <v>54</v>
      </c>
      <c r="B27" s="18" t="str">
        <f>IFERROR(__xludf.DUMMYFUNCTION("""COMPUTED_VALUE"""),"If I had accidentally given permission to any apps and didn't revoke it afterwards")</f>
        <v>If I had accidentally given permission to any apps and didn't revoke it afterwards</v>
      </c>
      <c r="C27" s="31" t="s">
        <v>826</v>
      </c>
      <c r="D27" s="31" t="s">
        <v>850</v>
      </c>
      <c r="E27" s="11"/>
      <c r="F27" s="11"/>
      <c r="G27" s="11"/>
      <c r="H27" s="11"/>
      <c r="I27" s="11"/>
      <c r="J27" s="11"/>
    </row>
    <row r="28">
      <c r="A28" s="42">
        <f>IFERROR(__xludf.DUMMYFUNCTION("""COMPUTED_VALUE"""),55.0)</f>
        <v>55</v>
      </c>
      <c r="B28" s="18" t="str">
        <f>IFERROR(__xludf.DUMMYFUNCTION("""COMPUTED_VALUE"""),"i will look to see if its more secured")</f>
        <v>i will look to see if its more secured</v>
      </c>
      <c r="C28" s="31" t="s">
        <v>851</v>
      </c>
      <c r="D28" s="3"/>
      <c r="E28" s="3"/>
      <c r="F28" s="19"/>
      <c r="G28" s="11"/>
      <c r="H28" s="11"/>
      <c r="I28" s="11"/>
      <c r="J28" s="11"/>
    </row>
    <row r="29">
      <c r="A29">
        <f>IFERROR(__xludf.DUMMYFUNCTION("""COMPUTED_VALUE"""),56.0)</f>
        <v>56</v>
      </c>
      <c r="B29" s="11" t="str">
        <f>IFERROR(__xludf.DUMMYFUNCTION("""COMPUTED_VALUE"""),"I would look at which Apps I have granted access, and change them accordingly. I am already prone to removing Apps from my account permissions, so it is more so me staying on top of things.")</f>
        <v>I would look at which Apps I have granted access, and change them accordingly. I am already prone to removing Apps from my account permissions, so it is more so me staying on top of things.</v>
      </c>
      <c r="C29" s="31" t="s">
        <v>826</v>
      </c>
      <c r="D29" s="31" t="s">
        <v>814</v>
      </c>
      <c r="E29" s="19" t="s">
        <v>812</v>
      </c>
      <c r="F29" s="19"/>
      <c r="G29" s="11"/>
      <c r="H29" s="11"/>
      <c r="I29" s="11"/>
      <c r="J29" s="11"/>
    </row>
    <row r="30">
      <c r="A30">
        <f>IFERROR(__xludf.DUMMYFUNCTION("""COMPUTED_VALUE"""),57.0)</f>
        <v>57</v>
      </c>
      <c r="B30" s="11" t="str">
        <f>IFERROR(__xludf.DUMMYFUNCTION("""COMPUTED_VALUE"""),"Anything unnecessary. Any possible breaches of security.")</f>
        <v>Anything unnecessary. Any possible breaches of security.</v>
      </c>
      <c r="C30" s="31" t="s">
        <v>826</v>
      </c>
      <c r="D30" s="31" t="s">
        <v>852</v>
      </c>
      <c r="E30" s="19" t="s">
        <v>853</v>
      </c>
      <c r="F30" s="11"/>
      <c r="G30" s="11"/>
      <c r="H30" s="11"/>
      <c r="I30" s="11"/>
      <c r="J30" s="11"/>
    </row>
    <row r="31">
      <c r="A31">
        <f>IFERROR(__xludf.DUMMYFUNCTION("""COMPUTED_VALUE"""),58.0)</f>
        <v>58</v>
      </c>
      <c r="B31" s="11"/>
      <c r="C31" s="3"/>
      <c r="D31" s="19"/>
      <c r="E31" s="3"/>
      <c r="F31" s="11"/>
      <c r="G31" s="11"/>
      <c r="H31" s="11"/>
      <c r="I31" s="11"/>
      <c r="J31" s="11"/>
    </row>
    <row r="32">
      <c r="A32">
        <f>IFERROR(__xludf.DUMMYFUNCTION("""COMPUTED_VALUE"""),59.0)</f>
        <v>59</v>
      </c>
      <c r="B32" s="11"/>
      <c r="C32" s="3"/>
      <c r="D32" s="3"/>
      <c r="E32" s="3"/>
      <c r="F32" s="11"/>
      <c r="G32" s="11"/>
      <c r="H32" s="11"/>
      <c r="I32" s="11"/>
      <c r="J32" s="11"/>
    </row>
    <row r="33">
      <c r="A33">
        <f>IFERROR(__xludf.DUMMYFUNCTION("""COMPUTED_VALUE"""),60.0)</f>
        <v>60</v>
      </c>
      <c r="B33" s="11" t="str">
        <f>IFERROR(__xludf.DUMMYFUNCTION("""COMPUTED_VALUE"""),"I will see which apps that I give permission to access my google account and then, if needed, I will delete some apps that I don't use anymore.")</f>
        <v>I will see which apps that I give permission to access my google account and then, if needed, I will delete some apps that I don't use anymore.</v>
      </c>
      <c r="C33" s="31" t="s">
        <v>812</v>
      </c>
      <c r="D33" s="31" t="s">
        <v>813</v>
      </c>
      <c r="E33" s="3" t="s">
        <v>826</v>
      </c>
      <c r="F33" s="3" t="s">
        <v>843</v>
      </c>
      <c r="G33" s="11"/>
      <c r="H33" s="11"/>
      <c r="I33" s="11"/>
      <c r="J33" s="11"/>
    </row>
    <row r="34">
      <c r="A34">
        <f>IFERROR(__xludf.DUMMYFUNCTION("""COMPUTED_VALUE"""),61.0)</f>
        <v>61</v>
      </c>
      <c r="B34" s="11" t="str">
        <f>IFERROR(__xludf.DUMMYFUNCTION("""COMPUTED_VALUE"""),"If they actually get used anymore.")</f>
        <v>If they actually get used anymore.</v>
      </c>
      <c r="C34" s="31" t="s">
        <v>826</v>
      </c>
      <c r="D34" s="27" t="s">
        <v>840</v>
      </c>
      <c r="E34" s="11"/>
      <c r="F34" s="11"/>
      <c r="G34" s="11"/>
      <c r="H34" s="11"/>
      <c r="I34" s="11"/>
      <c r="J34" s="11"/>
    </row>
    <row r="35">
      <c r="A35">
        <f>IFERROR(__xludf.DUMMYFUNCTION("""COMPUTED_VALUE"""),62.0)</f>
        <v>62</v>
      </c>
      <c r="B35" s="11"/>
      <c r="C35" s="3"/>
      <c r="D35" s="3"/>
      <c r="E35" s="3"/>
      <c r="F35" s="3"/>
      <c r="G35" s="11"/>
      <c r="H35" s="11"/>
      <c r="I35" s="11"/>
      <c r="J35" s="11"/>
    </row>
    <row r="36">
      <c r="A36">
        <f>IFERROR(__xludf.DUMMYFUNCTION("""COMPUTED_VALUE"""),63.0)</f>
        <v>63</v>
      </c>
      <c r="B36" s="11" t="str">
        <f>IFERROR(__xludf.DUMMYFUNCTION("""COMPUTED_VALUE"""),"Which apps are allowed and how much access they are allowed")</f>
        <v>Which apps are allowed and how much access they are allowed</v>
      </c>
      <c r="C36" s="31" t="s">
        <v>826</v>
      </c>
      <c r="D36" s="31" t="s">
        <v>854</v>
      </c>
      <c r="E36" s="3"/>
      <c r="F36" s="11"/>
      <c r="G36" s="11"/>
      <c r="H36" s="11"/>
      <c r="I36" s="11"/>
      <c r="J36" s="11"/>
    </row>
    <row r="37">
      <c r="A37">
        <f>IFERROR(__xludf.DUMMYFUNCTION("""COMPUTED_VALUE"""),64.0)</f>
        <v>64</v>
      </c>
      <c r="B37" s="11" t="str">
        <f>IFERROR(__xludf.DUMMYFUNCTION("""COMPUTED_VALUE"""),"I would look to see if the app is still useful. If not I would remove permissions for those apps.")</f>
        <v>I would look to see if the app is still useful. If not I would remove permissions for those apps.</v>
      </c>
      <c r="C37" s="31" t="s">
        <v>826</v>
      </c>
      <c r="D37" s="27" t="s">
        <v>840</v>
      </c>
      <c r="E37" s="31" t="s">
        <v>814</v>
      </c>
      <c r="F37" s="31"/>
      <c r="G37" s="3"/>
      <c r="H37" s="3"/>
      <c r="I37" s="11"/>
      <c r="J37" s="11"/>
    </row>
    <row r="38">
      <c r="A38">
        <f>IFERROR(__xludf.DUMMYFUNCTION("""COMPUTED_VALUE"""),65.0)</f>
        <v>65</v>
      </c>
      <c r="B38" s="11" t="str">
        <f>IFERROR(__xludf.DUMMYFUNCTION("""COMPUTED_VALUE"""),"See if any permissions have changed, or if I still wish to have some apps connected to my account.")</f>
        <v>See if any permissions have changed, or if I still wish to have some apps connected to my account.</v>
      </c>
      <c r="C38" s="31" t="s">
        <v>826</v>
      </c>
      <c r="D38" s="27" t="s">
        <v>855</v>
      </c>
      <c r="E38" s="3" t="s">
        <v>856</v>
      </c>
      <c r="G38" s="11"/>
      <c r="H38" s="11"/>
      <c r="I38" s="11"/>
      <c r="J38" s="11"/>
    </row>
    <row r="39">
      <c r="A39">
        <f>IFERROR(__xludf.DUMMYFUNCTION("""COMPUTED_VALUE"""),66.0)</f>
        <v>66</v>
      </c>
      <c r="B39" s="11" t="str">
        <f>IFERROR(__xludf.DUMMYFUNCTION("""COMPUTED_VALUE"""),"I would check to see if I've used any of the apps recently (like, within the past 3 months or so), if not then I would delete their access to my account.")</f>
        <v>I would check to see if I've used any of the apps recently (like, within the past 3 months or so), if not then I would delete their access to my account.</v>
      </c>
      <c r="C39" s="31" t="s">
        <v>812</v>
      </c>
      <c r="D39" s="31" t="s">
        <v>813</v>
      </c>
      <c r="E39" s="3" t="s">
        <v>826</v>
      </c>
      <c r="F39" s="31" t="s">
        <v>840</v>
      </c>
      <c r="G39" s="11"/>
      <c r="H39" s="11"/>
      <c r="I39" s="11"/>
      <c r="J39" s="11"/>
    </row>
    <row r="40">
      <c r="A40">
        <f>IFERROR(__xludf.DUMMYFUNCTION("""COMPUTED_VALUE"""),67.0)</f>
        <v>67</v>
      </c>
      <c r="B40" s="11" t="str">
        <f>IFERROR(__xludf.DUMMYFUNCTION("""COMPUTED_VALUE"""),"Things I don't remember authorizing to use my account.")</f>
        <v>Things I don't remember authorizing to use my account.</v>
      </c>
      <c r="C40" s="31" t="s">
        <v>826</v>
      </c>
      <c r="D40" t="s">
        <v>848</v>
      </c>
      <c r="E40" s="3"/>
      <c r="F40" s="11"/>
      <c r="G40" s="11"/>
      <c r="H40" s="11"/>
      <c r="I40" s="11"/>
      <c r="J40" s="11"/>
    </row>
    <row r="41">
      <c r="A41">
        <f>IFERROR(__xludf.DUMMYFUNCTION("""COMPUTED_VALUE"""),68.0)</f>
        <v>68</v>
      </c>
      <c r="B41" s="11"/>
      <c r="C41" s="19"/>
      <c r="D41" s="3"/>
      <c r="E41" s="3"/>
      <c r="F41" s="11"/>
      <c r="G41" s="11"/>
      <c r="H41" s="11"/>
      <c r="I41" s="11"/>
      <c r="J41" s="11"/>
    </row>
    <row r="42">
      <c r="A42">
        <f>IFERROR(__xludf.DUMMYFUNCTION("""COMPUTED_VALUE"""),69.0)</f>
        <v>69</v>
      </c>
      <c r="B42" s="11" t="str">
        <f>IFERROR(__xludf.DUMMYFUNCTION("""COMPUTED_VALUE"""),"I'll look for other apps which I am not using anymore!")</f>
        <v>I'll look for other apps which I am not using anymore!</v>
      </c>
      <c r="C42" s="31" t="s">
        <v>826</v>
      </c>
      <c r="D42" s="27" t="s">
        <v>840</v>
      </c>
      <c r="E42" s="11"/>
      <c r="F42" s="11"/>
      <c r="G42" s="11"/>
      <c r="H42" s="11"/>
      <c r="I42" s="11"/>
      <c r="J42" s="11"/>
    </row>
    <row r="43">
      <c r="A43">
        <f>IFERROR(__xludf.DUMMYFUNCTION("""COMPUTED_VALUE"""),70.0)</f>
        <v>70</v>
      </c>
      <c r="B43" s="11" t="str">
        <f>IFERROR(__xludf.DUMMYFUNCTION("""COMPUTED_VALUE"""),"What kind of information they have access to")</f>
        <v>What kind of information they have access to</v>
      </c>
      <c r="C43" s="31" t="s">
        <v>826</v>
      </c>
      <c r="D43" s="27" t="s">
        <v>846</v>
      </c>
      <c r="F43" s="3"/>
      <c r="G43" s="3"/>
      <c r="H43" s="3"/>
      <c r="I43" s="11"/>
      <c r="J43" s="11"/>
    </row>
    <row r="44">
      <c r="A44">
        <f>IFERROR(__xludf.DUMMYFUNCTION("""COMPUTED_VALUE"""),71.0)</f>
        <v>71</v>
      </c>
      <c r="B44" s="11" t="str">
        <f>IFERROR(__xludf.DUMMYFUNCTION("""COMPUTED_VALUE"""),"The privacy level")</f>
        <v>The privacy level</v>
      </c>
      <c r="C44" s="31" t="s">
        <v>826</v>
      </c>
      <c r="D44" s="31" t="s">
        <v>853</v>
      </c>
      <c r="E44" s="3"/>
      <c r="F44" s="11"/>
      <c r="G44" s="11"/>
      <c r="H44" s="11"/>
      <c r="I44" s="11"/>
      <c r="J44" s="11"/>
    </row>
    <row r="45">
      <c r="A45">
        <f>IFERROR(__xludf.DUMMYFUNCTION("""COMPUTED_VALUE"""),72.0)</f>
        <v>72</v>
      </c>
      <c r="B45" s="11" t="str">
        <f>IFERROR(__xludf.DUMMYFUNCTION("""COMPUTED_VALUE"""),"This survey made me realize I need to review this setting more often. I would make sure the app(s) is/are something that I am still using. If not, then I would need to remove the permissions and uninstall the app(s).")</f>
        <v>This survey made me realize I need to review this setting more often. I would make sure the app(s) is/are something that I am still using. If not, then I would need to remove the permissions and uninstall the app(s).</v>
      </c>
      <c r="C45" s="31" t="s">
        <v>826</v>
      </c>
      <c r="D45" s="27" t="s">
        <v>840</v>
      </c>
      <c r="E45" s="31" t="s">
        <v>812</v>
      </c>
      <c r="F45" s="31" t="s">
        <v>813</v>
      </c>
      <c r="G45" s="11"/>
      <c r="H45" s="11"/>
      <c r="I45" s="11"/>
      <c r="J45" s="11"/>
    </row>
    <row r="46">
      <c r="A46">
        <f>IFERROR(__xludf.DUMMYFUNCTION("""COMPUTED_VALUE"""),73.0)</f>
        <v>73</v>
      </c>
      <c r="B46" s="11" t="str">
        <f>IFERROR(__xludf.DUMMYFUNCTION("""COMPUTED_VALUE"""),"Privacy concerns")</f>
        <v>Privacy concerns</v>
      </c>
      <c r="C46" s="32" t="s">
        <v>833</v>
      </c>
      <c r="D46" s="3"/>
      <c r="E46" s="11"/>
      <c r="F46" s="11"/>
      <c r="G46" s="11"/>
      <c r="H46" s="11"/>
      <c r="I46" s="11"/>
      <c r="J46" s="11"/>
    </row>
    <row r="47">
      <c r="A47">
        <f>IFERROR(__xludf.DUMMYFUNCTION("""COMPUTED_VALUE"""),74.0)</f>
        <v>74</v>
      </c>
      <c r="B47" s="11" t="str">
        <f>IFERROR(__xludf.DUMMYFUNCTION("""COMPUTED_VALUE"""),"I will look to see if I have given any other apps access.")</f>
        <v>I will look to see if I have given any other apps access.</v>
      </c>
      <c r="C47" s="31" t="s">
        <v>826</v>
      </c>
      <c r="D47" s="31" t="s">
        <v>857</v>
      </c>
      <c r="E47" s="3"/>
      <c r="F47" s="11"/>
      <c r="G47" s="11"/>
      <c r="H47" s="11"/>
      <c r="I47" s="11"/>
      <c r="J47" s="11"/>
    </row>
    <row r="48">
      <c r="A48">
        <f>IFERROR(__xludf.DUMMYFUNCTION("""COMPUTED_VALUE"""),75.0)</f>
        <v>75</v>
      </c>
      <c r="B48" s="11"/>
      <c r="C48" s="3"/>
      <c r="D48" s="3"/>
      <c r="E48" s="11"/>
      <c r="F48" s="11"/>
      <c r="G48" s="11"/>
      <c r="H48" s="11"/>
      <c r="I48" s="11"/>
      <c r="J48" s="11"/>
    </row>
    <row r="49">
      <c r="A49">
        <f>IFERROR(__xludf.DUMMYFUNCTION("""COMPUTED_VALUE"""),76.0)</f>
        <v>76</v>
      </c>
      <c r="B49" s="11" t="str">
        <f>IFERROR(__xludf.DUMMYFUNCTION("""COMPUTED_VALUE"""),"Make sure I haven't use my gmail account for any apps by mistake.")</f>
        <v>Make sure I haven't use my gmail account for any apps by mistake.</v>
      </c>
      <c r="C49" s="31" t="s">
        <v>826</v>
      </c>
      <c r="D49" s="31" t="s">
        <v>857</v>
      </c>
      <c r="E49" s="31" t="s">
        <v>850</v>
      </c>
      <c r="F49" s="11"/>
      <c r="G49" s="11"/>
      <c r="H49" s="11"/>
      <c r="I49" s="11"/>
      <c r="J49" s="11"/>
    </row>
    <row r="50">
      <c r="A50">
        <f>IFERROR(__xludf.DUMMYFUNCTION("""COMPUTED_VALUE"""),77.0)</f>
        <v>77</v>
      </c>
      <c r="B50" s="11"/>
      <c r="C50" s="3"/>
      <c r="D50" s="3"/>
      <c r="E50" s="3"/>
      <c r="F50" s="11"/>
      <c r="G50" s="11"/>
      <c r="H50" s="11"/>
      <c r="I50" s="11"/>
      <c r="J50" s="11"/>
    </row>
    <row r="51">
      <c r="A51">
        <f>IFERROR(__xludf.DUMMYFUNCTION("""COMPUTED_VALUE"""),78.0)</f>
        <v>78</v>
      </c>
      <c r="B51" s="11" t="str">
        <f>IFERROR(__xludf.DUMMYFUNCTION("""COMPUTED_VALUE"""),"Nothing really. I think it's pretty useful and straightforward.")</f>
        <v>Nothing really. I think it's pretty useful and straightforward.</v>
      </c>
      <c r="C51" s="3" t="s">
        <v>858</v>
      </c>
      <c r="D51" s="3"/>
      <c r="E51" s="3"/>
      <c r="F51" s="11"/>
      <c r="G51" s="11"/>
      <c r="H51" s="11"/>
      <c r="I51" s="11"/>
      <c r="J51" s="11"/>
    </row>
    <row r="52">
      <c r="A52">
        <f>IFERROR(__xludf.DUMMYFUNCTION("""COMPUTED_VALUE"""),79.0)</f>
        <v>79</v>
      </c>
      <c r="B52" s="11" t="str">
        <f>IFERROR(__xludf.DUMMYFUNCTION("""COMPUTED_VALUE"""),"What information they have access to.")</f>
        <v>What information they have access to.</v>
      </c>
      <c r="C52" s="31" t="s">
        <v>826</v>
      </c>
      <c r="D52" s="27" t="s">
        <v>846</v>
      </c>
      <c r="E52" s="3"/>
      <c r="F52" s="11"/>
      <c r="G52" s="11"/>
      <c r="H52" s="11"/>
      <c r="I52" s="11"/>
      <c r="J52" s="11"/>
    </row>
    <row r="53">
      <c r="A53">
        <f>IFERROR(__xludf.DUMMYFUNCTION("""COMPUTED_VALUE"""),80.0)</f>
        <v>80</v>
      </c>
      <c r="B53" s="11" t="str">
        <f>IFERROR(__xludf.DUMMYFUNCTION("""COMPUTED_VALUE"""),"new services")</f>
        <v>new services</v>
      </c>
      <c r="C53" s="31" t="s">
        <v>826</v>
      </c>
      <c r="D53" s="31" t="s">
        <v>857</v>
      </c>
      <c r="E53" s="3"/>
      <c r="F53" s="3"/>
      <c r="G53" s="11"/>
      <c r="H53" s="11"/>
      <c r="I53" s="11"/>
      <c r="J53" s="11"/>
    </row>
    <row r="54">
      <c r="A54">
        <f>IFERROR(__xludf.DUMMYFUNCTION("""COMPUTED_VALUE"""),81.0)</f>
        <v>81</v>
      </c>
      <c r="B54" s="11" t="str">
        <f>IFERROR(__xludf.DUMMYFUNCTION("""COMPUTED_VALUE"""),"not certain")</f>
        <v>not certain</v>
      </c>
      <c r="C54" s="3" t="s">
        <v>859</v>
      </c>
      <c r="D54" s="3"/>
      <c r="E54" s="3"/>
      <c r="F54" s="3"/>
      <c r="G54" s="11"/>
      <c r="H54" s="11"/>
      <c r="I54" s="11"/>
      <c r="J54" s="11"/>
    </row>
    <row r="55">
      <c r="A55">
        <f>IFERROR(__xludf.DUMMYFUNCTION("""COMPUTED_VALUE"""),82.0)</f>
        <v>82</v>
      </c>
      <c r="B55" s="11" t="str">
        <f>IFERROR(__xludf.DUMMYFUNCTION("""COMPUTED_VALUE"""),"I would look for only keeping the apps I think are necessary for my daily uses.")</f>
        <v>I would look for only keeping the apps I think are necessary for my daily uses.</v>
      </c>
      <c r="C55" s="31" t="s">
        <v>826</v>
      </c>
      <c r="D55" s="27" t="s">
        <v>840</v>
      </c>
      <c r="E55" s="31" t="s">
        <v>812</v>
      </c>
      <c r="F55" s="31" t="s">
        <v>813</v>
      </c>
      <c r="G55" s="11"/>
      <c r="H55" s="11"/>
      <c r="I55" s="11"/>
      <c r="J55" s="11"/>
    </row>
    <row r="56">
      <c r="A56">
        <f>IFERROR(__xludf.DUMMYFUNCTION("""COMPUTED_VALUE"""),83.0)</f>
        <v>83</v>
      </c>
      <c r="B56" s="11"/>
      <c r="C56" s="3"/>
      <c r="D56" s="11"/>
      <c r="E56" s="11"/>
      <c r="F56" s="11"/>
      <c r="G56" s="11"/>
      <c r="H56" s="11"/>
      <c r="I56" s="11"/>
      <c r="J56" s="11"/>
    </row>
    <row r="57">
      <c r="A57">
        <f>IFERROR(__xludf.DUMMYFUNCTION("""COMPUTED_VALUE"""),84.0)</f>
        <v>84</v>
      </c>
      <c r="B57" s="11" t="str">
        <f>IFERROR(__xludf.DUMMYFUNCTION("""COMPUTED_VALUE"""),"It's good to know what apps have access to my Google stuff. As time passes, I forget about some apps. So every once in a while, it's good to look through to see if I need to remove an app.")</f>
        <v>It's good to know what apps have access to my Google stuff. As time passes, I forget about some apps. So every once in a while, it's good to look through to see if I need to remove an app.</v>
      </c>
      <c r="C57" s="31" t="s">
        <v>826</v>
      </c>
      <c r="D57" s="31" t="s">
        <v>812</v>
      </c>
      <c r="E57" s="31" t="s">
        <v>813</v>
      </c>
      <c r="F57" s="11"/>
      <c r="G57" s="11"/>
      <c r="H57" s="11"/>
      <c r="I57" s="11"/>
      <c r="J57" s="11"/>
    </row>
    <row r="58">
      <c r="A58">
        <f>IFERROR(__xludf.DUMMYFUNCTION("""COMPUTED_VALUE"""),85.0)</f>
        <v>85</v>
      </c>
      <c r="B58" s="11" t="str">
        <f>IFERROR(__xludf.DUMMYFUNCTION("""COMPUTED_VALUE"""),"I would just make sure that there aren't any random third party apps that I may have accidentally authorized, especially because at this time I am on my computer so often using various extensions and services.")</f>
        <v>I would just make sure that there aren't any random third party apps that I may have accidentally authorized, especially because at this time I am on my computer so often using various extensions and services.</v>
      </c>
      <c r="C58" s="31" t="s">
        <v>826</v>
      </c>
      <c r="D58" t="s">
        <v>850</v>
      </c>
      <c r="E58" s="3"/>
      <c r="F58" s="11"/>
      <c r="G58" s="11"/>
      <c r="H58" s="11"/>
      <c r="I58" s="11"/>
      <c r="J58" s="11"/>
    </row>
    <row r="59">
      <c r="A59">
        <f>IFERROR(__xludf.DUMMYFUNCTION("""COMPUTED_VALUE"""),86.0)</f>
        <v>86</v>
      </c>
      <c r="B59" s="11"/>
      <c r="C59" s="3"/>
      <c r="D59" s="3"/>
      <c r="E59" s="3"/>
      <c r="F59" s="3"/>
      <c r="G59" s="11"/>
      <c r="H59" s="11"/>
      <c r="I59" s="11"/>
      <c r="J59" s="11"/>
    </row>
    <row r="60">
      <c r="A60">
        <f>IFERROR(__xludf.DUMMYFUNCTION("""COMPUTED_VALUE"""),87.0)</f>
        <v>87</v>
      </c>
      <c r="B60" s="11" t="str">
        <f>IFERROR(__xludf.DUMMYFUNCTION("""COMPUTED_VALUE"""),"I would check what the apps have access to and decide if it's worth keeping.")</f>
        <v>I would check what the apps have access to and decide if it's worth keeping.</v>
      </c>
      <c r="C60" s="31" t="s">
        <v>826</v>
      </c>
      <c r="D60" s="3"/>
      <c r="E60" s="3"/>
      <c r="F60" s="3"/>
      <c r="G60" s="3"/>
      <c r="H60" s="11"/>
      <c r="I60" s="11"/>
      <c r="J60" s="11"/>
    </row>
    <row r="61">
      <c r="A61">
        <f>IFERROR(__xludf.DUMMYFUNCTION("""COMPUTED_VALUE"""),88.0)</f>
        <v>88</v>
      </c>
      <c r="B61" s="11"/>
      <c r="C61" s="3"/>
      <c r="D61" s="3"/>
      <c r="E61" s="3"/>
      <c r="F61" s="3"/>
      <c r="G61" s="3"/>
      <c r="H61" s="11"/>
      <c r="I61" s="11"/>
      <c r="J61" s="11"/>
    </row>
    <row r="62">
      <c r="A62">
        <f>IFERROR(__xludf.DUMMYFUNCTION("""COMPUTED_VALUE"""),89.0)</f>
        <v>89</v>
      </c>
      <c r="B62" s="11" t="str">
        <f>IFERROR(__xludf.DUMMYFUNCTION("""COMPUTED_VALUE"""),"To make sure I remember authorizing any app with permission, and that it's in continued use.")</f>
        <v>To make sure I remember authorizing any app with permission, and that it's in continued use.</v>
      </c>
      <c r="C62" s="31" t="s">
        <v>826</v>
      </c>
      <c r="E62" s="11"/>
      <c r="F62" s="11"/>
      <c r="G62" s="11"/>
      <c r="H62" s="11"/>
      <c r="I62" s="11"/>
      <c r="J62" s="11"/>
    </row>
    <row r="63">
      <c r="A63">
        <f>IFERROR(__xludf.DUMMYFUNCTION("""COMPUTED_VALUE"""),90.0)</f>
        <v>90</v>
      </c>
      <c r="B63" s="11" t="str">
        <f>IFERROR(__xludf.DUMMYFUNCTION("""COMPUTED_VALUE"""),"Not sure")</f>
        <v>Not sure</v>
      </c>
      <c r="C63" s="3" t="s">
        <v>859</v>
      </c>
      <c r="D63" s="3"/>
      <c r="F63" s="3"/>
      <c r="G63" s="3"/>
      <c r="H63" s="11"/>
      <c r="I63" s="11"/>
      <c r="J63" s="11"/>
    </row>
    <row r="64">
      <c r="A64">
        <f>IFERROR(__xludf.DUMMYFUNCTION("""COMPUTED_VALUE"""),91.0)</f>
        <v>91</v>
      </c>
      <c r="B64" s="11" t="str">
        <f>IFERROR(__xludf.DUMMYFUNCTION("""COMPUTED_VALUE"""),"Make sure everything is the way its supposed to be")</f>
        <v>Make sure everything is the way its supposed to be</v>
      </c>
      <c r="C64" s="31" t="s">
        <v>826</v>
      </c>
      <c r="D64" s="3"/>
      <c r="E64" s="3"/>
      <c r="F64" s="11"/>
      <c r="G64" s="11"/>
      <c r="H64" s="11"/>
      <c r="I64" s="11"/>
      <c r="J64" s="11"/>
    </row>
    <row r="65">
      <c r="A65">
        <f>IFERROR(__xludf.DUMMYFUNCTION("""COMPUTED_VALUE"""),92.0)</f>
        <v>92</v>
      </c>
      <c r="B65" s="11"/>
      <c r="C65" s="3"/>
      <c r="D65" s="3"/>
      <c r="E65" s="3"/>
      <c r="F65" s="3"/>
      <c r="G65" s="19"/>
      <c r="H65" s="11"/>
      <c r="I65" s="11"/>
      <c r="J65" s="11"/>
    </row>
    <row r="66">
      <c r="A66">
        <f>IFERROR(__xludf.DUMMYFUNCTION("""COMPUTED_VALUE"""),93.0)</f>
        <v>93</v>
      </c>
      <c r="B66" s="11"/>
      <c r="C66" s="3"/>
      <c r="D66" s="3"/>
      <c r="F66" s="11"/>
      <c r="G66" s="11"/>
      <c r="H66" s="11"/>
      <c r="I66" s="11"/>
      <c r="J66" s="11"/>
    </row>
    <row r="67">
      <c r="A67">
        <f>IFERROR(__xludf.DUMMYFUNCTION("""COMPUTED_VALUE"""),94.0)</f>
        <v>94</v>
      </c>
      <c r="B67" s="11" t="str">
        <f>IFERROR(__xludf.DUMMYFUNCTION("""COMPUTED_VALUE"""),"Less Apps with Access to my google drive.")</f>
        <v>Less Apps with Access to my google drive.</v>
      </c>
      <c r="C67" s="32" t="s">
        <v>812</v>
      </c>
      <c r="D67" s="32" t="s">
        <v>839</v>
      </c>
      <c r="E67" s="19"/>
      <c r="F67" s="19"/>
      <c r="G67" s="3"/>
      <c r="H67" s="3"/>
      <c r="J67" s="11"/>
    </row>
    <row r="68">
      <c r="A68">
        <f>IFERROR(__xludf.DUMMYFUNCTION("""COMPUTED_VALUE"""),95.0)</f>
        <v>95</v>
      </c>
      <c r="B68" s="11" t="str">
        <f>IFERROR(__xludf.DUMMYFUNCTION("""COMPUTED_VALUE"""),"what actual access these apps have to my accounts.")</f>
        <v>what actual access these apps have to my accounts.</v>
      </c>
      <c r="C68" s="31" t="s">
        <v>826</v>
      </c>
      <c r="D68" t="s">
        <v>854</v>
      </c>
      <c r="E68" s="3"/>
      <c r="F68" s="3"/>
      <c r="G68" s="11"/>
      <c r="J68" s="11"/>
    </row>
    <row r="69">
      <c r="A69">
        <f>IFERROR(__xludf.DUMMYFUNCTION("""COMPUTED_VALUE"""),96.0)</f>
        <v>96</v>
      </c>
      <c r="B69" s="11" t="str">
        <f>IFERROR(__xludf.DUMMYFUNCTION("""COMPUTED_VALUE"""),"What apps are using personal information instead of just my email address.")</f>
        <v>What apps are using personal information instead of just my email address.</v>
      </c>
      <c r="C69" s="31" t="s">
        <v>826</v>
      </c>
      <c r="D69" t="s">
        <v>846</v>
      </c>
      <c r="E69" t="s">
        <v>833</v>
      </c>
      <c r="F69" s="3"/>
      <c r="G69" s="3"/>
      <c r="J69" s="11"/>
    </row>
    <row r="70">
      <c r="A70">
        <f>IFERROR(__xludf.DUMMYFUNCTION("""COMPUTED_VALUE"""),97.0)</f>
        <v>97</v>
      </c>
      <c r="B70" s="11"/>
      <c r="C70" s="3"/>
      <c r="D70" s="3"/>
      <c r="E70" s="3"/>
      <c r="F70" s="3"/>
      <c r="G70" s="3"/>
      <c r="H70" s="11"/>
      <c r="I70" s="11"/>
      <c r="J70" s="11"/>
    </row>
    <row r="71">
      <c r="A71">
        <f>IFERROR(__xludf.DUMMYFUNCTION("""COMPUTED_VALUE"""),98.0)</f>
        <v>98</v>
      </c>
      <c r="B71" s="11" t="str">
        <f>IFERROR(__xludf.DUMMYFUNCTION("""COMPUTED_VALUE"""),"I would look for all the things that third-party apps can access from me.")</f>
        <v>I would look for all the things that third-party apps can access from me.</v>
      </c>
      <c r="C71" s="31" t="s">
        <v>826</v>
      </c>
      <c r="D71" t="s">
        <v>854</v>
      </c>
      <c r="E71" s="3"/>
      <c r="F71" s="3"/>
      <c r="G71" s="3"/>
      <c r="H71" s="3"/>
      <c r="I71" s="3"/>
      <c r="J71" s="11"/>
    </row>
    <row r="72">
      <c r="A72">
        <f>IFERROR(__xludf.DUMMYFUNCTION("""COMPUTED_VALUE"""),99.0)</f>
        <v>99</v>
      </c>
      <c r="B72" s="11"/>
      <c r="C72" s="3"/>
      <c r="D72" s="3"/>
      <c r="E72" s="3"/>
      <c r="F72" s="11"/>
      <c r="G72" s="11"/>
      <c r="H72" s="11"/>
      <c r="I72" s="11"/>
      <c r="J72" s="11"/>
    </row>
    <row r="73">
      <c r="A73">
        <f>IFERROR(__xludf.DUMMYFUNCTION("""COMPUTED_VALUE"""),100.0)</f>
        <v>100</v>
      </c>
      <c r="B73" s="11"/>
      <c r="C73" s="3"/>
      <c r="D73" s="3"/>
      <c r="E73" s="3"/>
      <c r="F73" s="3"/>
      <c r="G73" s="3"/>
      <c r="H73" s="3"/>
      <c r="I73" s="11"/>
      <c r="J73" s="11"/>
    </row>
    <row r="74">
      <c r="A74">
        <f>IFERROR(__xludf.DUMMYFUNCTION("""COMPUTED_VALUE"""),101.0)</f>
        <v>101</v>
      </c>
      <c r="B74" s="11" t="str">
        <f>IFERROR(__xludf.DUMMYFUNCTION("""COMPUTED_VALUE"""),"I would look to confirm that all apps that have access are apps I still engage with.")</f>
        <v>I would look to confirm that all apps that have access are apps I still engage with.</v>
      </c>
      <c r="C74" s="31" t="s">
        <v>826</v>
      </c>
      <c r="D74" s="27" t="s">
        <v>840</v>
      </c>
      <c r="E74" s="3"/>
      <c r="F74" s="3"/>
      <c r="G74" s="19"/>
      <c r="H74" s="11"/>
      <c r="I74" s="11"/>
      <c r="J74" s="11"/>
    </row>
    <row r="75">
      <c r="A75">
        <f>IFERROR(__xludf.DUMMYFUNCTION("""COMPUTED_VALUE"""),102.0)</f>
        <v>102</v>
      </c>
      <c r="B75" s="11" t="str">
        <f>IFERROR(__xludf.DUMMYFUNCTION("""COMPUTED_VALUE"""),"Any changes that have been made and any apps that I did not authorize.")</f>
        <v>Any changes that have been made and any apps that I did not authorize.</v>
      </c>
      <c r="C75" s="31" t="s">
        <v>826</v>
      </c>
      <c r="D75" s="31" t="s">
        <v>860</v>
      </c>
      <c r="E75" t="s">
        <v>857</v>
      </c>
      <c r="F75" s="3" t="s">
        <v>856</v>
      </c>
      <c r="G75" s="11"/>
      <c r="H75" s="11"/>
      <c r="I75" s="11"/>
      <c r="J75" s="11"/>
    </row>
    <row r="76">
      <c r="A76">
        <f>IFERROR(__xludf.DUMMYFUNCTION("""COMPUTED_VALUE"""),103.0)</f>
        <v>103</v>
      </c>
      <c r="B76" s="11" t="str">
        <f>IFERROR(__xludf.DUMMYFUNCTION("""COMPUTED_VALUE"""),"See if any new apps were linked that I forgot about. I would look at all the privacy settings like my contacts")</f>
        <v>See if any new apps were linked that I forgot about. I would look at all the privacy settings like my contacts</v>
      </c>
      <c r="C76" s="31" t="s">
        <v>826</v>
      </c>
      <c r="D76" t="s">
        <v>857</v>
      </c>
      <c r="E76" t="s">
        <v>848</v>
      </c>
      <c r="F76" s="27" t="s">
        <v>861</v>
      </c>
      <c r="H76" s="11"/>
      <c r="I76" s="11"/>
      <c r="J76" s="11"/>
    </row>
    <row r="77">
      <c r="A77">
        <f>IFERROR(__xludf.DUMMYFUNCTION("""COMPUTED_VALUE"""),104.0)</f>
        <v>104</v>
      </c>
      <c r="B77" s="11"/>
      <c r="C77" s="24"/>
      <c r="D77" s="3"/>
      <c r="E77" s="3"/>
      <c r="F77" s="11"/>
      <c r="G77" s="11"/>
      <c r="H77" s="11"/>
      <c r="I77" s="11"/>
      <c r="J77" s="11"/>
    </row>
    <row r="78">
      <c r="A78">
        <f>IFERROR(__xludf.DUMMYFUNCTION("""COMPUTED_VALUE"""),105.0)</f>
        <v>105</v>
      </c>
      <c r="B78" s="11" t="str">
        <f>IFERROR(__xludf.DUMMYFUNCTION("""COMPUTED_VALUE"""),"If there is anything that has access that I do not remember giving")</f>
        <v>If there is anything that has access that I do not remember giving</v>
      </c>
      <c r="C78" s="31" t="s">
        <v>826</v>
      </c>
      <c r="D78" t="s">
        <v>857</v>
      </c>
      <c r="E78" t="s">
        <v>848</v>
      </c>
      <c r="F78" s="11"/>
      <c r="G78" s="11"/>
      <c r="H78" s="11"/>
      <c r="I78" s="11"/>
      <c r="J78" s="11"/>
    </row>
    <row r="79">
      <c r="A79">
        <f>IFERROR(__xludf.DUMMYFUNCTION("""COMPUTED_VALUE"""),106.0)</f>
        <v>106</v>
      </c>
      <c r="B79" s="11" t="str">
        <f>IFERROR(__xludf.DUMMYFUNCTION("""COMPUTED_VALUE"""),"any unautorized access")</f>
        <v>any unautorized access</v>
      </c>
      <c r="C79" s="31" t="s">
        <v>826</v>
      </c>
      <c r="D79" s="31" t="s">
        <v>860</v>
      </c>
      <c r="E79" s="11"/>
      <c r="F79" s="11"/>
      <c r="G79" s="11"/>
      <c r="H79" s="11"/>
      <c r="I79" s="11"/>
      <c r="J79" s="11"/>
    </row>
    <row r="80">
      <c r="A80">
        <f>IFERROR(__xludf.DUMMYFUNCTION("""COMPUTED_VALUE"""),107.0)</f>
        <v>107</v>
      </c>
      <c r="B80" s="11" t="str">
        <f>IFERROR(__xludf.DUMMYFUNCTION("""COMPUTED_VALUE"""),"I would look to see if anything ""snuck in"". If i accidentally granted access to anything I didn't mean to or review whether or not all apps with access were relevent.")</f>
        <v>I would look to see if anything "snuck in". If i accidentally granted access to anything I didn't mean to or review whether or not all apps with access were relevent.</v>
      </c>
      <c r="C80" s="31" t="s">
        <v>826</v>
      </c>
      <c r="D80" t="s">
        <v>857</v>
      </c>
      <c r="E80" s="31" t="s">
        <v>850</v>
      </c>
      <c r="F80" s="27" t="s">
        <v>840</v>
      </c>
      <c r="G80" s="11"/>
      <c r="H80" s="11"/>
      <c r="I80" s="11"/>
      <c r="J80" s="11"/>
    </row>
    <row r="81">
      <c r="A81">
        <f>IFERROR(__xludf.DUMMYFUNCTION("""COMPUTED_VALUE"""),108.0)</f>
        <v>108</v>
      </c>
      <c r="B81" s="11"/>
      <c r="C81" s="3"/>
      <c r="D81" s="3"/>
      <c r="E81" s="3"/>
      <c r="F81" s="3"/>
      <c r="G81" s="11"/>
      <c r="H81" s="11"/>
      <c r="I81" s="11"/>
      <c r="J81" s="11"/>
    </row>
    <row r="82">
      <c r="A82">
        <f>IFERROR(__xludf.DUMMYFUNCTION("""COMPUTED_VALUE"""),109.0)</f>
        <v>109</v>
      </c>
      <c r="B82" s="11"/>
      <c r="C82" s="3"/>
      <c r="D82" s="3"/>
      <c r="E82" s="11"/>
      <c r="F82" s="11"/>
      <c r="G82" s="11"/>
      <c r="H82" s="11"/>
      <c r="I82" s="11"/>
      <c r="J82" s="11"/>
    </row>
    <row r="83">
      <c r="A83">
        <f>IFERROR(__xludf.DUMMYFUNCTION("""COMPUTED_VALUE"""),110.0)</f>
        <v>110</v>
      </c>
      <c r="B83" s="11" t="str">
        <f>IFERROR(__xludf.DUMMYFUNCTION("""COMPUTED_VALUE"""),"Specifically which apps are using my google account login and how long they've had access")</f>
        <v>Specifically which apps are using my google account login and how long they've had access</v>
      </c>
      <c r="C83" s="31" t="s">
        <v>826</v>
      </c>
      <c r="D83" s="31" t="s">
        <v>862</v>
      </c>
      <c r="E83" s="3" t="s">
        <v>863</v>
      </c>
      <c r="F83" s="3"/>
      <c r="G83" s="11"/>
      <c r="H83" s="11"/>
      <c r="I83" s="11"/>
      <c r="J83" s="11"/>
    </row>
    <row r="84">
      <c r="A84">
        <f>IFERROR(__xludf.DUMMYFUNCTION("""COMPUTED_VALUE"""),112.0)</f>
        <v>112</v>
      </c>
      <c r="B84" s="11"/>
      <c r="C84" s="3"/>
      <c r="D84" s="3"/>
      <c r="E84" s="3"/>
      <c r="F84" s="3"/>
      <c r="G84" s="3"/>
      <c r="H84" s="11"/>
      <c r="I84" s="11"/>
      <c r="J84" s="11"/>
    </row>
    <row r="85">
      <c r="A85">
        <f>IFERROR(__xludf.DUMMYFUNCTION("""COMPUTED_VALUE"""),113.0)</f>
        <v>113</v>
      </c>
      <c r="B85" s="11"/>
      <c r="C85" s="3"/>
      <c r="D85" s="3"/>
      <c r="E85" s="3"/>
      <c r="F85" s="11"/>
      <c r="G85" s="11"/>
      <c r="H85" s="11"/>
      <c r="I85" s="11"/>
      <c r="J85" s="11"/>
    </row>
    <row r="86">
      <c r="A86">
        <f>IFERROR(__xludf.DUMMYFUNCTION("""COMPUTED_VALUE"""),114.0)</f>
        <v>114</v>
      </c>
      <c r="B86" s="11" t="str">
        <f>IFERROR(__xludf.DUMMYFUNCTION("""COMPUTED_VALUE"""),"who is able to see my accounts")</f>
        <v>who is able to see my accounts</v>
      </c>
      <c r="C86" s="31" t="s">
        <v>826</v>
      </c>
      <c r="D86" s="3"/>
      <c r="E86" s="3"/>
      <c r="F86" s="3"/>
      <c r="G86" s="3"/>
      <c r="H86" s="11"/>
      <c r="I86" s="11"/>
      <c r="J86" s="11"/>
    </row>
    <row r="87">
      <c r="A87">
        <f>IFERROR(__xludf.DUMMYFUNCTION("""COMPUTED_VALUE"""),115.0)</f>
        <v>115</v>
      </c>
      <c r="B87" s="11" t="str">
        <f>IFERROR(__xludf.DUMMYFUNCTION("""COMPUTED_VALUE"""),"If any new Apps use Google access and if any permissions have changed.")</f>
        <v>If any new Apps use Google access and if any permissions have changed.</v>
      </c>
      <c r="C87" s="31" t="s">
        <v>826</v>
      </c>
      <c r="D87" t="s">
        <v>857</v>
      </c>
      <c r="E87" s="27" t="s">
        <v>855</v>
      </c>
      <c r="F87" t="s">
        <v>856</v>
      </c>
      <c r="G87" s="11"/>
      <c r="H87" s="11"/>
      <c r="I87" s="11"/>
      <c r="J87" s="11"/>
    </row>
    <row r="88">
      <c r="A88">
        <f>IFERROR(__xludf.DUMMYFUNCTION("""COMPUTED_VALUE"""),116.0)</f>
        <v>116</v>
      </c>
      <c r="B88" s="11"/>
      <c r="C88" s="3"/>
      <c r="D88" s="3"/>
      <c r="E88" s="3"/>
      <c r="F88" s="3"/>
      <c r="G88" s="11"/>
      <c r="H88" s="11"/>
      <c r="I88" s="11"/>
      <c r="J88" s="11"/>
    </row>
    <row r="89">
      <c r="A89">
        <f>IFERROR(__xludf.DUMMYFUNCTION("""COMPUTED_VALUE"""),117.0)</f>
        <v>117</v>
      </c>
      <c r="B89" s="11" t="str">
        <f>IFERROR(__xludf.DUMMYFUNCTION("""COMPUTED_VALUE"""),"What kind of access each app has, and any new apps that I may have added in the meantime.")</f>
        <v>What kind of access each app has, and any new apps that I may have added in the meantime.</v>
      </c>
      <c r="C89" s="31" t="s">
        <v>826</v>
      </c>
      <c r="D89" t="s">
        <v>857</v>
      </c>
      <c r="E89" t="s">
        <v>854</v>
      </c>
      <c r="F89" s="3"/>
      <c r="G89" s="11"/>
      <c r="H89" s="11"/>
      <c r="I89" s="11"/>
      <c r="J89" s="11"/>
    </row>
    <row r="90">
      <c r="A90">
        <f>IFERROR(__xludf.DUMMYFUNCTION("""COMPUTED_VALUE"""),118.0)</f>
        <v>118</v>
      </c>
      <c r="B90" s="11" t="str">
        <f>IFERROR(__xludf.DUMMYFUNCTION("""COMPUTED_VALUE"""),"To see which apps have access and if there are any that I don't use anymore than I would delete them.")</f>
        <v>To see which apps have access and if there are any that I don't use anymore than I would delete them.</v>
      </c>
      <c r="C90" s="31" t="s">
        <v>826</v>
      </c>
      <c r="D90" s="31" t="s">
        <v>812</v>
      </c>
      <c r="E90" s="31" t="s">
        <v>813</v>
      </c>
      <c r="F90" s="3"/>
      <c r="G90" s="3"/>
      <c r="H90" s="11"/>
      <c r="I90" s="11"/>
      <c r="J90" s="11"/>
    </row>
    <row r="91">
      <c r="A91">
        <f>IFERROR(__xludf.DUMMYFUNCTION("""COMPUTED_VALUE"""),120.0)</f>
        <v>120</v>
      </c>
      <c r="B91" s="11"/>
      <c r="C91" s="3"/>
      <c r="D91" s="3"/>
      <c r="E91" s="3"/>
      <c r="F91" s="11"/>
      <c r="G91" s="11"/>
      <c r="H91" s="11"/>
      <c r="I91" s="11"/>
      <c r="J91" s="11"/>
    </row>
    <row r="92">
      <c r="A92">
        <f>IFERROR(__xludf.DUMMYFUNCTION("""COMPUTED_VALUE"""),121.0)</f>
        <v>121</v>
      </c>
      <c r="B92" s="11"/>
      <c r="C92" s="3"/>
      <c r="D92" s="3"/>
      <c r="E92" s="3"/>
      <c r="F92" s="11"/>
      <c r="G92" s="11"/>
      <c r="H92" s="11"/>
      <c r="I92" s="11"/>
      <c r="J92" s="11"/>
    </row>
    <row r="93">
      <c r="A93">
        <f>IFERROR(__xludf.DUMMYFUNCTION("""COMPUTED_VALUE"""),122.0)</f>
        <v>122</v>
      </c>
      <c r="B93" s="11"/>
      <c r="C93" s="3"/>
      <c r="D93" s="24"/>
      <c r="E93" s="11"/>
      <c r="F93" s="11"/>
      <c r="G93" s="11"/>
      <c r="H93" s="11"/>
      <c r="I93" s="11"/>
      <c r="J93" s="11"/>
    </row>
    <row r="94">
      <c r="A94">
        <f>IFERROR(__xludf.DUMMYFUNCTION("""COMPUTED_VALUE"""),123.0)</f>
        <v>123</v>
      </c>
      <c r="B94" s="11" t="str">
        <f>IFERROR(__xludf.DUMMYFUNCTION("""COMPUTED_VALUE"""),"Which apps are using my account")</f>
        <v>Which apps are using my account</v>
      </c>
      <c r="C94" s="31" t="s">
        <v>826</v>
      </c>
      <c r="D94" s="3" t="s">
        <v>863</v>
      </c>
      <c r="E94" s="24"/>
      <c r="F94" s="3"/>
      <c r="G94" s="3"/>
      <c r="H94" s="11"/>
      <c r="I94" s="11"/>
      <c r="J94" s="11"/>
    </row>
    <row r="95">
      <c r="A95">
        <f>IFERROR(__xludf.DUMMYFUNCTION("""COMPUTED_VALUE"""),124.0)</f>
        <v>124</v>
      </c>
      <c r="B95" s="11" t="str">
        <f>IFERROR(__xludf.DUMMYFUNCTION("""COMPUTED_VALUE"""),"Applications and/or third party websites that I no longer use or need. I would remove the inactive websites/services from that list as I do not need my account to link to something that is no longer in my use.")</f>
        <v>Applications and/or third party websites that I no longer use or need. I would remove the inactive websites/services from that list as I do not need my account to link to something that is no longer in my use.</v>
      </c>
      <c r="C95" s="31" t="s">
        <v>826</v>
      </c>
      <c r="D95" s="32" t="s">
        <v>840</v>
      </c>
      <c r="E95" s="31" t="s">
        <v>812</v>
      </c>
      <c r="F95" s="31" t="s">
        <v>813</v>
      </c>
      <c r="G95" s="3"/>
      <c r="H95" s="11"/>
      <c r="I95" s="11"/>
      <c r="J95" s="11"/>
    </row>
    <row r="96">
      <c r="A96">
        <f>IFERROR(__xludf.DUMMYFUNCTION("""COMPUTED_VALUE"""),125.0)</f>
        <v>125</v>
      </c>
      <c r="B96" s="11" t="str">
        <f>IFERROR(__xludf.DUMMYFUNCTION("""COMPUTED_VALUE"""),"To see if any new ones have been added")</f>
        <v>To see if any new ones have been added</v>
      </c>
      <c r="C96" s="31" t="s">
        <v>826</v>
      </c>
      <c r="D96" t="s">
        <v>857</v>
      </c>
      <c r="E96" s="3"/>
      <c r="F96" s="11"/>
      <c r="G96" s="11"/>
      <c r="H96" s="11"/>
      <c r="I96" s="11"/>
      <c r="J96" s="11"/>
    </row>
    <row r="97">
      <c r="A97">
        <f>IFERROR(__xludf.DUMMYFUNCTION("""COMPUTED_VALUE"""),126.0)</f>
        <v>126</v>
      </c>
      <c r="B97" s="11"/>
      <c r="C97" s="3"/>
      <c r="D97" s="3"/>
      <c r="E97" s="11"/>
      <c r="F97" s="11"/>
      <c r="G97" s="11"/>
      <c r="H97" s="11"/>
      <c r="I97" s="11"/>
      <c r="J97" s="11"/>
    </row>
    <row r="98">
      <c r="A98">
        <f>IFERROR(__xludf.DUMMYFUNCTION("""COMPUTED_VALUE"""),127.0)</f>
        <v>127</v>
      </c>
      <c r="B98" s="11" t="str">
        <f>IFERROR(__xludf.DUMMYFUNCTION("""COMPUTED_VALUE"""),"I would want to review my privacy disclosures.")</f>
        <v>I would want to review my privacy disclosures.</v>
      </c>
      <c r="C98" s="31" t="s">
        <v>826</v>
      </c>
      <c r="D98" t="s">
        <v>853</v>
      </c>
      <c r="E98" s="3"/>
      <c r="F98" s="3"/>
      <c r="G98" s="11"/>
      <c r="H98" s="11"/>
      <c r="I98" s="11"/>
      <c r="J98" s="11"/>
    </row>
    <row r="99">
      <c r="A99">
        <f>IFERROR(__xludf.DUMMYFUNCTION("""COMPUTED_VALUE"""),128.0)</f>
        <v>128</v>
      </c>
      <c r="B99" s="11" t="str">
        <f>IFERROR(__xludf.DUMMYFUNCTION("""COMPUTED_VALUE"""),"I will look fro all of the Apps that have access and delete them if necessary.")</f>
        <v>I will look fro all of the Apps that have access and delete them if necessary.</v>
      </c>
      <c r="C99" s="31" t="s">
        <v>812</v>
      </c>
      <c r="D99" s="31" t="s">
        <v>813</v>
      </c>
      <c r="E99" s="24"/>
      <c r="F99" s="3"/>
      <c r="G99" s="11"/>
      <c r="H99" s="11"/>
      <c r="I99" s="11"/>
      <c r="J99" s="11"/>
    </row>
    <row r="100">
      <c r="A100">
        <f>IFERROR(__xludf.DUMMYFUNCTION("""COMPUTED_VALUE"""),129.0)</f>
        <v>129</v>
      </c>
      <c r="B100" s="11" t="str">
        <f>IFERROR(__xludf.DUMMYFUNCTION("""COMPUTED_VALUE"""),"What Apps I no longer use or don't want access anymore, and that I can ""trim"" or revoke access for.")</f>
        <v>What Apps I no longer use or don't want access anymore, and that I can "trim" or revoke access for.</v>
      </c>
      <c r="C100" s="31" t="s">
        <v>812</v>
      </c>
      <c r="D100" s="31" t="s">
        <v>813</v>
      </c>
      <c r="E100" s="11"/>
      <c r="F100" s="11"/>
      <c r="G100" s="11"/>
      <c r="H100" s="11"/>
      <c r="I100" s="11"/>
      <c r="J100" s="11"/>
    </row>
    <row r="101">
      <c r="A101">
        <f>IFERROR(__xludf.DUMMYFUNCTION("""COMPUTED_VALUE"""),130.0)</f>
        <v>130</v>
      </c>
      <c r="B101" s="11" t="str">
        <f>IFERROR(__xludf.DUMMYFUNCTION("""COMPUTED_VALUE"""),"To make sure all the services listed are ones I keep using and to delete anything I stopped using or no longer need.")</f>
        <v>To make sure all the services listed are ones I keep using and to delete anything I stopped using or no longer need.</v>
      </c>
      <c r="C101" s="31" t="s">
        <v>812</v>
      </c>
      <c r="D101" s="31" t="s">
        <v>813</v>
      </c>
      <c r="E101" s="3"/>
      <c r="F101" s="11"/>
      <c r="G101" s="11"/>
      <c r="H101" s="11"/>
      <c r="I101" s="11"/>
      <c r="J101" s="11"/>
    </row>
    <row r="102">
      <c r="A102">
        <f>IFERROR(__xludf.DUMMYFUNCTION("""COMPUTED_VALUE"""),131.0)</f>
        <v>131</v>
      </c>
      <c r="B102" s="11" t="str">
        <f>IFERROR(__xludf.DUMMYFUNCTION("""COMPUTED_VALUE"""),"What information they will need to get their app.")</f>
        <v>What information they will need to get their app.</v>
      </c>
      <c r="C102" s="31" t="s">
        <v>826</v>
      </c>
      <c r="D102" t="s">
        <v>846</v>
      </c>
      <c r="E102" s="3"/>
      <c r="F102" s="3"/>
      <c r="G102" s="11"/>
      <c r="H102" s="11"/>
      <c r="I102" s="11"/>
      <c r="J102" s="11"/>
    </row>
    <row r="103">
      <c r="A103">
        <f>IFERROR(__xludf.DUMMYFUNCTION("""COMPUTED_VALUE"""),132.0)</f>
        <v>132</v>
      </c>
      <c r="B103" s="11" t="str">
        <f>IFERROR(__xludf.DUMMYFUNCTION("""COMPUTED_VALUE"""),"at all the apps i have for unusual looking ones i dont recall .")</f>
        <v>at all the apps i have for unusual looking ones i dont recall .</v>
      </c>
      <c r="C103" s="31" t="s">
        <v>826</v>
      </c>
      <c r="D103" t="s">
        <v>848</v>
      </c>
      <c r="E103" s="3"/>
      <c r="F103" s="3"/>
      <c r="G103" s="11"/>
      <c r="H103" s="11"/>
      <c r="I103" s="11"/>
      <c r="J103" s="11"/>
    </row>
    <row r="104">
      <c r="A104">
        <f>IFERROR(__xludf.DUMMYFUNCTION("""COMPUTED_VALUE"""),133.0)</f>
        <v>133</v>
      </c>
      <c r="B104" s="11" t="str">
        <f>IFERROR(__xludf.DUMMYFUNCTION("""COMPUTED_VALUE"""),"To see which apps I am no longer using.")</f>
        <v>To see which apps I am no longer using.</v>
      </c>
      <c r="C104" s="31" t="s">
        <v>826</v>
      </c>
      <c r="D104" s="32" t="s">
        <v>840</v>
      </c>
      <c r="E104" s="11"/>
      <c r="F104" s="11"/>
      <c r="G104" s="11"/>
      <c r="H104" s="11"/>
      <c r="I104" s="11"/>
      <c r="J104" s="11"/>
    </row>
    <row r="105">
      <c r="A105">
        <f>IFERROR(__xludf.DUMMYFUNCTION("""COMPUTED_VALUE"""),134.0)</f>
        <v>134</v>
      </c>
      <c r="B105" s="11"/>
      <c r="C105" s="3"/>
      <c r="D105" s="3"/>
      <c r="E105" s="3"/>
      <c r="F105" s="3"/>
      <c r="G105" s="11"/>
      <c r="H105" s="11"/>
      <c r="I105" s="11"/>
      <c r="J105" s="11"/>
    </row>
    <row r="106">
      <c r="A106">
        <f>IFERROR(__xludf.DUMMYFUNCTION("""COMPUTED_VALUE"""),135.0)</f>
        <v>135</v>
      </c>
      <c r="B106" s="11" t="str">
        <f>IFERROR(__xludf.DUMMYFUNCTION("""COMPUTED_VALUE"""),"I would look to see if I accidentally signed on for access to apps that I don't use anymore, so that the convenience no longer outweighs the risks of having my data on so many sites.")</f>
        <v>I would look to see if I accidentally signed on for access to apps that I don't use anymore, so that the convenience no longer outweighs the risks of having my data on so many sites.</v>
      </c>
      <c r="C106" t="s">
        <v>805</v>
      </c>
      <c r="D106" s="31" t="s">
        <v>826</v>
      </c>
      <c r="E106" s="31" t="s">
        <v>850</v>
      </c>
      <c r="F106" s="11"/>
      <c r="G106" s="11"/>
      <c r="H106" s="11"/>
      <c r="I106" s="11"/>
      <c r="J106" s="11"/>
    </row>
    <row r="107">
      <c r="A107">
        <f>IFERROR(__xludf.DUMMYFUNCTION("""COMPUTED_VALUE"""),136.0)</f>
        <v>136</v>
      </c>
      <c r="B107" s="11" t="str">
        <f>IFERROR(__xludf.DUMMYFUNCTION("""COMPUTED_VALUE"""),"If any apps have full account access, particularly that I don't remember authorizing")</f>
        <v>If any apps have full account access, particularly that I don't remember authorizing</v>
      </c>
      <c r="C107" s="31" t="s">
        <v>826</v>
      </c>
      <c r="D107" s="31" t="s">
        <v>864</v>
      </c>
      <c r="E107" s="27" t="s">
        <v>848</v>
      </c>
      <c r="F107" s="3"/>
      <c r="G107" s="11"/>
      <c r="H107" s="11"/>
      <c r="I107" s="11"/>
      <c r="J107" s="11"/>
    </row>
    <row r="108">
      <c r="A108">
        <f>IFERROR(__xludf.DUMMYFUNCTION("""COMPUTED_VALUE"""),137.0)</f>
        <v>137</v>
      </c>
      <c r="B108" s="11" t="str">
        <f>IFERROR(__xludf.DUMMYFUNCTION("""COMPUTED_VALUE"""),"trying to see wat they need access to and why")</f>
        <v>trying to see wat they need access to and why</v>
      </c>
      <c r="C108" s="31" t="s">
        <v>826</v>
      </c>
      <c r="D108" t="s">
        <v>846</v>
      </c>
      <c r="E108" s="3"/>
      <c r="F108" s="11"/>
      <c r="G108" s="11"/>
      <c r="H108" s="11"/>
      <c r="I108" s="11"/>
      <c r="J108" s="11"/>
    </row>
    <row r="109">
      <c r="A109">
        <f>IFERROR(__xludf.DUMMYFUNCTION("""COMPUTED_VALUE"""),138.0)</f>
        <v>138</v>
      </c>
      <c r="B109" s="11"/>
      <c r="C109" s="3"/>
      <c r="D109" s="3"/>
      <c r="E109" s="11"/>
      <c r="F109" s="11"/>
      <c r="G109" s="11"/>
      <c r="H109" s="11"/>
      <c r="I109" s="11"/>
      <c r="J109" s="11"/>
    </row>
    <row r="110">
      <c r="A110">
        <f>IFERROR(__xludf.DUMMYFUNCTION("""COMPUTED_VALUE"""),139.0)</f>
        <v>139</v>
      </c>
      <c r="B110" s="11"/>
      <c r="C110" s="3"/>
      <c r="D110" s="3"/>
      <c r="E110" s="3"/>
      <c r="F110" s="11"/>
      <c r="G110" s="11"/>
      <c r="H110" s="11"/>
      <c r="I110" s="11"/>
      <c r="J110" s="11"/>
    </row>
    <row r="111">
      <c r="A111">
        <f>IFERROR(__xludf.DUMMYFUNCTION("""COMPUTED_VALUE"""),140.0)</f>
        <v>140</v>
      </c>
      <c r="B111" s="11"/>
      <c r="C111" s="19"/>
      <c r="D111" s="3"/>
      <c r="E111" s="3"/>
      <c r="F111" s="3"/>
      <c r="G111" s="11"/>
      <c r="H111" s="11"/>
      <c r="I111" s="11"/>
      <c r="J111" s="11"/>
    </row>
    <row r="112">
      <c r="A112">
        <f>IFERROR(__xludf.DUMMYFUNCTION("""COMPUTED_VALUE"""),141.0)</f>
        <v>141</v>
      </c>
      <c r="B112" s="11" t="str">
        <f>IFERROR(__xludf.DUMMYFUNCTION("""COMPUTED_VALUE"""),"If something is in the list that I did not realize I was adding.")</f>
        <v>If something is in the list that I did not realize I was adding.</v>
      </c>
      <c r="C112" s="31" t="s">
        <v>826</v>
      </c>
      <c r="D112" s="31" t="s">
        <v>850</v>
      </c>
      <c r="E112" s="3"/>
      <c r="F112" s="11"/>
      <c r="G112" s="11"/>
      <c r="H112" s="11"/>
      <c r="I112" s="11"/>
      <c r="J112" s="11"/>
    </row>
    <row r="113">
      <c r="A113">
        <f>IFERROR(__xludf.DUMMYFUNCTION("""COMPUTED_VALUE"""),143.0)</f>
        <v>143</v>
      </c>
      <c r="B113" s="11"/>
      <c r="C113" s="3"/>
      <c r="D113" s="3"/>
      <c r="E113" s="11"/>
      <c r="F113" s="11"/>
      <c r="G113" s="11"/>
      <c r="H113" s="11"/>
      <c r="I113" s="11"/>
      <c r="J113" s="11"/>
    </row>
    <row r="114">
      <c r="A114">
        <f>IFERROR(__xludf.DUMMYFUNCTION("""COMPUTED_VALUE"""),144.0)</f>
        <v>144</v>
      </c>
      <c r="B114" s="11" t="str">
        <f>IFERROR(__xludf.DUMMYFUNCTION("""COMPUTED_VALUE"""),"if there are more apps that i didnt realize got access")</f>
        <v>if there are more apps that i didnt realize got access</v>
      </c>
      <c r="C114" s="31" t="s">
        <v>826</v>
      </c>
      <c r="D114" t="s">
        <v>865</v>
      </c>
      <c r="E114" t="s">
        <v>857</v>
      </c>
      <c r="F114" s="3"/>
      <c r="G114" s="11"/>
      <c r="H114" s="11"/>
      <c r="I114" s="11"/>
      <c r="J114" s="11"/>
    </row>
    <row r="115">
      <c r="A115">
        <f>IFERROR(__xludf.DUMMYFUNCTION("""COMPUTED_VALUE"""),145.0)</f>
        <v>145</v>
      </c>
      <c r="B115" s="11" t="str">
        <f>IFERROR(__xludf.DUMMYFUNCTION("""COMPUTED_VALUE"""),"I would look to see if any new apps have been added and whether or not I remember giving them access. I would also look at all of the apps and see if there were any that I no longer use that can be removed.")</f>
        <v>I would look to see if any new apps have been added and whether or not I remember giving them access. I would also look at all of the apps and see if there were any that I no longer use that can be removed.</v>
      </c>
      <c r="C115" s="31" t="s">
        <v>826</v>
      </c>
      <c r="D115" t="s">
        <v>857</v>
      </c>
      <c r="E115" s="27" t="s">
        <v>848</v>
      </c>
      <c r="F115" s="32" t="s">
        <v>840</v>
      </c>
      <c r="G115" s="31" t="s">
        <v>812</v>
      </c>
      <c r="H115" s="31" t="s">
        <v>813</v>
      </c>
      <c r="I115" s="11"/>
      <c r="J115" s="11"/>
    </row>
    <row r="116">
      <c r="A116">
        <f>IFERROR(__xludf.DUMMYFUNCTION("""COMPUTED_VALUE"""),146.0)</f>
        <v>146</v>
      </c>
      <c r="B116" s="11" t="str">
        <f>IFERROR(__xludf.DUMMYFUNCTION("""COMPUTED_VALUE"""),"To see what has changed, or if I want to change settings on some of the websites I no longer use/etc")</f>
        <v>To see what has changed, or if I want to change settings on some of the websites I no longer use/etc</v>
      </c>
      <c r="C116" s="31" t="s">
        <v>856</v>
      </c>
      <c r="D116" s="31" t="s">
        <v>826</v>
      </c>
      <c r="E116" s="32" t="s">
        <v>840</v>
      </c>
      <c r="F116" s="3"/>
      <c r="G116" s="11"/>
      <c r="H116" s="11"/>
      <c r="I116" s="11"/>
      <c r="J116" s="11"/>
    </row>
    <row r="117">
      <c r="A117">
        <f>IFERROR(__xludf.DUMMYFUNCTION("""COMPUTED_VALUE"""),147.0)</f>
        <v>147</v>
      </c>
      <c r="B117" s="11" t="str">
        <f>IFERROR(__xludf.DUMMYFUNCTION("""COMPUTED_VALUE"""),"If ive added anything or dont need anything any longer")</f>
        <v>If ive added anything or dont need anything any longer</v>
      </c>
      <c r="C117" s="31" t="s">
        <v>826</v>
      </c>
      <c r="D117" t="s">
        <v>857</v>
      </c>
      <c r="E117" s="32" t="s">
        <v>840</v>
      </c>
      <c r="F117" s="11"/>
      <c r="G117" s="11"/>
      <c r="H117" s="11"/>
      <c r="I117" s="11"/>
      <c r="J117" s="11"/>
    </row>
    <row r="118">
      <c r="A118">
        <f>IFERROR(__xludf.DUMMYFUNCTION("""COMPUTED_VALUE"""),148.0)</f>
        <v>148</v>
      </c>
      <c r="B118" s="11"/>
      <c r="C118" s="3"/>
      <c r="D118" s="3"/>
      <c r="E118" s="11"/>
      <c r="F118" s="11"/>
      <c r="G118" s="11"/>
      <c r="H118" s="11"/>
      <c r="I118" s="11"/>
      <c r="J118" s="11"/>
    </row>
    <row r="119">
      <c r="A119">
        <f>IFERROR(__xludf.DUMMYFUNCTION("""COMPUTED_VALUE"""),149.0)</f>
        <v>149</v>
      </c>
      <c r="B119" s="11" t="str">
        <f>IFERROR(__xludf.DUMMYFUNCTION("""COMPUTED_VALUE"""),"Just to see if any new apps have access to my account.")</f>
        <v>Just to see if any new apps have access to my account.</v>
      </c>
      <c r="C119" s="31" t="s">
        <v>826</v>
      </c>
      <c r="D119" t="s">
        <v>857</v>
      </c>
      <c r="E119" s="11"/>
      <c r="F119" s="11"/>
      <c r="G119" s="11"/>
      <c r="H119" s="11"/>
      <c r="I119" s="11"/>
      <c r="J119" s="11"/>
    </row>
    <row r="120">
      <c r="A120">
        <f>IFERROR(__xludf.DUMMYFUNCTION("""COMPUTED_VALUE"""),150.0)</f>
        <v>150</v>
      </c>
      <c r="B120" s="11" t="str">
        <f>IFERROR(__xludf.DUMMYFUNCTION("""COMPUTED_VALUE"""),"Apps/sites that I don't use very often.")</f>
        <v>Apps/sites that I don't use very often.</v>
      </c>
      <c r="C120" s="31" t="s">
        <v>826</v>
      </c>
      <c r="D120" s="32" t="s">
        <v>840</v>
      </c>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t="str">
        <f>IFERROR(__xludf.DUMMYFUNCTION("""COMPUTED_VALUE"""),"I would see if anything changed.")</f>
        <v>I would see if anything changed.</v>
      </c>
      <c r="C122" s="31" t="s">
        <v>856</v>
      </c>
      <c r="E122" s="3"/>
      <c r="F122" s="11"/>
      <c r="G122" s="11"/>
      <c r="H122" s="11"/>
      <c r="I122" s="11"/>
      <c r="J122" s="11"/>
    </row>
    <row r="123">
      <c r="A123">
        <f>IFERROR(__xludf.DUMMYFUNCTION("""COMPUTED_VALUE"""),153.0)</f>
        <v>153</v>
      </c>
      <c r="B123" s="11" t="str">
        <f>IFERROR(__xludf.DUMMYFUNCTION("""COMPUTED_VALUE"""),"any new apps that i don't use after installing")</f>
        <v>any new apps that i don't use after installing</v>
      </c>
      <c r="C123" s="31" t="s">
        <v>826</v>
      </c>
      <c r="D123" t="s">
        <v>857</v>
      </c>
      <c r="E123" s="32" t="s">
        <v>840</v>
      </c>
      <c r="F123" s="3"/>
      <c r="G123" s="11"/>
      <c r="H123" s="11"/>
      <c r="I123" s="11"/>
      <c r="J123" s="11"/>
    </row>
    <row r="124">
      <c r="A124">
        <f>IFERROR(__xludf.DUMMYFUNCTION("""COMPUTED_VALUE"""),154.0)</f>
        <v>154</v>
      </c>
      <c r="B124" s="11" t="str">
        <f>IFERROR(__xludf.DUMMYFUNCTION("""COMPUTED_VALUE"""),"Any apps that I don't use anymore or if there are changes")</f>
        <v>Any apps that I don't use anymore or if there are changes</v>
      </c>
      <c r="C124" s="31" t="s">
        <v>856</v>
      </c>
      <c r="D124" s="31" t="s">
        <v>826</v>
      </c>
      <c r="E124" s="32" t="s">
        <v>840</v>
      </c>
      <c r="F124" s="11"/>
      <c r="G124" s="11"/>
      <c r="H124" s="11"/>
      <c r="I124" s="11"/>
      <c r="J124" s="11"/>
    </row>
    <row r="125">
      <c r="A125">
        <f>IFERROR(__xludf.DUMMYFUNCTION("""COMPUTED_VALUE"""),155.0)</f>
        <v>155</v>
      </c>
      <c r="B125" s="26" t="str">
        <f>IFERROR(__xludf.DUMMYFUNCTION("""COMPUTED_VALUE"""),"I am not comfortable with random games and apps being able to know my full name or other account details, so I will be on the lookout for any services that have access to that.")</f>
        <v>I am not comfortable with random games and apps being able to know my full name or other account details, so I will be on the lookout for any services that have access to that.</v>
      </c>
      <c r="C125" t="s">
        <v>833</v>
      </c>
      <c r="D125" s="31" t="s">
        <v>856</v>
      </c>
      <c r="E125" s="27" t="s">
        <v>844</v>
      </c>
      <c r="F125" s="11"/>
      <c r="G125" s="11"/>
      <c r="H125" s="11"/>
      <c r="I125" s="11"/>
      <c r="J125" s="11"/>
    </row>
    <row r="126">
      <c r="A126">
        <f>IFERROR(__xludf.DUMMYFUNCTION("""COMPUTED_VALUE"""),156.0)</f>
        <v>156</v>
      </c>
      <c r="B126" s="11"/>
      <c r="C126" s="3"/>
      <c r="D126" s="3"/>
      <c r="E126" s="11"/>
      <c r="F126" s="11"/>
      <c r="G126" s="11"/>
      <c r="H126" s="11"/>
      <c r="I126" s="11"/>
      <c r="J126" s="11"/>
    </row>
    <row r="127">
      <c r="A127">
        <f>IFERROR(__xludf.DUMMYFUNCTION("""COMPUTED_VALUE"""),157.0)</f>
        <v>157</v>
      </c>
      <c r="B127" s="11" t="str">
        <f>IFERROR(__xludf.DUMMYFUNCTION("""COMPUTED_VALUE"""),"The permissions such as if any information can be altered and how trustworthy it is.")</f>
        <v>The permissions such as if any information can be altered and how trustworthy it is.</v>
      </c>
      <c r="C127" s="31" t="s">
        <v>826</v>
      </c>
      <c r="D127" s="27" t="s">
        <v>866</v>
      </c>
      <c r="E127" s="3" t="s">
        <v>867</v>
      </c>
      <c r="F127" s="11"/>
      <c r="G127" s="11"/>
      <c r="H127" s="11"/>
      <c r="I127" s="11"/>
      <c r="J127" s="11"/>
    </row>
    <row r="128">
      <c r="A128">
        <f>IFERROR(__xludf.DUMMYFUNCTION("""COMPUTED_VALUE"""),158.0)</f>
        <v>158</v>
      </c>
      <c r="B128" s="11" t="str">
        <f>IFERROR(__xludf.DUMMYFUNCTION("""COMPUTED_VALUE"""),"To see if any unexpected apps had access to my account and potentially get rid of them.")</f>
        <v>To see if any unexpected apps had access to my account and potentially get rid of them.</v>
      </c>
      <c r="C128" s="31" t="s">
        <v>826</v>
      </c>
      <c r="D128" t="s">
        <v>865</v>
      </c>
      <c r="E128" s="32" t="s">
        <v>812</v>
      </c>
      <c r="F128" s="53" t="s">
        <v>819</v>
      </c>
      <c r="G128" s="54"/>
      <c r="H128" s="55"/>
      <c r="I128" s="11"/>
      <c r="J128" s="11"/>
    </row>
    <row r="129">
      <c r="A129">
        <f>IFERROR(__xludf.DUMMYFUNCTION("""COMPUTED_VALUE"""),159.0)</f>
        <v>159</v>
      </c>
      <c r="B129" s="11" t="str">
        <f>IFERROR(__xludf.DUMMYFUNCTION("""COMPUTED_VALUE"""),"What apps I have added to the list.")</f>
        <v>What apps I have added to the list.</v>
      </c>
      <c r="C129" s="31" t="s">
        <v>826</v>
      </c>
      <c r="D129" t="s">
        <v>857</v>
      </c>
      <c r="E129" s="11"/>
      <c r="F129" s="11"/>
      <c r="G129" s="11"/>
      <c r="H129" s="11"/>
      <c r="I129" s="11"/>
      <c r="J129" s="11"/>
    </row>
    <row r="130">
      <c r="A130">
        <f>IFERROR(__xludf.DUMMYFUNCTION("""COMPUTED_VALUE"""),160.0)</f>
        <v>160</v>
      </c>
      <c r="B130" s="11" t="str">
        <f>IFERROR(__xludf.DUMMYFUNCTION("""COMPUTED_VALUE"""),"Any sort of risks or apps that I again may not use by then that I could remove access to.")</f>
        <v>Any sort of risks or apps that I again may not use by then that I could remove access to.</v>
      </c>
      <c r="C130" s="31" t="s">
        <v>826</v>
      </c>
      <c r="D130" s="32" t="s">
        <v>840</v>
      </c>
      <c r="E130" s="32" t="s">
        <v>812</v>
      </c>
      <c r="F130" s="32" t="s">
        <v>813</v>
      </c>
      <c r="G130" s="3" t="s">
        <v>851</v>
      </c>
      <c r="H130" s="11"/>
      <c r="I130" s="11"/>
      <c r="J130" s="11"/>
    </row>
    <row r="131">
      <c r="A131">
        <f>IFERROR(__xludf.DUMMYFUNCTION("""COMPUTED_VALUE"""),161.0)</f>
        <v>161</v>
      </c>
      <c r="B131" s="11"/>
      <c r="C131" s="3"/>
      <c r="D131" s="3"/>
      <c r="E131" s="11"/>
      <c r="F131" s="11"/>
      <c r="G131" s="11"/>
      <c r="H131" s="11"/>
      <c r="I131" s="11"/>
      <c r="J131" s="11"/>
    </row>
    <row r="132">
      <c r="A132">
        <f>IFERROR(__xludf.DUMMYFUNCTION("""COMPUTED_VALUE"""),162.0)</f>
        <v>162</v>
      </c>
      <c r="B132" s="11" t="str">
        <f>IFERROR(__xludf.DUMMYFUNCTION("""COMPUTED_VALUE"""),"I would look for apps and games I no longer use.")</f>
        <v>I would look for apps and games I no longer use.</v>
      </c>
      <c r="C132" s="31" t="s">
        <v>826</v>
      </c>
      <c r="D132" s="32" t="s">
        <v>840</v>
      </c>
      <c r="E132" s="11"/>
      <c r="F132" s="11"/>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11"/>
      <c r="C134" s="3"/>
      <c r="D134" s="3"/>
      <c r="E134" s="3"/>
      <c r="F134" s="11"/>
      <c r="G134" s="11"/>
      <c r="H134" s="11"/>
      <c r="I134" s="11"/>
      <c r="J134" s="11"/>
    </row>
    <row r="135">
      <c r="A135">
        <f>IFERROR(__xludf.DUMMYFUNCTION("""COMPUTED_VALUE"""),165.0)</f>
        <v>165</v>
      </c>
      <c r="B135" s="11" t="str">
        <f>IFERROR(__xludf.DUMMYFUNCTION("""COMPUTED_VALUE"""),"I would check to see whether any settings have changed since my most recent review and update any access by apps I do not want.")</f>
        <v>I would check to see whether any settings have changed since my most recent review and update any access by apps I do not want.</v>
      </c>
      <c r="C135" s="31" t="s">
        <v>856</v>
      </c>
      <c r="D135" s="32" t="s">
        <v>812</v>
      </c>
      <c r="E135" s="32" t="s">
        <v>813</v>
      </c>
      <c r="F135" s="11"/>
      <c r="G135" s="11"/>
      <c r="H135" s="11"/>
      <c r="I135" s="11"/>
      <c r="J135" s="11"/>
    </row>
    <row r="136">
      <c r="A136">
        <f>IFERROR(__xludf.DUMMYFUNCTION("""COMPUTED_VALUE"""),166.0)</f>
        <v>166</v>
      </c>
      <c r="B136" s="11" t="str">
        <f>IFERROR(__xludf.DUMMYFUNCTION("""COMPUTED_VALUE"""),"I would look for apps that I no longer use and if they still have access to my account and to what parts of my account.")</f>
        <v>I would look for apps that I no longer use and if they still have access to my account and to what parts of my account.</v>
      </c>
      <c r="C136" s="31" t="s">
        <v>826</v>
      </c>
      <c r="D136" s="32" t="s">
        <v>840</v>
      </c>
      <c r="E136" s="3"/>
      <c r="F136" s="11"/>
      <c r="G136" s="11"/>
      <c r="H136" s="11"/>
      <c r="I136" s="11"/>
      <c r="J136" s="11"/>
    </row>
    <row r="137">
      <c r="A137">
        <f>IFERROR(__xludf.DUMMYFUNCTION("""COMPUTED_VALUE"""),167.0)</f>
        <v>167</v>
      </c>
      <c r="B137" s="11" t="str">
        <f>IFERROR(__xludf.DUMMYFUNCTION("""COMPUTED_VALUE"""),"I would look for any unexpected or new third parties and just make sure that all of them have very limited access to my personal information. I'd maybe continue to review this page over time to make sure nothing has changed.")</f>
        <v>I would look for any unexpected or new third parties and just make sure that all of them have very limited access to my personal information. I'd maybe continue to review this page over time to make sure nothing has changed.</v>
      </c>
      <c r="C137" s="31" t="s">
        <v>826</v>
      </c>
      <c r="D137" t="s">
        <v>865</v>
      </c>
      <c r="E137" t="s">
        <v>857</v>
      </c>
      <c r="F137" t="s">
        <v>833</v>
      </c>
      <c r="H137" s="11"/>
      <c r="I137" s="11"/>
      <c r="J137" s="11"/>
    </row>
    <row r="138">
      <c r="A138">
        <f>IFERROR(__xludf.DUMMYFUNCTION("""COMPUTED_VALUE"""),168.0)</f>
        <v>168</v>
      </c>
      <c r="B138" s="11" t="str">
        <f>IFERROR(__xludf.DUMMYFUNCTION("""COMPUTED_VALUE"""),"i would review which apps i am using the most")</f>
        <v>i would review which apps i am using the most</v>
      </c>
      <c r="C138" s="31" t="s">
        <v>826</v>
      </c>
      <c r="D138" s="31" t="s">
        <v>868</v>
      </c>
      <c r="E138" s="3"/>
      <c r="F138" s="11"/>
      <c r="G138" s="11"/>
      <c r="H138" s="11"/>
      <c r="I138" s="11"/>
      <c r="J138" s="11"/>
    </row>
    <row r="139">
      <c r="A139">
        <f>IFERROR(__xludf.DUMMYFUNCTION("""COMPUTED_VALUE"""),169.0)</f>
        <v>169</v>
      </c>
      <c r="B139" s="11" t="str">
        <f>IFERROR(__xludf.DUMMYFUNCTION("""COMPUTED_VALUE"""),"To see if any apps have access that I do want to have access.")</f>
        <v>To see if any apps have access that I do want to have access.</v>
      </c>
      <c r="C139" s="31" t="s">
        <v>826</v>
      </c>
      <c r="D139" s="3"/>
      <c r="E139" s="3"/>
      <c r="F139" s="11"/>
      <c r="G139" s="11"/>
      <c r="H139" s="11"/>
      <c r="I139" s="11"/>
      <c r="J139" s="11"/>
    </row>
    <row r="140">
      <c r="A140">
        <f>IFERROR(__xludf.DUMMYFUNCTION("""COMPUTED_VALUE"""),170.0)</f>
        <v>170</v>
      </c>
      <c r="B140" s="26" t="str">
        <f>IFERROR(__xludf.DUMMYFUNCTION("""COMPUTED_VALUE"""),"just to see if they have sneak updated anything")</f>
        <v>just to see if they have sneak updated anything</v>
      </c>
      <c r="C140" t="s">
        <v>856</v>
      </c>
      <c r="E140" s="3"/>
      <c r="F140" s="3"/>
      <c r="G140" s="11"/>
      <c r="H140" s="11"/>
      <c r="I140" s="11"/>
      <c r="J140" s="11"/>
    </row>
    <row r="141">
      <c r="A141">
        <f>IFERROR(__xludf.DUMMYFUNCTION("""COMPUTED_VALUE"""),171.0)</f>
        <v>171</v>
      </c>
      <c r="B141" s="11" t="str">
        <f>IFERROR(__xludf.DUMMYFUNCTION("""COMPUTED_VALUE"""),"I would look for apps that I don't remember using and apps that are untrustworthy.")</f>
        <v>I would look for apps that I don't remember using and apps that are untrustworthy.</v>
      </c>
      <c r="C141" s="3" t="s">
        <v>867</v>
      </c>
      <c r="D141" s="31" t="s">
        <v>826</v>
      </c>
      <c r="E141" t="s">
        <v>848</v>
      </c>
      <c r="F141" s="11"/>
      <c r="G141" s="11"/>
      <c r="H141" s="11"/>
      <c r="I141" s="11"/>
      <c r="J141" s="11"/>
    </row>
    <row r="142">
      <c r="A142">
        <f>IFERROR(__xludf.DUMMYFUNCTION("""COMPUTED_VALUE"""),172.0)</f>
        <v>172</v>
      </c>
      <c r="B142" s="11" t="str">
        <f>IFERROR(__xludf.DUMMYFUNCTION("""COMPUTED_VALUE"""),"Old apps that I no longer use; analyze exactly what kind of access each app has in case I missed an access that I don't think the app needs; apps that I don't recognize;")</f>
        <v>Old apps that I no longer use; analyze exactly what kind of access each app has in case I missed an access that I don't think the app needs; apps that I don't recognize;</v>
      </c>
      <c r="C142" s="31" t="s">
        <v>826</v>
      </c>
      <c r="D142" t="s">
        <v>865</v>
      </c>
      <c r="E142" s="32" t="s">
        <v>840</v>
      </c>
      <c r="F142" s="11"/>
      <c r="G142" s="11"/>
      <c r="H142" s="11"/>
      <c r="I142" s="11"/>
      <c r="J142" s="11"/>
    </row>
    <row r="143">
      <c r="A143">
        <f>IFERROR(__xludf.DUMMYFUNCTION("""COMPUTED_VALUE"""),173.0)</f>
        <v>173</v>
      </c>
      <c r="B143" s="11" t="str">
        <f>IFERROR(__xludf.DUMMYFUNCTION("""COMPUTED_VALUE"""),"See if things have changes and how many more apps are on there")</f>
        <v>See if things have changes and how many more apps are on there</v>
      </c>
      <c r="C143" t="s">
        <v>856</v>
      </c>
      <c r="D143" s="3"/>
      <c r="E143" s="3"/>
      <c r="F143" s="11"/>
      <c r="G143" s="11"/>
      <c r="H143" s="11"/>
      <c r="I143" s="11"/>
      <c r="J143" s="11"/>
    </row>
    <row r="144">
      <c r="A144">
        <f>IFERROR(__xludf.DUMMYFUNCTION("""COMPUTED_VALUE"""),174.0)</f>
        <v>174</v>
      </c>
      <c r="B144" s="11" t="str">
        <f>IFERROR(__xludf.DUMMYFUNCTION("""COMPUTED_VALUE"""),"Apps that I no longer use or apps that I am not familiar with.")</f>
        <v>Apps that I no longer use or apps that I am not familiar with.</v>
      </c>
      <c r="C144" s="31" t="s">
        <v>826</v>
      </c>
      <c r="D144" t="s">
        <v>865</v>
      </c>
      <c r="E144" s="32" t="s">
        <v>840</v>
      </c>
      <c r="F144" s="3"/>
      <c r="G144" s="3"/>
      <c r="H144" s="11"/>
      <c r="I144" s="11"/>
      <c r="J144" s="11"/>
    </row>
    <row r="145">
      <c r="A145">
        <f>IFERROR(__xludf.DUMMYFUNCTION("""COMPUTED_VALUE"""),175.0)</f>
        <v>175</v>
      </c>
      <c r="B145" s="11" t="str">
        <f>IFERROR(__xludf.DUMMYFUNCTION("""COMPUTED_VALUE"""),"see if anything in the settings has changed, or any new apps are on there")</f>
        <v>see if anything in the settings has changed, or any new apps are on there</v>
      </c>
      <c r="C145" t="s">
        <v>856</v>
      </c>
      <c r="D145" s="31" t="s">
        <v>826</v>
      </c>
      <c r="E145" t="s">
        <v>857</v>
      </c>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IFERROR(__xludf.DUMMYFUNCTION("""COMPUTED_VALUE"""),"unused or unfamiliar extensions")</f>
        <v>unused or unfamiliar extensions</v>
      </c>
      <c r="C147" t="s">
        <v>826</v>
      </c>
      <c r="D147" t="s">
        <v>865</v>
      </c>
      <c r="E147" s="3"/>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IFERROR(__xludf.DUMMYFUNCTION("""COMPUTED_VALUE"""),"Services that I don't use, as well as whether any changes have been made.")</f>
        <v>Services that I don't use, as well as whether any changes have been made.</v>
      </c>
      <c r="C149" t="s">
        <v>856</v>
      </c>
      <c r="D149" s="31" t="s">
        <v>826</v>
      </c>
      <c r="E149" s="32" t="s">
        <v>840</v>
      </c>
      <c r="F149" s="11"/>
      <c r="H149" s="11"/>
      <c r="I149" s="11"/>
      <c r="J149" s="11"/>
    </row>
    <row r="150">
      <c r="A150">
        <f>IFERROR(__xludf.DUMMYFUNCTION("""COMPUTED_VALUE"""),181.0)</f>
        <v>181</v>
      </c>
      <c r="B150" s="11" t="str">
        <f>IFERROR(__xludf.DUMMYFUNCTION("""COMPUTED_VALUE"""),"Apps that I don't use any more, maybe remove them.")</f>
        <v>Apps that I don't use any more, maybe remove them.</v>
      </c>
      <c r="C150" s="31" t="s">
        <v>826</v>
      </c>
      <c r="D150" s="32" t="s">
        <v>840</v>
      </c>
      <c r="E150" s="32" t="s">
        <v>812</v>
      </c>
      <c r="F150" s="32" t="s">
        <v>813</v>
      </c>
      <c r="H150" s="11"/>
      <c r="I150" s="11"/>
      <c r="J150" s="11"/>
    </row>
    <row r="151">
      <c r="A151">
        <f>IFERROR(__xludf.DUMMYFUNCTION("""COMPUTED_VALUE"""),182.0)</f>
        <v>182</v>
      </c>
      <c r="B151" s="11" t="str">
        <f>IFERROR(__xludf.DUMMYFUNCTION("""COMPUTED_VALUE"""),"I would like to see things like what things these apps have access to or just whenever I last used them")</f>
        <v>I would like to see things like what things these apps have access to or just whenever I last used them</v>
      </c>
      <c r="C151" s="31" t="s">
        <v>826</v>
      </c>
      <c r="D151" s="32" t="s">
        <v>840</v>
      </c>
      <c r="E151" t="s">
        <v>862</v>
      </c>
      <c r="F151" s="3"/>
      <c r="H151" s="11"/>
      <c r="I151" s="11"/>
      <c r="J151" s="11"/>
    </row>
    <row r="152">
      <c r="A152">
        <f>IFERROR(__xludf.DUMMYFUNCTION("""COMPUTED_VALUE"""),183.0)</f>
        <v>183</v>
      </c>
      <c r="B152" s="11" t="str">
        <f>IFERROR(__xludf.DUMMYFUNCTION("""COMPUTED_VALUE"""),"If the app that have access to my account, is something I will continue to use in the future.")</f>
        <v>If the app that have access to my account, is something I will continue to use in the future.</v>
      </c>
      <c r="C152" s="31" t="s">
        <v>826</v>
      </c>
      <c r="D152" s="32" t="s">
        <v>840</v>
      </c>
      <c r="E152" s="11"/>
      <c r="F152" s="11"/>
      <c r="H152" s="11"/>
      <c r="I152" s="11"/>
      <c r="J152" s="11"/>
    </row>
    <row r="153">
      <c r="A153">
        <f>IFERROR(__xludf.DUMMYFUNCTION("""COMPUTED_VALUE"""),184.0)</f>
        <v>184</v>
      </c>
      <c r="B153" s="11" t="str">
        <f>IFERROR(__xludf.DUMMYFUNCTION("""COMPUTED_VALUE"""),"I would look to confirm which apps actually have access and confirm what access they have")</f>
        <v>I would look to confirm which apps actually have access and confirm what access they have</v>
      </c>
      <c r="C153" s="31" t="s">
        <v>826</v>
      </c>
      <c r="D153" t="s">
        <v>854</v>
      </c>
      <c r="E153" s="11"/>
      <c r="F153" s="11"/>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t="str">
        <f>IFERROR(__xludf.DUMMYFUNCTION("""COMPUTED_VALUE"""),"Apps that I don't want to have access to my information")</f>
        <v>Apps that I don't want to have access to my information</v>
      </c>
      <c r="C155" s="31" t="s">
        <v>826</v>
      </c>
      <c r="D155" t="s">
        <v>833</v>
      </c>
      <c r="E155" s="11"/>
      <c r="F155" s="11"/>
      <c r="G155" s="11"/>
      <c r="H155" s="11"/>
      <c r="I155" s="11"/>
      <c r="J155" s="11"/>
    </row>
    <row r="156">
      <c r="A156">
        <f>IFERROR(__xludf.DUMMYFUNCTION("""COMPUTED_VALUE"""),187.0)</f>
        <v>187</v>
      </c>
      <c r="B156" s="11"/>
      <c r="C156" s="11"/>
      <c r="D156" s="11"/>
      <c r="E156" s="11"/>
      <c r="F156" s="11"/>
      <c r="G156" s="11"/>
      <c r="H156" s="11"/>
      <c r="I156" s="11"/>
      <c r="J156" s="11"/>
    </row>
    <row r="157">
      <c r="A157">
        <f>IFERROR(__xludf.DUMMYFUNCTION("""COMPUTED_VALUE"""),188.0)</f>
        <v>188</v>
      </c>
      <c r="B157" s="11"/>
      <c r="C157" s="11"/>
      <c r="D157" s="11"/>
      <c r="E157" s="11"/>
      <c r="F157" s="11"/>
      <c r="G157" s="11"/>
      <c r="H157" s="11"/>
      <c r="I157" s="11"/>
      <c r="J157" s="11"/>
    </row>
    <row r="158">
      <c r="A158">
        <f>IFERROR(__xludf.DUMMYFUNCTION("""COMPUTED_VALUE"""),189.0)</f>
        <v>189</v>
      </c>
      <c r="B158" s="11" t="str">
        <f>IFERROR(__xludf.DUMMYFUNCTION("""COMPUTED_VALUE"""),"What I have installed, and If I really need it.")</f>
        <v>What I have installed, and If I really need it.</v>
      </c>
      <c r="C158" s="31" t="s">
        <v>826</v>
      </c>
      <c r="D158" s="32" t="s">
        <v>840</v>
      </c>
      <c r="E158" s="11"/>
      <c r="F158" s="11"/>
      <c r="G158" s="11"/>
      <c r="H158" s="11"/>
      <c r="I158" s="11"/>
      <c r="J158" s="11"/>
    </row>
    <row r="159">
      <c r="A159">
        <f>IFERROR(__xludf.DUMMYFUNCTION("""COMPUTED_VALUE"""),190.0)</f>
        <v>190</v>
      </c>
      <c r="B159" s="11" t="str">
        <f>IFERROR(__xludf.DUMMYFUNCTION("""COMPUTED_VALUE"""),"Apps that I no longer use or apps with suspicious permissions.")</f>
        <v>Apps that I no longer use or apps with suspicious permissions.</v>
      </c>
      <c r="C159" s="31" t="s">
        <v>826</v>
      </c>
      <c r="D159" s="32" t="s">
        <v>840</v>
      </c>
      <c r="E159" t="s">
        <v>849</v>
      </c>
      <c r="F159" s="11"/>
      <c r="G159" s="11"/>
      <c r="H159" s="11"/>
      <c r="I159" s="11"/>
      <c r="J159" s="11"/>
    </row>
    <row r="160">
      <c r="A160">
        <f>IFERROR(__xludf.DUMMYFUNCTION("""COMPUTED_VALUE"""),191.0)</f>
        <v>191</v>
      </c>
      <c r="B160" s="11" t="str">
        <f>IFERROR(__xludf.DUMMYFUNCTION("""COMPUTED_VALUE"""),"how many apps have access")</f>
        <v>how many apps have access</v>
      </c>
      <c r="C160" s="31" t="s">
        <v>826</v>
      </c>
      <c r="D160" s="11"/>
      <c r="E160" s="11"/>
      <c r="F160" s="11"/>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t="str">
        <f>IFERROR(__xludf.DUMMYFUNCTION("""COMPUTED_VALUE"""),"I would like for any apps that have access to my account.")</f>
        <v>I would like for any apps that have access to my account.</v>
      </c>
      <c r="C162" s="31" t="s">
        <v>826</v>
      </c>
      <c r="D162" s="11"/>
      <c r="E162" s="11"/>
      <c r="F162" s="11"/>
      <c r="G162" s="11"/>
      <c r="H162" s="11"/>
      <c r="I162" s="11"/>
      <c r="J162" s="11"/>
    </row>
    <row r="163">
      <c r="A163">
        <f>IFERROR(__xludf.DUMMYFUNCTION("""COMPUTED_VALUE"""),194.0)</f>
        <v>194</v>
      </c>
      <c r="B163" s="11" t="str">
        <f>IFERROR(__xludf.DUMMYFUNCTION("""COMPUTED_VALUE"""),"I would look to see any third party logins in six months")</f>
        <v>I would look to see any third party logins in six months</v>
      </c>
      <c r="C163" s="31" t="s">
        <v>826</v>
      </c>
      <c r="D163" t="s">
        <v>863</v>
      </c>
      <c r="E163" s="11"/>
      <c r="F163" s="11"/>
      <c r="G163" s="11"/>
      <c r="H163" s="11"/>
      <c r="I163" s="11"/>
      <c r="J163" s="11"/>
    </row>
    <row r="164">
      <c r="A164">
        <f>IFERROR(__xludf.DUMMYFUNCTION("""COMPUTED_VALUE"""),195.0)</f>
        <v>195</v>
      </c>
      <c r="B164" s="11"/>
      <c r="C164" s="11"/>
      <c r="D164" s="11"/>
      <c r="E164" s="11"/>
      <c r="F164" s="11"/>
      <c r="G164" s="11"/>
      <c r="H164" s="11"/>
      <c r="I164" s="11"/>
      <c r="J164" s="11"/>
    </row>
    <row r="165">
      <c r="A165">
        <f>IFERROR(__xludf.DUMMYFUNCTION("""COMPUTED_VALUE"""),196.0)</f>
        <v>196</v>
      </c>
      <c r="B165" s="11" t="str">
        <f>IFERROR(__xludf.DUMMYFUNCTION("""COMPUTED_VALUE"""),"I would look for the apps that I do not use anymore, and also review and reflect why some of these apps require to access different parts of my Google account. This may determine whether I keep some apps or not too.")</f>
        <v>I would look for the apps that I do not use anymore, and also review and reflect why some of these apps require to access different parts of my Google account. This may determine whether I keep some apps or not too.</v>
      </c>
      <c r="C165" s="31" t="s">
        <v>826</v>
      </c>
      <c r="D165" s="32" t="s">
        <v>840</v>
      </c>
      <c r="E165" t="s">
        <v>846</v>
      </c>
      <c r="F165" s="11"/>
      <c r="G165" s="11"/>
      <c r="H165" s="11"/>
      <c r="I165" s="11"/>
      <c r="J165" s="11"/>
    </row>
    <row r="166">
      <c r="A166">
        <f>IFERROR(__xludf.DUMMYFUNCTION("""COMPUTED_VALUE"""),197.0)</f>
        <v>197</v>
      </c>
      <c r="B166" s="11"/>
      <c r="C166" s="11"/>
      <c r="D166" s="11"/>
      <c r="E166" s="11"/>
      <c r="F166" s="11"/>
      <c r="G166" s="11"/>
      <c r="H166" s="11"/>
      <c r="I166" s="11"/>
      <c r="J166" s="11"/>
    </row>
    <row r="167">
      <c r="A167">
        <f>IFERROR(__xludf.DUMMYFUNCTION("""COMPUTED_VALUE"""),198.0)</f>
        <v>198</v>
      </c>
      <c r="B167" s="11"/>
      <c r="C167" s="11"/>
      <c r="D167" s="11"/>
      <c r="E167" s="11"/>
      <c r="F167" s="11"/>
      <c r="G167" s="11"/>
      <c r="H167" s="11"/>
      <c r="I167" s="11"/>
      <c r="J167" s="11"/>
    </row>
    <row r="168">
      <c r="A168">
        <f>IFERROR(__xludf.DUMMYFUNCTION("""COMPUTED_VALUE"""),199.0)</f>
        <v>199</v>
      </c>
      <c r="B168" s="11" t="str">
        <f>IFERROR(__xludf.DUMMYFUNCTION("""COMPUTED_VALUE"""),"If any new apps are listed that I don't remember approving. Also, just as a safeguard for my data.")</f>
        <v>If any new apps are listed that I don't remember approving. Also, just as a safeguard for my data.</v>
      </c>
      <c r="C168" t="s">
        <v>833</v>
      </c>
      <c r="D168" s="31" t="s">
        <v>826</v>
      </c>
      <c r="E168" t="s">
        <v>857</v>
      </c>
      <c r="F168" s="11"/>
      <c r="G168" s="11"/>
      <c r="H168" s="11"/>
      <c r="I168" s="11"/>
      <c r="J168" s="11"/>
    </row>
    <row r="169">
      <c r="A169">
        <f>IFERROR(__xludf.DUMMYFUNCTION("""COMPUTED_VALUE"""),200.0)</f>
        <v>200</v>
      </c>
      <c r="B169" s="11" t="str">
        <f>IFERROR(__xludf.DUMMYFUNCTION("""COMPUTED_VALUE"""),"I would look to make sure there haven't been any alterations to accesses.")</f>
        <v>I would look to make sure there haven't been any alterations to accesses.</v>
      </c>
      <c r="C169" t="s">
        <v>856</v>
      </c>
      <c r="D169" s="11"/>
      <c r="E169" s="11"/>
      <c r="F169" s="11"/>
      <c r="G169" s="11"/>
      <c r="H169" s="11"/>
      <c r="I169" s="11"/>
      <c r="J169" s="11"/>
    </row>
    <row r="170">
      <c r="A170">
        <f>IFERROR(__xludf.DUMMYFUNCTION("""COMPUTED_VALUE"""),201.0)</f>
        <v>201</v>
      </c>
      <c r="B170" s="11" t="str">
        <f>IFERROR(__xludf.DUMMYFUNCTION("""COMPUTED_VALUE"""),"What they can see and change. How much info they have...")</f>
        <v>What they can see and change. How much info they have...</v>
      </c>
      <c r="C170" t="s">
        <v>856</v>
      </c>
      <c r="D170" s="31" t="s">
        <v>826</v>
      </c>
      <c r="E170" t="s">
        <v>846</v>
      </c>
      <c r="G170" s="11"/>
      <c r="H170" s="11"/>
      <c r="I170" s="11"/>
      <c r="J170" s="11"/>
    </row>
    <row r="171">
      <c r="A171">
        <f>IFERROR(__xludf.DUMMYFUNCTION("""COMPUTED_VALUE"""),202.0)</f>
        <v>202</v>
      </c>
      <c r="B171" s="11" t="str">
        <f>IFERROR(__xludf.DUMMYFUNCTION("""COMPUTED_VALUE"""),"I would look for apps that I no longer use.")</f>
        <v>I would look for apps that I no longer use.</v>
      </c>
      <c r="C171" s="31" t="s">
        <v>826</v>
      </c>
      <c r="D171" s="32" t="s">
        <v>840</v>
      </c>
      <c r="E171" s="11"/>
      <c r="F171" s="11"/>
      <c r="G171" s="11"/>
      <c r="H171" s="11"/>
      <c r="I171" s="11"/>
      <c r="J171" s="11"/>
    </row>
    <row r="172">
      <c r="A172">
        <f>IFERROR(__xludf.DUMMYFUNCTION("""COMPUTED_VALUE"""),203.0)</f>
        <v>203</v>
      </c>
      <c r="B172" s="11" t="str">
        <f>IFERROR(__xludf.DUMMYFUNCTION("""COMPUTED_VALUE"""),"If they have anything to do with money.")</f>
        <v>If they have anything to do with money.</v>
      </c>
      <c r="C172" s="31" t="s">
        <v>826</v>
      </c>
      <c r="D172" s="32"/>
      <c r="E172" s="11"/>
      <c r="F172" s="11"/>
      <c r="G172" s="11"/>
      <c r="H172" s="11"/>
      <c r="I172" s="11"/>
      <c r="J172" s="11"/>
    </row>
    <row r="173">
      <c r="A173">
        <f>IFERROR(__xludf.DUMMYFUNCTION("""COMPUTED_VALUE"""),204.0)</f>
        <v>204</v>
      </c>
      <c r="B173" s="11" t="str">
        <f>IFERROR(__xludf.DUMMYFUNCTION("""COMPUTED_VALUE"""),"Websites and apps I no longer use that still have permission to use my account.")</f>
        <v>Websites and apps I no longer use that still have permission to use my account.</v>
      </c>
      <c r="C173" s="31" t="s">
        <v>826</v>
      </c>
      <c r="D173" s="32" t="s">
        <v>840</v>
      </c>
      <c r="E173" s="11"/>
      <c r="F173" s="11"/>
      <c r="G173" s="11"/>
      <c r="H173" s="11"/>
      <c r="I173" s="11"/>
      <c r="J173" s="11"/>
    </row>
    <row r="174">
      <c r="A174">
        <f>IFERROR(__xludf.DUMMYFUNCTION("""COMPUTED_VALUE"""),205.0)</f>
        <v>205</v>
      </c>
      <c r="B174" s="11" t="str">
        <f>IFERROR(__xludf.DUMMYFUNCTION("""COMPUTED_VALUE"""),"Which apps I use on a regular basis, which apps may warrant creation of a specific account for that purpose.")</f>
        <v>Which apps I use on a regular basis, which apps may warrant creation of a specific account for that purpose.</v>
      </c>
      <c r="C174" s="28" t="s">
        <v>823</v>
      </c>
      <c r="D174" s="31" t="s">
        <v>826</v>
      </c>
      <c r="E174" t="s">
        <v>868</v>
      </c>
      <c r="F174" s="11"/>
      <c r="G174" s="11"/>
      <c r="H174" s="11"/>
      <c r="I174" s="11"/>
      <c r="J174" s="11"/>
    </row>
    <row r="175">
      <c r="A175">
        <f>IFERROR(__xludf.DUMMYFUNCTION("""COMPUTED_VALUE"""),206.0)</f>
        <v>206</v>
      </c>
      <c r="B175" s="11" t="str">
        <f>IFERROR(__xludf.DUMMYFUNCTION("""COMPUTED_VALUE"""),"If there are permissions given that I did not authorize.")</f>
        <v>If there are permissions given that I did not authorize.</v>
      </c>
      <c r="C175" s="31" t="s">
        <v>826</v>
      </c>
      <c r="D175" s="27" t="s">
        <v>869</v>
      </c>
      <c r="E175" s="11"/>
      <c r="F175" s="11"/>
      <c r="G175" s="11"/>
      <c r="H175" s="11"/>
      <c r="I175" s="11"/>
      <c r="J175" s="11"/>
    </row>
    <row r="176">
      <c r="A176">
        <f>IFERROR(__xludf.DUMMYFUNCTION("""COMPUTED_VALUE"""),207.0)</f>
        <v>207</v>
      </c>
      <c r="B176" s="11" t="str">
        <f>IFERROR(__xludf.DUMMYFUNCTION("""COMPUTED_VALUE"""),"If I have given permission to apps that I should not have given permission to use my Google account.")</f>
        <v>If I have given permission to apps that I should not have given permission to use my Google account.</v>
      </c>
      <c r="C176" s="31" t="s">
        <v>826</v>
      </c>
      <c r="D176" t="s">
        <v>850</v>
      </c>
      <c r="E176" s="11"/>
      <c r="F176" s="11"/>
      <c r="G176" s="11"/>
      <c r="H176" s="11"/>
      <c r="I176" s="11"/>
      <c r="J176" s="11"/>
    </row>
    <row r="177">
      <c r="A177">
        <f>IFERROR(__xludf.DUMMYFUNCTION("""COMPUTED_VALUE"""),208.0)</f>
        <v>208</v>
      </c>
      <c r="B177" s="11"/>
      <c r="C177" s="11"/>
      <c r="D177" s="11"/>
      <c r="E177" s="11"/>
      <c r="F177" s="11"/>
      <c r="G177" s="11"/>
      <c r="H177" s="11"/>
      <c r="I177" s="11"/>
      <c r="J177" s="11"/>
    </row>
    <row r="178">
      <c r="A178">
        <f>IFERROR(__xludf.DUMMYFUNCTION("""COMPUTED_VALUE"""),209.0)</f>
        <v>209</v>
      </c>
      <c r="B178" s="11" t="str">
        <f>IFERROR(__xludf.DUMMYFUNCTION("""COMPUTED_VALUE"""),"I would like to see what I can get rid of")</f>
        <v>I would like to see what I can get rid of</v>
      </c>
      <c r="C178" t="s">
        <v>812</v>
      </c>
      <c r="D178" s="11"/>
      <c r="E178" s="11"/>
      <c r="F178" s="11"/>
      <c r="G178" s="11"/>
      <c r="H178" s="11"/>
      <c r="I178" s="11"/>
      <c r="J178" s="11"/>
    </row>
    <row r="179">
      <c r="A179">
        <f>IFERROR(__xludf.DUMMYFUNCTION("""COMPUTED_VALUE"""),210.0)</f>
        <v>210</v>
      </c>
      <c r="B179" s="26" t="str">
        <f>IFERROR(__xludf.DUMMYFUNCTION("""COMPUTED_VALUE"""),"i need to read what apps are seeing and what exactly i signed up for, plus check to see if anything has changed like they got more access without saying anything")</f>
        <v>i need to read what apps are seeing and what exactly i signed up for, plus check to see if anything has changed like they got more access without saying anything</v>
      </c>
      <c r="C179" t="s">
        <v>856</v>
      </c>
      <c r="D179" s="27" t="s">
        <v>870</v>
      </c>
      <c r="E179" s="11"/>
      <c r="F179" s="11"/>
      <c r="G179" s="11"/>
      <c r="H179" s="11"/>
      <c r="I179" s="11"/>
      <c r="J179" s="11"/>
    </row>
    <row r="180">
      <c r="A180">
        <f>IFERROR(__xludf.DUMMYFUNCTION("""COMPUTED_VALUE"""),211.0)</f>
        <v>211</v>
      </c>
      <c r="B180" s="11" t="str">
        <f>IFERROR(__xludf.DUMMYFUNCTION("""COMPUTED_VALUE"""),"I'd look for apps that had permissions to access areas other than what I feel they are intended to access.")</f>
        <v>I'd look for apps that had permissions to access areas other than what I feel they are intended to access.</v>
      </c>
      <c r="C180" s="31" t="s">
        <v>826</v>
      </c>
      <c r="D180" t="s">
        <v>845</v>
      </c>
      <c r="E180" s="11"/>
      <c r="F180" s="11"/>
      <c r="G180" s="11"/>
      <c r="H180" s="11"/>
      <c r="I180" s="11"/>
      <c r="J180" s="11"/>
    </row>
    <row r="181">
      <c r="A181">
        <f>IFERROR(__xludf.DUMMYFUNCTION("""COMPUTED_VALUE"""),212.0)</f>
        <v>212</v>
      </c>
      <c r="B181" s="11"/>
      <c r="C181" s="11"/>
      <c r="D181" s="11"/>
      <c r="E181" s="11"/>
      <c r="F181" s="11"/>
      <c r="G181" s="11"/>
      <c r="H181" s="11"/>
      <c r="I181" s="11"/>
      <c r="J181" s="11"/>
    </row>
    <row r="182">
      <c r="A182">
        <f>IFERROR(__xludf.DUMMYFUNCTION("""COMPUTED_VALUE"""),213.0)</f>
        <v>213</v>
      </c>
      <c r="B182" s="11" t="str">
        <f>IFERROR(__xludf.DUMMYFUNCTION("""COMPUTED_VALUE"""),"Date usage, Privacy settings, and linked accounts.")</f>
        <v>Date usage, Privacy settings, and linked accounts.</v>
      </c>
      <c r="C182" s="31" t="s">
        <v>826</v>
      </c>
      <c r="D182" t="s">
        <v>846</v>
      </c>
      <c r="E182" t="s">
        <v>863</v>
      </c>
      <c r="F182" s="27" t="s">
        <v>853</v>
      </c>
      <c r="G182" s="11"/>
      <c r="H182" s="11"/>
      <c r="I182" s="11"/>
      <c r="J182" s="11"/>
    </row>
    <row r="183">
      <c r="A183">
        <f>IFERROR(__xludf.DUMMYFUNCTION("""COMPUTED_VALUE"""),214.0)</f>
        <v>214</v>
      </c>
      <c r="B183" s="11"/>
      <c r="C183" s="11"/>
      <c r="D183" s="11"/>
      <c r="E183" s="11"/>
      <c r="F183" s="11"/>
      <c r="G183" s="11"/>
      <c r="H183" s="11"/>
      <c r="I183" s="11"/>
      <c r="J183" s="11"/>
    </row>
    <row r="184">
      <c r="A184">
        <f>IFERROR(__xludf.DUMMYFUNCTION("""COMPUTED_VALUE"""),216.0)</f>
        <v>216</v>
      </c>
      <c r="B184" s="11"/>
      <c r="C184" s="11"/>
      <c r="D184" s="11"/>
      <c r="E184" s="11"/>
      <c r="F184" s="11"/>
      <c r="G184" s="11"/>
      <c r="H184" s="11"/>
      <c r="I184" s="11"/>
      <c r="J184" s="11"/>
    </row>
    <row r="185">
      <c r="A185">
        <f>IFERROR(__xludf.DUMMYFUNCTION("""COMPUTED_VALUE"""),218.0)</f>
        <v>218</v>
      </c>
      <c r="B185" s="11" t="str">
        <f>IFERROR(__xludf.DUMMYFUNCTION("""COMPUTED_VALUE"""),"What information is shared")</f>
        <v>What information is shared</v>
      </c>
      <c r="C185" s="31" t="s">
        <v>826</v>
      </c>
      <c r="D185" t="s">
        <v>846</v>
      </c>
      <c r="E185" s="11"/>
      <c r="F185" s="11"/>
      <c r="G185" s="11"/>
      <c r="H185" s="11"/>
      <c r="I185" s="11"/>
      <c r="J185" s="11"/>
    </row>
    <row r="186">
      <c r="A186">
        <f>IFERROR(__xludf.DUMMYFUNCTION("""COMPUTED_VALUE"""),219.0)</f>
        <v>219</v>
      </c>
      <c r="B186" s="11"/>
      <c r="C186" s="11"/>
      <c r="D186" s="11"/>
      <c r="E186" s="11"/>
      <c r="F186" s="11"/>
      <c r="G186" s="11"/>
      <c r="H186" s="11"/>
      <c r="I186" s="11"/>
      <c r="J186" s="11"/>
    </row>
    <row r="187">
      <c r="A187">
        <f>IFERROR(__xludf.DUMMYFUNCTION("""COMPUTED_VALUE"""),220.0)</f>
        <v>220</v>
      </c>
      <c r="B187" s="11" t="str">
        <f>IFERROR(__xludf.DUMMYFUNCTION("""COMPUTED_VALUE"""),"The same information I was given today and re-evaluate how long I have used each application, what information it has access to and whether it is necessary for the applications to be given the permissions it has.")</f>
        <v>The same information I was given today and re-evaluate how long I have used each application, what information it has access to and whether it is necessary for the applications to be given the permissions it has.</v>
      </c>
      <c r="C187" s="31" t="s">
        <v>826</v>
      </c>
      <c r="D187" t="s">
        <v>845</v>
      </c>
      <c r="E187" s="32" t="s">
        <v>840</v>
      </c>
      <c r="F187" t="s">
        <v>854</v>
      </c>
      <c r="H187" s="11"/>
      <c r="I187" s="11"/>
      <c r="J187" s="11"/>
    </row>
    <row r="188">
      <c r="A188">
        <f>IFERROR(__xludf.DUMMYFUNCTION("""COMPUTED_VALUE"""),221.0)</f>
        <v>221</v>
      </c>
      <c r="B188" s="11"/>
      <c r="C188" s="11"/>
      <c r="D188" s="11"/>
      <c r="E188" s="11"/>
      <c r="F188" s="11"/>
      <c r="G188" s="11"/>
      <c r="H188" s="11"/>
      <c r="I188" s="11"/>
      <c r="J188" s="11"/>
    </row>
    <row r="189">
      <c r="A189">
        <f>IFERROR(__xludf.DUMMYFUNCTION("""COMPUTED_VALUE"""),222.0)</f>
        <v>222</v>
      </c>
      <c r="B189" s="11"/>
      <c r="C189" s="11"/>
      <c r="D189" s="11"/>
      <c r="E189" s="11"/>
      <c r="F189" s="11"/>
      <c r="G189" s="11"/>
      <c r="H189" s="11"/>
      <c r="I189" s="11"/>
      <c r="J189" s="11"/>
    </row>
    <row r="190">
      <c r="A190">
        <f>IFERROR(__xludf.DUMMYFUNCTION("""COMPUTED_VALUE"""),223.0)</f>
        <v>223</v>
      </c>
      <c r="B190" s="11" t="str">
        <f>IFERROR(__xludf.DUMMYFUNCTION("""COMPUTED_VALUE"""),"If any of the permissions, etc have changed")</f>
        <v>If any of the permissions, etc have changed</v>
      </c>
      <c r="C190" t="s">
        <v>856</v>
      </c>
      <c r="D190" s="27" t="s">
        <v>826</v>
      </c>
      <c r="E190" t="s">
        <v>855</v>
      </c>
      <c r="F190" s="11"/>
      <c r="G190" s="11"/>
      <c r="H190" s="11"/>
      <c r="I190" s="11"/>
      <c r="J190" s="11"/>
    </row>
    <row r="191">
      <c r="A191">
        <f>IFERROR(__xludf.DUMMYFUNCTION("""COMPUTED_VALUE"""),224.0)</f>
        <v>224</v>
      </c>
      <c r="B191" s="11" t="str">
        <f>IFERROR(__xludf.DUMMYFUNCTION("""COMPUTED_VALUE"""),"I will want to see what the functions of the app are, and compare the permissions it's asking for to see if they are truly necessary.")</f>
        <v>I will want to see what the functions of the app are, and compare the permissions it's asking for to see if they are truly necessary.</v>
      </c>
      <c r="C191" s="31" t="s">
        <v>826</v>
      </c>
      <c r="D191" t="s">
        <v>845</v>
      </c>
      <c r="E191" s="11"/>
      <c r="F191" s="11"/>
      <c r="G191" s="11"/>
      <c r="H191" s="11"/>
      <c r="I191" s="11"/>
      <c r="J191" s="11"/>
    </row>
    <row r="192">
      <c r="A192">
        <f>IFERROR(__xludf.DUMMYFUNCTION("""COMPUTED_VALUE"""),225.0)</f>
        <v>225</v>
      </c>
      <c r="B192" s="11" t="str">
        <f>IFERROR(__xludf.DUMMYFUNCTION("""COMPUTED_VALUE"""),"I'd look to see what apps have been added to the account, and I may consider removing apps I do not use from the account.")</f>
        <v>I'd look to see what apps have been added to the account, and I may consider removing apps I do not use from the account.</v>
      </c>
      <c r="C192" t="s">
        <v>856</v>
      </c>
      <c r="D192" s="31" t="s">
        <v>826</v>
      </c>
      <c r="E192" t="s">
        <v>857</v>
      </c>
      <c r="F192" t="s">
        <v>812</v>
      </c>
      <c r="G192" s="28" t="s">
        <v>813</v>
      </c>
      <c r="H192" s="11"/>
      <c r="I192" s="11"/>
      <c r="J192" s="11"/>
    </row>
    <row r="193">
      <c r="A193">
        <f>IFERROR(__xludf.DUMMYFUNCTION("""COMPUTED_VALUE"""),226.0)</f>
        <v>226</v>
      </c>
      <c r="B193" s="11" t="str">
        <f>IFERROR(__xludf.DUMMYFUNCTION("""COMPUTED_VALUE"""),"I would look at how often I'm using those apps and if they are serving me.")</f>
        <v>I would look at how often I'm using those apps and if they are serving me.</v>
      </c>
      <c r="C193" s="31" t="s">
        <v>826</v>
      </c>
      <c r="D193" s="11"/>
      <c r="E193" s="11"/>
      <c r="F193" s="11"/>
      <c r="G193" s="11"/>
      <c r="H193" s="11"/>
      <c r="I193" s="11"/>
      <c r="J193" s="11"/>
    </row>
    <row r="194">
      <c r="A194">
        <f>IFERROR(__xludf.DUMMYFUNCTION("""COMPUTED_VALUE"""),227.0)</f>
        <v>227</v>
      </c>
      <c r="B194" s="11" t="str">
        <f>IFERROR(__xludf.DUMMYFUNCTION("""COMPUTED_VALUE"""),"I would just like to check up on what parts of my information the app has.")</f>
        <v>I would just like to check up on what parts of my information the app has.</v>
      </c>
      <c r="C194" s="31" t="s">
        <v>826</v>
      </c>
      <c r="D194" t="s">
        <v>846</v>
      </c>
      <c r="E194" s="11"/>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t="str">
        <f>IFERROR(__xludf.DUMMYFUNCTION("""COMPUTED_VALUE"""),"I would likely look to see if there are new apps accessing my information since this survey was done.")</f>
        <v>I would likely look to see if there are new apps accessing my information since this survey was done.</v>
      </c>
      <c r="C197" t="s">
        <v>856</v>
      </c>
      <c r="D197" s="31" t="s">
        <v>826</v>
      </c>
      <c r="E197" t="s">
        <v>857</v>
      </c>
      <c r="F197" s="11"/>
      <c r="G197" s="11"/>
      <c r="H197" s="11"/>
      <c r="I197" s="11"/>
      <c r="J197" s="11"/>
    </row>
    <row r="198">
      <c r="A198">
        <f>IFERROR(__xludf.DUMMYFUNCTION("""COMPUTED_VALUE"""),231.0)</f>
        <v>231</v>
      </c>
      <c r="B198" s="11" t="str">
        <f>IFERROR(__xludf.DUMMYFUNCTION("""COMPUTED_VALUE"""),"To see if anything has changed, I realize that companies are constantly changing their terms and policies.")</f>
        <v>To see if anything has changed, I realize that companies are constantly changing their terms and policies.</v>
      </c>
      <c r="C198" t="s">
        <v>856</v>
      </c>
      <c r="D198" s="11"/>
      <c r="E198" s="11"/>
      <c r="F198" s="11"/>
      <c r="G198" s="11"/>
      <c r="H198" s="11"/>
      <c r="I198" s="11"/>
      <c r="J198" s="11"/>
    </row>
    <row r="199">
      <c r="A199">
        <f>IFERROR(__xludf.DUMMYFUNCTION("""COMPUTED_VALUE"""),232.0)</f>
        <v>232</v>
      </c>
      <c r="B199" s="11" t="str">
        <f>IFERROR(__xludf.DUMMYFUNCTION("""COMPUTED_VALUE"""),"I would check which apps are on there and whether they need to be on there.")</f>
        <v>I would check which apps are on there and whether they need to be on there.</v>
      </c>
      <c r="C199" s="31" t="s">
        <v>826</v>
      </c>
      <c r="D199" s="32" t="s">
        <v>840</v>
      </c>
      <c r="E199" s="11"/>
      <c r="F199" s="11"/>
      <c r="G199" s="11"/>
      <c r="H199" s="11"/>
      <c r="I199" s="11"/>
      <c r="J199" s="11"/>
    </row>
    <row r="200">
      <c r="A200">
        <f>IFERROR(__xludf.DUMMYFUNCTION("""COMPUTED_VALUE"""),233.0)</f>
        <v>233</v>
      </c>
      <c r="B200" s="11"/>
      <c r="C200" s="11"/>
      <c r="D200" s="11"/>
      <c r="E200" s="11"/>
      <c r="F200" s="11"/>
      <c r="G200" s="11"/>
      <c r="H200" s="11"/>
      <c r="I200" s="11"/>
      <c r="J200" s="11"/>
    </row>
    <row r="201">
      <c r="A201">
        <f>IFERROR(__xludf.DUMMYFUNCTION("""COMPUTED_VALUE"""),234.0)</f>
        <v>234</v>
      </c>
      <c r="B201" s="11"/>
      <c r="C201" s="11"/>
      <c r="D201" s="11"/>
      <c r="E201" s="11"/>
      <c r="F201" s="11"/>
      <c r="G201" s="11"/>
      <c r="H201" s="11"/>
      <c r="I201" s="11"/>
      <c r="J201" s="11"/>
    </row>
    <row r="202">
      <c r="A202">
        <f>IFERROR(__xludf.DUMMYFUNCTION("""COMPUTED_VALUE"""),235.0)</f>
        <v>235</v>
      </c>
      <c r="B202" s="11" t="str">
        <f>IFERROR(__xludf.DUMMYFUNCTION("""COMPUTED_VALUE"""),"What new apps with access, and any shady apps with weird access.")</f>
        <v>What new apps with access, and any shady apps with weird access.</v>
      </c>
      <c r="C202" t="s">
        <v>856</v>
      </c>
      <c r="D202" s="31" t="s">
        <v>826</v>
      </c>
      <c r="E202" t="s">
        <v>857</v>
      </c>
      <c r="F202" t="s">
        <v>849</v>
      </c>
      <c r="G202" s="11"/>
      <c r="H202" s="11"/>
      <c r="I202" s="11"/>
      <c r="J202" s="11"/>
    </row>
    <row r="203">
      <c r="A203">
        <f>IFERROR(__xludf.DUMMYFUNCTION("""COMPUTED_VALUE"""),236.0)</f>
        <v>236</v>
      </c>
      <c r="B203" s="11" t="str">
        <f>IFERROR(__xludf.DUMMYFUNCTION("""COMPUTED_VALUE"""),"Apps I do not want/use or trust")</f>
        <v>Apps I do not want/use or trust</v>
      </c>
      <c r="C203" s="31" t="s">
        <v>826</v>
      </c>
      <c r="D203" s="32" t="s">
        <v>840</v>
      </c>
      <c r="E203" t="s">
        <v>867</v>
      </c>
      <c r="F203" s="11"/>
      <c r="G203" s="11"/>
      <c r="H203" s="11"/>
      <c r="I203" s="11"/>
      <c r="J203" s="11"/>
    </row>
    <row r="204">
      <c r="A204">
        <f>IFERROR(__xludf.DUMMYFUNCTION("""COMPUTED_VALUE"""),237.0)</f>
        <v>237</v>
      </c>
      <c r="B204" s="11" t="str">
        <f>IFERROR(__xludf.DUMMYFUNCTION("""COMPUTED_VALUE"""),"What information they can access and how long they have had this information.")</f>
        <v>What information they can access and how long they have had this information.</v>
      </c>
      <c r="C204" s="31" t="s">
        <v>826</v>
      </c>
      <c r="D204" t="s">
        <v>846</v>
      </c>
      <c r="E204" t="s">
        <v>862</v>
      </c>
      <c r="F204" s="11"/>
      <c r="G204" s="11"/>
      <c r="H204" s="11"/>
      <c r="I204" s="11"/>
      <c r="J204" s="11"/>
    </row>
    <row r="205">
      <c r="A205">
        <f>IFERROR(__xludf.DUMMYFUNCTION("""COMPUTED_VALUE"""),238.0)</f>
        <v>238</v>
      </c>
      <c r="B205" s="11" t="str">
        <f>IFERROR(__xludf.DUMMYFUNCTION("""COMPUTED_VALUE"""),"If I still use the app. 
 If I still trust the app. 
 If I feel okay with the permissions the app has.")</f>
        <v>If I still use the app. 
 If I still trust the app. 
 If I feel okay with the permissions the app has.</v>
      </c>
      <c r="C205" t="s">
        <v>867</v>
      </c>
      <c r="D205" s="31" t="s">
        <v>826</v>
      </c>
      <c r="E205" s="32" t="s">
        <v>840</v>
      </c>
      <c r="F205" t="s">
        <v>843</v>
      </c>
      <c r="G205" s="11"/>
      <c r="H205" s="11"/>
      <c r="I205" s="11"/>
      <c r="J205" s="11"/>
    </row>
    <row r="206">
      <c r="A206">
        <f>IFERROR(__xludf.DUMMYFUNCTION("""COMPUTED_VALUE"""),239.0)</f>
        <v>239</v>
      </c>
      <c r="B206" s="11" t="str">
        <f>IFERROR(__xludf.DUMMYFUNCTION("""COMPUTED_VALUE"""),"What permissions are allowed and if anything was added that I was unaware of.")</f>
        <v>What permissions are allowed and if anything was added that I was unaware of.</v>
      </c>
      <c r="C206" t="s">
        <v>856</v>
      </c>
      <c r="D206" s="31" t="s">
        <v>826</v>
      </c>
      <c r="E206" t="s">
        <v>855</v>
      </c>
      <c r="F206" s="11"/>
      <c r="G206" s="11"/>
      <c r="H206" s="11"/>
      <c r="I206" s="11"/>
      <c r="J206" s="11"/>
    </row>
    <row r="207">
      <c r="A207">
        <f>IFERROR(__xludf.DUMMYFUNCTION("""COMPUTED_VALUE"""),240.0)</f>
        <v>240</v>
      </c>
      <c r="B207" s="11" t="str">
        <f>IFERROR(__xludf.DUMMYFUNCTION("""COMPUTED_VALUE"""),"the information the apps have access to")</f>
        <v>the information the apps have access to</v>
      </c>
      <c r="C207" s="31" t="s">
        <v>826</v>
      </c>
      <c r="D207" t="s">
        <v>846</v>
      </c>
      <c r="E207" s="11"/>
      <c r="F207" s="11"/>
      <c r="G207" s="11"/>
      <c r="H207" s="11"/>
      <c r="I207" s="11"/>
      <c r="J207" s="11"/>
    </row>
    <row r="208">
      <c r="A208">
        <f>IFERROR(__xludf.DUMMYFUNCTION("""COMPUTED_VALUE"""),241.0)</f>
        <v>241</v>
      </c>
      <c r="B208" s="11" t="str">
        <f>IFERROR(__xludf.DUMMYFUNCTION("""COMPUTED_VALUE"""),"I would just look at what apps are utilizing what and then I will ask myself how often I even use that app.")</f>
        <v>I would just look at what apps are utilizing what and then I will ask myself how often I even use that app.</v>
      </c>
      <c r="C208" s="31" t="s">
        <v>826</v>
      </c>
      <c r="D208" s="32" t="s">
        <v>840</v>
      </c>
      <c r="E208" s="11"/>
      <c r="F208" s="11"/>
      <c r="G208" s="11"/>
      <c r="H208" s="11"/>
      <c r="I208" s="11"/>
      <c r="J208" s="11"/>
    </row>
    <row r="209">
      <c r="A209">
        <f>IFERROR(__xludf.DUMMYFUNCTION("""COMPUTED_VALUE"""),242.0)</f>
        <v>242</v>
      </c>
      <c r="B209" s="26" t="str">
        <f>IFERROR(__xludf.DUMMYFUNCTION("""COMPUTED_VALUE"""),"I would want to know exactly what those apps have access to. Actually wish there was more information there. Seems like it is a little generic.")</f>
        <v>I would want to know exactly what those apps have access to. Actually wish there was more information there. Seems like it is a little generic.</v>
      </c>
      <c r="C209" s="31" t="s">
        <v>826</v>
      </c>
      <c r="D209" t="s">
        <v>854</v>
      </c>
      <c r="E209" s="11"/>
      <c r="F209" s="11"/>
      <c r="G209" s="11"/>
      <c r="H209" s="11"/>
      <c r="I209" s="11"/>
      <c r="J209" s="11"/>
    </row>
    <row r="210">
      <c r="A210">
        <f>IFERROR(__xludf.DUMMYFUNCTION("""COMPUTED_VALUE"""),243.0)</f>
        <v>243</v>
      </c>
      <c r="B210" s="11" t="str">
        <f>IFERROR(__xludf.DUMMYFUNCTION("""COMPUTED_VALUE"""),"Apps I don't want to have particular access or that I dont know about")</f>
        <v>Apps I don't want to have particular access or that I dont know about</v>
      </c>
      <c r="C210" s="31" t="s">
        <v>826</v>
      </c>
      <c r="D210" t="s">
        <v>848</v>
      </c>
      <c r="E210" s="11"/>
      <c r="F210" s="11"/>
      <c r="G210" s="11"/>
      <c r="H210" s="11"/>
      <c r="I210" s="11"/>
      <c r="J210" s="11"/>
    </row>
    <row r="211">
      <c r="A211">
        <f>IFERROR(__xludf.DUMMYFUNCTION("""COMPUTED_VALUE"""),244.0)</f>
        <v>244</v>
      </c>
      <c r="B211" s="11" t="str">
        <f>IFERROR(__xludf.DUMMYFUNCTION("""COMPUTED_VALUE"""),"I would make sure that the apps that were listed were ones that I used and trusted.")</f>
        <v>I would make sure that the apps that were listed were ones that I used and trusted.</v>
      </c>
      <c r="C211" s="31" t="s">
        <v>826</v>
      </c>
      <c r="D211" s="32" t="s">
        <v>840</v>
      </c>
      <c r="E211" t="s">
        <v>867</v>
      </c>
      <c r="F211" s="11"/>
      <c r="G211" s="11"/>
      <c r="H211" s="11"/>
      <c r="I211" s="11"/>
      <c r="J211" s="11"/>
    </row>
    <row r="212">
      <c r="A212">
        <f>IFERROR(__xludf.DUMMYFUNCTION("""COMPUTED_VALUE"""),245.0)</f>
        <v>245</v>
      </c>
      <c r="B212" s="11" t="str">
        <f>IFERROR(__xludf.DUMMYFUNCTION("""COMPUTED_VALUE"""),"Extent of access and which apps")</f>
        <v>Extent of access and which apps</v>
      </c>
      <c r="C212" s="31" t="s">
        <v>826</v>
      </c>
      <c r="D212" t="s">
        <v>854</v>
      </c>
      <c r="E212" s="11"/>
      <c r="F212" s="11"/>
      <c r="G212" s="11"/>
      <c r="H212" s="11"/>
      <c r="I212" s="11"/>
      <c r="J212" s="11"/>
    </row>
    <row r="213">
      <c r="A213">
        <f>IFERROR(__xludf.DUMMYFUNCTION("""COMPUTED_VALUE"""),246.0)</f>
        <v>246</v>
      </c>
      <c r="B213" s="11"/>
      <c r="C213" s="11"/>
      <c r="D213" s="11"/>
      <c r="E213" s="11"/>
      <c r="F213" s="11"/>
      <c r="G213" s="11"/>
      <c r="H213" s="11"/>
      <c r="I213" s="11"/>
      <c r="J213" s="11"/>
    </row>
    <row r="214">
      <c r="A214">
        <f>IFERROR(__xludf.DUMMYFUNCTION("""COMPUTED_VALUE"""),247.0)</f>
        <v>247</v>
      </c>
      <c r="B214" s="11" t="str">
        <f>IFERROR(__xludf.DUMMYFUNCTION("""COMPUTED_VALUE"""),"To see if something snuck in and authorized access")</f>
        <v>To see if something snuck in and authorized access</v>
      </c>
      <c r="C214" t="s">
        <v>856</v>
      </c>
      <c r="D214" t="s">
        <v>870</v>
      </c>
      <c r="E214" s="31" t="s">
        <v>826</v>
      </c>
      <c r="F214" s="11"/>
      <c r="G214" s="11"/>
      <c r="H214" s="11"/>
      <c r="I214" s="11"/>
      <c r="J214" s="11"/>
    </row>
    <row r="215">
      <c r="A215">
        <f>IFERROR(__xludf.DUMMYFUNCTION("""COMPUTED_VALUE"""),248.0)</f>
        <v>248</v>
      </c>
      <c r="B215" s="11" t="str">
        <f>IFERROR(__xludf.DUMMYFUNCTION("""COMPUTED_VALUE"""),"Any apps I don't recognize/don't use anymore, and any permissions that grant more information/access than I'm comfortable providing")</f>
        <v>Any apps I don't recognize/don't use anymore, and any permissions that grant more information/access than I'm comfortable providing</v>
      </c>
      <c r="C215" s="31" t="s">
        <v>826</v>
      </c>
      <c r="D215" s="32" t="s">
        <v>840</v>
      </c>
      <c r="E215" t="s">
        <v>848</v>
      </c>
      <c r="F215" s="31" t="s">
        <v>826</v>
      </c>
      <c r="G215" s="27" t="s">
        <v>845</v>
      </c>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60.43"/>
    <col customWidth="1" min="5" max="5" width="30.86"/>
  </cols>
  <sheetData>
    <row r="1">
      <c r="A1" s="15" t="s">
        <v>785</v>
      </c>
      <c r="B1" s="28"/>
      <c r="C1" s="28"/>
      <c r="D1" s="28"/>
      <c r="E1" s="15" t="s">
        <v>786</v>
      </c>
      <c r="F1" s="28"/>
    </row>
    <row r="2">
      <c r="A2" s="28" t="str">
        <f>IFERROR(__xludf.DUMMYFUNCTION("QUERY({'Q20 (primary)'!C2:C1000;'Q20 (primary)'!D2:D1000;'Q20 (primary)'!E2:E1000;'Q20 (primary)'!F2:F1000;'Q20 (primary)'!G2:G1000;'Q20 (primary)'!H2:H1000;'Q20 (primary)'!I2:I1000;'Q20 (primary)'!J2:J1000;'Q20 (primary)'!K2:K1000}, ""select Col1, count("&amp;"Col1) where Col1 is not null group by Col1 order by Col1 asc"")"),"")</f>
        <v/>
      </c>
      <c r="B2" s="28" t="str">
        <f>IFERROR(__xludf.DUMMYFUNCTION("""COMPUTED_VALUE"""),"count ")</f>
        <v>count </v>
      </c>
      <c r="C2" s="28"/>
      <c r="D2" s="28"/>
      <c r="E2" s="28" t="str">
        <f>IFERROR(__xludf.DUMMYFUNCTION("QUERY({'Q20 (primary)'!C2:C1000;'Q20 (primary)'!D2:D1000;'Q20 (primary)'!E2:E1000;'Q20 (primary)'!F2:F1000;'Q20 (primary)'!G2:G1000;'Q20 (primary)'!H2:H1000;'Q20 (primary)'!I2:I1000;'Q20 (primary)'!J2:J1000;'Q20 (primary)'!K2:K1000}, ""select Col1, count("&amp;"Col1) where Col1 is not null and not Col1 contains '-&gt;' group by Col1 order by count(Col1) desc"")"),"")</f>
        <v/>
      </c>
      <c r="F2" s="28" t="str">
        <f>IFERROR(__xludf.DUMMYFUNCTION("""COMPUTED_VALUE"""),"count ")</f>
        <v>count </v>
      </c>
    </row>
    <row r="3">
      <c r="A3" t="str">
        <f>IFERROR(__xludf.DUMMYFUNCTION("""COMPUTED_VALUE"""),"apps_with_access_page_useful")</f>
        <v>apps_with_access_page_useful</v>
      </c>
      <c r="B3">
        <f>IFERROR(__xludf.DUMMYFUNCTION("""COMPUTED_VALUE"""),1.0)</f>
        <v>1</v>
      </c>
      <c r="E3" t="str">
        <f>IFERROR(__xludf.DUMMYFUNCTION("""COMPUTED_VALUE"""),"review_app_access")</f>
        <v>review_app_access</v>
      </c>
      <c r="F3">
        <f>IFERROR(__xludf.DUMMYFUNCTION("""COMPUTED_VALUE"""),133.0)</f>
        <v>133</v>
      </c>
    </row>
    <row r="4">
      <c r="A4" t="str">
        <f>IFERROR(__xludf.DUMMYFUNCTION("""COMPUTED_VALUE"""),"assess_risks")</f>
        <v>assess_risks</v>
      </c>
      <c r="B4">
        <f>IFERROR(__xludf.DUMMYFUNCTION("""COMPUTED_VALUE"""),2.0)</f>
        <v>2</v>
      </c>
      <c r="E4" t="str">
        <f>IFERROR(__xludf.DUMMYFUNCTION("""COMPUTED_VALUE"""),"remove_app_access")</f>
        <v>remove_app_access</v>
      </c>
      <c r="F4">
        <f>IFERROR(__xludf.DUMMYFUNCTION("""COMPUTED_VALUE"""),23.0)</f>
        <v>23</v>
      </c>
    </row>
    <row r="5">
      <c r="A5" t="str">
        <f>IFERROR(__xludf.DUMMYFUNCTION("""COMPUTED_VALUE"""),"change_permissions")</f>
        <v>change_permissions</v>
      </c>
      <c r="B5">
        <f>IFERROR(__xludf.DUMMYFUNCTION("""COMPUTED_VALUE"""),3.0)</f>
        <v>3</v>
      </c>
      <c r="E5" t="str">
        <f>IFERROR(__xludf.DUMMYFUNCTION("""COMPUTED_VALUE"""),"review_changes")</f>
        <v>review_changes</v>
      </c>
      <c r="F5">
        <f>IFERROR(__xludf.DUMMYFUNCTION("""COMPUTED_VALUE"""),22.0)</f>
        <v>22</v>
      </c>
    </row>
    <row r="6">
      <c r="A6" t="str">
        <f>IFERROR(__xludf.DUMMYFUNCTION("""COMPUTED_VALUE"""),"remove_app_access")</f>
        <v>remove_app_access</v>
      </c>
      <c r="B6">
        <f>IFERROR(__xludf.DUMMYFUNCTION("""COMPUTED_VALUE"""),23.0)</f>
        <v>23</v>
      </c>
      <c r="E6" t="str">
        <f>IFERROR(__xludf.DUMMYFUNCTION("""COMPUTED_VALUE"""),"wants_to_protect_personal_data")</f>
        <v>wants_to_protect_personal_data</v>
      </c>
      <c r="F6">
        <f>IFERROR(__xludf.DUMMYFUNCTION("""COMPUTED_VALUE"""),6.0)</f>
        <v>6</v>
      </c>
    </row>
    <row r="7">
      <c r="A7" t="str">
        <f>IFERROR(__xludf.DUMMYFUNCTION("""COMPUTED_VALUE"""),"remove_app_access-&gt;apps_with_google_drive_access")</f>
        <v>remove_app_access-&gt;apps_with_google_drive_access</v>
      </c>
      <c r="B7">
        <f>IFERROR(__xludf.DUMMYFUNCTION("""COMPUTED_VALUE"""),1.0)</f>
        <v>1</v>
      </c>
      <c r="E7" t="str">
        <f>IFERROR(__xludf.DUMMYFUNCTION("""COMPUTED_VALUE"""),"review_how_trusted_app_is")</f>
        <v>review_how_trusted_app_is</v>
      </c>
      <c r="F7">
        <f>IFERROR(__xludf.DUMMYFUNCTION("""COMPUTED_VALUE"""),5.0)</f>
        <v>5</v>
      </c>
    </row>
    <row r="8">
      <c r="A8" t="str">
        <f>IFERROR(__xludf.DUMMYFUNCTION("""COMPUTED_VALUE"""),"remove_app_access-&gt;unfamiliar_apps")</f>
        <v>remove_app_access-&gt;unfamiliar_apps</v>
      </c>
      <c r="B8">
        <f>IFERROR(__xludf.DUMMYFUNCTION("""COMPUTED_VALUE"""),1.0)</f>
        <v>1</v>
      </c>
      <c r="E8" t="str">
        <f>IFERROR(__xludf.DUMMYFUNCTION("""COMPUTED_VALUE"""),"change_permissions")</f>
        <v>change_permissions</v>
      </c>
      <c r="F8">
        <f>IFERROR(__xludf.DUMMYFUNCTION("""COMPUTED_VALUE"""),3.0)</f>
        <v>3</v>
      </c>
    </row>
    <row r="9">
      <c r="A9" t="str">
        <f>IFERROR(__xludf.DUMMYFUNCTION("""COMPUTED_VALUE"""),"remove_app_access-&gt;unused_apps")</f>
        <v>remove_app_access-&gt;unused_apps</v>
      </c>
      <c r="B9">
        <f>IFERROR(__xludf.DUMMYFUNCTION("""COMPUTED_VALUE"""),16.0)</f>
        <v>16</v>
      </c>
      <c r="E9" t="str">
        <f>IFERROR(__xludf.DUMMYFUNCTION("""COMPUTED_VALUE"""),"assess_risks")</f>
        <v>assess_risks</v>
      </c>
      <c r="F9">
        <f>IFERROR(__xludf.DUMMYFUNCTION("""COMPUTED_VALUE"""),2.0)</f>
        <v>2</v>
      </c>
    </row>
    <row r="10">
      <c r="A10" t="str">
        <f>IFERROR(__xludf.DUMMYFUNCTION("""COMPUTED_VALUE"""),"remove_app_accessreview_app_access")</f>
        <v>remove_app_accessreview_app_access</v>
      </c>
      <c r="B10">
        <f>IFERROR(__xludf.DUMMYFUNCTION("""COMPUTED_VALUE"""),1.0)</f>
        <v>1</v>
      </c>
      <c r="E10" t="str">
        <f>IFERROR(__xludf.DUMMYFUNCTION("""COMPUTED_VALUE"""),"uncertain")</f>
        <v>uncertain</v>
      </c>
      <c r="F10">
        <f>IFERROR(__xludf.DUMMYFUNCTION("""COMPUTED_VALUE"""),2.0)</f>
        <v>2</v>
      </c>
    </row>
    <row r="11">
      <c r="A11" t="str">
        <f>IFERROR(__xludf.DUMMYFUNCTION("""COMPUTED_VALUE"""),"review_app_access")</f>
        <v>review_app_access</v>
      </c>
      <c r="B11">
        <f>IFERROR(__xludf.DUMMYFUNCTION("""COMPUTED_VALUE"""),133.0)</f>
        <v>133</v>
      </c>
      <c r="E11" t="str">
        <f>IFERROR(__xludf.DUMMYFUNCTION("""COMPUTED_VALUE"""),"apps_with_access_page_useful")</f>
        <v>apps_with_access_page_useful</v>
      </c>
      <c r="F11">
        <f>IFERROR(__xludf.DUMMYFUNCTION("""COMPUTED_VALUE"""),1.0)</f>
        <v>1</v>
      </c>
    </row>
    <row r="12">
      <c r="A12" t="str">
        <f>IFERROR(__xludf.DUMMYFUNCTION("""COMPUTED_VALUE"""),"review_app_access-&gt;accidentally_added")</f>
        <v>review_app_access-&gt;accidentally_added</v>
      </c>
      <c r="B12">
        <f>IFERROR(__xludf.DUMMYFUNCTION("""COMPUTED_VALUE"""),7.0)</f>
        <v>7</v>
      </c>
      <c r="E12" t="str">
        <f>IFERROR(__xludf.DUMMYFUNCTION("""COMPUTED_VALUE"""),"remove_app_accessreview_app_access")</f>
        <v>remove_app_accessreview_app_access</v>
      </c>
      <c r="F12">
        <f>IFERROR(__xludf.DUMMYFUNCTION("""COMPUTED_VALUE"""),1.0)</f>
        <v>1</v>
      </c>
    </row>
    <row r="13">
      <c r="A13" t="str">
        <f>IFERROR(__xludf.DUMMYFUNCTION("""COMPUTED_VALUE"""),"review_app_access-&gt;account_login")</f>
        <v>review_app_access-&gt;account_login</v>
      </c>
      <c r="B13">
        <f>IFERROR(__xludf.DUMMYFUNCTION("""COMPUTED_VALUE"""),4.0)</f>
        <v>4</v>
      </c>
      <c r="E13" t="str">
        <f>IFERROR(__xludf.DUMMYFUNCTION("""COMPUTED_VALUE"""),"trade_off_for_convenience")</f>
        <v>trade_off_for_convenience</v>
      </c>
      <c r="F13">
        <f>IFERROR(__xludf.DUMMYFUNCTION("""COMPUTED_VALUE"""),1.0)</f>
        <v>1</v>
      </c>
    </row>
    <row r="14">
      <c r="A14" t="str">
        <f>IFERROR(__xludf.DUMMYFUNCTION("""COMPUTED_VALUE"""),"review_app_access-&gt;do_not_remember_authorizing")</f>
        <v>review_app_access-&gt;do_not_remember_authorizing</v>
      </c>
      <c r="B14">
        <f>IFERROR(__xludf.DUMMYFUNCTION("""COMPUTED_VALUE"""),12.0)</f>
        <v>12</v>
      </c>
      <c r="E14" t="str">
        <f>IFERROR(__xludf.DUMMYFUNCTION("""COMPUTED_VALUE"""),"use_separate_account_for_app_access")</f>
        <v>use_separate_account_for_app_access</v>
      </c>
      <c r="F14">
        <f>IFERROR(__xludf.DUMMYFUNCTION("""COMPUTED_VALUE"""),1.0)</f>
        <v>1</v>
      </c>
    </row>
    <row r="15">
      <c r="A15" t="str">
        <f>IFERROR(__xludf.DUMMYFUNCTION("""COMPUTED_VALUE"""),"review_app_access-&gt;full_account_access")</f>
        <v>review_app_access-&gt;full_account_access</v>
      </c>
      <c r="B15">
        <f>IFERROR(__xludf.DUMMYFUNCTION("""COMPUTED_VALUE"""),1.0)</f>
        <v>1</v>
      </c>
    </row>
    <row r="16">
      <c r="A16" t="str">
        <f>IFERROR(__xludf.DUMMYFUNCTION("""COMPUTED_VALUE"""),"review_app_access-&gt;how_long_access")</f>
        <v>review_app_access-&gt;how_long_access</v>
      </c>
      <c r="B16">
        <f>IFERROR(__xludf.DUMMYFUNCTION("""COMPUTED_VALUE"""),3.0)</f>
        <v>3</v>
      </c>
    </row>
    <row r="17">
      <c r="A17" t="str">
        <f>IFERROR(__xludf.DUMMYFUNCTION("""COMPUTED_VALUE"""),"review_app_access-&gt;how_much_access_allowed")</f>
        <v>review_app_access-&gt;how_much_access_allowed</v>
      </c>
      <c r="B17">
        <f>IFERROR(__xludf.DUMMYFUNCTION("""COMPUTED_VALUE"""),8.0)</f>
        <v>8</v>
      </c>
    </row>
    <row r="18">
      <c r="A18" t="str">
        <f>IFERROR(__xludf.DUMMYFUNCTION("""COMPUTED_VALUE"""),"review_app_access-&gt;most_used")</f>
        <v>review_app_access-&gt;most_used</v>
      </c>
      <c r="B18">
        <f>IFERROR(__xludf.DUMMYFUNCTION("""COMPUTED_VALUE"""),2.0)</f>
        <v>2</v>
      </c>
    </row>
    <row r="19">
      <c r="A19" t="str">
        <f>IFERROR(__xludf.DUMMYFUNCTION("""COMPUTED_VALUE"""),"review_app_access-&gt;necessary_permissions_only")</f>
        <v>review_app_access-&gt;necessary_permissions_only</v>
      </c>
      <c r="B19">
        <f>IFERROR(__xludf.DUMMYFUNCTION("""COMPUTED_VALUE"""),7.0)</f>
        <v>7</v>
      </c>
    </row>
    <row r="20">
      <c r="A20" t="str">
        <f>IFERROR(__xludf.DUMMYFUNCTION("""COMPUTED_VALUE"""),"review_app_access-&gt;new_apps_with_access")</f>
        <v>review_app_access-&gt;new_apps_with_access</v>
      </c>
      <c r="B20">
        <f>IFERROR(__xludf.DUMMYFUNCTION("""COMPUTED_VALUE"""),22.0)</f>
        <v>22</v>
      </c>
    </row>
    <row r="21">
      <c r="A21" t="str">
        <f>IFERROR(__xludf.DUMMYFUNCTION("""COMPUTED_VALUE"""),"review_app_access-&gt;permissions")</f>
        <v>review_app_access-&gt;permissions</v>
      </c>
      <c r="B21">
        <f>IFERROR(__xludf.DUMMYFUNCTION("""COMPUTED_VALUE"""),10.0)</f>
        <v>10</v>
      </c>
    </row>
    <row r="22">
      <c r="A22" t="str">
        <f>IFERROR(__xludf.DUMMYFUNCTION("""COMPUTED_VALUE"""),"review_app_access-&gt;permissions-&gt;account_info")</f>
        <v>review_app_access-&gt;permissions-&gt;account_info</v>
      </c>
      <c r="B22">
        <f>IFERROR(__xludf.DUMMYFUNCTION("""COMPUTED_VALUE"""),4.0)</f>
        <v>4</v>
      </c>
    </row>
    <row r="23">
      <c r="A23" t="str">
        <f>IFERROR(__xludf.DUMMYFUNCTION("""COMPUTED_VALUE"""),"review_app_access-&gt;permissions-&gt;contacts")</f>
        <v>review_app_access-&gt;permissions-&gt;contacts</v>
      </c>
      <c r="B23">
        <f>IFERROR(__xludf.DUMMYFUNCTION("""COMPUTED_VALUE"""),1.0)</f>
        <v>1</v>
      </c>
    </row>
    <row r="24">
      <c r="A24" t="str">
        <f>IFERROR(__xludf.DUMMYFUNCTION("""COMPUTED_VALUE"""),"review_app_access-&gt;permissions-&gt;modify_data")</f>
        <v>review_app_access-&gt;permissions-&gt;modify_data</v>
      </c>
      <c r="B24">
        <f>IFERROR(__xludf.DUMMYFUNCTION("""COMPUTED_VALUE"""),1.0)</f>
        <v>1</v>
      </c>
    </row>
    <row r="25">
      <c r="A25" t="str">
        <f>IFERROR(__xludf.DUMMYFUNCTION("""COMPUTED_VALUE"""),"review_app_access-&gt;permissions_changed")</f>
        <v>review_app_access-&gt;permissions_changed</v>
      </c>
      <c r="B25">
        <f>IFERROR(__xludf.DUMMYFUNCTION("""COMPUTED_VALUE"""),4.0)</f>
        <v>4</v>
      </c>
    </row>
    <row r="26">
      <c r="A26" t="str">
        <f>IFERROR(__xludf.DUMMYFUNCTION("""COMPUTED_VALUE"""),"review_app_access-&gt;privacy")</f>
        <v>review_app_access-&gt;privacy</v>
      </c>
      <c r="B26">
        <f>IFERROR(__xludf.DUMMYFUNCTION("""COMPUTED_VALUE"""),4.0)</f>
        <v>4</v>
      </c>
    </row>
    <row r="27">
      <c r="A27" t="str">
        <f>IFERROR(__xludf.DUMMYFUNCTION("""COMPUTED_VALUE"""),"review_app_access-&gt;suspicious_apps")</f>
        <v>review_app_access-&gt;suspicious_apps</v>
      </c>
      <c r="B27">
        <f>IFERROR(__xludf.DUMMYFUNCTION("""COMPUTED_VALUE"""),3.0)</f>
        <v>3</v>
      </c>
    </row>
    <row r="28">
      <c r="A28" t="str">
        <f>IFERROR(__xludf.DUMMYFUNCTION("""COMPUTED_VALUE"""),"review_app_access-&gt;unauthorized_apps")</f>
        <v>review_app_access-&gt;unauthorized_apps</v>
      </c>
      <c r="B28">
        <f>IFERROR(__xludf.DUMMYFUNCTION("""COMPUTED_VALUE"""),2.0)</f>
        <v>2</v>
      </c>
    </row>
    <row r="29">
      <c r="A29" t="str">
        <f>IFERROR(__xludf.DUMMYFUNCTION("""COMPUTED_VALUE"""),"review_app_access-&gt;unauthorized_permissions")</f>
        <v>review_app_access-&gt;unauthorized_permissions</v>
      </c>
      <c r="B29">
        <f>IFERROR(__xludf.DUMMYFUNCTION("""COMPUTED_VALUE"""),1.0)</f>
        <v>1</v>
      </c>
    </row>
    <row r="30">
      <c r="A30" t="str">
        <f>IFERROR(__xludf.DUMMYFUNCTION("""COMPUTED_VALUE"""),"review_app_access-&gt;unfamiliar_apps")</f>
        <v>review_app_access-&gt;unfamiliar_apps</v>
      </c>
      <c r="B30">
        <f>IFERROR(__xludf.DUMMYFUNCTION("""COMPUTED_VALUE"""),6.0)</f>
        <v>6</v>
      </c>
    </row>
    <row r="31">
      <c r="A31" t="str">
        <f>IFERROR(__xludf.DUMMYFUNCTION("""COMPUTED_VALUE"""),"review_app_access-&gt;unncessary_access")</f>
        <v>review_app_access-&gt;unncessary_access</v>
      </c>
      <c r="B31">
        <f>IFERROR(__xludf.DUMMYFUNCTION("""COMPUTED_VALUE"""),1.0)</f>
        <v>1</v>
      </c>
    </row>
    <row r="32">
      <c r="A32" t="str">
        <f>IFERROR(__xludf.DUMMYFUNCTION("""COMPUTED_VALUE"""),"review_app_access-&gt;unused_apps")</f>
        <v>review_app_access-&gt;unused_apps</v>
      </c>
      <c r="B32">
        <f>IFERROR(__xludf.DUMMYFUNCTION("""COMPUTED_VALUE"""),43.0)</f>
        <v>43</v>
      </c>
    </row>
    <row r="33">
      <c r="A33" t="str">
        <f>IFERROR(__xludf.DUMMYFUNCTION("""COMPUTED_VALUE"""),"review_app_access-&gt;what_data_is_accessible")</f>
        <v>review_app_access-&gt;what_data_is_accessible</v>
      </c>
      <c r="B33">
        <f>IFERROR(__xludf.DUMMYFUNCTION("""COMPUTED_VALUE"""),16.0)</f>
        <v>16</v>
      </c>
    </row>
    <row r="34">
      <c r="A34" t="str">
        <f>IFERROR(__xludf.DUMMYFUNCTION("""COMPUTED_VALUE"""),"review_changes")</f>
        <v>review_changes</v>
      </c>
      <c r="B34">
        <f>IFERROR(__xludf.DUMMYFUNCTION("""COMPUTED_VALUE"""),22.0)</f>
        <v>22</v>
      </c>
    </row>
    <row r="35">
      <c r="A35" t="str">
        <f>IFERROR(__xludf.DUMMYFUNCTION("""COMPUTED_VALUE"""),"review_changes-&gt;changed_without_notification")</f>
        <v>review_changes-&gt;changed_without_notification</v>
      </c>
      <c r="B35">
        <f>IFERROR(__xludf.DUMMYFUNCTION("""COMPUTED_VALUE"""),2.0)</f>
        <v>2</v>
      </c>
    </row>
    <row r="36">
      <c r="A36" t="str">
        <f>IFERROR(__xludf.DUMMYFUNCTION("""COMPUTED_VALUE"""),"review_how_trusted_app_is")</f>
        <v>review_how_trusted_app_is</v>
      </c>
      <c r="B36">
        <f>IFERROR(__xludf.DUMMYFUNCTION("""COMPUTED_VALUE"""),5.0)</f>
        <v>5</v>
      </c>
    </row>
    <row r="37">
      <c r="A37" t="str">
        <f>IFERROR(__xludf.DUMMYFUNCTION("""COMPUTED_VALUE"""),"trade_off_for_convenience")</f>
        <v>trade_off_for_convenience</v>
      </c>
      <c r="B37">
        <f>IFERROR(__xludf.DUMMYFUNCTION("""COMPUTED_VALUE"""),1.0)</f>
        <v>1</v>
      </c>
    </row>
    <row r="38">
      <c r="A38" t="str">
        <f>IFERROR(__xludf.DUMMYFUNCTION("""COMPUTED_VALUE"""),"uncertain")</f>
        <v>uncertain</v>
      </c>
      <c r="B38">
        <f>IFERROR(__xludf.DUMMYFUNCTION("""COMPUTED_VALUE"""),2.0)</f>
        <v>2</v>
      </c>
    </row>
    <row r="39">
      <c r="A39" t="str">
        <f>IFERROR(__xludf.DUMMYFUNCTION("""COMPUTED_VALUE"""),"use_separate_account_for_app_access")</f>
        <v>use_separate_account_for_app_access</v>
      </c>
      <c r="B39">
        <f>IFERROR(__xludf.DUMMYFUNCTION("""COMPUTED_VALUE"""),1.0)</f>
        <v>1</v>
      </c>
    </row>
    <row r="40">
      <c r="A40" t="str">
        <f>IFERROR(__xludf.DUMMYFUNCTION("""COMPUTED_VALUE"""),"wants_to_protect_personal_data")</f>
        <v>wants_to_protect_personal_data</v>
      </c>
      <c r="B40">
        <f>IFERROR(__xludf.DUMMYFUNCTION("""COMPUTED_VALUE"""),6.0)</f>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5.43"/>
    <col customWidth="1" min="2" max="2" width="66.57"/>
    <col customWidth="1" min="3" max="10" width="30.29"/>
  </cols>
  <sheetData>
    <row r="1">
      <c r="A1" s="15" t="str">
        <f>IFERROR(__xludf.DUMMYFUNCTION("QUERY('All Responses'!2:1001,""select A,B"")"),"Response ID")</f>
        <v>Response ID</v>
      </c>
      <c r="B1" s="16" t="str">
        <f>IFERROR(__xludf.DUMMYFUNCTION("""COMPUTED_VALUE"""),"describe_concern_newest_app")</f>
        <v>describe_concern_newest_app</v>
      </c>
      <c r="C1" s="16" t="s">
        <v>750</v>
      </c>
      <c r="D1" s="16" t="s">
        <v>751</v>
      </c>
      <c r="E1" s="16" t="s">
        <v>752</v>
      </c>
      <c r="F1" s="16" t="s">
        <v>753</v>
      </c>
      <c r="G1" s="16" t="s">
        <v>754</v>
      </c>
      <c r="H1" s="16" t="s">
        <v>755</v>
      </c>
      <c r="I1" s="16" t="s">
        <v>756</v>
      </c>
      <c r="J1" s="16" t="s">
        <v>757</v>
      </c>
    </row>
    <row r="2">
      <c r="A2" s="17">
        <f>IFERROR(__xludf.DUMMYFUNCTION("""COMPUTED_VALUE"""),27.0)</f>
        <v>27</v>
      </c>
      <c r="B2" s="18" t="str">
        <f>IFERROR(__xludf.DUMMYFUNCTION("""COMPUTED_VALUE"""),"i like earning cash back so i am not that concerned")</f>
        <v>i like earning cash back so i am not that concerned</v>
      </c>
      <c r="C2" s="3" t="s">
        <v>758</v>
      </c>
      <c r="D2" s="3" t="s">
        <v>759</v>
      </c>
      <c r="E2" s="11"/>
      <c r="F2" s="11"/>
      <c r="G2" s="11"/>
      <c r="H2" s="11"/>
      <c r="I2" s="11"/>
      <c r="J2" s="11"/>
    </row>
    <row r="3">
      <c r="A3" s="17">
        <f>IFERROR(__xludf.DUMMYFUNCTION("""COMPUTED_VALUE"""),29.0)</f>
        <v>29</v>
      </c>
      <c r="B3" s="18" t="str">
        <f>IFERROR(__xludf.DUMMYFUNCTION("""COMPUTED_VALUE"""),"none")</f>
        <v>none</v>
      </c>
      <c r="C3" s="19" t="s">
        <v>758</v>
      </c>
      <c r="D3" s="3"/>
      <c r="E3" s="3"/>
      <c r="F3" s="3"/>
      <c r="G3" s="11"/>
      <c r="H3" s="11"/>
      <c r="I3" s="11"/>
      <c r="J3" s="11"/>
    </row>
    <row r="4">
      <c r="A4" s="17">
        <f>IFERROR(__xludf.DUMMYFUNCTION("""COMPUTED_VALUE"""),30.0)</f>
        <v>30</v>
      </c>
      <c r="B4" s="18"/>
      <c r="C4" s="3"/>
      <c r="D4" s="3"/>
      <c r="E4" s="3"/>
      <c r="F4" s="3"/>
      <c r="G4" s="11"/>
      <c r="H4" s="11"/>
      <c r="I4" s="11"/>
      <c r="J4" s="11"/>
    </row>
    <row r="5">
      <c r="A5" s="17">
        <f>IFERROR(__xludf.DUMMYFUNCTION("""COMPUTED_VALUE"""),31.0)</f>
        <v>31</v>
      </c>
      <c r="B5" s="18" t="str">
        <f>IFERROR(__xludf.DUMMYFUNCTION("""COMPUTED_VALUE"""),"I don't have any")</f>
        <v>I don't have any</v>
      </c>
      <c r="C5" s="19" t="s">
        <v>758</v>
      </c>
      <c r="D5" s="3"/>
      <c r="E5" s="3"/>
      <c r="F5" s="3"/>
      <c r="G5" s="3"/>
      <c r="H5" s="11"/>
      <c r="I5" s="11"/>
      <c r="J5" s="11"/>
    </row>
    <row r="6">
      <c r="A6" s="17">
        <f>IFERROR(__xludf.DUMMYFUNCTION("""COMPUTED_VALUE"""),32.0)</f>
        <v>32</v>
      </c>
      <c r="B6" s="18" t="str">
        <f>IFERROR(__xludf.DUMMYFUNCTION("""COMPUTED_VALUE"""),"i for sure have no concerns with samsung")</f>
        <v>i for sure have no concerns with samsung</v>
      </c>
      <c r="C6" s="19" t="s">
        <v>758</v>
      </c>
      <c r="D6" s="3"/>
      <c r="E6" s="3"/>
      <c r="F6" s="11"/>
      <c r="G6" s="11"/>
      <c r="H6" s="11"/>
      <c r="I6" s="11"/>
      <c r="J6" s="11"/>
    </row>
    <row r="7">
      <c r="A7" s="17">
        <f>IFERROR(__xludf.DUMMYFUNCTION("""COMPUTED_VALUE"""),34.0)</f>
        <v>34</v>
      </c>
      <c r="B7" s="18"/>
      <c r="C7" s="3"/>
      <c r="D7" s="3"/>
      <c r="E7" s="3"/>
      <c r="F7" s="3"/>
      <c r="G7" s="3"/>
      <c r="H7" s="3"/>
      <c r="I7" s="11"/>
      <c r="J7" s="11"/>
    </row>
    <row r="8">
      <c r="A8" s="17">
        <f>IFERROR(__xludf.DUMMYFUNCTION("""COMPUTED_VALUE"""),35.0)</f>
        <v>35</v>
      </c>
      <c r="B8" s="18" t="str">
        <f>IFERROR(__xludf.DUMMYFUNCTION("""COMPUTED_VALUE"""),"I don't use Samsung Experience Service frequently enough. In fact, I only remember it being a nuisance. I don't think any of this data is necessary for them to know because it doesn't improve my user experience to my knowledge.")</f>
        <v>I don't use Samsung Experience Service frequently enough. In fact, I only remember it being a nuisance. I don't think any of this data is necessary for them to know because it doesn't improve my user experience to my knowledge.</v>
      </c>
      <c r="C8" s="3" t="s">
        <v>760</v>
      </c>
      <c r="D8" s="3" t="s">
        <v>761</v>
      </c>
      <c r="E8" s="3" t="s">
        <v>762</v>
      </c>
      <c r="F8" s="3"/>
      <c r="G8" s="11"/>
      <c r="H8" s="11"/>
      <c r="I8" s="11"/>
      <c r="J8" s="11"/>
    </row>
    <row r="9">
      <c r="A9" s="17">
        <f>IFERROR(__xludf.DUMMYFUNCTION("""COMPUTED_VALUE"""),36.0)</f>
        <v>36</v>
      </c>
      <c r="B9" s="20" t="str">
        <f>IFERROR(__xludf.DUMMYFUNCTION("""COMPUTED_VALUE"""),"I don't remember authorizing this app to have access to my google account. I am worried they might use my information for nefarious things..")</f>
        <v>I don't remember authorizing this app to have access to my google account. I am worried they might use my information for nefarious things..</v>
      </c>
      <c r="C9" s="3" t="s">
        <v>761</v>
      </c>
      <c r="D9" s="3" t="s">
        <v>763</v>
      </c>
      <c r="E9" s="3" t="s">
        <v>764</v>
      </c>
      <c r="F9" s="3" t="s">
        <v>765</v>
      </c>
      <c r="G9" s="3"/>
      <c r="H9" s="11"/>
      <c r="I9" s="11"/>
      <c r="J9" s="11"/>
    </row>
    <row r="10">
      <c r="A10" s="17">
        <f>IFERROR(__xludf.DUMMYFUNCTION("""COMPUTED_VALUE"""),37.0)</f>
        <v>37</v>
      </c>
      <c r="B10" s="18"/>
      <c r="C10" s="3"/>
      <c r="D10" s="3"/>
      <c r="E10" s="3"/>
      <c r="G10" s="11"/>
      <c r="H10" s="11"/>
      <c r="I10" s="11"/>
      <c r="J10" s="11"/>
    </row>
    <row r="11">
      <c r="A11" s="17">
        <f>IFERROR(__xludf.DUMMYFUNCTION("""COMPUTED_VALUE"""),38.0)</f>
        <v>38</v>
      </c>
      <c r="B11" s="18" t="str">
        <f>IFERROR(__xludf.DUMMYFUNCTION("""COMPUTED_VALUE"""),"I dont really have that many concerns. I use my mac and my iPhone everyday for work, so it is necessary for them to have access to my google account. Plus, I am the only one to have access to these devices.")</f>
        <v>I dont really have that many concerns. I use my mac and my iPhone everyday for work, so it is necessary for them to have access to my google account. Plus, I am the only one to have access to these devices.</v>
      </c>
      <c r="C11" s="19" t="s">
        <v>758</v>
      </c>
      <c r="D11" s="3"/>
      <c r="E11" s="3"/>
      <c r="F11" s="21"/>
      <c r="G11" s="21"/>
      <c r="H11" s="21"/>
      <c r="I11" s="21"/>
      <c r="J11" s="3"/>
    </row>
    <row r="12">
      <c r="A12" s="17">
        <f>IFERROR(__xludf.DUMMYFUNCTION("""COMPUTED_VALUE"""),39.0)</f>
        <v>39</v>
      </c>
      <c r="B12" s="18"/>
      <c r="C12" s="3"/>
      <c r="D12" s="21"/>
      <c r="E12" s="21"/>
      <c r="F12" s="22"/>
      <c r="G12" s="23"/>
      <c r="H12" s="23"/>
      <c r="I12" s="23"/>
      <c r="J12" s="11"/>
    </row>
    <row r="13">
      <c r="A13" s="17">
        <f>IFERROR(__xludf.DUMMYFUNCTION("""COMPUTED_VALUE"""),40.0)</f>
        <v>40</v>
      </c>
      <c r="B13" s="18" t="str">
        <f>IFERROR(__xludf.DUMMYFUNCTION("""COMPUTED_VALUE"""),"I don't have a RingCentral so I don't like this.")</f>
        <v>I don't have a RingCentral so I don't like this.</v>
      </c>
      <c r="C13" s="3" t="s">
        <v>761</v>
      </c>
      <c r="D13" s="3"/>
      <c r="E13" s="3"/>
      <c r="F13" s="3"/>
      <c r="G13" s="3"/>
      <c r="H13" s="11"/>
      <c r="I13" s="11"/>
      <c r="J13" s="11"/>
    </row>
    <row r="14">
      <c r="A14" s="17">
        <f>IFERROR(__xludf.DUMMYFUNCTION("""COMPUTED_VALUE"""),41.0)</f>
        <v>41</v>
      </c>
      <c r="B14" s="18"/>
      <c r="C14" s="3"/>
      <c r="D14" s="3"/>
      <c r="E14" s="3"/>
      <c r="F14" s="11"/>
      <c r="G14" s="11"/>
      <c r="H14" s="11"/>
      <c r="I14" s="11"/>
      <c r="J14" s="11"/>
    </row>
    <row r="15">
      <c r="A15" s="17">
        <f>IFERROR(__xludf.DUMMYFUNCTION("""COMPUTED_VALUE"""),42.0)</f>
        <v>42</v>
      </c>
      <c r="B15" s="18" t="str">
        <f>IFERROR(__xludf.DUMMYFUNCTION("""COMPUTED_VALUE"""),"I don't remember granting access and they have access to my photos.")</f>
        <v>I don't remember granting access and they have access to my photos.</v>
      </c>
      <c r="C15" s="3" t="s">
        <v>764</v>
      </c>
      <c r="D15" s="3" t="s">
        <v>761</v>
      </c>
      <c r="E15" s="3" t="s">
        <v>766</v>
      </c>
      <c r="F15" s="3" t="s">
        <v>767</v>
      </c>
      <c r="G15" s="11"/>
      <c r="H15" s="11"/>
      <c r="I15" s="11"/>
      <c r="J15" s="11"/>
    </row>
    <row r="16">
      <c r="A16" s="17">
        <f>IFERROR(__xludf.DUMMYFUNCTION("""COMPUTED_VALUE"""),43.0)</f>
        <v>43</v>
      </c>
      <c r="B16" s="18"/>
      <c r="C16" s="3"/>
      <c r="D16" s="3"/>
      <c r="E16" s="3"/>
      <c r="F16" s="3"/>
      <c r="G16" s="11"/>
      <c r="H16" s="11"/>
      <c r="I16" s="11"/>
      <c r="J16" s="11"/>
    </row>
    <row r="17">
      <c r="A17" s="17">
        <f>IFERROR(__xludf.DUMMYFUNCTION("""COMPUTED_VALUE"""),44.0)</f>
        <v>44</v>
      </c>
      <c r="B17" s="18" t="str">
        <f>IFERROR(__xludf.DUMMYFUNCTION("""COMPUTED_VALUE"""),"I might would like to dial down the ""personal info"" but everything else is standard.")</f>
        <v>I might would like to dial down the "personal info" but everything else is standard.</v>
      </c>
      <c r="C17" s="3" t="s">
        <v>761</v>
      </c>
      <c r="D17" s="3" t="s">
        <v>762</v>
      </c>
      <c r="E17" s="3" t="s">
        <v>766</v>
      </c>
      <c r="F17" s="11"/>
      <c r="G17" s="11"/>
      <c r="H17" s="11"/>
      <c r="I17" s="11"/>
      <c r="J17" s="11"/>
    </row>
    <row r="18">
      <c r="A18" s="17">
        <f>IFERROR(__xludf.DUMMYFUNCTION("""COMPUTED_VALUE"""),45.0)</f>
        <v>45</v>
      </c>
      <c r="B18" s="18" t="str">
        <f>IFERROR(__xludf.DUMMYFUNCTION("""COMPUTED_VALUE"""),"I don't have any concerns.")</f>
        <v>I don't have any concerns.</v>
      </c>
      <c r="C18" s="19" t="s">
        <v>758</v>
      </c>
      <c r="D18" s="3"/>
      <c r="E18" s="3"/>
      <c r="F18" s="11"/>
      <c r="G18" s="11"/>
      <c r="H18" s="11"/>
      <c r="I18" s="11"/>
      <c r="J18" s="11"/>
    </row>
    <row r="19">
      <c r="A19" s="17">
        <f>IFERROR(__xludf.DUMMYFUNCTION("""COMPUTED_VALUE"""),46.0)</f>
        <v>46</v>
      </c>
      <c r="B19" s="18"/>
      <c r="C19" s="3"/>
      <c r="D19" s="3"/>
      <c r="E19" s="3"/>
      <c r="F19" s="3"/>
      <c r="G19" s="11"/>
      <c r="H19" s="11"/>
      <c r="I19" s="11"/>
      <c r="J19" s="11"/>
    </row>
    <row r="20">
      <c r="A20" s="17">
        <f>IFERROR(__xludf.DUMMYFUNCTION("""COMPUTED_VALUE"""),47.0)</f>
        <v>47</v>
      </c>
      <c r="B20" s="18"/>
      <c r="C20" s="3"/>
      <c r="D20" s="3"/>
      <c r="E20" s="3"/>
      <c r="F20" s="11"/>
      <c r="G20" s="11"/>
      <c r="H20" s="11"/>
      <c r="I20" s="11"/>
      <c r="J20" s="11"/>
    </row>
    <row r="21">
      <c r="A21" s="17">
        <f>IFERROR(__xludf.DUMMYFUNCTION("""COMPUTED_VALUE"""),48.0)</f>
        <v>48</v>
      </c>
      <c r="B21" s="18"/>
      <c r="C21" s="3"/>
      <c r="D21" s="3"/>
      <c r="E21" s="11"/>
      <c r="F21" s="11"/>
      <c r="G21" s="11"/>
      <c r="H21" s="11"/>
      <c r="I21" s="11"/>
      <c r="J21" s="11"/>
    </row>
    <row r="22">
      <c r="A22" s="17">
        <f>IFERROR(__xludf.DUMMYFUNCTION("""COMPUTED_VALUE"""),49.0)</f>
        <v>49</v>
      </c>
      <c r="B22" s="18" t="str">
        <f>IFERROR(__xludf.DUMMYFUNCTION("""COMPUTED_VALUE"""),"This is a keyboard that I use for my phone so it makes sense that it knows my email. I am concerned that the app can see information that it doesn't need to see.")</f>
        <v>This is a keyboard that I use for my phone so it makes sense that it knows my email. I am concerned that the app can see information that it doesn't need to see.</v>
      </c>
      <c r="C22" s="3" t="s">
        <v>761</v>
      </c>
      <c r="D22" s="3" t="s">
        <v>762</v>
      </c>
      <c r="E22" s="3"/>
      <c r="F22" s="3"/>
      <c r="G22" s="11"/>
      <c r="H22" s="11"/>
      <c r="I22" s="11"/>
      <c r="J22" s="11"/>
    </row>
    <row r="23">
      <c r="A23" s="17">
        <f>IFERROR(__xludf.DUMMYFUNCTION("""COMPUTED_VALUE"""),50.0)</f>
        <v>50</v>
      </c>
      <c r="B23" s="18"/>
      <c r="C23" s="3"/>
      <c r="D23" s="3"/>
      <c r="E23" s="3"/>
      <c r="F23" s="11"/>
      <c r="G23" s="11"/>
      <c r="H23" s="11"/>
      <c r="I23" s="11"/>
      <c r="J23" s="11"/>
    </row>
    <row r="24">
      <c r="A24" s="17">
        <f>IFERROR(__xludf.DUMMYFUNCTION("""COMPUTED_VALUE"""),51.0)</f>
        <v>51</v>
      </c>
      <c r="B24" s="18"/>
      <c r="C24" s="3"/>
      <c r="D24" s="3"/>
      <c r="E24" s="11"/>
      <c r="F24" s="11"/>
      <c r="G24" s="11"/>
      <c r="H24" s="11"/>
      <c r="I24" s="11"/>
      <c r="J24" s="11"/>
    </row>
    <row r="25">
      <c r="A25" s="17">
        <f>IFERROR(__xludf.DUMMYFUNCTION("""COMPUTED_VALUE"""),52.0)</f>
        <v>52</v>
      </c>
      <c r="B25" s="20" t="str">
        <f>IFERROR(__xludf.DUMMYFUNCTION("""COMPUTED_VALUE"""),"I was unaware these permissions were still on the app as I've deleted the app. I wonder how common that is? That's my concern here.")</f>
        <v>I was unaware these permissions were still on the app as I've deleted the app. I wonder how common that is? That's my concern here.</v>
      </c>
      <c r="C25" s="3" t="s">
        <v>761</v>
      </c>
      <c r="D25" s="3" t="s">
        <v>768</v>
      </c>
      <c r="E25" s="3"/>
      <c r="F25" s="11"/>
      <c r="G25" s="11"/>
      <c r="H25" s="11"/>
      <c r="I25" s="11"/>
      <c r="J25" s="11"/>
    </row>
    <row r="26">
      <c r="A26" s="17">
        <f>IFERROR(__xludf.DUMMYFUNCTION("""COMPUTED_VALUE"""),53.0)</f>
        <v>53</v>
      </c>
      <c r="B26" s="18"/>
      <c r="C26" s="3"/>
      <c r="D26" s="3"/>
      <c r="E26" s="3"/>
      <c r="F26" s="11"/>
      <c r="G26" s="11"/>
      <c r="H26" s="11"/>
      <c r="I26" s="11"/>
      <c r="J26" s="11"/>
    </row>
    <row r="27">
      <c r="A27" s="17">
        <f>IFERROR(__xludf.DUMMYFUNCTION("""COMPUTED_VALUE"""),54.0)</f>
        <v>54</v>
      </c>
      <c r="B27" s="18"/>
      <c r="C27" s="3"/>
      <c r="D27" s="3"/>
      <c r="E27" s="11"/>
      <c r="F27" s="11"/>
      <c r="G27" s="11"/>
      <c r="H27" s="11"/>
      <c r="I27" s="11"/>
      <c r="J27" s="11"/>
    </row>
    <row r="28">
      <c r="A28" s="17">
        <f>IFERROR(__xludf.DUMMYFUNCTION("""COMPUTED_VALUE"""),55.0)</f>
        <v>55</v>
      </c>
      <c r="B28" s="18"/>
      <c r="C28" s="3"/>
      <c r="D28" s="3"/>
      <c r="E28" s="19"/>
      <c r="F28" s="19"/>
      <c r="G28" s="11"/>
      <c r="H28" s="11"/>
      <c r="I28" s="11"/>
      <c r="J28" s="11"/>
    </row>
    <row r="29">
      <c r="A29">
        <f>IFERROR(__xludf.DUMMYFUNCTION("""COMPUTED_VALUE"""),56.0)</f>
        <v>56</v>
      </c>
      <c r="B29" s="11"/>
      <c r="C29" s="3"/>
      <c r="D29" s="3"/>
      <c r="E29" s="24"/>
      <c r="F29" s="19"/>
      <c r="G29" s="11"/>
      <c r="H29" s="11"/>
      <c r="I29" s="11"/>
      <c r="J29" s="11"/>
    </row>
    <row r="30">
      <c r="A30">
        <f>IFERROR(__xludf.DUMMYFUNCTION("""COMPUTED_VALUE"""),57.0)</f>
        <v>57</v>
      </c>
      <c r="B30" s="11" t="str">
        <f>IFERROR(__xludf.DUMMYFUNCTION("""COMPUTED_VALUE"""),"Google is sketchy, but I need this to do programming stuff.")</f>
        <v>Google is sketchy, but I need this to do programming stuff.</v>
      </c>
      <c r="C30" s="3" t="s">
        <v>761</v>
      </c>
      <c r="D30" s="3" t="s">
        <v>759</v>
      </c>
      <c r="E30" s="3"/>
      <c r="F30" s="11"/>
      <c r="G30" s="11"/>
      <c r="H30" s="11"/>
      <c r="I30" s="11"/>
      <c r="J30" s="11"/>
    </row>
    <row r="31">
      <c r="A31">
        <f>IFERROR(__xludf.DUMMYFUNCTION("""COMPUTED_VALUE"""),58.0)</f>
        <v>58</v>
      </c>
      <c r="B31" s="11" t="str">
        <f>IFERROR(__xludf.DUMMYFUNCTION("""COMPUTED_VALUE"""),"My data and digital footsteps can be viewed.")</f>
        <v>My data and digital footsteps can be viewed.</v>
      </c>
      <c r="C31" s="3" t="s">
        <v>761</v>
      </c>
      <c r="D31" s="3" t="s">
        <v>766</v>
      </c>
      <c r="E31" s="11"/>
      <c r="F31" s="11"/>
      <c r="G31" s="11"/>
      <c r="H31" s="11"/>
      <c r="I31" s="11"/>
      <c r="J31" s="11"/>
    </row>
    <row r="32">
      <c r="A32">
        <f>IFERROR(__xludf.DUMMYFUNCTION("""COMPUTED_VALUE"""),59.0)</f>
        <v>59</v>
      </c>
      <c r="B32" s="11"/>
      <c r="C32" s="3"/>
      <c r="D32" s="3"/>
      <c r="E32" s="11"/>
      <c r="F32" s="11"/>
      <c r="G32" s="11"/>
      <c r="H32" s="11"/>
      <c r="I32" s="11"/>
      <c r="J32" s="11"/>
    </row>
    <row r="33">
      <c r="A33">
        <f>IFERROR(__xludf.DUMMYFUNCTION("""COMPUTED_VALUE"""),60.0)</f>
        <v>60</v>
      </c>
      <c r="B33" s="11"/>
      <c r="C33" s="3"/>
      <c r="D33" s="3"/>
      <c r="E33" s="11"/>
      <c r="F33" s="11"/>
      <c r="G33" s="11"/>
      <c r="H33" s="11"/>
      <c r="I33" s="11"/>
      <c r="J33" s="11"/>
    </row>
    <row r="34">
      <c r="A34">
        <f>IFERROR(__xludf.DUMMYFUNCTION("""COMPUTED_VALUE"""),61.0)</f>
        <v>61</v>
      </c>
      <c r="B34" s="11" t="str">
        <f>IFERROR(__xludf.DUMMYFUNCTION("""COMPUTED_VALUE"""),"Not sure, daughter downloads games on shared tablet.")</f>
        <v>Not sure, daughter downloads games on shared tablet.</v>
      </c>
      <c r="C34" s="19" t="s">
        <v>758</v>
      </c>
      <c r="D34" s="3"/>
      <c r="E34" s="11"/>
      <c r="F34" s="11"/>
      <c r="G34" s="11"/>
      <c r="H34" s="11"/>
      <c r="I34" s="11"/>
      <c r="J34" s="11"/>
    </row>
    <row r="35">
      <c r="A35">
        <f>IFERROR(__xludf.DUMMYFUNCTION("""COMPUTED_VALUE"""),62.0)</f>
        <v>62</v>
      </c>
      <c r="B35" s="11" t="str">
        <f>IFERROR(__xludf.DUMMYFUNCTION("""COMPUTED_VALUE"""),"I didn't think I ever installed anything from similarweb.")</f>
        <v>I didn't think I ever installed anything from similarweb.</v>
      </c>
      <c r="C35" s="3" t="s">
        <v>764</v>
      </c>
      <c r="D35" s="3" t="s">
        <v>765</v>
      </c>
      <c r="E35" s="11"/>
      <c r="F35" s="11"/>
      <c r="G35" s="11"/>
      <c r="H35" s="11"/>
      <c r="I35" s="11"/>
      <c r="J35" s="11"/>
    </row>
    <row r="36">
      <c r="A36">
        <f>IFERROR(__xludf.DUMMYFUNCTION("""COMPUTED_VALUE"""),63.0)</f>
        <v>63</v>
      </c>
      <c r="B36" s="11"/>
      <c r="C36" s="3"/>
      <c r="D36" s="3"/>
      <c r="E36" s="3"/>
      <c r="F36" s="11"/>
      <c r="G36" s="11"/>
      <c r="H36" s="11"/>
      <c r="I36" s="11"/>
      <c r="J36" s="11"/>
    </row>
    <row r="37">
      <c r="A37">
        <f>IFERROR(__xludf.DUMMYFUNCTION("""COMPUTED_VALUE"""),64.0)</f>
        <v>64</v>
      </c>
      <c r="B37" s="11" t="str">
        <f>IFERROR(__xludf.DUMMYFUNCTION("""COMPUTED_VALUE"""),"This is some junk game that was downloaded with Cashmagnet.")</f>
        <v>This is some junk game that was downloaded with Cashmagnet.</v>
      </c>
      <c r="C37" s="19" t="s">
        <v>758</v>
      </c>
      <c r="D37" s="24"/>
      <c r="E37" s="3"/>
      <c r="F37" s="3"/>
      <c r="G37" s="3"/>
      <c r="H37" s="11"/>
      <c r="I37" s="11"/>
      <c r="J37" s="11"/>
    </row>
    <row r="38">
      <c r="A38">
        <f>IFERROR(__xludf.DUMMYFUNCTION("""COMPUTED_VALUE"""),65.0)</f>
        <v>65</v>
      </c>
      <c r="B38" s="11" t="str">
        <f>IFERROR(__xludf.DUMMYFUNCTION("""COMPUTED_VALUE"""),"I have no concerns about Clash Royale.")</f>
        <v>I have no concerns about Clash Royale.</v>
      </c>
      <c r="C38" s="19" t="s">
        <v>758</v>
      </c>
      <c r="D38" s="3"/>
      <c r="E38" s="11"/>
      <c r="F38" s="11"/>
      <c r="G38" s="11"/>
      <c r="H38" s="11"/>
      <c r="I38" s="11"/>
      <c r="J38" s="11"/>
    </row>
    <row r="39">
      <c r="A39">
        <f>IFERROR(__xludf.DUMMYFUNCTION("""COMPUTED_VALUE"""),66.0)</f>
        <v>66</v>
      </c>
      <c r="B39" s="11"/>
      <c r="C39" s="3"/>
      <c r="D39" s="3"/>
      <c r="E39" s="11"/>
      <c r="F39" s="11"/>
      <c r="G39" s="11"/>
      <c r="H39" s="11"/>
      <c r="I39" s="11"/>
      <c r="J39" s="11"/>
    </row>
    <row r="40">
      <c r="A40">
        <f>IFERROR(__xludf.DUMMYFUNCTION("""COMPUTED_VALUE"""),67.0)</f>
        <v>67</v>
      </c>
      <c r="B40" s="11" t="str">
        <f>IFERROR(__xludf.DUMMYFUNCTION("""COMPUTED_VALUE"""),"I have none, it was just for signing leases in Austin.")</f>
        <v>I have none, it was just for signing leases in Austin.</v>
      </c>
      <c r="C40" s="19" t="s">
        <v>758</v>
      </c>
      <c r="D40" s="3"/>
      <c r="E40" s="3"/>
      <c r="F40" s="11"/>
      <c r="G40" s="11"/>
      <c r="H40" s="11"/>
      <c r="I40" s="11"/>
      <c r="J40" s="11"/>
    </row>
    <row r="41">
      <c r="A41">
        <f>IFERROR(__xludf.DUMMYFUNCTION("""COMPUTED_VALUE"""),68.0)</f>
        <v>68</v>
      </c>
      <c r="B41" s="11"/>
      <c r="C41" s="3"/>
      <c r="D41" s="3"/>
      <c r="E41" s="11"/>
      <c r="F41" s="11"/>
      <c r="G41" s="11"/>
      <c r="H41" s="11"/>
      <c r="I41" s="11"/>
      <c r="J41" s="11"/>
    </row>
    <row r="42">
      <c r="A42">
        <f>IFERROR(__xludf.DUMMYFUNCTION("""COMPUTED_VALUE"""),69.0)</f>
        <v>69</v>
      </c>
      <c r="B42" s="11" t="str">
        <f>IFERROR(__xludf.DUMMYFUNCTION("""COMPUTED_VALUE"""),"My concerns are no more, really, than what I feel for other apps that (presumably) hold, at least, millions of dollars of consumer money.
 Even if I don't like this particular app itself, I'm going to try not to conflate my feelings for it, to being state"&amp;"ments-of-fact of its overall operations.
 Even if I did.. ..what can I—a plebeian—, by myself, do against that which is backed by so much money and, likely, by so many people who, from what I gather, value profit over people?")</f>
        <v>My concerns are no more, really, than what I feel for other apps that (presumably) hold, at least, millions of dollars of consumer money.
 Even if I don't like this particular app itself, I'm going to try not to conflate my feelings for it, to being statements-of-fact of its overall operations.
 Even if I did.. ..what can I—a plebeian—, by myself, do against that which is backed by so much money and, likely, by so many people who, from what I gather, value profit over people?</v>
      </c>
      <c r="C42" s="19" t="s">
        <v>758</v>
      </c>
      <c r="D42" s="3" t="s">
        <v>769</v>
      </c>
      <c r="E42" s="11"/>
      <c r="F42" s="11"/>
      <c r="G42" s="11"/>
      <c r="H42" s="11"/>
      <c r="I42" s="11"/>
      <c r="J42" s="11"/>
    </row>
    <row r="43">
      <c r="A43">
        <f>IFERROR(__xludf.DUMMYFUNCTION("""COMPUTED_VALUE"""),70.0)</f>
        <v>70</v>
      </c>
      <c r="B43" s="11"/>
      <c r="C43" s="3"/>
      <c r="D43" s="3"/>
      <c r="E43" s="3"/>
      <c r="F43" s="24"/>
      <c r="G43" s="3"/>
      <c r="H43" s="3"/>
      <c r="I43" s="11"/>
      <c r="J43" s="11"/>
    </row>
    <row r="44">
      <c r="A44">
        <f>IFERROR(__xludf.DUMMYFUNCTION("""COMPUTED_VALUE"""),71.0)</f>
        <v>71</v>
      </c>
      <c r="B44" s="11"/>
      <c r="C44" s="3"/>
      <c r="D44" s="3"/>
      <c r="E44" s="11"/>
      <c r="F44" s="11"/>
      <c r="G44" s="11"/>
      <c r="H44" s="11"/>
      <c r="I44" s="11"/>
      <c r="J44" s="11"/>
    </row>
    <row r="45">
      <c r="A45">
        <f>IFERROR(__xludf.DUMMYFUNCTION("""COMPUTED_VALUE"""),72.0)</f>
        <v>72</v>
      </c>
      <c r="B45" s="11" t="str">
        <f>IFERROR(__xludf.DUMMYFUNCTION("""COMPUTED_VALUE"""),"I don't have any concerns with Coin Dozer - Free Prizes having this permission.")</f>
        <v>I don't have any concerns with Coin Dozer - Free Prizes having this permission.</v>
      </c>
      <c r="C45" s="19" t="s">
        <v>758</v>
      </c>
      <c r="D45" s="3"/>
      <c r="E45" s="11"/>
      <c r="F45" s="11"/>
      <c r="G45" s="11"/>
      <c r="H45" s="11"/>
      <c r="I45" s="11"/>
      <c r="J45" s="11"/>
    </row>
    <row r="46">
      <c r="A46">
        <f>IFERROR(__xludf.DUMMYFUNCTION("""COMPUTED_VALUE"""),73.0)</f>
        <v>73</v>
      </c>
      <c r="B46" s="11" t="str">
        <f>IFERROR(__xludf.DUMMYFUNCTION("""COMPUTED_VALUE"""),"No concerns")</f>
        <v>No concerns</v>
      </c>
      <c r="C46" s="19" t="s">
        <v>758</v>
      </c>
      <c r="D46" s="3"/>
      <c r="E46" s="11"/>
      <c r="F46" s="11"/>
      <c r="G46" s="11"/>
      <c r="H46" s="11"/>
      <c r="I46" s="11"/>
      <c r="J46" s="11"/>
    </row>
    <row r="47">
      <c r="A47">
        <f>IFERROR(__xludf.DUMMYFUNCTION("""COMPUTED_VALUE"""),74.0)</f>
        <v>74</v>
      </c>
      <c r="B47" s="11"/>
      <c r="C47" s="3"/>
      <c r="D47" s="3"/>
      <c r="E47" s="3"/>
      <c r="F47" s="11"/>
      <c r="G47" s="11"/>
      <c r="H47" s="11"/>
      <c r="I47" s="11"/>
      <c r="J47" s="11"/>
    </row>
    <row r="48">
      <c r="A48">
        <f>IFERROR(__xludf.DUMMYFUNCTION("""COMPUTED_VALUE"""),75.0)</f>
        <v>75</v>
      </c>
      <c r="B48" s="11"/>
      <c r="C48" s="3"/>
      <c r="D48" s="3"/>
      <c r="E48" s="11"/>
      <c r="F48" s="11"/>
      <c r="G48" s="11"/>
      <c r="H48" s="11"/>
      <c r="I48" s="11"/>
      <c r="J48" s="11"/>
    </row>
    <row r="49">
      <c r="A49">
        <f>IFERROR(__xludf.DUMMYFUNCTION("""COMPUTED_VALUE"""),76.0)</f>
        <v>76</v>
      </c>
      <c r="B49" s="11" t="str">
        <f>IFERROR(__xludf.DUMMYFUNCTION("""COMPUTED_VALUE"""),"I don't want Lumin app because I don't use it.")</f>
        <v>I don't want Lumin app because I don't use it.</v>
      </c>
      <c r="C49" s="3" t="s">
        <v>760</v>
      </c>
      <c r="D49" s="3"/>
      <c r="E49" s="11"/>
      <c r="F49" s="11"/>
      <c r="G49" s="24"/>
      <c r="H49" s="11"/>
      <c r="I49" s="11"/>
      <c r="J49" s="11"/>
    </row>
    <row r="50">
      <c r="A50">
        <f>IFERROR(__xludf.DUMMYFUNCTION("""COMPUTED_VALUE"""),77.0)</f>
        <v>77</v>
      </c>
      <c r="B50" s="11"/>
      <c r="C50" s="3"/>
      <c r="D50" s="3"/>
      <c r="E50" s="3"/>
      <c r="F50" s="24"/>
      <c r="G50" s="24"/>
      <c r="H50" s="11"/>
      <c r="I50" s="11"/>
      <c r="J50" s="11"/>
    </row>
    <row r="51">
      <c r="A51">
        <f>IFERROR(__xludf.DUMMYFUNCTION("""COMPUTED_VALUE"""),78.0)</f>
        <v>78</v>
      </c>
      <c r="B51" s="11" t="str">
        <f>IFERROR(__xludf.DUMMYFUNCTION("""COMPUTED_VALUE"""),"None")</f>
        <v>None</v>
      </c>
      <c r="C51" s="19" t="s">
        <v>758</v>
      </c>
      <c r="D51" s="24"/>
      <c r="E51" s="3"/>
      <c r="F51" s="11"/>
      <c r="G51" s="11"/>
      <c r="H51" s="11"/>
      <c r="I51" s="11"/>
      <c r="J51" s="11"/>
    </row>
    <row r="52">
      <c r="A52">
        <f>IFERROR(__xludf.DUMMYFUNCTION("""COMPUTED_VALUE"""),79.0)</f>
        <v>79</v>
      </c>
      <c r="B52" s="11" t="str">
        <f>IFERROR(__xludf.DUMMYFUNCTION("""COMPUTED_VALUE"""),"I dont want them having access to my personal information.")</f>
        <v>I dont want them having access to my personal information.</v>
      </c>
      <c r="C52" s="3" t="s">
        <v>761</v>
      </c>
      <c r="D52" s="3" t="s">
        <v>766</v>
      </c>
      <c r="E52" s="24"/>
      <c r="F52" s="11"/>
      <c r="G52" s="11"/>
      <c r="H52" s="11"/>
      <c r="I52" s="11"/>
      <c r="J52" s="11"/>
    </row>
    <row r="53">
      <c r="A53">
        <f>IFERROR(__xludf.DUMMYFUNCTION("""COMPUTED_VALUE"""),80.0)</f>
        <v>80</v>
      </c>
      <c r="B53" s="11" t="str">
        <f>IFERROR(__xludf.DUMMYFUNCTION("""COMPUTED_VALUE"""),"No concerns")</f>
        <v>No concerns</v>
      </c>
      <c r="C53" s="19" t="s">
        <v>758</v>
      </c>
      <c r="D53" s="3"/>
      <c r="E53" s="3"/>
      <c r="F53" s="3"/>
      <c r="G53" s="11"/>
      <c r="H53" s="11"/>
      <c r="I53" s="11"/>
      <c r="J53" s="11"/>
    </row>
    <row r="54">
      <c r="A54">
        <f>IFERROR(__xludf.DUMMYFUNCTION("""COMPUTED_VALUE"""),81.0)</f>
        <v>81</v>
      </c>
      <c r="B54" s="11"/>
      <c r="C54" s="3"/>
      <c r="D54" s="3"/>
      <c r="E54" s="11"/>
      <c r="F54" s="11"/>
      <c r="G54" s="11"/>
      <c r="H54" s="11"/>
      <c r="I54" s="11"/>
      <c r="J54" s="11"/>
    </row>
    <row r="55">
      <c r="A55">
        <f>IFERROR(__xludf.DUMMYFUNCTION("""COMPUTED_VALUE"""),82.0)</f>
        <v>82</v>
      </c>
      <c r="B55" s="11" t="str">
        <f>IFERROR(__xludf.DUMMYFUNCTION("""COMPUTED_VALUE"""),"I'm mostly concerned about Rakuten reading emails that aren't relevant to what the app is trying to do.")</f>
        <v>I'm mostly concerned about Rakuten reading emails that aren't relevant to what the app is trying to do.</v>
      </c>
      <c r="C55" s="3" t="s">
        <v>761</v>
      </c>
      <c r="D55" s="3" t="s">
        <v>766</v>
      </c>
      <c r="E55" s="3" t="s">
        <v>762</v>
      </c>
      <c r="F55" s="11"/>
      <c r="G55" s="11"/>
      <c r="H55" s="11"/>
      <c r="I55" s="11"/>
      <c r="J55" s="11"/>
    </row>
    <row r="56">
      <c r="A56">
        <f>IFERROR(__xludf.DUMMYFUNCTION("""COMPUTED_VALUE"""),83.0)</f>
        <v>83</v>
      </c>
      <c r="B56" s="11" t="str">
        <f>IFERROR(__xludf.DUMMYFUNCTION("""COMPUTED_VALUE"""),"N/A")</f>
        <v>N/A</v>
      </c>
      <c r="C56" s="19" t="s">
        <v>758</v>
      </c>
      <c r="D56" s="25"/>
      <c r="E56" s="11"/>
      <c r="F56" s="11"/>
      <c r="G56" s="11"/>
      <c r="H56" s="11"/>
      <c r="I56" s="11"/>
      <c r="J56" s="11"/>
    </row>
    <row r="57">
      <c r="A57">
        <f>IFERROR(__xludf.DUMMYFUNCTION("""COMPUTED_VALUE"""),84.0)</f>
        <v>84</v>
      </c>
      <c r="B57" s="11"/>
      <c r="C57" s="21"/>
      <c r="D57" s="3"/>
      <c r="E57" s="24"/>
      <c r="F57" s="24"/>
      <c r="G57" s="11"/>
      <c r="H57" s="11"/>
      <c r="I57" s="11"/>
      <c r="J57" s="11"/>
    </row>
    <row r="58">
      <c r="A58">
        <f>IFERROR(__xludf.DUMMYFUNCTION("""COMPUTED_VALUE"""),85.0)</f>
        <v>85</v>
      </c>
      <c r="B58" s="11"/>
      <c r="C58" s="3"/>
      <c r="D58" s="3"/>
      <c r="E58" s="3"/>
      <c r="F58" s="11"/>
      <c r="G58" s="11"/>
      <c r="H58" s="11"/>
      <c r="I58" s="11"/>
      <c r="J58" s="11"/>
    </row>
    <row r="59">
      <c r="A59">
        <f>IFERROR(__xludf.DUMMYFUNCTION("""COMPUTED_VALUE"""),86.0)</f>
        <v>86</v>
      </c>
      <c r="B59" s="11" t="str">
        <f>IFERROR(__xludf.DUMMYFUNCTION("""COMPUTED_VALUE"""),"Why does WiseStamp need to know my information? This does not make sense for what the extension is for.")</f>
        <v>Why does WiseStamp need to know my information? This does not make sense for what the extension is for.</v>
      </c>
      <c r="C59" s="3" t="s">
        <v>761</v>
      </c>
      <c r="D59" s="3" t="s">
        <v>766</v>
      </c>
      <c r="E59" s="3" t="s">
        <v>762</v>
      </c>
      <c r="F59" s="11"/>
      <c r="G59" s="11"/>
      <c r="H59" s="11"/>
      <c r="I59" s="11"/>
      <c r="J59" s="11"/>
    </row>
    <row r="60">
      <c r="A60">
        <f>IFERROR(__xludf.DUMMYFUNCTION("""COMPUTED_VALUE"""),87.0)</f>
        <v>87</v>
      </c>
      <c r="B60" s="11" t="str">
        <f>IFERROR(__xludf.DUMMYFUNCTION("""COMPUTED_VALUE"""),"I'm slightly concerned that they could read some of my emails which might have confidential info.")</f>
        <v>I'm slightly concerned that they could read some of my emails which might have confidential info.</v>
      </c>
      <c r="C60" s="3" t="s">
        <v>761</v>
      </c>
      <c r="D60" s="3" t="s">
        <v>766</v>
      </c>
      <c r="E60" s="3" t="s">
        <v>770</v>
      </c>
      <c r="F60" s="3"/>
      <c r="G60" s="3"/>
      <c r="H60" s="11"/>
      <c r="I60" s="11"/>
      <c r="J60" s="11"/>
    </row>
    <row r="61">
      <c r="A61">
        <f>IFERROR(__xludf.DUMMYFUNCTION("""COMPUTED_VALUE"""),88.0)</f>
        <v>88</v>
      </c>
      <c r="B61" s="11"/>
      <c r="C61" s="3"/>
      <c r="D61" s="3"/>
      <c r="E61" s="24"/>
      <c r="F61" s="24"/>
      <c r="G61" s="11"/>
      <c r="H61" s="11"/>
      <c r="I61" s="11"/>
      <c r="J61" s="11"/>
    </row>
    <row r="62">
      <c r="A62">
        <f>IFERROR(__xludf.DUMMYFUNCTION("""COMPUTED_VALUE"""),89.0)</f>
        <v>89</v>
      </c>
      <c r="B62" s="26" t="str">
        <f>IFERROR(__xludf.DUMMYFUNCTION("""COMPUTED_VALUE"""),"Truly, I do not remember installing Gleam. I usually check back to make sure nothing has been installed / been given permission for my Google accounts every so often, and it seems this one got in between the last time I checked. After this, I'm likely goi"&amp;"ng to check out Gleam to see what it's purpose is, to either jog my memory or to delete permanently.")</f>
        <v>Truly, I do not remember installing Gleam. I usually check back to make sure nothing has been installed / been given permission for my Google accounts every so often, and it seems this one got in between the last time I checked. After this, I'm likely going to check out Gleam to see what it's purpose is, to either jog my memory or to delete permanently.</v>
      </c>
      <c r="C62" s="3" t="s">
        <v>764</v>
      </c>
      <c r="D62" s="3" t="s">
        <v>765</v>
      </c>
      <c r="E62" s="24" t="s">
        <v>771</v>
      </c>
      <c r="F62" s="11"/>
      <c r="G62" s="11"/>
      <c r="H62" s="11"/>
      <c r="I62" s="11"/>
      <c r="J62" s="11"/>
    </row>
    <row r="63">
      <c r="A63">
        <f>IFERROR(__xludf.DUMMYFUNCTION("""COMPUTED_VALUE"""),90.0)</f>
        <v>90</v>
      </c>
      <c r="B63" s="11" t="str">
        <f>IFERROR(__xludf.DUMMYFUNCTION("""COMPUTED_VALUE"""),"I doesn't need to see anything from my Google account")</f>
        <v>I doesn't need to see anything from my Google account</v>
      </c>
      <c r="C63" s="3" t="s">
        <v>761</v>
      </c>
      <c r="D63" s="3" t="s">
        <v>766</v>
      </c>
      <c r="E63" s="3" t="s">
        <v>762</v>
      </c>
      <c r="F63" s="3"/>
      <c r="G63" s="3"/>
      <c r="H63" s="11"/>
      <c r="I63" s="11"/>
      <c r="J63" s="11"/>
    </row>
    <row r="64">
      <c r="A64">
        <f>IFERROR(__xludf.DUMMYFUNCTION("""COMPUTED_VALUE"""),91.0)</f>
        <v>91</v>
      </c>
      <c r="B64" s="11"/>
      <c r="C64" s="3"/>
      <c r="D64" s="24"/>
      <c r="E64" s="24"/>
      <c r="F64" s="11"/>
      <c r="G64" s="11"/>
      <c r="H64" s="11"/>
      <c r="I64" s="11"/>
      <c r="J64" s="11"/>
    </row>
    <row r="65">
      <c r="A65">
        <f>IFERROR(__xludf.DUMMYFUNCTION("""COMPUTED_VALUE"""),92.0)</f>
        <v>92</v>
      </c>
      <c r="B65" s="11" t="str">
        <f>IFERROR(__xludf.DUMMYFUNCTION("""COMPUTED_VALUE"""),"I don't think that Lumin PDF needs to see my data, given that the program is only used for editing PDF files. I'm not very concerned overall about the data it has access to, but I do feel as though it shouldn't need some of the data it has.")</f>
        <v>I don't think that Lumin PDF needs to see my data, given that the program is only used for editing PDF files. I'm not very concerned overall about the data it has access to, but I do feel as though it shouldn't need some of the data it has.</v>
      </c>
      <c r="C65" s="3" t="s">
        <v>761</v>
      </c>
      <c r="D65" s="3" t="s">
        <v>762</v>
      </c>
      <c r="E65" s="3"/>
      <c r="F65" s="3"/>
      <c r="G65" s="19"/>
      <c r="H65" s="11"/>
      <c r="I65" s="11"/>
      <c r="J65" s="11"/>
    </row>
    <row r="66">
      <c r="A66">
        <f>IFERROR(__xludf.DUMMYFUNCTION("""COMPUTED_VALUE"""),93.0)</f>
        <v>93</v>
      </c>
      <c r="B66" s="11" t="str">
        <f>IFERROR(__xludf.DUMMYFUNCTION("""COMPUTED_VALUE"""),"none")</f>
        <v>none</v>
      </c>
      <c r="C66" s="19" t="s">
        <v>758</v>
      </c>
      <c r="D66" s="24"/>
      <c r="E66" s="24"/>
      <c r="F66" s="11"/>
      <c r="G66" s="11"/>
      <c r="H66" s="11"/>
      <c r="I66" s="11"/>
      <c r="J66" s="11"/>
    </row>
    <row r="67">
      <c r="A67">
        <f>IFERROR(__xludf.DUMMYFUNCTION("""COMPUTED_VALUE"""),94.0)</f>
        <v>94</v>
      </c>
      <c r="B67" s="11"/>
      <c r="C67" s="3"/>
      <c r="D67" s="3"/>
      <c r="E67" s="19"/>
      <c r="F67" s="19"/>
      <c r="G67" s="3"/>
      <c r="H67" s="3"/>
      <c r="J67" s="11"/>
    </row>
    <row r="68">
      <c r="A68">
        <f>IFERROR(__xludf.DUMMYFUNCTION("""COMPUTED_VALUE"""),95.0)</f>
        <v>95</v>
      </c>
      <c r="B68" s="11" t="str">
        <f>IFERROR(__xludf.DUMMYFUNCTION("""COMPUTED_VALUE"""),"not really. I realized after answering questions about it, what it was.")</f>
        <v>not really. I realized after answering questions about it, what it was.</v>
      </c>
      <c r="C68" s="19" t="s">
        <v>758</v>
      </c>
      <c r="D68" s="3"/>
      <c r="E68" s="24"/>
      <c r="F68" s="24"/>
      <c r="G68" s="11"/>
      <c r="J68" s="11"/>
    </row>
    <row r="69">
      <c r="A69">
        <f>IFERROR(__xludf.DUMMYFUNCTION("""COMPUTED_VALUE"""),96.0)</f>
        <v>96</v>
      </c>
      <c r="B69" s="11" t="str">
        <f>IFERROR(__xludf.DUMMYFUNCTION("""COMPUTED_VALUE"""),"I don't see why it would need those permissions.")</f>
        <v>I don't see why it would need those permissions.</v>
      </c>
      <c r="C69" s="3" t="s">
        <v>761</v>
      </c>
      <c r="D69" s="3" t="s">
        <v>762</v>
      </c>
      <c r="E69" s="3"/>
      <c r="F69" s="3"/>
      <c r="G69" s="3"/>
      <c r="J69" s="11"/>
    </row>
    <row r="70">
      <c r="A70">
        <f>IFERROR(__xludf.DUMMYFUNCTION("""COMPUTED_VALUE"""),97.0)</f>
        <v>97</v>
      </c>
      <c r="B70" s="11"/>
      <c r="C70" s="3"/>
      <c r="D70" s="24"/>
      <c r="E70" s="24"/>
      <c r="F70" s="3"/>
      <c r="G70" s="3"/>
      <c r="H70" s="11"/>
      <c r="I70" s="11"/>
      <c r="J70" s="11"/>
    </row>
    <row r="71">
      <c r="A71">
        <f>IFERROR(__xludf.DUMMYFUNCTION("""COMPUTED_VALUE"""),98.0)</f>
        <v>98</v>
      </c>
      <c r="B71" s="11"/>
      <c r="C71" s="3"/>
      <c r="D71" s="3"/>
      <c r="E71" s="24"/>
      <c r="F71" s="3"/>
      <c r="G71" s="3"/>
      <c r="H71" s="3"/>
      <c r="I71" s="3"/>
      <c r="J71" s="11"/>
    </row>
    <row r="72">
      <c r="A72">
        <f>IFERROR(__xludf.DUMMYFUNCTION("""COMPUTED_VALUE"""),99.0)</f>
        <v>99</v>
      </c>
      <c r="B72" s="11" t="str">
        <f>IFERROR(__xludf.DUMMYFUNCTION("""COMPUTED_VALUE"""),"I have none, but I don't need it anymore as I've done what I needed to do with it.")</f>
        <v>I have none, but I don't need it anymore as I've done what I needed to do with it.</v>
      </c>
      <c r="C72" s="19" t="s">
        <v>758</v>
      </c>
      <c r="D72" s="24" t="s">
        <v>772</v>
      </c>
      <c r="E72" s="11"/>
      <c r="F72" s="11"/>
      <c r="G72" s="11"/>
      <c r="H72" s="11"/>
      <c r="I72" s="11"/>
      <c r="J72" s="11"/>
    </row>
    <row r="73">
      <c r="A73">
        <f>IFERROR(__xludf.DUMMYFUNCTION("""COMPUTED_VALUE"""),100.0)</f>
        <v>100</v>
      </c>
      <c r="B73" s="11"/>
      <c r="C73" s="3"/>
      <c r="D73" s="24"/>
      <c r="E73" s="24"/>
      <c r="F73" s="3"/>
      <c r="G73" s="3"/>
      <c r="H73" s="3"/>
      <c r="I73" s="11"/>
      <c r="J73" s="11"/>
    </row>
    <row r="74">
      <c r="A74">
        <f>IFERROR(__xludf.DUMMYFUNCTION("""COMPUTED_VALUE"""),101.0)</f>
        <v>101</v>
      </c>
      <c r="B74" s="11" t="str">
        <f>IFERROR(__xludf.DUMMYFUNCTION("""COMPUTED_VALUE"""),"It's a google product using my google account. My concern is low for the app needing this level of permission.")</f>
        <v>It's a google product using my google account. My concern is low for the app needing this level of permission.</v>
      </c>
      <c r="C74" s="19" t="s">
        <v>758</v>
      </c>
      <c r="D74" s="19" t="s">
        <v>773</v>
      </c>
      <c r="E74" s="3" t="s">
        <v>774</v>
      </c>
      <c r="F74" s="11"/>
      <c r="G74" s="11"/>
      <c r="H74" s="11"/>
      <c r="I74" s="11"/>
      <c r="J74" s="11"/>
    </row>
    <row r="75">
      <c r="A75">
        <f>IFERROR(__xludf.DUMMYFUNCTION("""COMPUTED_VALUE"""),102.0)</f>
        <v>102</v>
      </c>
      <c r="B75" s="11" t="str">
        <f>IFERROR(__xludf.DUMMYFUNCTION("""COMPUTED_VALUE"""),"Its a google company so...")</f>
        <v>Its a google company so...</v>
      </c>
      <c r="C75" s="19" t="s">
        <v>758</v>
      </c>
      <c r="D75" s="3" t="s">
        <v>774</v>
      </c>
      <c r="E75" s="3"/>
      <c r="F75" s="11"/>
      <c r="G75" s="11"/>
      <c r="H75" s="11"/>
      <c r="I75" s="11"/>
      <c r="J75" s="11"/>
    </row>
    <row r="76">
      <c r="A76">
        <f>IFERROR(__xludf.DUMMYFUNCTION("""COMPUTED_VALUE"""),103.0)</f>
        <v>103</v>
      </c>
      <c r="B76" s="11"/>
      <c r="C76" s="3"/>
      <c r="D76" s="3"/>
      <c r="E76" s="3"/>
      <c r="F76" s="11"/>
      <c r="G76" s="11"/>
      <c r="H76" s="11"/>
      <c r="I76" s="11"/>
      <c r="J76" s="11"/>
    </row>
    <row r="77">
      <c r="A77">
        <f>IFERROR(__xludf.DUMMYFUNCTION("""COMPUTED_VALUE"""),104.0)</f>
        <v>104</v>
      </c>
      <c r="B77" s="11"/>
      <c r="C77" s="3"/>
      <c r="D77" s="24"/>
      <c r="E77" s="24"/>
      <c r="F77" s="11"/>
      <c r="G77" s="11"/>
      <c r="H77" s="11"/>
      <c r="I77" s="11"/>
      <c r="J77" s="11"/>
    </row>
    <row r="78">
      <c r="A78">
        <f>IFERROR(__xludf.DUMMYFUNCTION("""COMPUTED_VALUE"""),105.0)</f>
        <v>105</v>
      </c>
      <c r="B78" s="11"/>
      <c r="C78" s="3"/>
      <c r="D78" s="3"/>
      <c r="E78" s="24"/>
      <c r="F78" s="11"/>
      <c r="G78" s="11"/>
      <c r="H78" s="11"/>
      <c r="I78" s="11"/>
      <c r="J78" s="11"/>
    </row>
    <row r="79">
      <c r="A79">
        <f>IFERROR(__xludf.DUMMYFUNCTION("""COMPUTED_VALUE"""),106.0)</f>
        <v>106</v>
      </c>
      <c r="B79" s="11" t="str">
        <f>IFERROR(__xludf.DUMMYFUNCTION("""COMPUTED_VALUE"""),"dont use this so i dont need this")</f>
        <v>dont use this so i dont need this</v>
      </c>
      <c r="C79" s="3" t="s">
        <v>760</v>
      </c>
      <c r="D79" s="3"/>
      <c r="E79" s="11"/>
      <c r="F79" s="11"/>
      <c r="G79" s="11"/>
      <c r="H79" s="11"/>
      <c r="I79" s="11"/>
      <c r="J79" s="11"/>
    </row>
    <row r="80">
      <c r="A80">
        <f>IFERROR(__xludf.DUMMYFUNCTION("""COMPUTED_VALUE"""),107.0)</f>
        <v>107</v>
      </c>
      <c r="B80" s="11" t="str">
        <f>IFERROR(__xludf.DUMMYFUNCTION("""COMPUTED_VALUE"""),"I have no concerns, the app just isn't relevant to my life any longer so I plan to remove it.")</f>
        <v>I have no concerns, the app just isn't relevant to my life any longer so I plan to remove it.</v>
      </c>
      <c r="C80" s="19" t="s">
        <v>758</v>
      </c>
      <c r="D80" s="3" t="s">
        <v>760</v>
      </c>
      <c r="E80" s="24" t="s">
        <v>772</v>
      </c>
      <c r="F80" s="11"/>
      <c r="G80" s="11"/>
      <c r="H80" s="11"/>
      <c r="I80" s="11"/>
      <c r="J80" s="11"/>
    </row>
    <row r="81">
      <c r="A81">
        <f>IFERROR(__xludf.DUMMYFUNCTION("""COMPUTED_VALUE"""),108.0)</f>
        <v>108</v>
      </c>
      <c r="B81" s="11"/>
      <c r="C81" s="3"/>
      <c r="D81" s="3"/>
      <c r="E81" s="3"/>
      <c r="F81" s="3"/>
      <c r="G81" s="11"/>
      <c r="H81" s="11"/>
      <c r="I81" s="11"/>
      <c r="J81" s="11"/>
    </row>
    <row r="82">
      <c r="A82">
        <f>IFERROR(__xludf.DUMMYFUNCTION("""COMPUTED_VALUE"""),109.0)</f>
        <v>109</v>
      </c>
      <c r="B82" s="11"/>
      <c r="C82" s="24"/>
      <c r="D82" s="24"/>
      <c r="E82" s="24"/>
      <c r="F82" s="11"/>
      <c r="G82" s="11"/>
      <c r="H82" s="11"/>
      <c r="I82" s="11"/>
      <c r="J82" s="11"/>
    </row>
    <row r="83">
      <c r="A83">
        <f>IFERROR(__xludf.DUMMYFUNCTION("""COMPUTED_VALUE"""),110.0)</f>
        <v>110</v>
      </c>
      <c r="B83" s="11"/>
      <c r="C83" s="3"/>
      <c r="D83" s="24"/>
      <c r="E83" s="24"/>
      <c r="F83" s="3"/>
      <c r="G83" s="11"/>
      <c r="H83" s="11"/>
      <c r="I83" s="11"/>
      <c r="J83" s="11"/>
    </row>
    <row r="84">
      <c r="A84">
        <f>IFERROR(__xludf.DUMMYFUNCTION("""COMPUTED_VALUE"""),112.0)</f>
        <v>112</v>
      </c>
      <c r="B84" s="11"/>
      <c r="C84" s="3"/>
      <c r="D84" s="24"/>
      <c r="E84" s="24"/>
      <c r="F84" s="3"/>
      <c r="G84" s="3"/>
      <c r="H84" s="11"/>
      <c r="I84" s="11"/>
      <c r="J84" s="11"/>
    </row>
    <row r="85">
      <c r="A85">
        <f>IFERROR(__xludf.DUMMYFUNCTION("""COMPUTED_VALUE"""),113.0)</f>
        <v>113</v>
      </c>
      <c r="B85" s="11"/>
      <c r="C85" s="3"/>
      <c r="D85" s="3"/>
      <c r="E85" s="24"/>
      <c r="F85" s="11"/>
      <c r="G85" s="11"/>
      <c r="H85" s="11"/>
      <c r="I85" s="11"/>
      <c r="J85" s="11"/>
    </row>
    <row r="86">
      <c r="A86">
        <f>IFERROR(__xludf.DUMMYFUNCTION("""COMPUTED_VALUE"""),114.0)</f>
        <v>114</v>
      </c>
      <c r="B86" s="11"/>
      <c r="C86" s="3"/>
      <c r="D86" s="3"/>
      <c r="E86" s="3"/>
      <c r="F86" s="3"/>
      <c r="G86" s="3"/>
      <c r="H86" s="11"/>
      <c r="I86" s="11"/>
      <c r="J86" s="11"/>
    </row>
    <row r="87">
      <c r="A87">
        <f>IFERROR(__xludf.DUMMYFUNCTION("""COMPUTED_VALUE"""),115.0)</f>
        <v>115</v>
      </c>
      <c r="B87" s="11" t="str">
        <f>IFERROR(__xludf.DUMMYFUNCTION("""COMPUTED_VALUE"""),"No concerns")</f>
        <v>No concerns</v>
      </c>
      <c r="C87" s="19" t="s">
        <v>758</v>
      </c>
      <c r="D87" s="24"/>
      <c r="E87" s="11"/>
      <c r="F87" s="11"/>
      <c r="G87" s="11"/>
      <c r="H87" s="11"/>
      <c r="I87" s="11"/>
      <c r="J87" s="11"/>
    </row>
    <row r="88">
      <c r="A88">
        <f>IFERROR(__xludf.DUMMYFUNCTION("""COMPUTED_VALUE"""),116.0)</f>
        <v>116</v>
      </c>
      <c r="B88" s="11"/>
      <c r="C88" s="3"/>
      <c r="D88" s="3"/>
      <c r="E88" s="11"/>
      <c r="F88" s="11"/>
      <c r="G88" s="11"/>
      <c r="H88" s="11"/>
      <c r="I88" s="11"/>
      <c r="J88" s="11"/>
    </row>
    <row r="89">
      <c r="A89">
        <f>IFERROR(__xludf.DUMMYFUNCTION("""COMPUTED_VALUE"""),117.0)</f>
        <v>117</v>
      </c>
      <c r="B89" s="11"/>
      <c r="C89" s="3"/>
      <c r="D89" s="24"/>
      <c r="E89" s="3"/>
      <c r="F89" s="3"/>
      <c r="G89" s="11"/>
      <c r="H89" s="11"/>
      <c r="I89" s="11"/>
      <c r="J89" s="11"/>
    </row>
    <row r="90">
      <c r="A90">
        <f>IFERROR(__xludf.DUMMYFUNCTION("""COMPUTED_VALUE"""),118.0)</f>
        <v>118</v>
      </c>
      <c r="B90" s="11" t="str">
        <f>IFERROR(__xludf.DUMMYFUNCTION("""COMPUTED_VALUE"""),"I don't have any other concerns about TpT accessing my account. It's very trustworthy.")</f>
        <v>I don't have any other concerns about TpT accessing my account. It's very trustworthy.</v>
      </c>
      <c r="C90" s="19" t="s">
        <v>758</v>
      </c>
      <c r="D90" s="3" t="s">
        <v>774</v>
      </c>
      <c r="E90" s="24"/>
      <c r="F90" s="11"/>
      <c r="G90" s="11"/>
      <c r="H90" s="11"/>
      <c r="I90" s="11"/>
      <c r="J90" s="11"/>
    </row>
    <row r="91">
      <c r="A91">
        <f>IFERROR(__xludf.DUMMYFUNCTION("""COMPUTED_VALUE"""),120.0)</f>
        <v>120</v>
      </c>
      <c r="B91" s="11" t="str">
        <f>IFERROR(__xludf.DUMMYFUNCTION("""COMPUTED_VALUE"""),"Seems logical and makes sense")</f>
        <v>Seems logical and makes sense</v>
      </c>
      <c r="C91" s="19" t="s">
        <v>758</v>
      </c>
      <c r="D91" s="24"/>
      <c r="E91" s="3"/>
      <c r="F91" s="11"/>
      <c r="G91" s="11"/>
      <c r="H91" s="11"/>
      <c r="I91" s="11"/>
      <c r="J91" s="11"/>
    </row>
    <row r="92">
      <c r="A92">
        <f>IFERROR(__xludf.DUMMYFUNCTION("""COMPUTED_VALUE"""),121.0)</f>
        <v>121</v>
      </c>
      <c r="B92" s="11" t="str">
        <f>IFERROR(__xludf.DUMMYFUNCTION("""COMPUTED_VALUE"""),"It's a game, I don't have any major concerns.")</f>
        <v>It's a game, I don't have any major concerns.</v>
      </c>
      <c r="C92" s="19" t="s">
        <v>758</v>
      </c>
      <c r="D92" s="3"/>
      <c r="E92" s="3"/>
      <c r="F92" s="11"/>
      <c r="G92" s="11"/>
      <c r="H92" s="11"/>
      <c r="I92" s="11"/>
      <c r="J92" s="11"/>
    </row>
    <row r="93">
      <c r="A93">
        <f>IFERROR(__xludf.DUMMYFUNCTION("""COMPUTED_VALUE"""),122.0)</f>
        <v>122</v>
      </c>
      <c r="B93" s="11" t="str">
        <f>IFERROR(__xludf.DUMMYFUNCTION("""COMPUTED_VALUE"""),"No Concerns")</f>
        <v>No Concerns</v>
      </c>
      <c r="C93" s="19" t="s">
        <v>758</v>
      </c>
      <c r="D93" s="3"/>
      <c r="E93" s="11"/>
      <c r="F93" s="11"/>
      <c r="G93" s="11"/>
      <c r="H93" s="11"/>
      <c r="I93" s="11"/>
      <c r="J93" s="11"/>
    </row>
    <row r="94">
      <c r="A94">
        <f>IFERROR(__xludf.DUMMYFUNCTION("""COMPUTED_VALUE"""),123.0)</f>
        <v>123</v>
      </c>
      <c r="B94" s="11"/>
      <c r="C94" s="3"/>
      <c r="D94" s="3"/>
      <c r="E94" s="11"/>
      <c r="F94" s="11"/>
      <c r="G94" s="11"/>
      <c r="H94" s="11"/>
      <c r="I94" s="11"/>
      <c r="J94" s="11"/>
    </row>
    <row r="95">
      <c r="A95">
        <f>IFERROR(__xludf.DUMMYFUNCTION("""COMPUTED_VALUE"""),124.0)</f>
        <v>124</v>
      </c>
      <c r="B95" s="11"/>
      <c r="C95" s="3"/>
      <c r="D95" s="3"/>
      <c r="E95" s="24"/>
      <c r="F95" s="11"/>
      <c r="G95" s="11"/>
      <c r="H95" s="11"/>
      <c r="I95" s="11"/>
      <c r="J95" s="11"/>
    </row>
    <row r="96">
      <c r="A96">
        <f>IFERROR(__xludf.DUMMYFUNCTION("""COMPUTED_VALUE"""),125.0)</f>
        <v>125</v>
      </c>
      <c r="B96" s="11"/>
      <c r="C96" s="3"/>
      <c r="D96" s="24"/>
      <c r="E96" s="24"/>
      <c r="F96" s="11"/>
      <c r="G96" s="11"/>
      <c r="H96" s="11"/>
      <c r="I96" s="11"/>
      <c r="J96" s="11"/>
    </row>
    <row r="97">
      <c r="A97">
        <f>IFERROR(__xludf.DUMMYFUNCTION("""COMPUTED_VALUE"""),126.0)</f>
        <v>126</v>
      </c>
      <c r="B97" s="11"/>
      <c r="C97" s="3"/>
      <c r="D97" s="24"/>
      <c r="E97" s="11"/>
      <c r="F97" s="11"/>
      <c r="G97" s="11"/>
      <c r="H97" s="11"/>
      <c r="I97" s="11"/>
      <c r="J97" s="11"/>
    </row>
    <row r="98">
      <c r="A98">
        <f>IFERROR(__xludf.DUMMYFUNCTION("""COMPUTED_VALUE"""),127.0)</f>
        <v>127</v>
      </c>
      <c r="B98" s="11" t="str">
        <f>IFERROR(__xludf.DUMMYFUNCTION("""COMPUTED_VALUE"""),"I have this app as a convenience and luxury. This app would seem to lend itself to more marketing and tracking my behavior.")</f>
        <v>I have this app as a convenience and luxury. This app would seem to lend itself to more marketing and tracking my behavior.</v>
      </c>
      <c r="C98" s="3" t="s">
        <v>759</v>
      </c>
      <c r="D98" s="3" t="s">
        <v>761</v>
      </c>
      <c r="E98" s="3" t="s">
        <v>775</v>
      </c>
      <c r="F98" s="3"/>
      <c r="G98" s="11"/>
      <c r="H98" s="11"/>
      <c r="I98" s="11"/>
      <c r="J98" s="11"/>
    </row>
    <row r="99">
      <c r="A99">
        <f>IFERROR(__xludf.DUMMYFUNCTION("""COMPUTED_VALUE"""),128.0)</f>
        <v>128</v>
      </c>
      <c r="B99" s="11" t="str">
        <f>IFERROR(__xludf.DUMMYFUNCTION("""COMPUTED_VALUE"""),"I don't want them selling my data.")</f>
        <v>I don't want them selling my data.</v>
      </c>
      <c r="C99" s="3" t="s">
        <v>761</v>
      </c>
      <c r="D99" s="3" t="s">
        <v>766</v>
      </c>
      <c r="E99" s="3" t="s">
        <v>776</v>
      </c>
      <c r="F99" s="11"/>
      <c r="G99" s="11"/>
      <c r="H99" s="11"/>
      <c r="I99" s="11"/>
      <c r="J99" s="11"/>
    </row>
    <row r="100">
      <c r="A100">
        <f>IFERROR(__xludf.DUMMYFUNCTION("""COMPUTED_VALUE"""),129.0)</f>
        <v>129</v>
      </c>
      <c r="B100" s="11"/>
      <c r="C100" s="3"/>
      <c r="D100" s="3"/>
      <c r="E100" s="11"/>
      <c r="F100" s="11"/>
      <c r="G100" s="11"/>
      <c r="H100" s="11"/>
      <c r="I100" s="11"/>
      <c r="J100" s="11"/>
    </row>
    <row r="101">
      <c r="A101">
        <f>IFERROR(__xludf.DUMMYFUNCTION("""COMPUTED_VALUE"""),130.0)</f>
        <v>130</v>
      </c>
      <c r="B101" s="11"/>
      <c r="C101" s="3"/>
      <c r="D101" s="3"/>
      <c r="E101" s="3"/>
      <c r="F101" s="11"/>
      <c r="G101" s="11"/>
      <c r="H101" s="11"/>
      <c r="I101" s="11"/>
      <c r="J101" s="11"/>
    </row>
    <row r="102">
      <c r="A102">
        <f>IFERROR(__xludf.DUMMYFUNCTION("""COMPUTED_VALUE"""),131.0)</f>
        <v>131</v>
      </c>
      <c r="B102" s="11" t="str">
        <f>IFERROR(__xludf.DUMMYFUNCTION("""COMPUTED_VALUE"""),"I use this app to print my pictures so I guess they have to have access to my computer. I trust this site and don't worry to much about it. I just hope they don't sell my information.")</f>
        <v>I use this app to print my pictures so I guess they have to have access to my computer. I trust this site and don't worry to much about it. I just hope they don't sell my information.</v>
      </c>
      <c r="C102" s="3" t="s">
        <v>759</v>
      </c>
      <c r="D102" s="3" t="s">
        <v>774</v>
      </c>
      <c r="E102" s="3" t="s">
        <v>761</v>
      </c>
      <c r="F102" s="3" t="s">
        <v>766</v>
      </c>
      <c r="G102" s="3" t="s">
        <v>776</v>
      </c>
      <c r="I102" s="11"/>
      <c r="J102" s="11"/>
    </row>
    <row r="103">
      <c r="A103">
        <f>IFERROR(__xludf.DUMMYFUNCTION("""COMPUTED_VALUE"""),132.0)</f>
        <v>132</v>
      </c>
      <c r="B103" s="11" t="str">
        <f>IFERROR(__xludf.DUMMYFUNCTION("""COMPUTED_VALUE"""),"im not as concerned since i chose to put dropbox on and know i did.")</f>
        <v>im not as concerned since i chose to put dropbox on and know i did.</v>
      </c>
      <c r="C103" s="19" t="s">
        <v>758</v>
      </c>
      <c r="D103" s="24"/>
      <c r="E103" s="11"/>
      <c r="F103" s="11"/>
      <c r="G103" s="11"/>
      <c r="H103" s="11"/>
      <c r="I103" s="11"/>
      <c r="J103" s="11"/>
    </row>
    <row r="104">
      <c r="A104">
        <f>IFERROR(__xludf.DUMMYFUNCTION("""COMPUTED_VALUE"""),133.0)</f>
        <v>133</v>
      </c>
      <c r="B104" s="11" t="str">
        <f>IFERROR(__xludf.DUMMYFUNCTION("""COMPUTED_VALUE"""),"Since I don't play the game any longer, I don't want Family Island to have access.")</f>
        <v>Since I don't play the game any longer, I don't want Family Island to have access.</v>
      </c>
      <c r="C104" s="3" t="s">
        <v>760</v>
      </c>
      <c r="D104" s="24" t="s">
        <v>772</v>
      </c>
      <c r="E104" s="11"/>
      <c r="F104" s="11"/>
      <c r="G104" s="11"/>
      <c r="H104" s="11"/>
      <c r="I104" s="11"/>
      <c r="J104" s="11"/>
    </row>
    <row r="105">
      <c r="A105">
        <f>IFERROR(__xludf.DUMMYFUNCTION("""COMPUTED_VALUE"""),134.0)</f>
        <v>134</v>
      </c>
      <c r="B105" s="11" t="str">
        <f>IFERROR(__xludf.DUMMYFUNCTION("""COMPUTED_VALUE"""),"Dont really have any")</f>
        <v>Dont really have any</v>
      </c>
      <c r="C105" s="19" t="s">
        <v>758</v>
      </c>
      <c r="D105" s="3"/>
      <c r="E105" s="3"/>
      <c r="F105" s="3"/>
      <c r="G105" s="11"/>
      <c r="H105" s="11"/>
      <c r="I105" s="11"/>
      <c r="J105" s="11"/>
    </row>
    <row r="106">
      <c r="A106">
        <f>IFERROR(__xludf.DUMMYFUNCTION("""COMPUTED_VALUE"""),135.0)</f>
        <v>135</v>
      </c>
      <c r="B106" s="11" t="str">
        <f>IFERROR(__xludf.DUMMYFUNCTION("""COMPUTED_VALUE"""),"I am concerned because I am not quite sure Paribus wants the authority to send emails on my behalf, especially since I believe it is not necessary for the service they provide. The viewing email messages/settings also is concerning because this third part"&amp;"y only has some relevant emails, and I am not sure if they can see unrelated emails.")</f>
        <v>I am concerned because I am not quite sure Paribus wants the authority to send emails on my behalf, especially since I believe it is not necessary for the service they provide. The viewing email messages/settings also is concerning because this third party only has some relevant emails, and I am not sure if they can see unrelated emails.</v>
      </c>
      <c r="C106" s="3" t="s">
        <v>761</v>
      </c>
      <c r="D106" s="3" t="s">
        <v>762</v>
      </c>
      <c r="E106" s="3" t="s">
        <v>777</v>
      </c>
      <c r="F106" s="3" t="s">
        <v>778</v>
      </c>
      <c r="G106" s="11"/>
      <c r="H106" s="11"/>
      <c r="I106" s="11"/>
      <c r="J106" s="11"/>
    </row>
    <row r="107">
      <c r="A107">
        <f>IFERROR(__xludf.DUMMYFUNCTION("""COMPUTED_VALUE"""),136.0)</f>
        <v>136</v>
      </c>
      <c r="B107" s="11"/>
      <c r="C107" s="3"/>
      <c r="D107" s="3"/>
      <c r="E107" s="3"/>
      <c r="F107" s="3"/>
      <c r="G107" s="11"/>
      <c r="H107" s="11"/>
      <c r="I107" s="11"/>
      <c r="J107" s="11"/>
    </row>
    <row r="108">
      <c r="A108">
        <f>IFERROR(__xludf.DUMMYFUNCTION("""COMPUTED_VALUE"""),137.0)</f>
        <v>137</v>
      </c>
      <c r="B108" s="11"/>
      <c r="C108" s="3"/>
      <c r="D108" s="3"/>
      <c r="E108" s="3"/>
      <c r="F108" s="11"/>
      <c r="G108" s="11"/>
      <c r="H108" s="11"/>
      <c r="I108" s="11"/>
      <c r="J108" s="11"/>
    </row>
    <row r="109">
      <c r="A109">
        <f>IFERROR(__xludf.DUMMYFUNCTION("""COMPUTED_VALUE"""),138.0)</f>
        <v>138</v>
      </c>
      <c r="B109" s="11" t="str">
        <f>IFERROR(__xludf.DUMMYFUNCTION("""COMPUTED_VALUE"""),"none")</f>
        <v>none</v>
      </c>
      <c r="C109" s="19" t="s">
        <v>758</v>
      </c>
      <c r="D109" s="3"/>
      <c r="E109" s="11"/>
      <c r="F109" s="11"/>
      <c r="G109" s="11"/>
      <c r="H109" s="11"/>
      <c r="I109" s="11"/>
      <c r="J109" s="11"/>
    </row>
    <row r="110">
      <c r="A110">
        <f>IFERROR(__xludf.DUMMYFUNCTION("""COMPUTED_VALUE"""),139.0)</f>
        <v>139</v>
      </c>
      <c r="B110" s="11"/>
      <c r="C110" s="3"/>
      <c r="D110" s="3"/>
      <c r="E110" s="3"/>
      <c r="F110" s="11"/>
      <c r="G110" s="11"/>
      <c r="H110" s="11"/>
      <c r="I110" s="11"/>
      <c r="J110" s="11"/>
    </row>
    <row r="111">
      <c r="A111">
        <f>IFERROR(__xludf.DUMMYFUNCTION("""COMPUTED_VALUE"""),140.0)</f>
        <v>140</v>
      </c>
      <c r="B111" s="11" t="str">
        <f>IFERROR(__xludf.DUMMYFUNCTION("""COMPUTED_VALUE"""),"I realize what this is now, this is so I can have access to my Gmail account on Microsoft Outlook, so I'm ok with it, I just don't know why it needs personal data, etc.")</f>
        <v>I realize what this is now, this is so I can have access to my Gmail account on Microsoft Outlook, so I'm ok with it, I just don't know why it needs personal data, etc.</v>
      </c>
      <c r="C111" s="3" t="s">
        <v>761</v>
      </c>
      <c r="D111" s="3" t="s">
        <v>766</v>
      </c>
      <c r="F111" s="3"/>
      <c r="G111" s="11"/>
      <c r="H111" s="11"/>
      <c r="I111" s="11"/>
      <c r="J111" s="11"/>
    </row>
    <row r="112">
      <c r="A112">
        <f>IFERROR(__xludf.DUMMYFUNCTION("""COMPUTED_VALUE"""),141.0)</f>
        <v>141</v>
      </c>
      <c r="B112" s="11"/>
      <c r="C112" s="3"/>
      <c r="D112" s="3"/>
      <c r="E112" s="3"/>
      <c r="F112" s="11"/>
      <c r="G112" s="11"/>
      <c r="H112" s="11"/>
      <c r="I112" s="11"/>
      <c r="J112" s="11"/>
    </row>
    <row r="113">
      <c r="A113">
        <f>IFERROR(__xludf.DUMMYFUNCTION("""COMPUTED_VALUE"""),143.0)</f>
        <v>143</v>
      </c>
      <c r="B113" s="11" t="str">
        <f>IFERROR(__xludf.DUMMYFUNCTION("""COMPUTED_VALUE"""),"I am concerned that Doodle can get this info since it is a website that I never use.")</f>
        <v>I am concerned that Doodle can get this info since it is a website that I never use.</v>
      </c>
      <c r="C113" s="3" t="s">
        <v>760</v>
      </c>
      <c r="D113" s="3" t="s">
        <v>761</v>
      </c>
      <c r="E113" s="3" t="s">
        <v>766</v>
      </c>
      <c r="F113" s="11"/>
      <c r="G113" s="11"/>
      <c r="H113" s="11"/>
      <c r="I113" s="11"/>
      <c r="J113" s="11"/>
    </row>
    <row r="114">
      <c r="A114">
        <f>IFERROR(__xludf.DUMMYFUNCTION("""COMPUTED_VALUE"""),144.0)</f>
        <v>144</v>
      </c>
      <c r="B114" s="11" t="str">
        <f>IFERROR(__xludf.DUMMYFUNCTION("""COMPUTED_VALUE"""),"no concerns really. ive used it for years and have had no problems with it.")</f>
        <v>no concerns really. ive used it for years and have had no problems with it.</v>
      </c>
      <c r="C114" s="19" t="s">
        <v>758</v>
      </c>
      <c r="D114" s="3"/>
      <c r="E114" s="3"/>
      <c r="F114" s="3"/>
      <c r="G114" s="11"/>
      <c r="H114" s="11"/>
      <c r="I114" s="11"/>
      <c r="J114" s="11"/>
    </row>
    <row r="115">
      <c r="A115">
        <f>IFERROR(__xludf.DUMMYFUNCTION("""COMPUTED_VALUE"""),145.0)</f>
        <v>145</v>
      </c>
      <c r="B115" s="11"/>
      <c r="C115" s="3"/>
      <c r="D115" s="11"/>
      <c r="E115" s="11"/>
      <c r="F115" s="11"/>
      <c r="G115" s="11"/>
      <c r="H115" s="11"/>
      <c r="I115" s="11"/>
      <c r="J115" s="11"/>
    </row>
    <row r="116">
      <c r="A116">
        <f>IFERROR(__xludf.DUMMYFUNCTION("""COMPUTED_VALUE"""),146.0)</f>
        <v>146</v>
      </c>
      <c r="B116" s="11"/>
      <c r="C116" s="3"/>
      <c r="D116" s="3"/>
      <c r="E116" s="3"/>
      <c r="F116" s="3"/>
      <c r="G116" s="11"/>
      <c r="H116" s="11"/>
      <c r="I116" s="11"/>
      <c r="J116" s="11"/>
    </row>
    <row r="117">
      <c r="A117">
        <f>IFERROR(__xludf.DUMMYFUNCTION("""COMPUTED_VALUE"""),147.0)</f>
        <v>147</v>
      </c>
      <c r="B117" s="11" t="str">
        <f>IFERROR(__xludf.DUMMYFUNCTION("""COMPUTED_VALUE"""),"This was for a major purchase so I understand them needing it, I just don't like the idea of it possibly being leaked.")</f>
        <v>This was for a major purchase so I understand them needing it, I just don't like the idea of it possibly being leaked.</v>
      </c>
      <c r="C117" s="3" t="s">
        <v>761</v>
      </c>
      <c r="D117" s="3" t="s">
        <v>779</v>
      </c>
      <c r="E117" s="11"/>
      <c r="F117" s="11"/>
      <c r="G117" s="11"/>
      <c r="H117" s="11"/>
      <c r="I117" s="11"/>
      <c r="J117" s="11"/>
    </row>
    <row r="118">
      <c r="A118">
        <f>IFERROR(__xludf.DUMMYFUNCTION("""COMPUTED_VALUE"""),148.0)</f>
        <v>148</v>
      </c>
      <c r="B118" s="11"/>
      <c r="C118" s="3"/>
      <c r="D118" s="3"/>
      <c r="E118" s="11"/>
      <c r="F118" s="11"/>
      <c r="G118" s="11"/>
      <c r="H118" s="11"/>
      <c r="I118" s="11"/>
      <c r="J118" s="11"/>
    </row>
    <row r="119">
      <c r="A119">
        <f>IFERROR(__xludf.DUMMYFUNCTION("""COMPUTED_VALUE"""),149.0)</f>
        <v>149</v>
      </c>
      <c r="B119" s="11" t="str">
        <f>IFERROR(__xludf.DUMMYFUNCTION("""COMPUTED_VALUE"""),"I'm relatively fine with the permissions this app has. It mentions only specific files used in the app, so it's not even full access it seems.")</f>
        <v>I'm relatively fine with the permissions this app has. It mentions only specific files used in the app, so it's not even full access it seems.</v>
      </c>
      <c r="C119" s="19" t="s">
        <v>758</v>
      </c>
      <c r="D119" s="3"/>
      <c r="E119" s="11"/>
      <c r="F119" s="11"/>
      <c r="G119" s="11"/>
      <c r="H119" s="11"/>
      <c r="I119" s="11"/>
      <c r="J119" s="11"/>
    </row>
    <row r="120">
      <c r="A120">
        <f>IFERROR(__xludf.DUMMYFUNCTION("""COMPUTED_VALUE"""),150.0)</f>
        <v>150</v>
      </c>
      <c r="B120" s="11"/>
      <c r="C120" s="3"/>
      <c r="D120" s="11"/>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t="str">
        <f>IFERROR(__xludf.DUMMYFUNCTION("""COMPUTED_VALUE"""),"I don't want them to delete anything.")</f>
        <v>I don't want them to delete anything.</v>
      </c>
      <c r="C122" s="3" t="s">
        <v>761</v>
      </c>
      <c r="D122" s="3" t="s">
        <v>763</v>
      </c>
      <c r="E122" s="3"/>
      <c r="F122" s="11"/>
      <c r="G122" s="11"/>
      <c r="H122" s="11"/>
      <c r="I122" s="11"/>
      <c r="J122" s="11"/>
    </row>
    <row r="123">
      <c r="A123">
        <f>IFERROR(__xludf.DUMMYFUNCTION("""COMPUTED_VALUE"""),153.0)</f>
        <v>153</v>
      </c>
      <c r="B123" s="11" t="str">
        <f>IFERROR(__xludf.DUMMYFUNCTION("""COMPUTED_VALUE"""),"there should be no need for this app to send messages")</f>
        <v>there should be no need for this app to send messages</v>
      </c>
      <c r="C123" s="3" t="s">
        <v>761</v>
      </c>
      <c r="D123" s="3" t="s">
        <v>777</v>
      </c>
      <c r="E123" s="3" t="s">
        <v>780</v>
      </c>
      <c r="F123" s="3"/>
      <c r="G123" s="11"/>
      <c r="H123" s="11"/>
      <c r="I123" s="11"/>
      <c r="J123" s="11"/>
    </row>
    <row r="124">
      <c r="A124">
        <f>IFERROR(__xludf.DUMMYFUNCTION("""COMPUTED_VALUE"""),154.0)</f>
        <v>154</v>
      </c>
      <c r="B124" s="11" t="str">
        <f>IFERROR(__xludf.DUMMYFUNCTION("""COMPUTED_VALUE"""),"None")</f>
        <v>None</v>
      </c>
      <c r="C124" s="19" t="s">
        <v>758</v>
      </c>
      <c r="D124" s="11"/>
      <c r="E124" s="11"/>
      <c r="F124" s="11"/>
      <c r="G124" s="11"/>
      <c r="H124" s="11"/>
      <c r="I124" s="11"/>
      <c r="J124" s="11"/>
    </row>
    <row r="125">
      <c r="A125">
        <f>IFERROR(__xludf.DUMMYFUNCTION("""COMPUTED_VALUE"""),155.0)</f>
        <v>155</v>
      </c>
      <c r="B125" s="11" t="str">
        <f>IFERROR(__xludf.DUMMYFUNCTION("""COMPUTED_VALUE"""),"I like remaining anonymous when possible, but all of these functions help my productivity and workflow in Windows. I have basically no concerns over this.")</f>
        <v>I like remaining anonymous when possible, but all of these functions help my productivity and workflow in Windows. I have basically no concerns over this.</v>
      </c>
      <c r="C125" s="3"/>
      <c r="D125" s="3"/>
      <c r="E125" s="11"/>
      <c r="F125" s="11"/>
      <c r="G125" s="11"/>
      <c r="H125" s="11"/>
      <c r="I125" s="11"/>
      <c r="J125" s="11"/>
    </row>
    <row r="126">
      <c r="A126">
        <f>IFERROR(__xludf.DUMMYFUNCTION("""COMPUTED_VALUE"""),156.0)</f>
        <v>156</v>
      </c>
      <c r="B126" s="11"/>
      <c r="C126" s="3"/>
      <c r="D126" s="3"/>
      <c r="E126" s="11"/>
      <c r="F126" s="11"/>
      <c r="G126" s="11"/>
      <c r="H126" s="11"/>
      <c r="I126" s="11"/>
      <c r="J126" s="11"/>
    </row>
    <row r="127">
      <c r="A127">
        <f>IFERROR(__xludf.DUMMYFUNCTION("""COMPUTED_VALUE"""),157.0)</f>
        <v>157</v>
      </c>
      <c r="B127" s="11" t="str">
        <f>IFERROR(__xludf.DUMMYFUNCTION("""COMPUTED_VALUE"""),"I am mostly fine with Windows holding these permissions but being able to permanently delete all emails is a bit worrying.")</f>
        <v>I am mostly fine with Windows holding these permissions but being able to permanently delete all emails is a bit worrying.</v>
      </c>
      <c r="C127" s="3" t="s">
        <v>761</v>
      </c>
      <c r="D127" s="3" t="s">
        <v>777</v>
      </c>
      <c r="E127" s="3" t="s">
        <v>778</v>
      </c>
      <c r="F127" s="3" t="s">
        <v>781</v>
      </c>
      <c r="G127" s="11"/>
      <c r="H127" s="11"/>
      <c r="I127" s="11"/>
      <c r="J127" s="11"/>
    </row>
    <row r="128">
      <c r="A128">
        <f>IFERROR(__xludf.DUMMYFUNCTION("""COMPUTED_VALUE"""),158.0)</f>
        <v>158</v>
      </c>
      <c r="B128" s="11" t="str">
        <f>IFERROR(__xludf.DUMMYFUNCTION("""COMPUTED_VALUE"""),"I know that it needs to use fit data so I have no concerns.")</f>
        <v>I know that it needs to use fit data so I have no concerns.</v>
      </c>
      <c r="C128" s="19" t="s">
        <v>758</v>
      </c>
      <c r="D128" s="3"/>
      <c r="E128" s="3"/>
      <c r="F128" s="3"/>
      <c r="G128" s="11"/>
      <c r="H128" s="11"/>
      <c r="I128" s="11"/>
      <c r="J128" s="11"/>
    </row>
    <row r="129">
      <c r="A129">
        <f>IFERROR(__xludf.DUMMYFUNCTION("""COMPUTED_VALUE"""),159.0)</f>
        <v>159</v>
      </c>
      <c r="B129" s="11"/>
      <c r="C129" s="3"/>
      <c r="D129" s="3"/>
      <c r="E129" s="11"/>
      <c r="F129" s="11"/>
      <c r="G129" s="11"/>
      <c r="H129" s="11"/>
      <c r="I129" s="11"/>
      <c r="J129" s="11"/>
    </row>
    <row r="130">
      <c r="A130">
        <f>IFERROR(__xludf.DUMMYFUNCTION("""COMPUTED_VALUE"""),160.0)</f>
        <v>160</v>
      </c>
      <c r="B130" s="11"/>
      <c r="C130" s="3"/>
      <c r="D130" s="3"/>
      <c r="E130" s="3"/>
      <c r="F130" s="3"/>
      <c r="G130" s="11"/>
      <c r="H130" s="11"/>
      <c r="I130" s="11"/>
      <c r="J130" s="11"/>
    </row>
    <row r="131">
      <c r="A131">
        <f>IFERROR(__xludf.DUMMYFUNCTION("""COMPUTED_VALUE"""),161.0)</f>
        <v>161</v>
      </c>
      <c r="B131" s="26" t="str">
        <f>IFERROR(__xludf.DUMMYFUNCTION("""COMPUTED_VALUE"""),"I don't remember it asking me for permission to change my games activity so I'm not even sure what it is doing with that information.")</f>
        <v>I don't remember it asking me for permission to change my games activity so I'm not even sure what it is doing with that information.</v>
      </c>
      <c r="C131" s="3" t="s">
        <v>761</v>
      </c>
      <c r="D131" s="3" t="s">
        <v>762</v>
      </c>
      <c r="E131" s="27" t="s">
        <v>782</v>
      </c>
      <c r="F131" s="11"/>
      <c r="G131" s="11"/>
      <c r="H131" s="11"/>
      <c r="I131" s="11"/>
      <c r="J131" s="11"/>
    </row>
    <row r="132">
      <c r="A132">
        <f>IFERROR(__xludf.DUMMYFUNCTION("""COMPUTED_VALUE"""),162.0)</f>
        <v>162</v>
      </c>
      <c r="B132" s="11" t="str">
        <f>IFERROR(__xludf.DUMMYFUNCTION("""COMPUTED_VALUE"""),"I don't have a problem with this.")</f>
        <v>I don't have a problem with this.</v>
      </c>
      <c r="C132" s="19" t="s">
        <v>758</v>
      </c>
      <c r="D132" s="3"/>
      <c r="E132" s="11"/>
      <c r="F132" s="11"/>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11" t="str">
        <f>IFERROR(__xludf.DUMMYFUNCTION("""COMPUTED_VALUE"""),"I don't really know why they would need ALL personal info.")</f>
        <v>I don't really know why they would need ALL personal info.</v>
      </c>
      <c r="C134" s="3" t="s">
        <v>761</v>
      </c>
      <c r="D134" s="3" t="s">
        <v>766</v>
      </c>
      <c r="E134" s="3"/>
      <c r="F134" s="11"/>
      <c r="G134" s="11"/>
      <c r="H134" s="11"/>
      <c r="I134" s="11"/>
      <c r="J134" s="11"/>
    </row>
    <row r="135">
      <c r="A135">
        <f>IFERROR(__xludf.DUMMYFUNCTION("""COMPUTED_VALUE"""),165.0)</f>
        <v>165</v>
      </c>
      <c r="B135" s="11" t="str">
        <f>IFERROR(__xludf.DUMMYFUNCTION("""COMPUTED_VALUE"""),"Simply that the app will mess with something - a file - that it shouldn't be messing with. Otherwise, in order for the app to function as designed, it will need these permissions.")</f>
        <v>Simply that the app will mess with something - a file - that it shouldn't be messing with. Otherwise, in order for the app to function as designed, it will need these permissions.</v>
      </c>
      <c r="C135" s="3"/>
      <c r="D135" s="3"/>
      <c r="E135" s="11"/>
      <c r="F135" s="11"/>
      <c r="G135" s="11"/>
      <c r="H135" s="11"/>
      <c r="I135" s="11"/>
      <c r="J135" s="11"/>
    </row>
    <row r="136">
      <c r="A136">
        <f>IFERROR(__xludf.DUMMYFUNCTION("""COMPUTED_VALUE"""),166.0)</f>
        <v>166</v>
      </c>
      <c r="B136" s="26" t="str">
        <f>IFERROR(__xludf.DUMMYFUNCTION("""COMPUTED_VALUE"""),"I am concerned that the adidas Training app has access to all my email accounts, especially since I have removed the app from my phone and I don't see why the app still has to have these permissions.")</f>
        <v>I am concerned that the adidas Training app has access to all my email accounts, especially since I have removed the app from my phone and I don't see why the app still has to have these permissions.</v>
      </c>
      <c r="C136" s="3" t="s">
        <v>761</v>
      </c>
      <c r="D136" s="3" t="s">
        <v>768</v>
      </c>
      <c r="E136" s="3"/>
      <c r="F136" s="11"/>
      <c r="G136" s="11"/>
      <c r="H136" s="11"/>
      <c r="I136" s="11"/>
      <c r="J136" s="11"/>
    </row>
    <row r="137">
      <c r="A137">
        <f>IFERROR(__xludf.DUMMYFUNCTION("""COMPUTED_VALUE"""),167.0)</f>
        <v>167</v>
      </c>
      <c r="B137" s="11"/>
      <c r="C137" s="3"/>
      <c r="D137" s="3"/>
      <c r="E137" s="11"/>
      <c r="F137" s="11"/>
      <c r="G137" s="11"/>
      <c r="H137" s="11"/>
      <c r="I137" s="11"/>
      <c r="J137" s="11"/>
    </row>
    <row r="138">
      <c r="A138">
        <f>IFERROR(__xludf.DUMMYFUNCTION("""COMPUTED_VALUE"""),168.0)</f>
        <v>168</v>
      </c>
      <c r="B138" s="11"/>
      <c r="C138" s="3"/>
      <c r="D138" s="3"/>
      <c r="E138" s="3"/>
      <c r="F138" s="11"/>
      <c r="G138" s="11"/>
      <c r="H138" s="11"/>
      <c r="I138" s="11"/>
      <c r="J138" s="11"/>
    </row>
    <row r="139">
      <c r="A139">
        <f>IFERROR(__xludf.DUMMYFUNCTION("""COMPUTED_VALUE"""),169.0)</f>
        <v>169</v>
      </c>
      <c r="B139" s="11" t="str">
        <f>IFERROR(__xludf.DUMMYFUNCTION("""COMPUTED_VALUE"""),"I don't have any concerns with windows holding these permissions.")</f>
        <v>I don't have any concerns with windows holding these permissions.</v>
      </c>
      <c r="C139" s="19" t="s">
        <v>758</v>
      </c>
      <c r="D139" s="3" t="s">
        <v>774</v>
      </c>
      <c r="E139" s="3"/>
      <c r="F139" s="11"/>
      <c r="G139" s="11"/>
      <c r="H139" s="11"/>
      <c r="I139" s="11"/>
      <c r="J139" s="11"/>
    </row>
    <row r="140">
      <c r="A140">
        <f>IFERROR(__xludf.DUMMYFUNCTION("""COMPUTED_VALUE"""),170.0)</f>
        <v>170</v>
      </c>
      <c r="B140" s="11" t="str">
        <f>IFERROR(__xludf.DUMMYFUNCTION("""COMPUTED_VALUE"""),"none")</f>
        <v>none</v>
      </c>
      <c r="C140" s="19" t="s">
        <v>758</v>
      </c>
      <c r="D140" s="3"/>
      <c r="E140" s="3"/>
      <c r="F140" s="3"/>
      <c r="G140" s="11"/>
      <c r="H140" s="11"/>
      <c r="I140" s="11"/>
      <c r="J140" s="11"/>
    </row>
    <row r="141">
      <c r="A141">
        <f>IFERROR(__xludf.DUMMYFUNCTION("""COMPUTED_VALUE"""),171.0)</f>
        <v>171</v>
      </c>
      <c r="B141" s="11" t="str">
        <f>IFERROR(__xludf.DUMMYFUNCTION("""COMPUTED_VALUE"""),"I don't know if I want them to be able to delete stuff from my Google Drive.")</f>
        <v>I don't know if I want them to be able to delete stuff from my Google Drive.</v>
      </c>
      <c r="C141" s="3" t="s">
        <v>761</v>
      </c>
      <c r="D141" s="3" t="s">
        <v>777</v>
      </c>
      <c r="E141" s="3" t="s">
        <v>783</v>
      </c>
      <c r="F141" s="3" t="s">
        <v>781</v>
      </c>
      <c r="G141" s="11"/>
      <c r="H141" s="11"/>
      <c r="I141" s="11"/>
      <c r="J141" s="11"/>
    </row>
    <row r="142">
      <c r="A142">
        <f>IFERROR(__xludf.DUMMYFUNCTION("""COMPUTED_VALUE"""),172.0)</f>
        <v>172</v>
      </c>
      <c r="B142" s="11"/>
      <c r="C142" s="3"/>
      <c r="D142" s="3"/>
      <c r="E142" s="11"/>
      <c r="F142" s="11"/>
      <c r="G142" s="11"/>
      <c r="H142" s="11"/>
      <c r="I142" s="11"/>
      <c r="J142" s="11"/>
    </row>
    <row r="143">
      <c r="A143">
        <f>IFERROR(__xludf.DUMMYFUNCTION("""COMPUTED_VALUE"""),173.0)</f>
        <v>173</v>
      </c>
      <c r="B143" s="11" t="str">
        <f>IFERROR(__xludf.DUMMYFUNCTION("""COMPUTED_VALUE"""),"None")</f>
        <v>None</v>
      </c>
      <c r="C143" s="19" t="s">
        <v>758</v>
      </c>
      <c r="D143" s="3"/>
      <c r="E143" s="3"/>
      <c r="F143" s="11"/>
      <c r="G143" s="11"/>
      <c r="H143" s="11"/>
      <c r="I143" s="11"/>
      <c r="J143" s="11"/>
    </row>
    <row r="144">
      <c r="A144">
        <f>IFERROR(__xludf.DUMMYFUNCTION("""COMPUTED_VALUE"""),174.0)</f>
        <v>174</v>
      </c>
      <c r="B144" s="11" t="str">
        <f>IFERROR(__xludf.DUMMYFUNCTION("""COMPUTED_VALUE"""),"Less concerned about this company having these permission, I know they need my date of birth to deliver me wine.")</f>
        <v>Less concerned about this company having these permission, I know they need my date of birth to deliver me wine.</v>
      </c>
      <c r="C144" s="19" t="s">
        <v>758</v>
      </c>
      <c r="D144" s="3" t="s">
        <v>774</v>
      </c>
      <c r="E144" s="3"/>
      <c r="F144" s="3"/>
      <c r="G144" s="3"/>
      <c r="H144" s="11"/>
      <c r="I144" s="11"/>
      <c r="J144" s="11"/>
    </row>
    <row r="145">
      <c r="A145">
        <f>IFERROR(__xludf.DUMMYFUNCTION("""COMPUTED_VALUE"""),175.0)</f>
        <v>175</v>
      </c>
      <c r="B145" s="11" t="str">
        <f>IFERROR(__xludf.DUMMYFUNCTION("""COMPUTED_VALUE"""),"I don't feel sure they only see the files I use in whatsapp")</f>
        <v>I don't feel sure they only see the files I use in whatsapp</v>
      </c>
      <c r="C145" s="3" t="s">
        <v>761</v>
      </c>
      <c r="D145" s="3" t="s">
        <v>762</v>
      </c>
      <c r="E145" s="3"/>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IFERROR(__xludf.DUMMYFUNCTION("""COMPUTED_VALUE"""),"just makes me think of old worm emails that would get info about who you send and recieve emails from")</f>
        <v>just makes me think of old worm emails that would get info about who you send and recieve emails from</v>
      </c>
      <c r="C147" s="3" t="s">
        <v>761</v>
      </c>
      <c r="D147" s="3" t="s">
        <v>766</v>
      </c>
      <c r="E147" s="3" t="s">
        <v>778</v>
      </c>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IFERROR(__xludf.DUMMYFUNCTION("""COMPUTED_VALUE"""),"I don't have any. I trust the service to keep my information secure.")</f>
        <v>I don't have any. I trust the service to keep my information secure.</v>
      </c>
      <c r="C149" s="19" t="s">
        <v>758</v>
      </c>
      <c r="D149" s="3" t="s">
        <v>774</v>
      </c>
      <c r="E149" s="11"/>
      <c r="F149" s="11"/>
      <c r="H149" s="11"/>
      <c r="I149" s="11"/>
      <c r="J149" s="11"/>
    </row>
    <row r="150">
      <c r="A150">
        <f>IFERROR(__xludf.DUMMYFUNCTION("""COMPUTED_VALUE"""),181.0)</f>
        <v>181</v>
      </c>
      <c r="B150" s="11" t="str">
        <f>IFERROR(__xludf.DUMMYFUNCTION("""COMPUTED_VALUE"""),"The ability to delete items on Google Drive is a bit strange, and I'm not sure why that is necessary.")</f>
        <v>The ability to delete items on Google Drive is a bit strange, and I'm not sure why that is necessary.</v>
      </c>
      <c r="C150" s="3"/>
      <c r="D150" s="3"/>
      <c r="E150" s="3"/>
      <c r="F150" s="3"/>
      <c r="H150" s="11"/>
      <c r="I150" s="11"/>
      <c r="J150" s="11"/>
    </row>
    <row r="151">
      <c r="A151">
        <f>IFERROR(__xludf.DUMMYFUNCTION("""COMPUTED_VALUE"""),182.0)</f>
        <v>182</v>
      </c>
      <c r="B151" s="11" t="str">
        <f>IFERROR(__xludf.DUMMYFUNCTION("""COMPUTED_VALUE"""),"I'm not too concerned since I like being constantly updated with my deliveries")</f>
        <v>I'm not too concerned since I like being constantly updated with my deliveries</v>
      </c>
      <c r="C151" s="19" t="s">
        <v>758</v>
      </c>
      <c r="D151" s="3" t="s">
        <v>759</v>
      </c>
      <c r="E151" s="3"/>
      <c r="F151" s="3"/>
      <c r="H151" s="11"/>
      <c r="I151" s="11"/>
      <c r="J151" s="11"/>
    </row>
    <row r="152">
      <c r="A152">
        <f>IFERROR(__xludf.DUMMYFUNCTION("""COMPUTED_VALUE"""),183.0)</f>
        <v>183</v>
      </c>
      <c r="B152" s="11"/>
      <c r="C152" s="3"/>
      <c r="D152" s="3"/>
      <c r="E152" s="11"/>
      <c r="F152" s="11"/>
      <c r="H152" s="11"/>
      <c r="I152" s="11"/>
      <c r="J152" s="11"/>
    </row>
    <row r="153">
      <c r="A153">
        <f>IFERROR(__xludf.DUMMYFUNCTION("""COMPUTED_VALUE"""),184.0)</f>
        <v>184</v>
      </c>
      <c r="B153" s="11" t="str">
        <f>IFERROR(__xludf.DUMMYFUNCTION("""COMPUTED_VALUE"""),"I have no concerns")</f>
        <v>I have no concerns</v>
      </c>
      <c r="C153" s="19" t="s">
        <v>758</v>
      </c>
      <c r="D153" s="3"/>
      <c r="E153" s="11"/>
      <c r="F153" s="11"/>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c r="C155" s="11"/>
      <c r="D155" s="11"/>
      <c r="E155" s="11"/>
      <c r="F155" s="11"/>
      <c r="G155" s="11"/>
      <c r="H155" s="11"/>
      <c r="I155" s="11"/>
      <c r="J155" s="11"/>
    </row>
    <row r="156">
      <c r="A156">
        <f>IFERROR(__xludf.DUMMYFUNCTION("""COMPUTED_VALUE"""),187.0)</f>
        <v>187</v>
      </c>
      <c r="B156" s="11"/>
      <c r="C156" s="11"/>
      <c r="D156" s="11"/>
      <c r="E156" s="11"/>
      <c r="F156" s="11"/>
      <c r="G156" s="11"/>
      <c r="H156" s="11"/>
      <c r="I156" s="11"/>
      <c r="J156" s="11"/>
    </row>
    <row r="157">
      <c r="A157">
        <f>IFERROR(__xludf.DUMMYFUNCTION("""COMPUTED_VALUE"""),188.0)</f>
        <v>188</v>
      </c>
      <c r="B157" s="11"/>
      <c r="C157" s="11"/>
      <c r="D157" s="11"/>
      <c r="E157" s="11"/>
      <c r="F157" s="11"/>
      <c r="G157" s="11"/>
      <c r="H157" s="11"/>
      <c r="I157" s="11"/>
      <c r="J157" s="11"/>
    </row>
    <row r="158">
      <c r="A158">
        <f>IFERROR(__xludf.DUMMYFUNCTION("""COMPUTED_VALUE"""),189.0)</f>
        <v>189</v>
      </c>
      <c r="B158" s="11"/>
      <c r="C158" s="11"/>
      <c r="D158" s="11"/>
      <c r="E158" s="11"/>
      <c r="F158" s="11"/>
      <c r="G158" s="11"/>
      <c r="H158" s="11"/>
      <c r="I158" s="11"/>
      <c r="J158" s="11"/>
    </row>
    <row r="159">
      <c r="A159">
        <f>IFERROR(__xludf.DUMMYFUNCTION("""COMPUTED_VALUE"""),190.0)</f>
        <v>190</v>
      </c>
      <c r="B159" s="11" t="str">
        <f>IFERROR(__xludf.DUMMYFUNCTION("""COMPUTED_VALUE"""),"I see it only has permission to view my YouTube account, which I am fine with since it is a public account anyway. I don't post anything or have anything on there that I don't want to the world to potentially see so I don't care who sees it.")</f>
        <v>I see it only has permission to view my YouTube account, which I am fine with since it is a public account anyway. I don't post anything or have anything on there that I don't want to the world to potentially see so I don't care who sees it.</v>
      </c>
      <c r="C159" s="19" t="s">
        <v>758</v>
      </c>
      <c r="D159" s="11"/>
      <c r="E159" s="11"/>
      <c r="F159" s="11"/>
      <c r="G159" s="11"/>
      <c r="H159" s="11"/>
      <c r="I159" s="11"/>
      <c r="J159" s="11"/>
    </row>
    <row r="160">
      <c r="A160">
        <f>IFERROR(__xludf.DUMMYFUNCTION("""COMPUTED_VALUE"""),191.0)</f>
        <v>191</v>
      </c>
      <c r="B160" s="11"/>
      <c r="C160" s="11"/>
      <c r="D160" s="11"/>
      <c r="E160" s="11"/>
      <c r="F160" s="11"/>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c r="C162" s="11"/>
      <c r="D162" s="11"/>
      <c r="E162" s="11"/>
      <c r="F162" s="11"/>
      <c r="G162" s="11"/>
      <c r="H162" s="11"/>
      <c r="I162" s="11"/>
      <c r="J162" s="11"/>
    </row>
    <row r="163">
      <c r="A163">
        <f>IFERROR(__xludf.DUMMYFUNCTION("""COMPUTED_VALUE"""),194.0)</f>
        <v>194</v>
      </c>
      <c r="B163" s="11"/>
      <c r="C163" s="11"/>
      <c r="D163" s="11"/>
      <c r="E163" s="11"/>
      <c r="F163" s="11"/>
      <c r="G163" s="11"/>
      <c r="H163" s="11"/>
      <c r="I163" s="11"/>
      <c r="J163" s="11"/>
    </row>
    <row r="164">
      <c r="A164">
        <f>IFERROR(__xludf.DUMMYFUNCTION("""COMPUTED_VALUE"""),195.0)</f>
        <v>195</v>
      </c>
      <c r="B164" s="11" t="str">
        <f>IFERROR(__xludf.DUMMYFUNCTION("""COMPUTED_VALUE"""),"I'm always worried about personal details, but I am pleasantly surprized at how minimal the permissions are.")</f>
        <v>I'm always worried about personal details, but I am pleasantly surprized at how minimal the permissions are.</v>
      </c>
      <c r="C164" s="19" t="s">
        <v>758</v>
      </c>
      <c r="D164" s="11"/>
      <c r="E164" s="11"/>
      <c r="F164" s="11"/>
      <c r="G164" s="11"/>
      <c r="H164" s="11"/>
      <c r="I164" s="11"/>
      <c r="J164" s="11"/>
    </row>
    <row r="165">
      <c r="A165">
        <f>IFERROR(__xludf.DUMMYFUNCTION("""COMPUTED_VALUE"""),196.0)</f>
        <v>196</v>
      </c>
      <c r="B165" s="11" t="str">
        <f>IFERROR(__xludf.DUMMYFUNCTION("""COMPUTED_VALUE"""),"I do not know why the app has to associate itself with my personal data. I do recall seeing more ads for this app after I have downloaded it. Frankly, I am annoyed now that I notice this.")</f>
        <v>I do not know why the app has to associate itself with my personal data. I do recall seeing more ads for this app after I have downloaded it. Frankly, I am annoyed now that I notice this.</v>
      </c>
      <c r="C165" s="3" t="s">
        <v>761</v>
      </c>
      <c r="D165" s="3" t="s">
        <v>762</v>
      </c>
      <c r="E165" s="3"/>
      <c r="F165" s="11"/>
      <c r="G165" s="11"/>
      <c r="H165" s="11"/>
      <c r="I165" s="11"/>
      <c r="J165" s="11"/>
    </row>
    <row r="166">
      <c r="A166">
        <f>IFERROR(__xludf.DUMMYFUNCTION("""COMPUTED_VALUE"""),197.0)</f>
        <v>197</v>
      </c>
      <c r="B166" s="11" t="str">
        <f>IFERROR(__xludf.DUMMYFUNCTION("""COMPUTED_VALUE"""),"i dont use it")</f>
        <v>i dont use it</v>
      </c>
      <c r="C166" s="3" t="s">
        <v>760</v>
      </c>
      <c r="D166" s="11"/>
      <c r="E166" s="11"/>
      <c r="F166" s="11"/>
      <c r="G166" s="11"/>
      <c r="H166" s="11"/>
      <c r="I166" s="11"/>
      <c r="J166" s="11"/>
    </row>
    <row r="167">
      <c r="A167">
        <f>IFERROR(__xludf.DUMMYFUNCTION("""COMPUTED_VALUE"""),198.0)</f>
        <v>198</v>
      </c>
      <c r="B167" s="11" t="str">
        <f>IFERROR(__xludf.DUMMYFUNCTION("""COMPUTED_VALUE"""),"Again worried about it deleting some information I typed out onto a google document and me not realizing it until much later and having to redo it. I am worried about who has my email address and what they can do about it, but all the other information is"&amp;" public so my worry level is low")</f>
        <v>Again worried about it deleting some information I typed out onto a google document and me not realizing it until much later and having to redo it. I am worried about who has my email address and what they can do about it, but all the other information is public so my worry level is low</v>
      </c>
      <c r="C167" s="3" t="s">
        <v>761</v>
      </c>
      <c r="D167" s="3" t="s">
        <v>766</v>
      </c>
      <c r="E167" s="3" t="s">
        <v>777</v>
      </c>
      <c r="F167" s="3" t="s">
        <v>783</v>
      </c>
      <c r="G167" s="3" t="s">
        <v>781</v>
      </c>
      <c r="H167" s="11"/>
      <c r="I167" s="11"/>
      <c r="J167" s="11"/>
    </row>
    <row r="168">
      <c r="A168">
        <f>IFERROR(__xludf.DUMMYFUNCTION("""COMPUTED_VALUE"""),199.0)</f>
        <v>199</v>
      </c>
      <c r="B168" s="11"/>
      <c r="C168" s="11"/>
      <c r="D168" s="11"/>
      <c r="E168" s="11"/>
      <c r="F168" s="11"/>
      <c r="G168" s="11"/>
      <c r="H168" s="11"/>
      <c r="I168" s="11"/>
      <c r="J168" s="11"/>
    </row>
    <row r="169">
      <c r="A169">
        <f>IFERROR(__xludf.DUMMYFUNCTION("""COMPUTED_VALUE"""),200.0)</f>
        <v>200</v>
      </c>
      <c r="B169" s="11" t="str">
        <f>IFERROR(__xludf.DUMMYFUNCTION("""COMPUTED_VALUE"""),"I'm a bit concerned about their access to my Youtube Channel, since it seems a bit unnecessary and excessive.")</f>
        <v>I'm a bit concerned about their access to my Youtube Channel, since it seems a bit unnecessary and excessive.</v>
      </c>
      <c r="C169" s="3" t="s">
        <v>761</v>
      </c>
      <c r="D169" s="3" t="s">
        <v>762</v>
      </c>
      <c r="E169" s="11"/>
      <c r="F169" s="11"/>
      <c r="G169" s="11"/>
      <c r="H169" s="11"/>
      <c r="I169" s="11"/>
      <c r="J169" s="11"/>
    </row>
    <row r="170">
      <c r="A170">
        <f>IFERROR(__xludf.DUMMYFUNCTION("""COMPUTED_VALUE"""),201.0)</f>
        <v>201</v>
      </c>
      <c r="B170" s="11" t="str">
        <f>IFERROR(__xludf.DUMMYFUNCTION("""COMPUTED_VALUE"""),"Privacy concerns")</f>
        <v>Privacy concerns</v>
      </c>
      <c r="C170" s="3" t="s">
        <v>761</v>
      </c>
      <c r="D170" s="3" t="s">
        <v>784</v>
      </c>
      <c r="E170" s="11"/>
      <c r="F170" s="11"/>
      <c r="G170" s="11"/>
      <c r="H170" s="11"/>
      <c r="I170" s="11"/>
      <c r="J170" s="11"/>
    </row>
    <row r="171">
      <c r="A171">
        <f>IFERROR(__xludf.DUMMYFUNCTION("""COMPUTED_VALUE"""),202.0)</f>
        <v>202</v>
      </c>
      <c r="B171" s="11" t="str">
        <f>IFERROR(__xludf.DUMMYFUNCTION("""COMPUTED_VALUE"""),"I have no concerns.")</f>
        <v>I have no concerns.</v>
      </c>
      <c r="C171" s="19" t="s">
        <v>758</v>
      </c>
      <c r="D171" s="11"/>
      <c r="E171" s="11"/>
      <c r="F171" s="11"/>
      <c r="G171" s="11"/>
      <c r="H171" s="11"/>
      <c r="I171" s="11"/>
      <c r="J171" s="11"/>
    </row>
    <row r="172">
      <c r="A172">
        <f>IFERROR(__xludf.DUMMYFUNCTION("""COMPUTED_VALUE"""),203.0)</f>
        <v>203</v>
      </c>
      <c r="B172" s="11"/>
      <c r="C172" s="11"/>
      <c r="D172" s="11"/>
      <c r="E172" s="11"/>
      <c r="F172" s="11"/>
      <c r="G172" s="11"/>
      <c r="H172" s="11"/>
      <c r="I172" s="11"/>
      <c r="J172" s="11"/>
    </row>
    <row r="173">
      <c r="A173">
        <f>IFERROR(__xludf.DUMMYFUNCTION("""COMPUTED_VALUE"""),204.0)</f>
        <v>204</v>
      </c>
      <c r="B173" s="11" t="str">
        <f>IFERROR(__xludf.DUMMYFUNCTION("""COMPUTED_VALUE"""),"I do not have any.")</f>
        <v>I do not have any.</v>
      </c>
      <c r="C173" s="19" t="s">
        <v>758</v>
      </c>
      <c r="D173" s="11"/>
      <c r="E173" s="11"/>
      <c r="F173" s="11"/>
      <c r="G173" s="11"/>
      <c r="H173" s="11"/>
      <c r="I173" s="11"/>
      <c r="J173" s="11"/>
    </row>
    <row r="174">
      <c r="A174">
        <f>IFERROR(__xludf.DUMMYFUNCTION("""COMPUTED_VALUE"""),205.0)</f>
        <v>205</v>
      </c>
      <c r="B174" s="11"/>
      <c r="C174" s="11"/>
      <c r="D174" s="11"/>
      <c r="E174" s="11"/>
      <c r="F174" s="11"/>
      <c r="G174" s="11"/>
      <c r="H174" s="11"/>
      <c r="I174" s="11"/>
      <c r="J174" s="11"/>
    </row>
    <row r="175">
      <c r="A175">
        <f>IFERROR(__xludf.DUMMYFUNCTION("""COMPUTED_VALUE"""),206.0)</f>
        <v>206</v>
      </c>
      <c r="B175" s="11" t="str">
        <f>IFERROR(__xludf.DUMMYFUNCTION("""COMPUTED_VALUE"""),"none")</f>
        <v>none</v>
      </c>
      <c r="C175" s="19" t="s">
        <v>758</v>
      </c>
      <c r="D175" s="11"/>
      <c r="E175" s="11"/>
      <c r="F175" s="11"/>
      <c r="G175" s="11"/>
      <c r="H175" s="11"/>
      <c r="I175" s="11"/>
      <c r="J175" s="11"/>
    </row>
    <row r="176">
      <c r="A176">
        <f>IFERROR(__xludf.DUMMYFUNCTION("""COMPUTED_VALUE"""),207.0)</f>
        <v>207</v>
      </c>
      <c r="B176" s="11"/>
      <c r="C176" s="11"/>
      <c r="D176" s="11"/>
      <c r="E176" s="11"/>
      <c r="F176" s="11"/>
      <c r="G176" s="11"/>
      <c r="H176" s="11"/>
      <c r="I176" s="11"/>
      <c r="J176" s="11"/>
    </row>
    <row r="177">
      <c r="A177">
        <f>IFERROR(__xludf.DUMMYFUNCTION("""COMPUTED_VALUE"""),208.0)</f>
        <v>208</v>
      </c>
      <c r="B177" s="11" t="str">
        <f>IFERROR(__xludf.DUMMYFUNCTION("""COMPUTED_VALUE"""),"Again my biggest concern is the company using my data for their own profit")</f>
        <v>Again my biggest concern is the company using my data for their own profit</v>
      </c>
      <c r="C177" s="3" t="s">
        <v>761</v>
      </c>
      <c r="D177" s="3" t="s">
        <v>766</v>
      </c>
      <c r="E177" s="3" t="s">
        <v>776</v>
      </c>
      <c r="F177" s="11"/>
      <c r="G177" s="11"/>
      <c r="H177" s="11"/>
      <c r="I177" s="11"/>
      <c r="J177" s="11"/>
    </row>
    <row r="178">
      <c r="A178">
        <f>IFERROR(__xludf.DUMMYFUNCTION("""COMPUTED_VALUE"""),209.0)</f>
        <v>209</v>
      </c>
      <c r="B178" s="11" t="str">
        <f>IFERROR(__xludf.DUMMYFUNCTION("""COMPUTED_VALUE"""),"None")</f>
        <v>None</v>
      </c>
      <c r="C178" s="19" t="s">
        <v>758</v>
      </c>
      <c r="D178" s="11"/>
      <c r="E178" s="11"/>
      <c r="F178" s="11"/>
      <c r="G178" s="11"/>
      <c r="H178" s="11"/>
      <c r="I178" s="11"/>
      <c r="J178" s="11"/>
    </row>
    <row r="179">
      <c r="A179">
        <f>IFERROR(__xludf.DUMMYFUNCTION("""COMPUTED_VALUE"""),210.0)</f>
        <v>210</v>
      </c>
      <c r="B179" s="11"/>
      <c r="C179" s="11"/>
      <c r="D179" s="11"/>
      <c r="E179" s="11"/>
      <c r="F179" s="11"/>
      <c r="G179" s="11"/>
      <c r="H179" s="11"/>
      <c r="I179" s="11"/>
      <c r="J179" s="11"/>
    </row>
    <row r="180">
      <c r="A180">
        <f>IFERROR(__xludf.DUMMYFUNCTION("""COMPUTED_VALUE"""),211.0)</f>
        <v>211</v>
      </c>
      <c r="B180" s="11" t="str">
        <f>IFERROR(__xludf.DUMMYFUNCTION("""COMPUTED_VALUE"""),"none, really. Mostly that someone else would be able to bypass security functions to access my Drive.")</f>
        <v>none, really. Mostly that someone else would be able to bypass security functions to access my Drive.</v>
      </c>
      <c r="C180" s="3" t="s">
        <v>761</v>
      </c>
      <c r="D180" s="3" t="s">
        <v>763</v>
      </c>
      <c r="E180" s="11"/>
      <c r="F180" s="11"/>
      <c r="G180" s="11"/>
      <c r="H180" s="11"/>
      <c r="I180" s="11"/>
      <c r="J180" s="11"/>
    </row>
    <row r="181">
      <c r="A181">
        <f>IFERROR(__xludf.DUMMYFUNCTION("""COMPUTED_VALUE"""),212.0)</f>
        <v>212</v>
      </c>
      <c r="B181" s="11" t="str">
        <f>IFERROR(__xludf.DUMMYFUNCTION("""COMPUTED_VALUE"""),"None.")</f>
        <v>None.</v>
      </c>
      <c r="C181" s="19" t="s">
        <v>758</v>
      </c>
      <c r="D181" s="11"/>
      <c r="E181" s="11"/>
      <c r="F181" s="11"/>
      <c r="G181" s="11"/>
      <c r="H181" s="11"/>
      <c r="I181" s="11"/>
      <c r="J181" s="11"/>
    </row>
    <row r="182">
      <c r="A182">
        <f>IFERROR(__xludf.DUMMYFUNCTION("""COMPUTED_VALUE"""),213.0)</f>
        <v>213</v>
      </c>
      <c r="B182" s="11" t="str">
        <f>IFERROR(__xludf.DUMMYFUNCTION("""COMPUTED_VALUE"""),"I don't remember authorizing Viki. Therefore, my concerns are that Viki even holds these permissions I don't remember allowing.")</f>
        <v>I don't remember authorizing Viki. Therefore, my concerns are that Viki even holds these permissions I don't remember allowing.</v>
      </c>
      <c r="C182" s="3" t="s">
        <v>764</v>
      </c>
      <c r="D182" s="3" t="s">
        <v>761</v>
      </c>
      <c r="E182" s="3" t="s">
        <v>777</v>
      </c>
      <c r="F182" s="11"/>
      <c r="G182" s="11"/>
      <c r="H182" s="11"/>
      <c r="I182" s="11"/>
      <c r="J182" s="11"/>
    </row>
    <row r="183">
      <c r="A183">
        <f>IFERROR(__xludf.DUMMYFUNCTION("""COMPUTED_VALUE"""),214.0)</f>
        <v>214</v>
      </c>
      <c r="B183" s="11" t="str">
        <f>IFERROR(__xludf.DUMMYFUNCTION("""COMPUTED_VALUE"""),"I don't have any concerns about Zoom accessing my calendar")</f>
        <v>I don't have any concerns about Zoom accessing my calendar</v>
      </c>
      <c r="C183" s="19" t="s">
        <v>758</v>
      </c>
      <c r="D183" s="11"/>
      <c r="E183" s="11"/>
      <c r="F183" s="11"/>
      <c r="G183" s="11"/>
      <c r="H183" s="11"/>
      <c r="I183" s="11"/>
      <c r="J183" s="11"/>
    </row>
    <row r="184">
      <c r="A184">
        <f>IFERROR(__xludf.DUMMYFUNCTION("""COMPUTED_VALUE"""),216.0)</f>
        <v>216</v>
      </c>
      <c r="B184" s="11" t="str">
        <f>IFERROR(__xludf.DUMMYFUNCTION("""COMPUTED_VALUE"""),"I do not have any pressing concerns.")</f>
        <v>I do not have any pressing concerns.</v>
      </c>
      <c r="C184" s="19" t="s">
        <v>758</v>
      </c>
      <c r="D184" s="11"/>
      <c r="E184" s="11"/>
      <c r="F184" s="11"/>
      <c r="G184" s="11"/>
      <c r="H184" s="11"/>
      <c r="I184" s="11"/>
      <c r="J184" s="11"/>
    </row>
    <row r="185">
      <c r="A185">
        <f>IFERROR(__xludf.DUMMYFUNCTION("""COMPUTED_VALUE"""),218.0)</f>
        <v>218</v>
      </c>
      <c r="B185" s="11" t="str">
        <f>IFERROR(__xludf.DUMMYFUNCTION("""COMPUTED_VALUE"""),"If it shares my files with others.")</f>
        <v>If it shares my files with others.</v>
      </c>
      <c r="C185" s="3" t="s">
        <v>761</v>
      </c>
      <c r="D185" s="3" t="s">
        <v>766</v>
      </c>
      <c r="E185" s="11"/>
      <c r="F185" s="11"/>
      <c r="G185" s="11"/>
      <c r="H185" s="11"/>
      <c r="I185" s="11"/>
      <c r="J185" s="11"/>
    </row>
    <row r="186">
      <c r="A186">
        <f>IFERROR(__xludf.DUMMYFUNCTION("""COMPUTED_VALUE"""),219.0)</f>
        <v>219</v>
      </c>
      <c r="B186" s="11" t="str">
        <f>IFERROR(__xludf.DUMMYFUNCTION("""COMPUTED_VALUE"""),"This doesn't really bother me since it's really just tracking the time that I play the game and what I do while playing. Not a big deal.")</f>
        <v>This doesn't really bother me since it's really just tracking the time that I play the game and what I do while playing. Not a big deal.</v>
      </c>
      <c r="C186" s="19" t="s">
        <v>758</v>
      </c>
      <c r="D186" s="3" t="s">
        <v>759</v>
      </c>
      <c r="E186" s="11"/>
      <c r="F186" s="11"/>
      <c r="G186" s="11"/>
      <c r="H186" s="11"/>
      <c r="I186" s="11"/>
      <c r="J186" s="11"/>
    </row>
    <row r="187">
      <c r="A187">
        <f>IFERROR(__xludf.DUMMYFUNCTION("""COMPUTED_VALUE"""),220.0)</f>
        <v>220</v>
      </c>
      <c r="B187" s="11" t="str">
        <f>IFERROR(__xludf.DUMMYFUNCTION("""COMPUTED_VALUE"""),"Tuya Smart connects to my Alexa device therefor it is obvious it has holds of certain permissions. My only concern is that it may share my personal info")</f>
        <v>Tuya Smart connects to my Alexa device therefor it is obvious it has holds of certain permissions. My only concern is that it may share my personal info</v>
      </c>
      <c r="C187" s="3" t="s">
        <v>761</v>
      </c>
      <c r="D187" s="3" t="s">
        <v>766</v>
      </c>
      <c r="E187" s="11"/>
      <c r="F187" s="11"/>
      <c r="G187" s="11"/>
      <c r="H187" s="11"/>
      <c r="I187" s="11"/>
      <c r="J187" s="11"/>
    </row>
    <row r="188">
      <c r="A188">
        <f>IFERROR(__xludf.DUMMYFUNCTION("""COMPUTED_VALUE"""),221.0)</f>
        <v>221</v>
      </c>
      <c r="B188" s="11" t="str">
        <f>IFERROR(__xludf.DUMMYFUNCTION("""COMPUTED_VALUE"""),"zoom should only be able to modify events on my calendar that zoom has previously entered and whose dates or times or access urls may have vhanged.")</f>
        <v>zoom should only be able to modify events on my calendar that zoom has previously entered and whose dates or times or access urls may have vhanged.</v>
      </c>
      <c r="C188" s="3" t="s">
        <v>761</v>
      </c>
      <c r="D188" t="s">
        <v>777</v>
      </c>
      <c r="E188" s="11"/>
      <c r="F188" s="11"/>
      <c r="G188" s="11"/>
      <c r="H188" s="11"/>
      <c r="I188" s="11"/>
      <c r="J188" s="11"/>
    </row>
    <row r="189">
      <c r="A189">
        <f>IFERROR(__xludf.DUMMYFUNCTION("""COMPUTED_VALUE"""),222.0)</f>
        <v>222</v>
      </c>
      <c r="B189" s="11"/>
      <c r="C189" s="11"/>
      <c r="D189" s="11"/>
      <c r="E189" s="11"/>
      <c r="F189" s="11"/>
      <c r="G189" s="11"/>
      <c r="H189" s="11"/>
      <c r="I189" s="11"/>
      <c r="J189" s="11"/>
    </row>
    <row r="190">
      <c r="A190">
        <f>IFERROR(__xludf.DUMMYFUNCTION("""COMPUTED_VALUE"""),223.0)</f>
        <v>223</v>
      </c>
      <c r="B190" s="11"/>
      <c r="C190" s="11"/>
      <c r="D190" s="11"/>
      <c r="E190" s="11"/>
      <c r="F190" s="11"/>
      <c r="G190" s="11"/>
      <c r="H190" s="11"/>
      <c r="I190" s="11"/>
      <c r="J190" s="11"/>
    </row>
    <row r="191">
      <c r="A191">
        <f>IFERROR(__xludf.DUMMYFUNCTION("""COMPUTED_VALUE"""),224.0)</f>
        <v>224</v>
      </c>
      <c r="B191" s="11" t="str">
        <f>IFERROR(__xludf.DUMMYFUNCTION("""COMPUTED_VALUE"""),"I just don't really have a need for this extension anymore, and the fact that they have access to my sending of emails from GMail is concerning since the app is meant to help you just find email addresses at other companies.")</f>
        <v>I just don't really have a need for this extension anymore, and the fact that they have access to my sending of emails from GMail is concerning since the app is meant to help you just find email addresses at other companies.</v>
      </c>
      <c r="C191" t="s">
        <v>760</v>
      </c>
      <c r="D191" s="3" t="s">
        <v>761</v>
      </c>
      <c r="E191" t="s">
        <v>777</v>
      </c>
      <c r="F191" s="3" t="s">
        <v>778</v>
      </c>
      <c r="G191" s="11"/>
      <c r="H191" s="11"/>
      <c r="I191" s="11"/>
      <c r="J191" s="11"/>
    </row>
    <row r="192">
      <c r="A192">
        <f>IFERROR(__xludf.DUMMYFUNCTION("""COMPUTED_VALUE"""),225.0)</f>
        <v>225</v>
      </c>
      <c r="B192" s="26" t="str">
        <f>IFERROR(__xludf.DUMMYFUNCTION("""COMPUTED_VALUE"""),"I have little concern because I operate the OS, and macOS is pretty secure.")</f>
        <v>I have little concern because I operate the OS, and macOS is pretty secure.</v>
      </c>
      <c r="C192" s="19" t="s">
        <v>758</v>
      </c>
      <c r="D192" s="3" t="s">
        <v>774</v>
      </c>
      <c r="E192" s="11"/>
      <c r="F192" s="11"/>
      <c r="G192" s="11"/>
      <c r="H192" s="11"/>
      <c r="I192" s="11"/>
      <c r="J192" s="11"/>
    </row>
    <row r="193">
      <c r="A193">
        <f>IFERROR(__xludf.DUMMYFUNCTION("""COMPUTED_VALUE"""),226.0)</f>
        <v>226</v>
      </c>
      <c r="B193" s="11" t="str">
        <f>IFERROR(__xludf.DUMMYFUNCTION("""COMPUTED_VALUE"""),"I don't think some of the data that Lumin PDF is asking for is necessary for them to have access to. I'd be curious why they kind certain parts of my data necessary for me to access their site.")</f>
        <v>I don't think some of the data that Lumin PDF is asking for is necessary for them to have access to. I'd be curious why they kind certain parts of my data necessary for me to access their site.</v>
      </c>
      <c r="C193" s="3" t="s">
        <v>761</v>
      </c>
      <c r="D193" t="s">
        <v>762</v>
      </c>
      <c r="E193" s="11"/>
      <c r="F193" s="11"/>
      <c r="G193" s="11"/>
      <c r="H193" s="11"/>
      <c r="I193" s="11"/>
      <c r="J193" s="11"/>
    </row>
    <row r="194">
      <c r="A194">
        <f>IFERROR(__xludf.DUMMYFUNCTION("""COMPUTED_VALUE"""),227.0)</f>
        <v>227</v>
      </c>
      <c r="B194" s="11" t="str">
        <f>IFERROR(__xludf.DUMMYFUNCTION("""COMPUTED_VALUE"""),"I am fine with them having this information. It does not bother me... again, as long as they are not selling it to another party.")</f>
        <v>I am fine with them having this information. It does not bother me... again, as long as they are not selling it to another party.</v>
      </c>
      <c r="C194" s="19" t="s">
        <v>758</v>
      </c>
      <c r="D194" s="11"/>
      <c r="E194" s="11"/>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c r="C197" s="11"/>
      <c r="D197" s="11"/>
      <c r="E197" s="11"/>
      <c r="F197" s="11"/>
      <c r="G197" s="11"/>
      <c r="H197" s="11"/>
      <c r="I197" s="11"/>
      <c r="J197" s="11"/>
    </row>
    <row r="198">
      <c r="A198">
        <f>IFERROR(__xludf.DUMMYFUNCTION("""COMPUTED_VALUE"""),231.0)</f>
        <v>231</v>
      </c>
      <c r="B198" s="11" t="str">
        <f>IFERROR(__xludf.DUMMYFUNCTION("""COMPUTED_VALUE"""),"I don't have too many concerns. It is another shopping app that requires access to my gmail.")</f>
        <v>I don't have too many concerns. It is another shopping app that requires access to my gmail.</v>
      </c>
      <c r="C198" s="19" t="s">
        <v>758</v>
      </c>
      <c r="D198" s="3" t="s">
        <v>774</v>
      </c>
      <c r="E198" s="11"/>
      <c r="F198" s="11"/>
      <c r="G198" s="11"/>
      <c r="H198" s="11"/>
      <c r="I198" s="11"/>
      <c r="J198" s="11"/>
    </row>
    <row r="199">
      <c r="A199">
        <f>IFERROR(__xludf.DUMMYFUNCTION("""COMPUTED_VALUE"""),232.0)</f>
        <v>232</v>
      </c>
      <c r="B199" s="11" t="str">
        <f>IFERROR(__xludf.DUMMYFUNCTION("""COMPUTED_VALUE"""),"Pirate Kings' permission doesn't seem like a security concern from my understanding.")</f>
        <v>Pirate Kings' permission doesn't seem like a security concern from my understanding.</v>
      </c>
      <c r="C199" s="19" t="s">
        <v>758</v>
      </c>
      <c r="D199" s="11"/>
      <c r="E199" s="11"/>
      <c r="F199" s="11"/>
      <c r="G199" s="11"/>
      <c r="H199" s="11"/>
      <c r="I199" s="11"/>
      <c r="J199" s="11"/>
    </row>
    <row r="200">
      <c r="A200">
        <f>IFERROR(__xludf.DUMMYFUNCTION("""COMPUTED_VALUE"""),233.0)</f>
        <v>233</v>
      </c>
      <c r="B200" s="11" t="str">
        <f>IFERROR(__xludf.DUMMYFUNCTION("""COMPUTED_VALUE"""),"I do not have any concerns.")</f>
        <v>I do not have any concerns.</v>
      </c>
      <c r="C200" s="19" t="s">
        <v>758</v>
      </c>
      <c r="D200" s="11"/>
      <c r="E200" s="11"/>
      <c r="F200" s="11"/>
      <c r="G200" s="11"/>
      <c r="H200" s="11"/>
      <c r="I200" s="11"/>
      <c r="J200" s="11"/>
    </row>
    <row r="201">
      <c r="A201">
        <f>IFERROR(__xludf.DUMMYFUNCTION("""COMPUTED_VALUE"""),234.0)</f>
        <v>234</v>
      </c>
      <c r="B201" s="11" t="str">
        <f>IFERROR(__xludf.DUMMYFUNCTION("""COMPUTED_VALUE"""),"No conerns")</f>
        <v>No conerns</v>
      </c>
      <c r="C201" s="19" t="s">
        <v>758</v>
      </c>
      <c r="D201" s="11"/>
      <c r="E201" s="11"/>
      <c r="F201" s="11"/>
      <c r="G201" s="11"/>
      <c r="H201" s="11"/>
      <c r="I201" s="11"/>
      <c r="J201" s="11"/>
    </row>
    <row r="202">
      <c r="A202">
        <f>IFERROR(__xludf.DUMMYFUNCTION("""COMPUTED_VALUE"""),235.0)</f>
        <v>235</v>
      </c>
      <c r="B202" s="11" t="str">
        <f>IFERROR(__xludf.DUMMYFUNCTION("""COMPUTED_VALUE"""),"None, It uses google play for many things.")</f>
        <v>None, It uses google play for many things.</v>
      </c>
      <c r="C202" s="19" t="s">
        <v>758</v>
      </c>
      <c r="D202" s="3" t="s">
        <v>774</v>
      </c>
      <c r="E202" s="11"/>
      <c r="F202" s="11"/>
      <c r="G202" s="11"/>
      <c r="H202" s="11"/>
      <c r="I202" s="11"/>
      <c r="J202" s="11"/>
    </row>
    <row r="203">
      <c r="A203">
        <f>IFERROR(__xludf.DUMMYFUNCTION("""COMPUTED_VALUE"""),236.0)</f>
        <v>236</v>
      </c>
      <c r="B203" s="11"/>
      <c r="C203" s="11"/>
      <c r="D203" s="11"/>
      <c r="E203" s="11"/>
      <c r="F203" s="11"/>
      <c r="G203" s="11"/>
      <c r="H203" s="11"/>
      <c r="I203" s="11"/>
      <c r="J203" s="11"/>
    </row>
    <row r="204">
      <c r="A204">
        <f>IFERROR(__xludf.DUMMYFUNCTION("""COMPUTED_VALUE"""),237.0)</f>
        <v>237</v>
      </c>
      <c r="B204" s="11"/>
      <c r="C204" s="11"/>
      <c r="D204" s="11"/>
      <c r="E204" s="11"/>
      <c r="F204" s="11"/>
      <c r="G204" s="11"/>
      <c r="H204" s="11"/>
      <c r="I204" s="11"/>
      <c r="J204" s="11"/>
    </row>
    <row r="205">
      <c r="A205">
        <f>IFERROR(__xludf.DUMMYFUNCTION("""COMPUTED_VALUE"""),238.0)</f>
        <v>238</v>
      </c>
      <c r="B205" s="11" t="str">
        <f>IFERROR(__xludf.DUMMYFUNCTION("""COMPUTED_VALUE"""),"No concerns. The tv has access but it's a Google App, so Google already has this information.")</f>
        <v>No concerns. The tv has access but it's a Google App, so Google already has this information.</v>
      </c>
      <c r="C205" s="19" t="s">
        <v>758</v>
      </c>
      <c r="D205" s="3" t="s">
        <v>774</v>
      </c>
      <c r="E205" s="11"/>
      <c r="F205" s="11"/>
      <c r="G205" s="11"/>
      <c r="H205" s="11"/>
      <c r="I205" s="11"/>
      <c r="J205" s="11"/>
    </row>
    <row r="206">
      <c r="A206">
        <f>IFERROR(__xludf.DUMMYFUNCTION("""COMPUTED_VALUE"""),239.0)</f>
        <v>239</v>
      </c>
      <c r="B206" s="11"/>
      <c r="C206" s="11"/>
      <c r="D206" s="11"/>
      <c r="E206" s="11"/>
      <c r="F206" s="11"/>
      <c r="G206" s="11"/>
      <c r="H206" s="11"/>
      <c r="I206" s="11"/>
      <c r="J206" s="11"/>
    </row>
    <row r="207">
      <c r="A207">
        <f>IFERROR(__xludf.DUMMYFUNCTION("""COMPUTED_VALUE"""),240.0)</f>
        <v>240</v>
      </c>
      <c r="B207" s="11"/>
      <c r="C207" s="11"/>
      <c r="D207" s="11"/>
      <c r="E207" s="11"/>
      <c r="F207" s="11"/>
      <c r="G207" s="11"/>
      <c r="H207" s="11"/>
      <c r="I207" s="11"/>
      <c r="J207" s="11"/>
    </row>
    <row r="208">
      <c r="A208">
        <f>IFERROR(__xludf.DUMMYFUNCTION("""COMPUTED_VALUE"""),241.0)</f>
        <v>241</v>
      </c>
      <c r="B208" s="11"/>
      <c r="C208" s="11"/>
      <c r="D208" s="11"/>
      <c r="E208" s="11"/>
      <c r="F208" s="11"/>
      <c r="G208" s="11"/>
      <c r="H208" s="11"/>
      <c r="I208" s="11"/>
      <c r="J208" s="11"/>
    </row>
    <row r="209">
      <c r="A209">
        <f>IFERROR(__xludf.DUMMYFUNCTION("""COMPUTED_VALUE"""),242.0)</f>
        <v>242</v>
      </c>
      <c r="B209" s="11"/>
      <c r="C209" s="11"/>
      <c r="D209" s="11"/>
      <c r="E209" s="11"/>
      <c r="F209" s="11"/>
      <c r="G209" s="11"/>
      <c r="H209" s="11"/>
      <c r="I209" s="11"/>
      <c r="J209" s="11"/>
    </row>
    <row r="210">
      <c r="A210">
        <f>IFERROR(__xludf.DUMMYFUNCTION("""COMPUTED_VALUE"""),243.0)</f>
        <v>243</v>
      </c>
      <c r="B210" s="11" t="str">
        <f>IFERROR(__xludf.DUMMYFUNCTION("""COMPUTED_VALUE"""),"I am not sure why it needs to see my emails")</f>
        <v>I am not sure why it needs to see my emails</v>
      </c>
      <c r="C210" s="3" t="s">
        <v>761</v>
      </c>
      <c r="D210" t="s">
        <v>777</v>
      </c>
      <c r="E210" s="3" t="s">
        <v>778</v>
      </c>
      <c r="F210" s="11"/>
      <c r="G210" s="11"/>
      <c r="H210" s="11"/>
      <c r="I210" s="11"/>
      <c r="J210" s="11"/>
    </row>
    <row r="211">
      <c r="A211">
        <f>IFERROR(__xludf.DUMMYFUNCTION("""COMPUTED_VALUE"""),244.0)</f>
        <v>244</v>
      </c>
      <c r="B211" s="11"/>
      <c r="C211" s="11"/>
      <c r="D211" s="11"/>
      <c r="E211" s="11"/>
      <c r="F211" s="11"/>
      <c r="G211" s="11"/>
      <c r="H211" s="11"/>
      <c r="I211" s="11"/>
      <c r="J211" s="11"/>
    </row>
    <row r="212">
      <c r="A212">
        <f>IFERROR(__xludf.DUMMYFUNCTION("""COMPUTED_VALUE"""),245.0)</f>
        <v>245</v>
      </c>
      <c r="B212" s="11" t="str">
        <f>IFERROR(__xludf.DUMMYFUNCTION("""COMPUTED_VALUE"""),"none")</f>
        <v>none</v>
      </c>
      <c r="C212" s="19" t="s">
        <v>758</v>
      </c>
      <c r="D212" s="11"/>
      <c r="E212" s="11"/>
      <c r="F212" s="11"/>
      <c r="G212" s="11"/>
      <c r="H212" s="11"/>
      <c r="I212" s="11"/>
      <c r="J212" s="11"/>
    </row>
    <row r="213">
      <c r="A213">
        <f>IFERROR(__xludf.DUMMYFUNCTION("""COMPUTED_VALUE"""),246.0)</f>
        <v>246</v>
      </c>
      <c r="B213" s="11" t="str">
        <f>IFERROR(__xludf.DUMMYFUNCTION("""COMPUTED_VALUE"""),"no concerns")</f>
        <v>no concerns</v>
      </c>
      <c r="C213" s="19" t="s">
        <v>758</v>
      </c>
      <c r="D213" s="11"/>
      <c r="E213" s="11"/>
      <c r="F213" s="11"/>
      <c r="G213" s="11"/>
      <c r="H213" s="11"/>
      <c r="I213" s="11"/>
      <c r="J213" s="11"/>
    </row>
    <row r="214">
      <c r="A214">
        <f>IFERROR(__xludf.DUMMYFUNCTION("""COMPUTED_VALUE"""),247.0)</f>
        <v>247</v>
      </c>
      <c r="B214" s="11"/>
      <c r="C214" s="11"/>
      <c r="D214" s="11"/>
      <c r="E214" s="3"/>
      <c r="F214" s="11"/>
      <c r="G214" s="11"/>
      <c r="H214" s="11"/>
      <c r="I214" s="11"/>
      <c r="J214" s="11"/>
    </row>
    <row r="215">
      <c r="A215">
        <f>IFERROR(__xludf.DUMMYFUNCTION("""COMPUTED_VALUE"""),248.0)</f>
        <v>248</v>
      </c>
      <c r="B215" s="11" t="str">
        <f>IFERROR(__xludf.DUMMYFUNCTION("""COMPUTED_VALUE"""),"I don't know who they're sharing my info with or if it's secure.")</f>
        <v>I don't know who they're sharing my info with or if it's secure.</v>
      </c>
      <c r="C215" s="3" t="s">
        <v>761</v>
      </c>
      <c r="D215" s="3" t="s">
        <v>763</v>
      </c>
      <c r="E215" s="3" t="s">
        <v>766</v>
      </c>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14"/>
    <col customWidth="1" min="2" max="2" width="48.14"/>
    <col customWidth="1" min="3" max="10" width="30.29"/>
  </cols>
  <sheetData>
    <row r="1">
      <c r="A1" s="41" t="str">
        <f>IFERROR(__xludf.DUMMYFUNCTION("QUERY('All Responses'!2:1001,""select A,F"")"),"Response ID")</f>
        <v>Response ID</v>
      </c>
      <c r="B1" s="16" t="str">
        <f>IFERROR(__xludf.DUMMYFUNCTION("""COMPUTED_VALUE"""),"rfl_what_review")</f>
        <v>rfl_what_review</v>
      </c>
      <c r="C1" s="16" t="s">
        <v>750</v>
      </c>
      <c r="D1" s="16" t="s">
        <v>751</v>
      </c>
      <c r="E1" s="16" t="s">
        <v>752</v>
      </c>
      <c r="F1" s="16" t="s">
        <v>753</v>
      </c>
      <c r="G1" s="16" t="s">
        <v>754</v>
      </c>
      <c r="H1" s="16" t="s">
        <v>755</v>
      </c>
      <c r="I1" s="16" t="s">
        <v>756</v>
      </c>
      <c r="J1" s="16" t="s">
        <v>757</v>
      </c>
    </row>
    <row r="2">
      <c r="A2" s="42">
        <f>IFERROR(__xludf.DUMMYFUNCTION("""COMPUTED_VALUE"""),27.0)</f>
        <v>27</v>
      </c>
      <c r="B2" s="18"/>
      <c r="C2" s="32"/>
      <c r="D2" s="32"/>
      <c r="E2" s="3"/>
      <c r="F2" s="3"/>
      <c r="G2" s="3"/>
      <c r="H2" s="11"/>
      <c r="I2" s="11"/>
      <c r="J2" s="11"/>
    </row>
    <row r="3">
      <c r="A3" s="42">
        <f>IFERROR(__xludf.DUMMYFUNCTION("""COMPUTED_VALUE"""),29.0)</f>
        <v>29</v>
      </c>
      <c r="B3" s="18" t="str">
        <f>IFERROR(__xludf.DUMMYFUNCTION("""COMPUTED_VALUE"""),"if I still need it connected")</f>
        <v>if I still need it connected</v>
      </c>
      <c r="C3" t="s">
        <v>826</v>
      </c>
      <c r="D3" t="s">
        <v>840</v>
      </c>
      <c r="E3" s="32"/>
      <c r="F3" s="32"/>
      <c r="G3" s="11"/>
      <c r="H3" s="11"/>
      <c r="I3" s="11"/>
      <c r="J3" s="11"/>
    </row>
    <row r="4">
      <c r="A4" s="42">
        <f>IFERROR(__xludf.DUMMYFUNCTION("""COMPUTED_VALUE"""),30.0)</f>
        <v>30</v>
      </c>
      <c r="B4" s="18" t="str">
        <f>IFERROR(__xludf.DUMMYFUNCTION("""COMPUTED_VALUE"""),"If I only installed it once and don't use it anymore.")</f>
        <v>If I only installed it once and don't use it anymore.</v>
      </c>
      <c r="C4" t="s">
        <v>826</v>
      </c>
      <c r="D4" t="s">
        <v>840</v>
      </c>
      <c r="E4" s="3"/>
      <c r="F4" s="3"/>
      <c r="G4" s="3"/>
      <c r="H4" s="11"/>
      <c r="I4" s="11"/>
      <c r="J4" s="11"/>
    </row>
    <row r="5">
      <c r="A5" s="42">
        <f>IFERROR(__xludf.DUMMYFUNCTION("""COMPUTED_VALUE"""),31.0)</f>
        <v>31</v>
      </c>
      <c r="B5" s="18" t="str">
        <f>IFERROR(__xludf.DUMMYFUNCTION("""COMPUTED_VALUE"""),"just to see if any games I've deleted are on there")</f>
        <v>just to see if any games I've deleted are on there</v>
      </c>
      <c r="C5" t="s">
        <v>826</v>
      </c>
      <c r="D5" t="s">
        <v>840</v>
      </c>
      <c r="E5" s="32"/>
      <c r="F5" s="3"/>
      <c r="G5" s="3"/>
      <c r="H5" s="11"/>
      <c r="I5" s="11"/>
      <c r="J5" s="11"/>
    </row>
    <row r="6">
      <c r="A6" s="42">
        <f>IFERROR(__xludf.DUMMYFUNCTION("""COMPUTED_VALUE"""),32.0)</f>
        <v>32</v>
      </c>
      <c r="B6" s="18"/>
      <c r="C6" s="3"/>
      <c r="D6" s="32"/>
      <c r="E6" s="11"/>
      <c r="F6" s="11"/>
      <c r="G6" s="11"/>
      <c r="H6" s="11"/>
      <c r="I6" s="11"/>
      <c r="J6" s="11"/>
    </row>
    <row r="7">
      <c r="A7" s="42">
        <f>IFERROR(__xludf.DUMMYFUNCTION("""COMPUTED_VALUE"""),34.0)</f>
        <v>34</v>
      </c>
      <c r="B7" s="18" t="str">
        <f>IFERROR(__xludf.DUMMYFUNCTION("""COMPUTED_VALUE"""),"I will review the apps that have access to my account and determine whether or not any should be removed. I will also check to make sure that the apps only have access to public information on my Google profile, and nothing more personal than that.")</f>
        <v>I will review the apps that have access to my account and determine whether or not any should be removed. I will also check to make sure that the apps only have access to public information on my Google profile, and nothing more personal than that.</v>
      </c>
      <c r="C7" t="s">
        <v>826</v>
      </c>
      <c r="D7" t="s">
        <v>812</v>
      </c>
      <c r="E7" t="s">
        <v>844</v>
      </c>
      <c r="F7" s="31" t="s">
        <v>843</v>
      </c>
      <c r="G7" s="3"/>
      <c r="H7" s="3"/>
      <c r="I7" s="11"/>
      <c r="J7" s="11"/>
    </row>
    <row r="8">
      <c r="A8" s="42">
        <f>IFERROR(__xludf.DUMMYFUNCTION("""COMPUTED_VALUE"""),35.0)</f>
        <v>35</v>
      </c>
      <c r="B8" s="18"/>
      <c r="C8" s="32"/>
      <c r="D8" s="3"/>
      <c r="E8" s="11"/>
      <c r="F8" s="11"/>
      <c r="G8" s="11"/>
      <c r="H8" s="11"/>
      <c r="I8" s="11"/>
      <c r="J8" s="11"/>
    </row>
    <row r="9">
      <c r="A9" s="42">
        <f>IFERROR(__xludf.DUMMYFUNCTION("""COMPUTED_VALUE"""),36.0)</f>
        <v>36</v>
      </c>
      <c r="B9" s="18" t="str">
        <f>IFERROR(__xludf.DUMMYFUNCTION("""COMPUTED_VALUE"""),"The type of information is has access to regarding my profile. Especially contacts.")</f>
        <v>The type of information is has access to regarding my profile. Especially contacts.</v>
      </c>
      <c r="C9" t="s">
        <v>826</v>
      </c>
      <c r="D9" t="s">
        <v>843</v>
      </c>
      <c r="E9" t="s">
        <v>861</v>
      </c>
      <c r="F9" s="3"/>
      <c r="G9" s="3"/>
      <c r="H9" s="11"/>
      <c r="I9" s="11"/>
      <c r="J9" s="11"/>
    </row>
    <row r="10">
      <c r="A10" s="42">
        <f>IFERROR(__xludf.DUMMYFUNCTION("""COMPUTED_VALUE"""),37.0)</f>
        <v>37</v>
      </c>
      <c r="B10" s="18" t="str">
        <f>IFERROR(__xludf.DUMMYFUNCTION("""COMPUTED_VALUE"""),"Any apps that I am no longer using, to revoke access. Any apps with more than basic permissions.")</f>
        <v>Any apps that I am no longer using, to revoke access. Any apps with more than basic permissions.</v>
      </c>
      <c r="C10" t="s">
        <v>826</v>
      </c>
      <c r="D10" t="s">
        <v>840</v>
      </c>
      <c r="E10" t="s">
        <v>812</v>
      </c>
      <c r="F10" t="s">
        <v>813</v>
      </c>
      <c r="G10" t="s">
        <v>843</v>
      </c>
      <c r="H10" t="s">
        <v>844</v>
      </c>
      <c r="I10" s="11"/>
      <c r="J10" s="11"/>
    </row>
    <row r="11">
      <c r="A11" s="42">
        <f>IFERROR(__xludf.DUMMYFUNCTION("""COMPUTED_VALUE"""),38.0)</f>
        <v>38</v>
      </c>
      <c r="B11" s="18"/>
      <c r="C11" s="3"/>
      <c r="D11" s="3"/>
      <c r="E11" s="11"/>
      <c r="F11" s="11"/>
      <c r="G11" s="11"/>
      <c r="H11" s="11"/>
      <c r="I11" s="11"/>
      <c r="J11" s="11"/>
    </row>
    <row r="12">
      <c r="A12" s="42">
        <f>IFERROR(__xludf.DUMMYFUNCTION("""COMPUTED_VALUE"""),39.0)</f>
        <v>39</v>
      </c>
      <c r="B12" s="18" t="str">
        <f>IFERROR(__xludf.DUMMYFUNCTION("""COMPUTED_VALUE"""),"What information the apps with access gather")</f>
        <v>What information the apps with access gather</v>
      </c>
      <c r="C12" t="s">
        <v>826</v>
      </c>
      <c r="D12" t="s">
        <v>843</v>
      </c>
      <c r="E12" s="11"/>
      <c r="F12" s="11"/>
      <c r="G12" s="11"/>
      <c r="H12" s="11"/>
      <c r="I12" s="11"/>
      <c r="J12" s="11"/>
    </row>
    <row r="13">
      <c r="A13" s="42">
        <f>IFERROR(__xludf.DUMMYFUNCTION("""COMPUTED_VALUE"""),40.0)</f>
        <v>40</v>
      </c>
      <c r="B13" s="18" t="str">
        <f>IFERROR(__xludf.DUMMYFUNCTION("""COMPUTED_VALUE"""),"To check on the accounts listed and if I want to purge any or adjust the permissions.")</f>
        <v>To check on the accounts listed and if I want to purge any or adjust the permissions.</v>
      </c>
      <c r="C13" t="s">
        <v>826</v>
      </c>
      <c r="D13" t="s">
        <v>812</v>
      </c>
      <c r="E13" t="s">
        <v>814</v>
      </c>
      <c r="F13" s="11"/>
      <c r="G13" s="11"/>
      <c r="H13" s="11"/>
      <c r="I13" s="11"/>
      <c r="J13" s="11"/>
    </row>
    <row r="14">
      <c r="A14" s="42">
        <f>IFERROR(__xludf.DUMMYFUNCTION("""COMPUTED_VALUE"""),41.0)</f>
        <v>41</v>
      </c>
      <c r="B14" s="18" t="str">
        <f>IFERROR(__xludf.DUMMYFUNCTION("""COMPUTED_VALUE"""),"I would make sure that only apps I've given permission to and regularly use have access to my account.")</f>
        <v>I would make sure that only apps I've given permission to and regularly use have access to my account.</v>
      </c>
      <c r="C14" t="s">
        <v>826</v>
      </c>
      <c r="D14" t="s">
        <v>840</v>
      </c>
      <c r="E14" s="19"/>
      <c r="F14" s="3"/>
      <c r="G14" s="11"/>
      <c r="H14" s="11"/>
      <c r="I14" s="11"/>
      <c r="J14" s="11"/>
    </row>
    <row r="15">
      <c r="A15" s="42">
        <f>IFERROR(__xludf.DUMMYFUNCTION("""COMPUTED_VALUE"""),42.0)</f>
        <v>42</v>
      </c>
      <c r="B15" s="18"/>
      <c r="C15" s="3"/>
      <c r="D15" s="3"/>
      <c r="E15" s="3"/>
      <c r="F15" s="11"/>
      <c r="G15" s="11"/>
      <c r="H15" s="11"/>
      <c r="I15" s="11"/>
      <c r="J15" s="11"/>
    </row>
    <row r="16">
      <c r="A16" s="42">
        <f>IFERROR(__xludf.DUMMYFUNCTION("""COMPUTED_VALUE"""),43.0)</f>
        <v>43</v>
      </c>
      <c r="B16" s="18"/>
      <c r="C16" s="3"/>
      <c r="D16" s="3"/>
      <c r="E16" s="3"/>
      <c r="F16" s="11"/>
      <c r="G16" s="11"/>
      <c r="H16" s="11"/>
      <c r="I16" s="11"/>
      <c r="J16" s="11"/>
    </row>
    <row r="17">
      <c r="A17" s="42">
        <f>IFERROR(__xludf.DUMMYFUNCTION("""COMPUTED_VALUE"""),44.0)</f>
        <v>44</v>
      </c>
      <c r="B17" s="18" t="str">
        <f>IFERROR(__xludf.DUMMYFUNCTION("""COMPUTED_VALUE"""),"Apps I don't remember authorizing or apps I don't use anymore.")</f>
        <v>Apps I don't remember authorizing or apps I don't use anymore.</v>
      </c>
      <c r="C17" t="s">
        <v>826</v>
      </c>
      <c r="D17" t="s">
        <v>848</v>
      </c>
      <c r="E17" t="s">
        <v>840</v>
      </c>
      <c r="F17" s="11"/>
      <c r="G17" s="11"/>
      <c r="H17" s="11"/>
      <c r="I17" s="11"/>
      <c r="J17" s="11"/>
    </row>
    <row r="18">
      <c r="A18" s="42">
        <f>IFERROR(__xludf.DUMMYFUNCTION("""COMPUTED_VALUE"""),45.0)</f>
        <v>45</v>
      </c>
      <c r="B18" s="18" t="str">
        <f>IFERROR(__xludf.DUMMYFUNCTION("""COMPUTED_VALUE"""),"Apps that I haven't used in a while")</f>
        <v>Apps that I haven't used in a while</v>
      </c>
      <c r="C18" t="s">
        <v>826</v>
      </c>
      <c r="D18" t="s">
        <v>840</v>
      </c>
      <c r="E18" s="3"/>
      <c r="F18" s="11"/>
      <c r="G18" s="11"/>
      <c r="H18" s="11"/>
      <c r="I18" s="11"/>
      <c r="J18" s="11"/>
    </row>
    <row r="19">
      <c r="A19" s="42">
        <f>IFERROR(__xludf.DUMMYFUNCTION("""COMPUTED_VALUE"""),46.0)</f>
        <v>46</v>
      </c>
      <c r="B19" s="18" t="str">
        <f>IFERROR(__xludf.DUMMYFUNCTION("""COMPUTED_VALUE"""),"To see if any accounts that I don't remember authorizing show up")</f>
        <v>To see if any accounts that I don't remember authorizing show up</v>
      </c>
      <c r="C19" t="s">
        <v>826</v>
      </c>
      <c r="D19" t="s">
        <v>848</v>
      </c>
      <c r="E19" s="3"/>
      <c r="F19" s="11"/>
      <c r="G19" s="11"/>
      <c r="H19" s="11"/>
      <c r="I19" s="11"/>
      <c r="J19" s="11"/>
    </row>
    <row r="20">
      <c r="A20" s="42">
        <f>IFERROR(__xludf.DUMMYFUNCTION("""COMPUTED_VALUE"""),47.0)</f>
        <v>47</v>
      </c>
      <c r="B20" s="18" t="str">
        <f>IFERROR(__xludf.DUMMYFUNCTION("""COMPUTED_VALUE"""),"What apps have access to what. I do not want my personal info on the web.")</f>
        <v>What apps have access to what. I do not want my personal info on the web.</v>
      </c>
      <c r="C20" t="s">
        <v>826</v>
      </c>
      <c r="D20" t="s">
        <v>843</v>
      </c>
      <c r="E20" t="s">
        <v>846</v>
      </c>
      <c r="F20" s="11"/>
      <c r="G20" s="11"/>
      <c r="H20" s="11"/>
      <c r="I20" s="11"/>
      <c r="J20" s="11"/>
    </row>
    <row r="21">
      <c r="A21" s="42">
        <f>IFERROR(__xludf.DUMMYFUNCTION("""COMPUTED_VALUE"""),48.0)</f>
        <v>48</v>
      </c>
      <c r="B21" s="18" t="str">
        <f>IFERROR(__xludf.DUMMYFUNCTION("""COMPUTED_VALUE"""),"To see if any suspicious apps are using my data.")</f>
        <v>To see if any suspicious apps are using my data.</v>
      </c>
      <c r="C21" t="s">
        <v>826</v>
      </c>
      <c r="D21" t="s">
        <v>849</v>
      </c>
      <c r="E21" s="11"/>
      <c r="F21" s="11"/>
      <c r="G21" s="11"/>
      <c r="H21" s="11"/>
      <c r="I21" s="11"/>
      <c r="J21" s="11"/>
    </row>
    <row r="22">
      <c r="A22" s="42">
        <f>IFERROR(__xludf.DUMMYFUNCTION("""COMPUTED_VALUE"""),49.0)</f>
        <v>49</v>
      </c>
      <c r="B22" s="18" t="str">
        <f>IFERROR(__xludf.DUMMYFUNCTION("""COMPUTED_VALUE"""),"I would look to see if there are the same or more apps that have more permission to my account. I would like to remove them as I will after this survey.")</f>
        <v>I would look to see if there are the same or more apps that have more permission to my account. I would like to remove them as I will after this survey.</v>
      </c>
      <c r="C22" t="s">
        <v>826</v>
      </c>
      <c r="D22" t="s">
        <v>843</v>
      </c>
      <c r="E22" t="s">
        <v>812</v>
      </c>
      <c r="F22" s="3"/>
      <c r="G22" s="11"/>
      <c r="H22" s="11"/>
      <c r="I22" s="11"/>
      <c r="J22" s="11"/>
    </row>
    <row r="23">
      <c r="A23" s="42">
        <f>IFERROR(__xludf.DUMMYFUNCTION("""COMPUTED_VALUE"""),50.0)</f>
        <v>50</v>
      </c>
      <c r="B23" s="18" t="str">
        <f>IFERROR(__xludf.DUMMYFUNCTION("""COMPUTED_VALUE"""),"I would look for apps I was not aware had access to my google account")</f>
        <v>I would look for apps I was not aware had access to my google account</v>
      </c>
      <c r="C23" t="s">
        <v>826</v>
      </c>
      <c r="D23" t="s">
        <v>848</v>
      </c>
      <c r="E23" s="3"/>
      <c r="F23" s="11"/>
      <c r="G23" s="11"/>
      <c r="H23" s="11"/>
      <c r="I23" s="11"/>
      <c r="J23" s="11"/>
    </row>
    <row r="24">
      <c r="A24" s="42">
        <f>IFERROR(__xludf.DUMMYFUNCTION("""COMPUTED_VALUE"""),51.0)</f>
        <v>51</v>
      </c>
      <c r="B24" s="18" t="str">
        <f>IFERROR(__xludf.DUMMYFUNCTION("""COMPUTED_VALUE"""),"What type of access apps/websites have. For example mine are all Basic Account information but I know they can request access to most parts of my device and account.")</f>
        <v>What type of access apps/websites have. For example mine are all Basic Account information but I know they can request access to most parts of my device and account.</v>
      </c>
      <c r="C24" t="s">
        <v>826</v>
      </c>
      <c r="D24" t="s">
        <v>843</v>
      </c>
      <c r="E24" t="s">
        <v>846</v>
      </c>
      <c r="F24" t="s">
        <v>844</v>
      </c>
      <c r="G24" s="11"/>
      <c r="H24" s="11"/>
      <c r="I24" s="11"/>
      <c r="J24" s="11"/>
    </row>
    <row r="25">
      <c r="A25" s="42">
        <f>IFERROR(__xludf.DUMMYFUNCTION("""COMPUTED_VALUE"""),52.0)</f>
        <v>52</v>
      </c>
      <c r="B25" s="18" t="str">
        <f>IFERROR(__xludf.DUMMYFUNCTION("""COMPUTED_VALUE"""),"Make sure there aren't excess permissions for apps I'm using.")</f>
        <v>Make sure there aren't excess permissions for apps I'm using.</v>
      </c>
      <c r="C25" t="s">
        <v>826</v>
      </c>
      <c r="D25" t="s">
        <v>843</v>
      </c>
      <c r="E25" t="s">
        <v>845</v>
      </c>
      <c r="F25" s="11"/>
      <c r="G25" s="11"/>
      <c r="H25" s="11"/>
      <c r="I25" s="11"/>
      <c r="J25" s="11"/>
    </row>
    <row r="26">
      <c r="A26" s="42">
        <f>IFERROR(__xludf.DUMMYFUNCTION("""COMPUTED_VALUE"""),53.0)</f>
        <v>53</v>
      </c>
      <c r="B26" s="18" t="str">
        <f>IFERROR(__xludf.DUMMYFUNCTION("""COMPUTED_VALUE"""),"What apps i've given permissions to and what data they can access")</f>
        <v>What apps i've given permissions to and what data they can access</v>
      </c>
      <c r="C26" t="s">
        <v>826</v>
      </c>
      <c r="D26" t="s">
        <v>843</v>
      </c>
      <c r="E26" t="s">
        <v>846</v>
      </c>
      <c r="F26" s="11"/>
      <c r="G26" s="11"/>
      <c r="H26" s="11"/>
      <c r="I26" s="11"/>
      <c r="J26" s="11"/>
    </row>
    <row r="27">
      <c r="A27" s="42">
        <f>IFERROR(__xludf.DUMMYFUNCTION("""COMPUTED_VALUE"""),54.0)</f>
        <v>54</v>
      </c>
      <c r="B27" s="18" t="str">
        <f>IFERROR(__xludf.DUMMYFUNCTION("""COMPUTED_VALUE"""),"If I had accidentally given permission to any apps and didn't revoke it afterwards")</f>
        <v>If I had accidentally given permission to any apps and didn't revoke it afterwards</v>
      </c>
      <c r="C27" t="s">
        <v>826</v>
      </c>
      <c r="D27" t="s">
        <v>850</v>
      </c>
      <c r="E27" s="11"/>
      <c r="F27" s="11"/>
      <c r="G27" s="11"/>
      <c r="H27" s="11"/>
      <c r="I27" s="11"/>
      <c r="J27" s="11"/>
    </row>
    <row r="28">
      <c r="A28" s="42">
        <f>IFERROR(__xludf.DUMMYFUNCTION("""COMPUTED_VALUE"""),55.0)</f>
        <v>55</v>
      </c>
      <c r="B28" s="18" t="str">
        <f>IFERROR(__xludf.DUMMYFUNCTION("""COMPUTED_VALUE"""),"i will look to see if its more secured")</f>
        <v>i will look to see if its more secured</v>
      </c>
      <c r="C28" t="s">
        <v>851</v>
      </c>
      <c r="D28" s="3"/>
      <c r="E28" s="19"/>
      <c r="F28" s="19"/>
      <c r="G28" s="11"/>
      <c r="H28" s="11"/>
      <c r="I28" s="11"/>
      <c r="J28" s="11"/>
    </row>
    <row r="29">
      <c r="A29">
        <f>IFERROR(__xludf.DUMMYFUNCTION("""COMPUTED_VALUE"""),56.0)</f>
        <v>56</v>
      </c>
      <c r="B29" s="11" t="str">
        <f>IFERROR(__xludf.DUMMYFUNCTION("""COMPUTED_VALUE"""),"I would look at which Apps I have granted access, and change them accordingly. I am already prone to removing Apps from my account permissions, so it is more so me staying on top of things.")</f>
        <v>I would look at which Apps I have granted access, and change them accordingly. I am already prone to removing Apps from my account permissions, so it is more so me staying on top of things.</v>
      </c>
      <c r="C29" t="s">
        <v>826</v>
      </c>
      <c r="D29" t="s">
        <v>814</v>
      </c>
      <c r="E29" t="s">
        <v>812</v>
      </c>
      <c r="F29" s="19"/>
      <c r="G29" s="11"/>
      <c r="H29" s="11"/>
      <c r="I29" s="11"/>
      <c r="J29" s="11"/>
    </row>
    <row r="30">
      <c r="A30">
        <f>IFERROR(__xludf.DUMMYFUNCTION("""COMPUTED_VALUE"""),57.0)</f>
        <v>57</v>
      </c>
      <c r="B30" s="11" t="str">
        <f>IFERROR(__xludf.DUMMYFUNCTION("""COMPUTED_VALUE"""),"Anything unnecessary. Any possible breaches of security.")</f>
        <v>Anything unnecessary. Any possible breaches of security.</v>
      </c>
      <c r="C30" t="s">
        <v>826</v>
      </c>
      <c r="D30" t="s">
        <v>845</v>
      </c>
      <c r="E30" s="19"/>
      <c r="F30" s="11"/>
      <c r="G30" s="11"/>
      <c r="H30" s="11"/>
      <c r="I30" s="11"/>
      <c r="J30" s="11"/>
    </row>
    <row r="31">
      <c r="A31">
        <f>IFERROR(__xludf.DUMMYFUNCTION("""COMPUTED_VALUE"""),58.0)</f>
        <v>58</v>
      </c>
      <c r="B31" s="11"/>
      <c r="C31" s="3"/>
      <c r="D31" s="19"/>
      <c r="E31" s="11"/>
      <c r="F31" s="11"/>
      <c r="G31" s="11"/>
      <c r="H31" s="11"/>
      <c r="I31" s="11"/>
      <c r="J31" s="11"/>
    </row>
    <row r="32">
      <c r="A32">
        <f>IFERROR(__xludf.DUMMYFUNCTION("""COMPUTED_VALUE"""),59.0)</f>
        <v>59</v>
      </c>
      <c r="B32" s="11"/>
      <c r="C32" s="3"/>
      <c r="D32" s="3"/>
      <c r="E32" s="11"/>
      <c r="F32" s="11"/>
      <c r="G32" s="11"/>
      <c r="H32" s="11"/>
      <c r="I32" s="11"/>
      <c r="J32" s="11"/>
    </row>
    <row r="33">
      <c r="A33">
        <f>IFERROR(__xludf.DUMMYFUNCTION("""COMPUTED_VALUE"""),60.0)</f>
        <v>60</v>
      </c>
      <c r="B33" s="11" t="str">
        <f>IFERROR(__xludf.DUMMYFUNCTION("""COMPUTED_VALUE"""),"I will see which apps that I give permission to access my google account and then, if needed, I will delete some apps that I don't use anymore.")</f>
        <v>I will see which apps that I give permission to access my google account and then, if needed, I will delete some apps that I don't use anymore.</v>
      </c>
      <c r="C33" t="s">
        <v>826</v>
      </c>
      <c r="D33" t="s">
        <v>843</v>
      </c>
      <c r="E33" t="s">
        <v>812</v>
      </c>
      <c r="F33" t="s">
        <v>813</v>
      </c>
      <c r="G33" s="11"/>
      <c r="H33" s="11"/>
      <c r="I33" s="11"/>
      <c r="J33" s="11"/>
    </row>
    <row r="34">
      <c r="A34">
        <f>IFERROR(__xludf.DUMMYFUNCTION("""COMPUTED_VALUE"""),61.0)</f>
        <v>61</v>
      </c>
      <c r="B34" s="11" t="str">
        <f>IFERROR(__xludf.DUMMYFUNCTION("""COMPUTED_VALUE"""),"If they actually get used anymore.")</f>
        <v>If they actually get used anymore.</v>
      </c>
      <c r="C34" t="s">
        <v>826</v>
      </c>
      <c r="D34" t="s">
        <v>840</v>
      </c>
      <c r="E34" s="11"/>
      <c r="F34" s="11"/>
      <c r="G34" s="11"/>
      <c r="H34" s="11"/>
      <c r="I34" s="11"/>
      <c r="J34" s="11"/>
    </row>
    <row r="35">
      <c r="A35">
        <f>IFERROR(__xludf.DUMMYFUNCTION("""COMPUTED_VALUE"""),62.0)</f>
        <v>62</v>
      </c>
      <c r="B35" s="11"/>
      <c r="C35" s="3"/>
      <c r="D35" s="11"/>
      <c r="E35" s="11"/>
      <c r="F35" s="11"/>
      <c r="G35" s="11"/>
      <c r="H35" s="11"/>
      <c r="I35" s="11"/>
      <c r="J35" s="11"/>
    </row>
    <row r="36">
      <c r="A36">
        <f>IFERROR(__xludf.DUMMYFUNCTION("""COMPUTED_VALUE"""),63.0)</f>
        <v>63</v>
      </c>
      <c r="B36" s="11" t="str">
        <f>IFERROR(__xludf.DUMMYFUNCTION("""COMPUTED_VALUE"""),"Which apps are allowed and how much access they are allowed")</f>
        <v>Which apps are allowed and how much access they are allowed</v>
      </c>
      <c r="C36" t="s">
        <v>826</v>
      </c>
      <c r="D36" t="s">
        <v>854</v>
      </c>
      <c r="E36" s="11"/>
      <c r="F36" s="11"/>
      <c r="G36" s="11"/>
      <c r="H36" s="11"/>
      <c r="I36" s="11"/>
      <c r="J36" s="11"/>
    </row>
    <row r="37">
      <c r="A37">
        <f>IFERROR(__xludf.DUMMYFUNCTION("""COMPUTED_VALUE"""),64.0)</f>
        <v>64</v>
      </c>
      <c r="B37" s="11" t="str">
        <f>IFERROR(__xludf.DUMMYFUNCTION("""COMPUTED_VALUE"""),"I would look to see if the app is still useful. If not I would remove permissions for those apps.")</f>
        <v>I would look to see if the app is still useful. If not I would remove permissions for those apps.</v>
      </c>
      <c r="C37" t="s">
        <v>826</v>
      </c>
      <c r="D37" t="s">
        <v>840</v>
      </c>
      <c r="E37" t="s">
        <v>814</v>
      </c>
      <c r="F37" s="19"/>
      <c r="G37" s="3"/>
      <c r="H37" s="11"/>
      <c r="I37" s="11"/>
      <c r="J37" s="11"/>
    </row>
    <row r="38">
      <c r="A38">
        <f>IFERROR(__xludf.DUMMYFUNCTION("""COMPUTED_VALUE"""),65.0)</f>
        <v>65</v>
      </c>
      <c r="B38" s="11" t="str">
        <f>IFERROR(__xludf.DUMMYFUNCTION("""COMPUTED_VALUE"""),"See if any permissions have changed, or if I still wish to have some apps connected to my account.")</f>
        <v>See if any permissions have changed, or if I still wish to have some apps connected to my account.</v>
      </c>
      <c r="C38" t="s">
        <v>826</v>
      </c>
      <c r="D38" t="s">
        <v>855</v>
      </c>
      <c r="E38" s="19"/>
      <c r="F38" s="11"/>
      <c r="G38" s="11"/>
      <c r="H38" s="11"/>
      <c r="I38" s="11"/>
      <c r="J38" s="11"/>
    </row>
    <row r="39">
      <c r="A39">
        <f>IFERROR(__xludf.DUMMYFUNCTION("""COMPUTED_VALUE"""),66.0)</f>
        <v>66</v>
      </c>
      <c r="B39" s="11" t="str">
        <f>IFERROR(__xludf.DUMMYFUNCTION("""COMPUTED_VALUE"""),"I would check to see if I've used any of the apps recently (like, within the past 3 months or so), if not then I would delete their access to my account.")</f>
        <v>I would check to see if I've used any of the apps recently (like, within the past 3 months or so), if not then I would delete their access to my account.</v>
      </c>
      <c r="C39" t="s">
        <v>826</v>
      </c>
      <c r="D39" t="s">
        <v>840</v>
      </c>
      <c r="E39" t="s">
        <v>812</v>
      </c>
      <c r="F39" t="s">
        <v>813</v>
      </c>
      <c r="G39" s="11"/>
      <c r="H39" s="11"/>
      <c r="I39" s="11"/>
      <c r="J39" s="11"/>
    </row>
    <row r="40">
      <c r="A40">
        <f>IFERROR(__xludf.DUMMYFUNCTION("""COMPUTED_VALUE"""),67.0)</f>
        <v>67</v>
      </c>
      <c r="B40" s="11" t="str">
        <f>IFERROR(__xludf.DUMMYFUNCTION("""COMPUTED_VALUE"""),"Things I don't remember authorizing to use my account.")</f>
        <v>Things I don't remember authorizing to use my account.</v>
      </c>
      <c r="C40" t="s">
        <v>826</v>
      </c>
      <c r="D40" t="s">
        <v>848</v>
      </c>
      <c r="E40" s="3"/>
      <c r="F40" s="11"/>
      <c r="G40" s="11"/>
      <c r="H40" s="11"/>
      <c r="I40" s="11"/>
      <c r="J40" s="11"/>
    </row>
    <row r="41">
      <c r="A41">
        <f>IFERROR(__xludf.DUMMYFUNCTION("""COMPUTED_VALUE"""),68.0)</f>
        <v>68</v>
      </c>
      <c r="B41" s="11"/>
      <c r="C41" s="19"/>
      <c r="D41" s="3"/>
      <c r="E41" s="11"/>
      <c r="F41" s="11"/>
      <c r="G41" s="11"/>
      <c r="H41" s="11"/>
      <c r="I41" s="11"/>
      <c r="J41" s="11"/>
    </row>
    <row r="42">
      <c r="A42">
        <f>IFERROR(__xludf.DUMMYFUNCTION("""COMPUTED_VALUE"""),69.0)</f>
        <v>69</v>
      </c>
      <c r="B42" s="11" t="str">
        <f>IFERROR(__xludf.DUMMYFUNCTION("""COMPUTED_VALUE"""),"I'll look for other apps which I am not using anymore!")</f>
        <v>I'll look for other apps which I am not using anymore!</v>
      </c>
      <c r="C42" t="s">
        <v>826</v>
      </c>
      <c r="D42" t="s">
        <v>840</v>
      </c>
      <c r="E42" s="11"/>
      <c r="F42" s="11"/>
      <c r="G42" s="11"/>
      <c r="H42" s="11"/>
      <c r="I42" s="11"/>
      <c r="J42" s="11"/>
    </row>
    <row r="43">
      <c r="A43">
        <f>IFERROR(__xludf.DUMMYFUNCTION("""COMPUTED_VALUE"""),70.0)</f>
        <v>70</v>
      </c>
      <c r="B43" s="11" t="str">
        <f>IFERROR(__xludf.DUMMYFUNCTION("""COMPUTED_VALUE"""),"What kind of information they have access to")</f>
        <v>What kind of information they have access to</v>
      </c>
      <c r="D43" s="19"/>
      <c r="F43" s="3"/>
      <c r="G43" s="3"/>
      <c r="H43" s="3"/>
      <c r="I43" s="11"/>
      <c r="J43" s="11"/>
    </row>
    <row r="44">
      <c r="A44">
        <f>IFERROR(__xludf.DUMMYFUNCTION("""COMPUTED_VALUE"""),71.0)</f>
        <v>71</v>
      </c>
      <c r="B44" s="11" t="str">
        <f>IFERROR(__xludf.DUMMYFUNCTION("""COMPUTED_VALUE"""),"The privacy level")</f>
        <v>The privacy level</v>
      </c>
      <c r="C44" s="3"/>
      <c r="D44" s="3"/>
      <c r="E44" s="11"/>
      <c r="F44" s="11"/>
      <c r="G44" s="11"/>
      <c r="H44" s="11"/>
      <c r="I44" s="11"/>
      <c r="J44" s="11"/>
    </row>
    <row r="45">
      <c r="A45">
        <f>IFERROR(__xludf.DUMMYFUNCTION("""COMPUTED_VALUE"""),72.0)</f>
        <v>72</v>
      </c>
      <c r="B45" s="11" t="str">
        <f>IFERROR(__xludf.DUMMYFUNCTION("""COMPUTED_VALUE"""),"This survey made me realize I need to review this setting more often. I would make sure the app(s) is/are something that I am still using. If not, then I would need to remove the permissions and uninstall the app(s).")</f>
        <v>This survey made me realize I need to review this setting more often. I would make sure the app(s) is/are something that I am still using. If not, then I would need to remove the permissions and uninstall the app(s).</v>
      </c>
      <c r="C45" s="3"/>
      <c r="D45" s="3"/>
      <c r="E45" s="11"/>
      <c r="F45" s="11"/>
      <c r="G45" s="11"/>
      <c r="H45" s="11"/>
      <c r="I45" s="11"/>
      <c r="J45" s="11"/>
    </row>
    <row r="46">
      <c r="A46">
        <f>IFERROR(__xludf.DUMMYFUNCTION("""COMPUTED_VALUE"""),73.0)</f>
        <v>73</v>
      </c>
      <c r="B46" s="11" t="str">
        <f>IFERROR(__xludf.DUMMYFUNCTION("""COMPUTED_VALUE"""),"Privacy concerns")</f>
        <v>Privacy concerns</v>
      </c>
      <c r="C46" s="3"/>
      <c r="D46" s="3"/>
      <c r="E46" s="11"/>
      <c r="F46" s="11"/>
      <c r="G46" s="11"/>
      <c r="H46" s="11"/>
      <c r="I46" s="11"/>
      <c r="J46" s="11"/>
    </row>
    <row r="47">
      <c r="A47">
        <f>IFERROR(__xludf.DUMMYFUNCTION("""COMPUTED_VALUE"""),74.0)</f>
        <v>74</v>
      </c>
      <c r="B47" s="11" t="str">
        <f>IFERROR(__xludf.DUMMYFUNCTION("""COMPUTED_VALUE"""),"I will look to see if I have given any other apps access.")</f>
        <v>I will look to see if I have given any other apps access.</v>
      </c>
      <c r="C47" s="3"/>
      <c r="D47" s="3"/>
      <c r="E47" s="3"/>
      <c r="F47" s="11"/>
      <c r="G47" s="11"/>
      <c r="H47" s="11"/>
      <c r="I47" s="11"/>
      <c r="J47" s="11"/>
    </row>
    <row r="48">
      <c r="A48">
        <f>IFERROR(__xludf.DUMMYFUNCTION("""COMPUTED_VALUE"""),75.0)</f>
        <v>75</v>
      </c>
      <c r="B48" s="11"/>
      <c r="C48" s="3"/>
      <c r="D48" s="3"/>
      <c r="E48" s="11"/>
      <c r="F48" s="11"/>
      <c r="G48" s="11"/>
      <c r="H48" s="11"/>
      <c r="I48" s="11"/>
      <c r="J48" s="11"/>
    </row>
    <row r="49">
      <c r="A49">
        <f>IFERROR(__xludf.DUMMYFUNCTION("""COMPUTED_VALUE"""),76.0)</f>
        <v>76</v>
      </c>
      <c r="B49" s="11" t="str">
        <f>IFERROR(__xludf.DUMMYFUNCTION("""COMPUTED_VALUE"""),"Make sure I haven't use my gmail account for any apps by mistake.")</f>
        <v>Make sure I haven't use my gmail account for any apps by mistake.</v>
      </c>
      <c r="C49" s="3"/>
      <c r="D49" s="3"/>
      <c r="E49" s="11"/>
      <c r="F49" s="11"/>
      <c r="G49" s="11"/>
      <c r="H49" s="11"/>
      <c r="I49" s="11"/>
      <c r="J49" s="11"/>
    </row>
    <row r="50">
      <c r="A50">
        <f>IFERROR(__xludf.DUMMYFUNCTION("""COMPUTED_VALUE"""),77.0)</f>
        <v>77</v>
      </c>
      <c r="B50" s="11"/>
      <c r="C50" s="3"/>
      <c r="D50" s="11"/>
      <c r="E50" s="11"/>
      <c r="F50" s="11"/>
      <c r="G50" s="11"/>
      <c r="H50" s="11"/>
      <c r="I50" s="11"/>
      <c r="J50" s="11"/>
    </row>
    <row r="51">
      <c r="A51">
        <f>IFERROR(__xludf.DUMMYFUNCTION("""COMPUTED_VALUE"""),78.0)</f>
        <v>78</v>
      </c>
      <c r="B51" s="11" t="str">
        <f>IFERROR(__xludf.DUMMYFUNCTION("""COMPUTED_VALUE"""),"Nothing really. I think it's pretty useful and straightforward.")</f>
        <v>Nothing really. I think it's pretty useful and straightforward.</v>
      </c>
      <c r="C51" s="3"/>
      <c r="D51" s="3"/>
      <c r="E51" s="3"/>
      <c r="F51" s="11"/>
      <c r="G51" s="11"/>
      <c r="H51" s="11"/>
      <c r="I51" s="11"/>
      <c r="J51" s="11"/>
    </row>
    <row r="52">
      <c r="A52">
        <f>IFERROR(__xludf.DUMMYFUNCTION("""COMPUTED_VALUE"""),79.0)</f>
        <v>79</v>
      </c>
      <c r="B52" s="11" t="str">
        <f>IFERROR(__xludf.DUMMYFUNCTION("""COMPUTED_VALUE"""),"What information they have access to.")</f>
        <v>What information they have access to.</v>
      </c>
      <c r="C52" s="3"/>
      <c r="D52" s="3"/>
      <c r="E52" s="11"/>
      <c r="F52" s="11"/>
      <c r="G52" s="11"/>
      <c r="H52" s="11"/>
      <c r="I52" s="11"/>
      <c r="J52" s="11"/>
    </row>
    <row r="53">
      <c r="A53">
        <f>IFERROR(__xludf.DUMMYFUNCTION("""COMPUTED_VALUE"""),80.0)</f>
        <v>80</v>
      </c>
      <c r="B53" s="11" t="str">
        <f>IFERROR(__xludf.DUMMYFUNCTION("""COMPUTED_VALUE"""),"new services")</f>
        <v>new services</v>
      </c>
      <c r="C53" s="3"/>
      <c r="D53" s="3"/>
      <c r="E53" s="3"/>
      <c r="F53" s="3"/>
      <c r="G53" s="11"/>
      <c r="H53" s="11"/>
      <c r="I53" s="11"/>
      <c r="J53" s="11"/>
    </row>
    <row r="54">
      <c r="A54">
        <f>IFERROR(__xludf.DUMMYFUNCTION("""COMPUTED_VALUE"""),81.0)</f>
        <v>81</v>
      </c>
      <c r="B54" s="11" t="str">
        <f>IFERROR(__xludf.DUMMYFUNCTION("""COMPUTED_VALUE"""),"not certain")</f>
        <v>not certain</v>
      </c>
      <c r="C54" s="3"/>
      <c r="D54" s="3"/>
      <c r="E54" s="11"/>
      <c r="F54" s="11"/>
      <c r="G54" s="11"/>
      <c r="H54" s="11"/>
      <c r="I54" s="11"/>
      <c r="J54" s="11"/>
    </row>
    <row r="55">
      <c r="A55">
        <f>IFERROR(__xludf.DUMMYFUNCTION("""COMPUTED_VALUE"""),82.0)</f>
        <v>82</v>
      </c>
      <c r="B55" s="11" t="str">
        <f>IFERROR(__xludf.DUMMYFUNCTION("""COMPUTED_VALUE"""),"I would look for only keeping the apps I think are necessary for my daily uses.")</f>
        <v>I would look for only keeping the apps I think are necessary for my daily uses.</v>
      </c>
      <c r="C55" s="3"/>
      <c r="D55" s="3"/>
      <c r="E55" s="11"/>
      <c r="F55" s="11"/>
      <c r="G55" s="11"/>
      <c r="H55" s="11"/>
      <c r="I55" s="11"/>
      <c r="J55" s="11"/>
    </row>
    <row r="56">
      <c r="A56">
        <f>IFERROR(__xludf.DUMMYFUNCTION("""COMPUTED_VALUE"""),83.0)</f>
        <v>83</v>
      </c>
      <c r="B56" s="11"/>
      <c r="C56" s="3"/>
      <c r="D56" s="11"/>
      <c r="E56" s="11"/>
      <c r="F56" s="11"/>
      <c r="G56" s="11"/>
      <c r="H56" s="11"/>
      <c r="I56" s="11"/>
      <c r="J56" s="11"/>
    </row>
    <row r="57">
      <c r="A57">
        <f>IFERROR(__xludf.DUMMYFUNCTION("""COMPUTED_VALUE"""),84.0)</f>
        <v>84</v>
      </c>
      <c r="B57" s="11" t="str">
        <f>IFERROR(__xludf.DUMMYFUNCTION("""COMPUTED_VALUE"""),"It's good to know what apps have access to my Google stuff. As time passes, I forget about some apps. So every once in a while, it's good to look through to see if I need to remove an app.")</f>
        <v>It's good to know what apps have access to my Google stuff. As time passes, I forget about some apps. So every once in a while, it's good to look through to see if I need to remove an app.</v>
      </c>
      <c r="C57" s="3"/>
      <c r="D57" s="3"/>
      <c r="E57" s="11"/>
      <c r="F57" s="11"/>
      <c r="G57" s="11"/>
      <c r="H57" s="11"/>
      <c r="I57" s="11"/>
      <c r="J57" s="11"/>
    </row>
    <row r="58">
      <c r="A58">
        <f>IFERROR(__xludf.DUMMYFUNCTION("""COMPUTED_VALUE"""),85.0)</f>
        <v>85</v>
      </c>
      <c r="B58" s="11" t="str">
        <f>IFERROR(__xludf.DUMMYFUNCTION("""COMPUTED_VALUE"""),"I would just make sure that there aren't any random third party apps that I may have accidentally authorized, especially because at this time I am on my computer so often using various extensions and services.")</f>
        <v>I would just make sure that there aren't any random third party apps that I may have accidentally authorized, especially because at this time I am on my computer so often using various extensions and services.</v>
      </c>
      <c r="C58" s="3"/>
      <c r="D58" s="3"/>
      <c r="E58" s="3"/>
      <c r="F58" s="11"/>
      <c r="G58" s="11"/>
      <c r="H58" s="11"/>
      <c r="I58" s="11"/>
      <c r="J58" s="11"/>
    </row>
    <row r="59">
      <c r="A59">
        <f>IFERROR(__xludf.DUMMYFUNCTION("""COMPUTED_VALUE"""),86.0)</f>
        <v>86</v>
      </c>
      <c r="B59" s="11"/>
      <c r="C59" s="3"/>
      <c r="D59" s="3"/>
      <c r="E59" s="11"/>
      <c r="F59" s="11"/>
      <c r="G59" s="11"/>
      <c r="H59" s="11"/>
      <c r="I59" s="11"/>
      <c r="J59" s="11"/>
    </row>
    <row r="60">
      <c r="A60">
        <f>IFERROR(__xludf.DUMMYFUNCTION("""COMPUTED_VALUE"""),87.0)</f>
        <v>87</v>
      </c>
      <c r="B60" s="11" t="str">
        <f>IFERROR(__xludf.DUMMYFUNCTION("""COMPUTED_VALUE"""),"I would check what the apps have access to and decide if it's worth keeping.")</f>
        <v>I would check what the apps have access to and decide if it's worth keeping.</v>
      </c>
      <c r="C60" s="3"/>
      <c r="D60" s="3"/>
      <c r="E60" s="3"/>
      <c r="F60" s="3"/>
      <c r="G60" s="3"/>
      <c r="H60" s="11"/>
      <c r="I60" s="11"/>
      <c r="J60" s="11"/>
    </row>
    <row r="61">
      <c r="A61">
        <f>IFERROR(__xludf.DUMMYFUNCTION("""COMPUTED_VALUE"""),88.0)</f>
        <v>88</v>
      </c>
      <c r="B61" s="11"/>
      <c r="C61" s="19"/>
      <c r="D61" s="11"/>
      <c r="E61" s="11"/>
      <c r="F61" s="11"/>
      <c r="G61" s="11"/>
      <c r="H61" s="11"/>
      <c r="I61" s="11"/>
      <c r="J61" s="11"/>
    </row>
    <row r="62">
      <c r="A62">
        <f>IFERROR(__xludf.DUMMYFUNCTION("""COMPUTED_VALUE"""),89.0)</f>
        <v>89</v>
      </c>
      <c r="B62" s="11" t="str">
        <f>IFERROR(__xludf.DUMMYFUNCTION("""COMPUTED_VALUE"""),"To make sure I remember authorizing any app with permission, and that it's in continued use.")</f>
        <v>To make sure I remember authorizing any app with permission, and that it's in continued use.</v>
      </c>
      <c r="C62" s="3"/>
      <c r="D62" s="3"/>
      <c r="E62" s="11"/>
      <c r="F62" s="11"/>
      <c r="G62" s="11"/>
      <c r="H62" s="11"/>
      <c r="I62" s="11"/>
      <c r="J62" s="11"/>
    </row>
    <row r="63">
      <c r="A63">
        <f>IFERROR(__xludf.DUMMYFUNCTION("""COMPUTED_VALUE"""),90.0)</f>
        <v>90</v>
      </c>
      <c r="B63" s="11" t="str">
        <f>IFERROR(__xludf.DUMMYFUNCTION("""COMPUTED_VALUE"""),"Not sure")</f>
        <v>Not sure</v>
      </c>
      <c r="C63" s="3"/>
      <c r="D63" s="3"/>
      <c r="F63" s="3"/>
      <c r="G63" s="3"/>
      <c r="H63" s="11"/>
      <c r="I63" s="11"/>
      <c r="J63" s="11"/>
    </row>
    <row r="64">
      <c r="A64">
        <f>IFERROR(__xludf.DUMMYFUNCTION("""COMPUTED_VALUE"""),91.0)</f>
        <v>91</v>
      </c>
      <c r="B64" s="11" t="str">
        <f>IFERROR(__xludf.DUMMYFUNCTION("""COMPUTED_VALUE"""),"Make sure everything is the way its supposed to be")</f>
        <v>Make sure everything is the way its supposed to be</v>
      </c>
      <c r="C64" s="3"/>
      <c r="D64" s="3"/>
      <c r="E64" s="11"/>
      <c r="F64" s="11"/>
      <c r="G64" s="11"/>
      <c r="H64" s="11"/>
      <c r="I64" s="11"/>
      <c r="J64" s="11"/>
    </row>
    <row r="65">
      <c r="A65">
        <f>IFERROR(__xludf.DUMMYFUNCTION("""COMPUTED_VALUE"""),92.0)</f>
        <v>92</v>
      </c>
      <c r="B65" s="11"/>
      <c r="C65" s="3"/>
      <c r="D65" s="3"/>
      <c r="E65" s="3"/>
      <c r="F65" s="3"/>
      <c r="G65" s="19"/>
      <c r="H65" s="11"/>
      <c r="I65" s="11"/>
      <c r="J65" s="11"/>
    </row>
    <row r="66">
      <c r="A66">
        <f>IFERROR(__xludf.DUMMYFUNCTION("""COMPUTED_VALUE"""),93.0)</f>
        <v>93</v>
      </c>
      <c r="B66" s="11"/>
      <c r="C66" s="3"/>
      <c r="D66" s="3"/>
      <c r="F66" s="11"/>
      <c r="G66" s="11"/>
      <c r="H66" s="11"/>
      <c r="I66" s="11"/>
      <c r="J66" s="11"/>
    </row>
    <row r="67">
      <c r="A67">
        <f>IFERROR(__xludf.DUMMYFUNCTION("""COMPUTED_VALUE"""),94.0)</f>
        <v>94</v>
      </c>
      <c r="B67" s="11" t="str">
        <f>IFERROR(__xludf.DUMMYFUNCTION("""COMPUTED_VALUE"""),"Less Apps with Access to my google drive.")</f>
        <v>Less Apps with Access to my google drive.</v>
      </c>
      <c r="C67" s="3"/>
      <c r="D67" s="3"/>
      <c r="E67" s="19"/>
      <c r="F67" s="19"/>
      <c r="G67" s="3"/>
      <c r="H67" s="3"/>
      <c r="J67" s="11"/>
    </row>
    <row r="68">
      <c r="A68">
        <f>IFERROR(__xludf.DUMMYFUNCTION("""COMPUTED_VALUE"""),95.0)</f>
        <v>95</v>
      </c>
      <c r="B68" s="11" t="str">
        <f>IFERROR(__xludf.DUMMYFUNCTION("""COMPUTED_VALUE"""),"what actual access these apps have to my accounts.")</f>
        <v>what actual access these apps have to my accounts.</v>
      </c>
      <c r="C68" s="3"/>
      <c r="D68" s="3"/>
      <c r="E68" s="11"/>
      <c r="F68" s="11"/>
      <c r="G68" s="11"/>
      <c r="J68" s="11"/>
    </row>
    <row r="69">
      <c r="A69">
        <f>IFERROR(__xludf.DUMMYFUNCTION("""COMPUTED_VALUE"""),96.0)</f>
        <v>96</v>
      </c>
      <c r="B69" s="11" t="str">
        <f>IFERROR(__xludf.DUMMYFUNCTION("""COMPUTED_VALUE"""),"What apps are using personal information instead of just my email address.")</f>
        <v>What apps are using personal information instead of just my email address.</v>
      </c>
      <c r="C69" s="3"/>
      <c r="D69" s="3"/>
      <c r="E69" s="3"/>
      <c r="F69" s="3"/>
      <c r="G69" s="3"/>
      <c r="J69" s="11"/>
    </row>
    <row r="70">
      <c r="A70">
        <f>IFERROR(__xludf.DUMMYFUNCTION("""COMPUTED_VALUE"""),97.0)</f>
        <v>97</v>
      </c>
      <c r="B70" s="11"/>
      <c r="C70" s="3"/>
      <c r="D70" s="3"/>
      <c r="E70" s="3"/>
      <c r="F70" s="3"/>
      <c r="G70" s="3"/>
      <c r="H70" s="11"/>
      <c r="I70" s="11"/>
      <c r="J70" s="11"/>
    </row>
    <row r="71">
      <c r="A71">
        <f>IFERROR(__xludf.DUMMYFUNCTION("""COMPUTED_VALUE"""),98.0)</f>
        <v>98</v>
      </c>
      <c r="B71" s="11" t="str">
        <f>IFERROR(__xludf.DUMMYFUNCTION("""COMPUTED_VALUE"""),"I would look for all the things that third-party apps can access from me.")</f>
        <v>I would look for all the things that third-party apps can access from me.</v>
      </c>
      <c r="C71" s="3"/>
      <c r="D71" s="3"/>
      <c r="E71" s="3"/>
      <c r="F71" s="3"/>
      <c r="G71" s="3"/>
      <c r="H71" s="3"/>
      <c r="I71" s="3"/>
      <c r="J71" s="11"/>
    </row>
    <row r="72">
      <c r="A72">
        <f>IFERROR(__xludf.DUMMYFUNCTION("""COMPUTED_VALUE"""),99.0)</f>
        <v>99</v>
      </c>
      <c r="B72" s="11"/>
      <c r="C72" s="3"/>
      <c r="D72" s="3"/>
      <c r="E72" s="11"/>
      <c r="F72" s="11"/>
      <c r="G72" s="11"/>
      <c r="H72" s="11"/>
      <c r="I72" s="11"/>
      <c r="J72" s="11"/>
    </row>
    <row r="73">
      <c r="A73">
        <f>IFERROR(__xludf.DUMMYFUNCTION("""COMPUTED_VALUE"""),100.0)</f>
        <v>100</v>
      </c>
      <c r="B73" s="11"/>
      <c r="C73" s="3"/>
      <c r="D73" s="3"/>
      <c r="E73" s="3"/>
      <c r="F73" s="3"/>
      <c r="G73" s="3"/>
      <c r="H73" s="3"/>
      <c r="I73" s="11"/>
      <c r="J73" s="11"/>
    </row>
    <row r="74">
      <c r="A74">
        <f>IFERROR(__xludf.DUMMYFUNCTION("""COMPUTED_VALUE"""),101.0)</f>
        <v>101</v>
      </c>
      <c r="B74" s="11" t="str">
        <f>IFERROR(__xludf.DUMMYFUNCTION("""COMPUTED_VALUE"""),"I would look to confirm that all apps that have access are apps I still engage with.")</f>
        <v>I would look to confirm that all apps that have access are apps I still engage with.</v>
      </c>
      <c r="C74" s="3"/>
      <c r="D74" s="3"/>
      <c r="E74" s="3"/>
      <c r="F74" s="11"/>
      <c r="G74" s="11"/>
      <c r="H74" s="11"/>
      <c r="I74" s="11"/>
      <c r="J74" s="11"/>
    </row>
    <row r="75">
      <c r="A75">
        <f>IFERROR(__xludf.DUMMYFUNCTION("""COMPUTED_VALUE"""),102.0)</f>
        <v>102</v>
      </c>
      <c r="B75" s="11" t="str">
        <f>IFERROR(__xludf.DUMMYFUNCTION("""COMPUTED_VALUE"""),"Any changes that have been made and any apps that I did not authorize.")</f>
        <v>Any changes that have been made and any apps that I did not authorize.</v>
      </c>
      <c r="C75" s="3"/>
      <c r="D75" s="3"/>
      <c r="E75" s="3"/>
      <c r="F75" s="11"/>
      <c r="G75" s="11"/>
      <c r="H75" s="11"/>
      <c r="I75" s="11"/>
      <c r="J75" s="11"/>
    </row>
    <row r="76">
      <c r="A76">
        <f>IFERROR(__xludf.DUMMYFUNCTION("""COMPUTED_VALUE"""),103.0)</f>
        <v>103</v>
      </c>
      <c r="B76" s="11" t="str">
        <f>IFERROR(__xludf.DUMMYFUNCTION("""COMPUTED_VALUE"""),"See if any new apps were linked that I forgot about. I would look at all the privacy settings like my contacts")</f>
        <v>See if any new apps were linked that I forgot about. I would look at all the privacy settings like my contacts</v>
      </c>
      <c r="C76" s="3"/>
      <c r="D76" s="3"/>
      <c r="E76" s="3"/>
      <c r="F76" s="11"/>
      <c r="G76" s="11"/>
      <c r="H76" s="11"/>
      <c r="I76" s="11"/>
      <c r="J76" s="11"/>
    </row>
    <row r="77">
      <c r="A77">
        <f>IFERROR(__xludf.DUMMYFUNCTION("""COMPUTED_VALUE"""),104.0)</f>
        <v>104</v>
      </c>
      <c r="B77" s="11"/>
      <c r="C77" s="3"/>
      <c r="D77" s="3"/>
      <c r="E77" s="3"/>
      <c r="F77" s="11"/>
      <c r="G77" s="11"/>
      <c r="H77" s="11"/>
      <c r="I77" s="11"/>
      <c r="J77" s="11"/>
    </row>
    <row r="78">
      <c r="A78">
        <f>IFERROR(__xludf.DUMMYFUNCTION("""COMPUTED_VALUE"""),105.0)</f>
        <v>105</v>
      </c>
      <c r="B78" s="11" t="str">
        <f>IFERROR(__xludf.DUMMYFUNCTION("""COMPUTED_VALUE"""),"If there is anything that has access that I do not remember giving")</f>
        <v>If there is anything that has access that I do not remember giving</v>
      </c>
      <c r="C78" s="3"/>
      <c r="D78" s="3"/>
      <c r="E78" s="11"/>
      <c r="F78" s="11"/>
      <c r="G78" s="11"/>
      <c r="H78" s="11"/>
      <c r="I78" s="11"/>
      <c r="J78" s="11"/>
    </row>
    <row r="79">
      <c r="A79">
        <f>IFERROR(__xludf.DUMMYFUNCTION("""COMPUTED_VALUE"""),106.0)</f>
        <v>106</v>
      </c>
      <c r="B79" s="11" t="str">
        <f>IFERROR(__xludf.DUMMYFUNCTION("""COMPUTED_VALUE"""),"any unautorized access")</f>
        <v>any unautorized access</v>
      </c>
      <c r="C79" s="3"/>
      <c r="D79" s="3"/>
      <c r="E79" s="11"/>
      <c r="F79" s="11"/>
      <c r="G79" s="11"/>
      <c r="H79" s="11"/>
      <c r="I79" s="11"/>
      <c r="J79" s="11"/>
    </row>
    <row r="80">
      <c r="A80">
        <f>IFERROR(__xludf.DUMMYFUNCTION("""COMPUTED_VALUE"""),107.0)</f>
        <v>107</v>
      </c>
      <c r="B80" s="11" t="str">
        <f>IFERROR(__xludf.DUMMYFUNCTION("""COMPUTED_VALUE"""),"I would look to see if anything ""snuck in"". If i accidentally granted access to anything I didn't mean to or review whether or not all apps with access were relevent.")</f>
        <v>I would look to see if anything "snuck in". If i accidentally granted access to anything I didn't mean to or review whether or not all apps with access were relevent.</v>
      </c>
      <c r="C80" s="3"/>
      <c r="D80" s="3"/>
      <c r="E80" s="3"/>
      <c r="F80" s="11"/>
      <c r="G80" s="11"/>
      <c r="H80" s="11"/>
      <c r="I80" s="11"/>
      <c r="J80" s="11"/>
    </row>
    <row r="81">
      <c r="A81">
        <f>IFERROR(__xludf.DUMMYFUNCTION("""COMPUTED_VALUE"""),108.0)</f>
        <v>108</v>
      </c>
      <c r="B81" s="11"/>
      <c r="C81" s="3"/>
      <c r="D81" s="3"/>
      <c r="E81" s="3"/>
      <c r="F81" s="3"/>
      <c r="G81" s="11"/>
      <c r="H81" s="11"/>
      <c r="I81" s="11"/>
      <c r="J81" s="11"/>
    </row>
    <row r="82">
      <c r="A82">
        <f>IFERROR(__xludf.DUMMYFUNCTION("""COMPUTED_VALUE"""),109.0)</f>
        <v>109</v>
      </c>
      <c r="B82" s="11"/>
      <c r="C82" s="3"/>
      <c r="D82" s="3"/>
      <c r="E82" s="11"/>
      <c r="F82" s="11"/>
      <c r="G82" s="11"/>
      <c r="H82" s="11"/>
      <c r="I82" s="11"/>
      <c r="J82" s="11"/>
    </row>
    <row r="83">
      <c r="A83">
        <f>IFERROR(__xludf.DUMMYFUNCTION("""COMPUTED_VALUE"""),110.0)</f>
        <v>110</v>
      </c>
      <c r="B83" s="11" t="str">
        <f>IFERROR(__xludf.DUMMYFUNCTION("""COMPUTED_VALUE"""),"Specifically which apps are using my google account login and how long they've had access")</f>
        <v>Specifically which apps are using my google account login and how long they've had access</v>
      </c>
      <c r="C83" s="3"/>
      <c r="D83" s="3"/>
      <c r="E83" s="3"/>
      <c r="F83" s="3"/>
      <c r="G83" s="11"/>
      <c r="H83" s="11"/>
      <c r="I83" s="11"/>
      <c r="J83" s="11"/>
    </row>
    <row r="84">
      <c r="A84">
        <f>IFERROR(__xludf.DUMMYFUNCTION("""COMPUTED_VALUE"""),112.0)</f>
        <v>112</v>
      </c>
      <c r="B84" s="11"/>
      <c r="C84" s="3"/>
      <c r="D84" s="3"/>
      <c r="E84" s="3"/>
      <c r="F84" s="3"/>
      <c r="G84" s="3"/>
      <c r="H84" s="11"/>
      <c r="I84" s="11"/>
      <c r="J84" s="11"/>
    </row>
    <row r="85">
      <c r="A85">
        <f>IFERROR(__xludf.DUMMYFUNCTION("""COMPUTED_VALUE"""),113.0)</f>
        <v>113</v>
      </c>
      <c r="B85" s="11"/>
      <c r="C85" s="3"/>
      <c r="D85" s="3"/>
      <c r="E85" s="3"/>
      <c r="F85" s="11"/>
      <c r="G85" s="11"/>
      <c r="H85" s="11"/>
      <c r="I85" s="11"/>
      <c r="J85" s="11"/>
    </row>
    <row r="86">
      <c r="A86">
        <f>IFERROR(__xludf.DUMMYFUNCTION("""COMPUTED_VALUE"""),114.0)</f>
        <v>114</v>
      </c>
      <c r="B86" s="11" t="str">
        <f>IFERROR(__xludf.DUMMYFUNCTION("""COMPUTED_VALUE"""),"who is able to see my accounts")</f>
        <v>who is able to see my accounts</v>
      </c>
      <c r="C86" s="3"/>
      <c r="D86" s="3"/>
      <c r="E86" s="3"/>
      <c r="F86" s="3"/>
      <c r="G86" s="3"/>
      <c r="H86" s="11"/>
      <c r="I86" s="11"/>
      <c r="J86" s="11"/>
    </row>
    <row r="87">
      <c r="A87">
        <f>IFERROR(__xludf.DUMMYFUNCTION("""COMPUTED_VALUE"""),115.0)</f>
        <v>115</v>
      </c>
      <c r="B87" s="11" t="str">
        <f>IFERROR(__xludf.DUMMYFUNCTION("""COMPUTED_VALUE"""),"If any new Apps use Google access and if any permissions have changed.")</f>
        <v>If any new Apps use Google access and if any permissions have changed.</v>
      </c>
      <c r="C87" s="3"/>
      <c r="D87" s="11"/>
      <c r="E87" s="11"/>
      <c r="F87" s="11"/>
      <c r="G87" s="11"/>
      <c r="H87" s="11"/>
      <c r="I87" s="11"/>
      <c r="J87" s="11"/>
    </row>
    <row r="88">
      <c r="A88">
        <f>IFERROR(__xludf.DUMMYFUNCTION("""COMPUTED_VALUE"""),116.0)</f>
        <v>116</v>
      </c>
      <c r="B88" s="11"/>
      <c r="C88" s="3"/>
      <c r="D88" s="3"/>
      <c r="E88" s="11"/>
      <c r="F88" s="11"/>
      <c r="G88" s="11"/>
      <c r="H88" s="11"/>
      <c r="I88" s="11"/>
      <c r="J88" s="11"/>
    </row>
    <row r="89">
      <c r="A89">
        <f>IFERROR(__xludf.DUMMYFUNCTION("""COMPUTED_VALUE"""),117.0)</f>
        <v>117</v>
      </c>
      <c r="B89" s="11" t="str">
        <f>IFERROR(__xludf.DUMMYFUNCTION("""COMPUTED_VALUE"""),"What kind of access each app has, and any new apps that I may have added in the meantime.")</f>
        <v>What kind of access each app has, and any new apps that I may have added in the meantime.</v>
      </c>
      <c r="C89" s="3"/>
      <c r="D89" s="3"/>
      <c r="E89" s="3"/>
      <c r="F89" s="3"/>
      <c r="G89" s="11"/>
      <c r="H89" s="11"/>
      <c r="I89" s="11"/>
      <c r="J89" s="11"/>
    </row>
    <row r="90">
      <c r="A90">
        <f>IFERROR(__xludf.DUMMYFUNCTION("""COMPUTED_VALUE"""),118.0)</f>
        <v>118</v>
      </c>
      <c r="B90" s="11" t="str">
        <f>IFERROR(__xludf.DUMMYFUNCTION("""COMPUTED_VALUE"""),"To see which apps have access and if there are any that I don't use anymore than I would delete them.")</f>
        <v>To see which apps have access and if there are any that I don't use anymore than I would delete them.</v>
      </c>
      <c r="C90" s="3"/>
      <c r="D90" s="3"/>
      <c r="E90" s="11"/>
      <c r="F90" s="11"/>
      <c r="G90" s="11"/>
      <c r="H90" s="11"/>
      <c r="I90" s="11"/>
      <c r="J90" s="11"/>
    </row>
    <row r="91">
      <c r="A91">
        <f>IFERROR(__xludf.DUMMYFUNCTION("""COMPUTED_VALUE"""),120.0)</f>
        <v>120</v>
      </c>
      <c r="B91" s="11"/>
      <c r="C91" s="3"/>
      <c r="D91" s="3"/>
      <c r="E91" s="3"/>
      <c r="F91" s="11"/>
      <c r="G91" s="11"/>
      <c r="H91" s="11"/>
      <c r="I91" s="11"/>
      <c r="J91" s="11"/>
    </row>
    <row r="92">
      <c r="A92">
        <f>IFERROR(__xludf.DUMMYFUNCTION("""COMPUTED_VALUE"""),121.0)</f>
        <v>121</v>
      </c>
      <c r="B92" s="11"/>
      <c r="C92" s="3"/>
      <c r="D92" s="3"/>
      <c r="E92" s="3"/>
      <c r="F92" s="11"/>
      <c r="G92" s="11"/>
      <c r="H92" s="11"/>
      <c r="I92" s="11"/>
      <c r="J92" s="11"/>
    </row>
    <row r="93">
      <c r="A93">
        <f>IFERROR(__xludf.DUMMYFUNCTION("""COMPUTED_VALUE"""),122.0)</f>
        <v>122</v>
      </c>
      <c r="B93" s="11"/>
      <c r="C93" s="3"/>
      <c r="D93" s="3"/>
      <c r="E93" s="11"/>
      <c r="F93" s="11"/>
      <c r="G93" s="11"/>
      <c r="H93" s="11"/>
      <c r="I93" s="11"/>
      <c r="J93" s="11"/>
    </row>
    <row r="94">
      <c r="A94">
        <f>IFERROR(__xludf.DUMMYFUNCTION("""COMPUTED_VALUE"""),123.0)</f>
        <v>123</v>
      </c>
      <c r="B94" s="11" t="str">
        <f>IFERROR(__xludf.DUMMYFUNCTION("""COMPUTED_VALUE"""),"Which apps are using my account")</f>
        <v>Which apps are using my account</v>
      </c>
      <c r="C94" s="3"/>
      <c r="D94" s="3"/>
      <c r="E94" s="11"/>
      <c r="F94" s="11"/>
      <c r="G94" s="11"/>
      <c r="H94" s="11"/>
      <c r="I94" s="11"/>
      <c r="J94" s="11"/>
    </row>
    <row r="95">
      <c r="A95">
        <f>IFERROR(__xludf.DUMMYFUNCTION("""COMPUTED_VALUE"""),124.0)</f>
        <v>124</v>
      </c>
      <c r="B95" s="11" t="str">
        <f>IFERROR(__xludf.DUMMYFUNCTION("""COMPUTED_VALUE"""),"Applications and/or third party websites that I no longer use or need. I would remove the inactive websites/services from that list as I do not need my account to link to something that is no longer in my use.")</f>
        <v>Applications and/or third party websites that I no longer use or need. I would remove the inactive websites/services from that list as I do not need my account to link to something that is no longer in my use.</v>
      </c>
      <c r="C95" s="3"/>
      <c r="D95" s="3"/>
      <c r="E95" s="11"/>
      <c r="F95" s="11"/>
      <c r="G95" s="11"/>
      <c r="H95" s="11"/>
      <c r="I95" s="11"/>
      <c r="J95" s="11"/>
    </row>
    <row r="96">
      <c r="A96">
        <f>IFERROR(__xludf.DUMMYFUNCTION("""COMPUTED_VALUE"""),125.0)</f>
        <v>125</v>
      </c>
      <c r="B96" s="11" t="str">
        <f>IFERROR(__xludf.DUMMYFUNCTION("""COMPUTED_VALUE"""),"To see if any new ones have been added")</f>
        <v>To see if any new ones have been added</v>
      </c>
      <c r="C96" s="3"/>
      <c r="D96" s="3"/>
      <c r="E96" s="3"/>
      <c r="F96" s="11"/>
      <c r="G96" s="11"/>
      <c r="H96" s="11"/>
      <c r="I96" s="11"/>
      <c r="J96" s="11"/>
    </row>
    <row r="97">
      <c r="A97">
        <f>IFERROR(__xludf.DUMMYFUNCTION("""COMPUTED_VALUE"""),126.0)</f>
        <v>126</v>
      </c>
      <c r="B97" s="11"/>
      <c r="C97" s="3"/>
      <c r="D97" s="3"/>
      <c r="E97" s="11"/>
      <c r="F97" s="11"/>
      <c r="G97" s="11"/>
      <c r="H97" s="11"/>
      <c r="I97" s="11"/>
      <c r="J97" s="11"/>
    </row>
    <row r="98">
      <c r="A98">
        <f>IFERROR(__xludf.DUMMYFUNCTION("""COMPUTED_VALUE"""),127.0)</f>
        <v>127</v>
      </c>
      <c r="B98" s="11" t="str">
        <f>IFERROR(__xludf.DUMMYFUNCTION("""COMPUTED_VALUE"""),"I would want to review my privacy disclosures.")</f>
        <v>I would want to review my privacy disclosures.</v>
      </c>
      <c r="C98" s="3"/>
      <c r="D98" s="3"/>
      <c r="E98" s="3"/>
      <c r="F98" s="3"/>
      <c r="G98" s="11"/>
      <c r="H98" s="11"/>
      <c r="I98" s="11"/>
      <c r="J98" s="11"/>
    </row>
    <row r="99">
      <c r="A99">
        <f>IFERROR(__xludf.DUMMYFUNCTION("""COMPUTED_VALUE"""),128.0)</f>
        <v>128</v>
      </c>
      <c r="B99" s="11" t="str">
        <f>IFERROR(__xludf.DUMMYFUNCTION("""COMPUTED_VALUE"""),"I will look fro all of the Apps that have access and delete them if necessary.")</f>
        <v>I will look fro all of the Apps that have access and delete them if necessary.</v>
      </c>
      <c r="C99" s="3"/>
      <c r="D99" s="11"/>
      <c r="E99" s="11"/>
      <c r="F99" s="11"/>
      <c r="G99" s="11"/>
      <c r="H99" s="11"/>
      <c r="I99" s="11"/>
      <c r="J99" s="11"/>
    </row>
    <row r="100">
      <c r="A100">
        <f>IFERROR(__xludf.DUMMYFUNCTION("""COMPUTED_VALUE"""),129.0)</f>
        <v>129</v>
      </c>
      <c r="B100" s="11" t="str">
        <f>IFERROR(__xludf.DUMMYFUNCTION("""COMPUTED_VALUE"""),"What Apps I no longer use or don't want access anymore, and that I can ""trim"" or revoke access for.")</f>
        <v>What Apps I no longer use or don't want access anymore, and that I can "trim" or revoke access for.</v>
      </c>
      <c r="C100" s="3"/>
      <c r="D100" s="11"/>
      <c r="E100" s="11"/>
      <c r="F100" s="11"/>
      <c r="G100" s="11"/>
      <c r="H100" s="11"/>
      <c r="I100" s="11"/>
      <c r="J100" s="11"/>
    </row>
    <row r="101">
      <c r="A101">
        <f>IFERROR(__xludf.DUMMYFUNCTION("""COMPUTED_VALUE"""),130.0)</f>
        <v>130</v>
      </c>
      <c r="B101" s="11" t="str">
        <f>IFERROR(__xludf.DUMMYFUNCTION("""COMPUTED_VALUE"""),"To make sure all the services listed are ones I keep using and to delete anything I stopped using or no longer need.")</f>
        <v>To make sure all the services listed are ones I keep using and to delete anything I stopped using or no longer need.</v>
      </c>
      <c r="C101" s="3"/>
      <c r="D101" s="3"/>
      <c r="E101" s="3"/>
      <c r="F101" s="11"/>
      <c r="G101" s="11"/>
      <c r="H101" s="11"/>
      <c r="I101" s="11"/>
      <c r="J101" s="11"/>
    </row>
    <row r="102">
      <c r="A102">
        <f>IFERROR(__xludf.DUMMYFUNCTION("""COMPUTED_VALUE"""),131.0)</f>
        <v>131</v>
      </c>
      <c r="B102" s="11" t="str">
        <f>IFERROR(__xludf.DUMMYFUNCTION("""COMPUTED_VALUE"""),"What information they will need to get their app.")</f>
        <v>What information they will need to get their app.</v>
      </c>
      <c r="C102" s="3"/>
      <c r="D102" s="3"/>
      <c r="E102" s="3"/>
      <c r="F102" s="11"/>
      <c r="G102" s="11"/>
      <c r="H102" s="11"/>
      <c r="I102" s="11"/>
      <c r="J102" s="11"/>
    </row>
    <row r="103">
      <c r="A103">
        <f>IFERROR(__xludf.DUMMYFUNCTION("""COMPUTED_VALUE"""),132.0)</f>
        <v>132</v>
      </c>
      <c r="B103" s="11" t="str">
        <f>IFERROR(__xludf.DUMMYFUNCTION("""COMPUTED_VALUE"""),"at all the apps i have for unusual looking ones i dont recall .")</f>
        <v>at all the apps i have for unusual looking ones i dont recall .</v>
      </c>
      <c r="C103" s="3"/>
      <c r="D103" s="3"/>
      <c r="E103" s="11"/>
      <c r="F103" s="11"/>
      <c r="G103" s="11"/>
      <c r="H103" s="11"/>
      <c r="I103" s="11"/>
      <c r="J103" s="11"/>
    </row>
    <row r="104">
      <c r="A104">
        <f>IFERROR(__xludf.DUMMYFUNCTION("""COMPUTED_VALUE"""),133.0)</f>
        <v>133</v>
      </c>
      <c r="B104" s="11" t="str">
        <f>IFERROR(__xludf.DUMMYFUNCTION("""COMPUTED_VALUE"""),"To see which apps I am no longer using.")</f>
        <v>To see which apps I am no longer using.</v>
      </c>
      <c r="C104" s="3"/>
      <c r="D104" s="3"/>
      <c r="E104" s="11"/>
      <c r="F104" s="11"/>
      <c r="G104" s="11"/>
      <c r="H104" s="11"/>
      <c r="I104" s="11"/>
      <c r="J104" s="11"/>
    </row>
    <row r="105">
      <c r="A105">
        <f>IFERROR(__xludf.DUMMYFUNCTION("""COMPUTED_VALUE"""),134.0)</f>
        <v>134</v>
      </c>
      <c r="B105" s="11"/>
      <c r="C105" s="3"/>
      <c r="D105" s="3"/>
      <c r="E105" s="3"/>
      <c r="F105" s="3"/>
      <c r="G105" s="11"/>
      <c r="H105" s="11"/>
      <c r="I105" s="11"/>
      <c r="J105" s="11"/>
    </row>
    <row r="106">
      <c r="A106">
        <f>IFERROR(__xludf.DUMMYFUNCTION("""COMPUTED_VALUE"""),135.0)</f>
        <v>135</v>
      </c>
      <c r="B106" s="11" t="str">
        <f>IFERROR(__xludf.DUMMYFUNCTION("""COMPUTED_VALUE"""),"I would look to see if I accidentally signed on for access to apps that I don't use anymore, so that the convenience no longer outweighs the risks of having my data on so many sites.")</f>
        <v>I would look to see if I accidentally signed on for access to apps that I don't use anymore, so that the convenience no longer outweighs the risks of having my data on so many sites.</v>
      </c>
      <c r="C106" s="3"/>
      <c r="D106" s="3"/>
      <c r="E106" s="11"/>
      <c r="F106" s="11"/>
      <c r="G106" s="11"/>
      <c r="H106" s="11"/>
      <c r="I106" s="11"/>
      <c r="J106" s="11"/>
    </row>
    <row r="107">
      <c r="A107">
        <f>IFERROR(__xludf.DUMMYFUNCTION("""COMPUTED_VALUE"""),136.0)</f>
        <v>136</v>
      </c>
      <c r="B107" s="11" t="str">
        <f>IFERROR(__xludf.DUMMYFUNCTION("""COMPUTED_VALUE"""),"If any apps have full account access, particularly that I don't remember authorizing")</f>
        <v>If any apps have full account access, particularly that I don't remember authorizing</v>
      </c>
      <c r="C107" s="3"/>
      <c r="D107" s="3"/>
      <c r="E107" s="3"/>
      <c r="F107" s="3"/>
      <c r="G107" s="11"/>
      <c r="H107" s="11"/>
      <c r="I107" s="11"/>
      <c r="J107" s="11"/>
    </row>
    <row r="108">
      <c r="A108">
        <f>IFERROR(__xludf.DUMMYFUNCTION("""COMPUTED_VALUE"""),137.0)</f>
        <v>137</v>
      </c>
      <c r="B108" s="11" t="str">
        <f>IFERROR(__xludf.DUMMYFUNCTION("""COMPUTED_VALUE"""),"trying to see wat they need access to and why")</f>
        <v>trying to see wat they need access to and why</v>
      </c>
      <c r="C108" s="3"/>
      <c r="D108" s="3"/>
      <c r="E108" s="3"/>
      <c r="F108" s="11"/>
      <c r="G108" s="11"/>
      <c r="H108" s="11"/>
      <c r="I108" s="11"/>
      <c r="J108" s="11"/>
    </row>
    <row r="109">
      <c r="A109">
        <f>IFERROR(__xludf.DUMMYFUNCTION("""COMPUTED_VALUE"""),138.0)</f>
        <v>138</v>
      </c>
      <c r="B109" s="11"/>
      <c r="C109" s="3"/>
      <c r="D109" s="3"/>
      <c r="E109" s="11"/>
      <c r="F109" s="11"/>
      <c r="G109" s="11"/>
      <c r="H109" s="11"/>
      <c r="I109" s="11"/>
      <c r="J109" s="11"/>
    </row>
    <row r="110">
      <c r="A110">
        <f>IFERROR(__xludf.DUMMYFUNCTION("""COMPUTED_VALUE"""),139.0)</f>
        <v>139</v>
      </c>
      <c r="B110" s="11"/>
      <c r="C110" s="3"/>
      <c r="D110" s="3"/>
      <c r="E110" s="3"/>
      <c r="F110" s="11"/>
      <c r="G110" s="11"/>
      <c r="H110" s="11"/>
      <c r="I110" s="11"/>
      <c r="J110" s="11"/>
    </row>
    <row r="111">
      <c r="A111">
        <f>IFERROR(__xludf.DUMMYFUNCTION("""COMPUTED_VALUE"""),140.0)</f>
        <v>140</v>
      </c>
      <c r="B111" s="11"/>
      <c r="C111" s="19"/>
      <c r="D111" s="3"/>
      <c r="E111" s="3"/>
      <c r="F111" s="3"/>
      <c r="G111" s="11"/>
      <c r="H111" s="11"/>
      <c r="I111" s="11"/>
      <c r="J111" s="11"/>
    </row>
    <row r="112">
      <c r="A112">
        <f>IFERROR(__xludf.DUMMYFUNCTION("""COMPUTED_VALUE"""),141.0)</f>
        <v>141</v>
      </c>
      <c r="B112" s="11" t="str">
        <f>IFERROR(__xludf.DUMMYFUNCTION("""COMPUTED_VALUE"""),"If something is in the list that I did not realize I was adding.")</f>
        <v>If something is in the list that I did not realize I was adding.</v>
      </c>
      <c r="C112" s="3"/>
      <c r="D112" s="3"/>
      <c r="E112" s="3"/>
      <c r="F112" s="11"/>
      <c r="G112" s="11"/>
      <c r="H112" s="11"/>
      <c r="I112" s="11"/>
      <c r="J112" s="11"/>
    </row>
    <row r="113">
      <c r="A113">
        <f>IFERROR(__xludf.DUMMYFUNCTION("""COMPUTED_VALUE"""),143.0)</f>
        <v>143</v>
      </c>
      <c r="B113" s="11"/>
      <c r="C113" s="3"/>
      <c r="D113" s="3"/>
      <c r="E113" s="11"/>
      <c r="F113" s="11"/>
      <c r="G113" s="11"/>
      <c r="H113" s="11"/>
      <c r="I113" s="11"/>
      <c r="J113" s="11"/>
    </row>
    <row r="114">
      <c r="A114">
        <f>IFERROR(__xludf.DUMMYFUNCTION("""COMPUTED_VALUE"""),144.0)</f>
        <v>144</v>
      </c>
      <c r="B114" s="11" t="str">
        <f>IFERROR(__xludf.DUMMYFUNCTION("""COMPUTED_VALUE"""),"if there are more apps that i didnt realize got access")</f>
        <v>if there are more apps that i didnt realize got access</v>
      </c>
      <c r="C114" s="3"/>
      <c r="D114" s="3"/>
      <c r="E114" s="3"/>
      <c r="F114" s="3"/>
      <c r="G114" s="11"/>
      <c r="H114" s="11"/>
      <c r="I114" s="11"/>
      <c r="J114" s="11"/>
    </row>
    <row r="115">
      <c r="A115">
        <f>IFERROR(__xludf.DUMMYFUNCTION("""COMPUTED_VALUE"""),145.0)</f>
        <v>145</v>
      </c>
      <c r="B115" s="11" t="str">
        <f>IFERROR(__xludf.DUMMYFUNCTION("""COMPUTED_VALUE"""),"I would look to see if any new apps have been added and whether or not I remember giving them access. I would also look at all of the apps and see if there were any that I no longer use that can be removed.")</f>
        <v>I would look to see if any new apps have been added and whether or not I remember giving them access. I would also look at all of the apps and see if there were any that I no longer use that can be removed.</v>
      </c>
      <c r="C115" s="3"/>
      <c r="D115" s="11"/>
      <c r="E115" s="11"/>
      <c r="F115" s="11"/>
      <c r="G115" s="11"/>
      <c r="H115" s="11"/>
      <c r="I115" s="11"/>
      <c r="J115" s="11"/>
    </row>
    <row r="116">
      <c r="A116">
        <f>IFERROR(__xludf.DUMMYFUNCTION("""COMPUTED_VALUE"""),146.0)</f>
        <v>146</v>
      </c>
      <c r="B116" s="11" t="str">
        <f>IFERROR(__xludf.DUMMYFUNCTION("""COMPUTED_VALUE"""),"To see what has changed, or if I want to change settings on some of the websites I no longer use/etc")</f>
        <v>To see what has changed, or if I want to change settings on some of the websites I no longer use/etc</v>
      </c>
      <c r="C116" s="3"/>
      <c r="D116" s="3"/>
      <c r="E116" s="3"/>
      <c r="F116" s="3"/>
      <c r="G116" s="11"/>
      <c r="H116" s="11"/>
      <c r="I116" s="11"/>
      <c r="J116" s="11"/>
    </row>
    <row r="117">
      <c r="A117">
        <f>IFERROR(__xludf.DUMMYFUNCTION("""COMPUTED_VALUE"""),147.0)</f>
        <v>147</v>
      </c>
      <c r="B117" s="11" t="str">
        <f>IFERROR(__xludf.DUMMYFUNCTION("""COMPUTED_VALUE"""),"If ive added anything or dont need anything any longer")</f>
        <v>If ive added anything or dont need anything any longer</v>
      </c>
      <c r="C117" s="3"/>
      <c r="D117" s="3"/>
      <c r="E117" s="11"/>
      <c r="F117" s="11"/>
      <c r="G117" s="11"/>
      <c r="H117" s="11"/>
      <c r="I117" s="11"/>
      <c r="J117" s="11"/>
    </row>
    <row r="118">
      <c r="A118">
        <f>IFERROR(__xludf.DUMMYFUNCTION("""COMPUTED_VALUE"""),148.0)</f>
        <v>148</v>
      </c>
      <c r="B118" s="11"/>
      <c r="C118" s="3"/>
      <c r="D118" s="3"/>
      <c r="E118" s="11"/>
      <c r="F118" s="11"/>
      <c r="G118" s="11"/>
      <c r="H118" s="11"/>
      <c r="I118" s="11"/>
      <c r="J118" s="11"/>
    </row>
    <row r="119">
      <c r="A119">
        <f>IFERROR(__xludf.DUMMYFUNCTION("""COMPUTED_VALUE"""),149.0)</f>
        <v>149</v>
      </c>
      <c r="B119" s="11" t="str">
        <f>IFERROR(__xludf.DUMMYFUNCTION("""COMPUTED_VALUE"""),"Just to see if any new apps have access to my account.")</f>
        <v>Just to see if any new apps have access to my account.</v>
      </c>
      <c r="C119" s="3"/>
      <c r="D119" s="3"/>
      <c r="E119" s="11"/>
      <c r="F119" s="11"/>
      <c r="G119" s="11"/>
      <c r="H119" s="11"/>
      <c r="I119" s="11"/>
      <c r="J119" s="11"/>
    </row>
    <row r="120">
      <c r="A120">
        <f>IFERROR(__xludf.DUMMYFUNCTION("""COMPUTED_VALUE"""),150.0)</f>
        <v>150</v>
      </c>
      <c r="B120" s="11" t="str">
        <f>IFERROR(__xludf.DUMMYFUNCTION("""COMPUTED_VALUE"""),"Apps/sites that I don't use very often.")</f>
        <v>Apps/sites that I don't use very often.</v>
      </c>
      <c r="C120" s="3"/>
      <c r="D120" s="11"/>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t="str">
        <f>IFERROR(__xludf.DUMMYFUNCTION("""COMPUTED_VALUE"""),"I would see if anything changed.")</f>
        <v>I would see if anything changed.</v>
      </c>
      <c r="C122" s="3"/>
      <c r="D122" s="3"/>
      <c r="E122" s="3"/>
      <c r="F122" s="11"/>
      <c r="G122" s="11"/>
      <c r="H122" s="11"/>
      <c r="I122" s="11"/>
      <c r="J122" s="11"/>
    </row>
    <row r="123">
      <c r="A123">
        <f>IFERROR(__xludf.DUMMYFUNCTION("""COMPUTED_VALUE"""),153.0)</f>
        <v>153</v>
      </c>
      <c r="B123" s="11" t="str">
        <f>IFERROR(__xludf.DUMMYFUNCTION("""COMPUTED_VALUE"""),"any new apps that i don't use after installing")</f>
        <v>any new apps that i don't use after installing</v>
      </c>
      <c r="C123" s="3"/>
      <c r="D123" s="3"/>
      <c r="E123" s="3"/>
      <c r="F123" s="3"/>
      <c r="G123" s="11"/>
      <c r="H123" s="11"/>
      <c r="I123" s="11"/>
      <c r="J123" s="11"/>
    </row>
    <row r="124">
      <c r="A124">
        <f>IFERROR(__xludf.DUMMYFUNCTION("""COMPUTED_VALUE"""),154.0)</f>
        <v>154</v>
      </c>
      <c r="B124" s="11" t="str">
        <f>IFERROR(__xludf.DUMMYFUNCTION("""COMPUTED_VALUE"""),"Any apps that I don't use anymore or if there are changes")</f>
        <v>Any apps that I don't use anymore or if there are changes</v>
      </c>
      <c r="C124" s="3"/>
      <c r="D124" s="11"/>
      <c r="E124" s="11"/>
      <c r="F124" s="11"/>
      <c r="G124" s="11"/>
      <c r="H124" s="11"/>
      <c r="I124" s="11"/>
      <c r="J124" s="11"/>
    </row>
    <row r="125">
      <c r="A125">
        <f>IFERROR(__xludf.DUMMYFUNCTION("""COMPUTED_VALUE"""),155.0)</f>
        <v>155</v>
      </c>
      <c r="B125" s="11" t="str">
        <f>IFERROR(__xludf.DUMMYFUNCTION("""COMPUTED_VALUE"""),"I am not comfortable with random games and apps being able to know my full name or other account details, so I will be on the lookout for any services that have access to that.")</f>
        <v>I am not comfortable with random games and apps being able to know my full name or other account details, so I will be on the lookout for any services that have access to that.</v>
      </c>
      <c r="C125" s="3"/>
      <c r="D125" s="3"/>
      <c r="E125" s="11"/>
      <c r="F125" s="11"/>
      <c r="G125" s="11"/>
      <c r="H125" s="11"/>
      <c r="I125" s="11"/>
      <c r="J125" s="11"/>
    </row>
    <row r="126">
      <c r="A126">
        <f>IFERROR(__xludf.DUMMYFUNCTION("""COMPUTED_VALUE"""),156.0)</f>
        <v>156</v>
      </c>
      <c r="B126" s="11"/>
      <c r="C126" s="3"/>
      <c r="D126" s="3"/>
      <c r="E126" s="11"/>
      <c r="F126" s="11"/>
      <c r="G126" s="11"/>
      <c r="H126" s="11"/>
      <c r="I126" s="11"/>
      <c r="J126" s="11"/>
    </row>
    <row r="127">
      <c r="A127">
        <f>IFERROR(__xludf.DUMMYFUNCTION("""COMPUTED_VALUE"""),157.0)</f>
        <v>157</v>
      </c>
      <c r="B127" s="11" t="str">
        <f>IFERROR(__xludf.DUMMYFUNCTION("""COMPUTED_VALUE"""),"The permissions such as if any information can be altered and how trustworthy it is.")</f>
        <v>The permissions such as if any information can be altered and how trustworthy it is.</v>
      </c>
      <c r="C127" s="3"/>
      <c r="D127" s="11"/>
      <c r="E127" s="11"/>
      <c r="F127" s="11"/>
      <c r="G127" s="11"/>
      <c r="H127" s="11"/>
      <c r="I127" s="11"/>
      <c r="J127" s="11"/>
    </row>
    <row r="128">
      <c r="A128">
        <f>IFERROR(__xludf.DUMMYFUNCTION("""COMPUTED_VALUE"""),158.0)</f>
        <v>158</v>
      </c>
      <c r="B128" s="11" t="str">
        <f>IFERROR(__xludf.DUMMYFUNCTION("""COMPUTED_VALUE"""),"To see if any unexpected apps had access to my account and potentially get rid of them.")</f>
        <v>To see if any unexpected apps had access to my account and potentially get rid of them.</v>
      </c>
      <c r="C128" s="3"/>
      <c r="D128" s="3"/>
      <c r="E128" s="3"/>
      <c r="F128" s="3"/>
      <c r="G128" s="11"/>
      <c r="H128" s="11"/>
      <c r="I128" s="11"/>
      <c r="J128" s="11"/>
    </row>
    <row r="129">
      <c r="A129">
        <f>IFERROR(__xludf.DUMMYFUNCTION("""COMPUTED_VALUE"""),159.0)</f>
        <v>159</v>
      </c>
      <c r="B129" s="11" t="str">
        <f>IFERROR(__xludf.DUMMYFUNCTION("""COMPUTED_VALUE"""),"What apps I have added to the list.")</f>
        <v>What apps I have added to the list.</v>
      </c>
      <c r="C129" s="3"/>
      <c r="D129" s="3"/>
      <c r="E129" s="11"/>
      <c r="F129" s="11"/>
      <c r="G129" s="11"/>
      <c r="H129" s="11"/>
      <c r="I129" s="11"/>
      <c r="J129" s="11"/>
    </row>
    <row r="130">
      <c r="A130">
        <f>IFERROR(__xludf.DUMMYFUNCTION("""COMPUTED_VALUE"""),160.0)</f>
        <v>160</v>
      </c>
      <c r="B130" s="11" t="str">
        <f>IFERROR(__xludf.DUMMYFUNCTION("""COMPUTED_VALUE"""),"Any sort of risks or apps that I again may not use by then that I could remove access to.")</f>
        <v>Any sort of risks or apps that I again may not use by then that I could remove access to.</v>
      </c>
      <c r="C130" s="3"/>
      <c r="D130" s="3"/>
      <c r="E130" s="3"/>
      <c r="F130" s="3"/>
      <c r="G130" s="11"/>
      <c r="H130" s="11"/>
      <c r="I130" s="11"/>
      <c r="J130" s="11"/>
    </row>
    <row r="131">
      <c r="A131">
        <f>IFERROR(__xludf.DUMMYFUNCTION("""COMPUTED_VALUE"""),161.0)</f>
        <v>161</v>
      </c>
      <c r="B131" s="11"/>
      <c r="C131" s="3"/>
      <c r="D131" s="3"/>
      <c r="E131" s="11"/>
      <c r="F131" s="11"/>
      <c r="G131" s="11"/>
      <c r="H131" s="11"/>
      <c r="I131" s="11"/>
      <c r="J131" s="11"/>
    </row>
    <row r="132">
      <c r="A132">
        <f>IFERROR(__xludf.DUMMYFUNCTION("""COMPUTED_VALUE"""),162.0)</f>
        <v>162</v>
      </c>
      <c r="B132" s="11" t="str">
        <f>IFERROR(__xludf.DUMMYFUNCTION("""COMPUTED_VALUE"""),"I would look for apps and games I no longer use.")</f>
        <v>I would look for apps and games I no longer use.</v>
      </c>
      <c r="C132" s="3"/>
      <c r="D132" s="3"/>
      <c r="E132" s="11"/>
      <c r="F132" s="11"/>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11"/>
      <c r="C134" s="3"/>
      <c r="D134" s="3"/>
      <c r="E134" s="3"/>
      <c r="F134" s="11"/>
      <c r="G134" s="11"/>
      <c r="H134" s="11"/>
      <c r="I134" s="11"/>
      <c r="J134" s="11"/>
    </row>
    <row r="135">
      <c r="A135">
        <f>IFERROR(__xludf.DUMMYFUNCTION("""COMPUTED_VALUE"""),165.0)</f>
        <v>165</v>
      </c>
      <c r="B135" s="11" t="str">
        <f>IFERROR(__xludf.DUMMYFUNCTION("""COMPUTED_VALUE"""),"I would check to see whether any settings have changed since my most recent review and update any access by apps I do not want.")</f>
        <v>I would check to see whether any settings have changed since my most recent review and update any access by apps I do not want.</v>
      </c>
      <c r="C135" s="3"/>
      <c r="D135" s="3"/>
      <c r="E135" s="11"/>
      <c r="F135" s="11"/>
      <c r="G135" s="11"/>
      <c r="H135" s="11"/>
      <c r="I135" s="11"/>
      <c r="J135" s="11"/>
    </row>
    <row r="136">
      <c r="A136">
        <f>IFERROR(__xludf.DUMMYFUNCTION("""COMPUTED_VALUE"""),166.0)</f>
        <v>166</v>
      </c>
      <c r="B136" s="11" t="str">
        <f>IFERROR(__xludf.DUMMYFUNCTION("""COMPUTED_VALUE"""),"I would look for apps that I no longer use and if they still have access to my account and to what parts of my account.")</f>
        <v>I would look for apps that I no longer use and if they still have access to my account and to what parts of my account.</v>
      </c>
      <c r="C136" s="3"/>
      <c r="D136" s="3"/>
      <c r="E136" s="3"/>
      <c r="F136" s="11"/>
      <c r="G136" s="11"/>
      <c r="H136" s="11"/>
      <c r="I136" s="11"/>
      <c r="J136" s="11"/>
    </row>
    <row r="137">
      <c r="A137">
        <f>IFERROR(__xludf.DUMMYFUNCTION("""COMPUTED_VALUE"""),167.0)</f>
        <v>167</v>
      </c>
      <c r="B137" s="11" t="str">
        <f>IFERROR(__xludf.DUMMYFUNCTION("""COMPUTED_VALUE"""),"I would look for any unexpected or new third parties and just make sure that all of them have very limited access to my personal information. I'd maybe continue to review this page over time to make sure nothing has changed.")</f>
        <v>I would look for any unexpected or new third parties and just make sure that all of them have very limited access to my personal information. I'd maybe continue to review this page over time to make sure nothing has changed.</v>
      </c>
      <c r="C137" s="3"/>
      <c r="D137" s="3"/>
      <c r="E137" s="11"/>
      <c r="F137" s="11"/>
      <c r="G137" s="11"/>
      <c r="H137" s="11"/>
      <c r="I137" s="11"/>
      <c r="J137" s="11"/>
    </row>
    <row r="138">
      <c r="A138">
        <f>IFERROR(__xludf.DUMMYFUNCTION("""COMPUTED_VALUE"""),168.0)</f>
        <v>168</v>
      </c>
      <c r="B138" s="11" t="str">
        <f>IFERROR(__xludf.DUMMYFUNCTION("""COMPUTED_VALUE"""),"i would review which apps i am using the most")</f>
        <v>i would review which apps i am using the most</v>
      </c>
      <c r="C138" s="3"/>
      <c r="D138" s="3"/>
      <c r="E138" s="3"/>
      <c r="F138" s="11"/>
      <c r="G138" s="11"/>
      <c r="H138" s="11"/>
      <c r="I138" s="11"/>
      <c r="J138" s="11"/>
    </row>
    <row r="139">
      <c r="A139">
        <f>IFERROR(__xludf.DUMMYFUNCTION("""COMPUTED_VALUE"""),169.0)</f>
        <v>169</v>
      </c>
      <c r="B139" s="11" t="str">
        <f>IFERROR(__xludf.DUMMYFUNCTION("""COMPUTED_VALUE"""),"To see if any apps have access that I do want to have access.")</f>
        <v>To see if any apps have access that I do want to have access.</v>
      </c>
      <c r="C139" s="3"/>
      <c r="D139" s="3"/>
      <c r="E139" s="3"/>
      <c r="F139" s="11"/>
      <c r="G139" s="11"/>
      <c r="H139" s="11"/>
      <c r="I139" s="11"/>
      <c r="J139" s="11"/>
    </row>
    <row r="140">
      <c r="A140">
        <f>IFERROR(__xludf.DUMMYFUNCTION("""COMPUTED_VALUE"""),170.0)</f>
        <v>170</v>
      </c>
      <c r="B140" s="11" t="str">
        <f>IFERROR(__xludf.DUMMYFUNCTION("""COMPUTED_VALUE"""),"just to see if they have sneak updated anything")</f>
        <v>just to see if they have sneak updated anything</v>
      </c>
      <c r="C140" s="3"/>
      <c r="D140" s="3"/>
      <c r="E140" s="3"/>
      <c r="F140" s="3"/>
      <c r="G140" s="11"/>
      <c r="H140" s="11"/>
      <c r="I140" s="11"/>
      <c r="J140" s="11"/>
    </row>
    <row r="141">
      <c r="A141">
        <f>IFERROR(__xludf.DUMMYFUNCTION("""COMPUTED_VALUE"""),171.0)</f>
        <v>171</v>
      </c>
      <c r="B141" s="11" t="str">
        <f>IFERROR(__xludf.DUMMYFUNCTION("""COMPUTED_VALUE"""),"I would look for apps that I don't remember using and apps that are untrustworthy.")</f>
        <v>I would look for apps that I don't remember using and apps that are untrustworthy.</v>
      </c>
      <c r="C141" s="3"/>
      <c r="D141" s="3"/>
      <c r="E141" s="11"/>
      <c r="F141" s="11"/>
      <c r="G141" s="11"/>
      <c r="H141" s="11"/>
      <c r="I141" s="11"/>
      <c r="J141" s="11"/>
    </row>
    <row r="142">
      <c r="A142">
        <f>IFERROR(__xludf.DUMMYFUNCTION("""COMPUTED_VALUE"""),172.0)</f>
        <v>172</v>
      </c>
      <c r="B142" s="11" t="str">
        <f>IFERROR(__xludf.DUMMYFUNCTION("""COMPUTED_VALUE"""),"Old apps that I no longer use; analyze exactly what kind of access each app has in case I missed an access that I don't think the app needs; apps that I don't recognize;")</f>
        <v>Old apps that I no longer use; analyze exactly what kind of access each app has in case I missed an access that I don't think the app needs; apps that I don't recognize;</v>
      </c>
      <c r="C142" s="3"/>
      <c r="D142" s="3"/>
      <c r="E142" s="11"/>
      <c r="F142" s="11"/>
      <c r="G142" s="11"/>
      <c r="H142" s="11"/>
      <c r="I142" s="11"/>
      <c r="J142" s="11"/>
    </row>
    <row r="143">
      <c r="A143">
        <f>IFERROR(__xludf.DUMMYFUNCTION("""COMPUTED_VALUE"""),173.0)</f>
        <v>173</v>
      </c>
      <c r="B143" s="11" t="str">
        <f>IFERROR(__xludf.DUMMYFUNCTION("""COMPUTED_VALUE"""),"See if things have changes and how many more apps are on there")</f>
        <v>See if things have changes and how many more apps are on there</v>
      </c>
      <c r="C143" s="3"/>
      <c r="D143" s="3"/>
      <c r="E143" s="3"/>
      <c r="F143" s="11"/>
      <c r="G143" s="11"/>
      <c r="H143" s="11"/>
      <c r="I143" s="11"/>
      <c r="J143" s="11"/>
    </row>
    <row r="144">
      <c r="A144">
        <f>IFERROR(__xludf.DUMMYFUNCTION("""COMPUTED_VALUE"""),174.0)</f>
        <v>174</v>
      </c>
      <c r="B144" s="11" t="str">
        <f>IFERROR(__xludf.DUMMYFUNCTION("""COMPUTED_VALUE"""),"Apps that I no longer use or apps that I am not familiar with.")</f>
        <v>Apps that I no longer use or apps that I am not familiar with.</v>
      </c>
      <c r="C144" s="3"/>
      <c r="D144" s="3"/>
      <c r="E144" s="3"/>
      <c r="F144" s="3"/>
      <c r="G144" s="3"/>
      <c r="H144" s="11"/>
      <c r="I144" s="11"/>
      <c r="J144" s="11"/>
    </row>
    <row r="145">
      <c r="A145">
        <f>IFERROR(__xludf.DUMMYFUNCTION("""COMPUTED_VALUE"""),175.0)</f>
        <v>175</v>
      </c>
      <c r="B145" s="11" t="str">
        <f>IFERROR(__xludf.DUMMYFUNCTION("""COMPUTED_VALUE"""),"see if anything in the settings has changed, or any new apps are on there")</f>
        <v>see if anything in the settings has changed, or any new apps are on there</v>
      </c>
      <c r="C145" s="3"/>
      <c r="D145" s="3"/>
      <c r="E145" s="3"/>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IFERROR(__xludf.DUMMYFUNCTION("""COMPUTED_VALUE"""),"unused or unfamiliar extensions")</f>
        <v>unused or unfamiliar extensions</v>
      </c>
      <c r="C147" s="3"/>
      <c r="D147" s="3"/>
      <c r="E147" s="3"/>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IFERROR(__xludf.DUMMYFUNCTION("""COMPUTED_VALUE"""),"Services that I don't use, as well as whether any changes have been made.")</f>
        <v>Services that I don't use, as well as whether any changes have been made.</v>
      </c>
      <c r="C149" s="3"/>
      <c r="D149" s="11"/>
      <c r="E149" s="11"/>
      <c r="F149" s="11"/>
      <c r="H149" s="11"/>
      <c r="I149" s="11"/>
      <c r="J149" s="11"/>
    </row>
    <row r="150">
      <c r="A150">
        <f>IFERROR(__xludf.DUMMYFUNCTION("""COMPUTED_VALUE"""),181.0)</f>
        <v>181</v>
      </c>
      <c r="B150" s="11" t="str">
        <f>IFERROR(__xludf.DUMMYFUNCTION("""COMPUTED_VALUE"""),"Apps that I don't use any more, maybe remove them.")</f>
        <v>Apps that I don't use any more, maybe remove them.</v>
      </c>
      <c r="C150" s="3"/>
      <c r="D150" s="3"/>
      <c r="E150" s="3"/>
      <c r="F150" s="3"/>
      <c r="H150" s="11"/>
      <c r="I150" s="11"/>
      <c r="J150" s="11"/>
    </row>
    <row r="151">
      <c r="A151">
        <f>IFERROR(__xludf.DUMMYFUNCTION("""COMPUTED_VALUE"""),182.0)</f>
        <v>182</v>
      </c>
      <c r="B151" s="11" t="str">
        <f>IFERROR(__xludf.DUMMYFUNCTION("""COMPUTED_VALUE"""),"I would like to see things like what things these apps have access to or just whenever I last used them")</f>
        <v>I would like to see things like what things these apps have access to or just whenever I last used them</v>
      </c>
      <c r="C151" s="3"/>
      <c r="D151" s="3"/>
      <c r="E151" s="3"/>
      <c r="F151" s="3"/>
      <c r="H151" s="11"/>
      <c r="I151" s="11"/>
      <c r="J151" s="11"/>
    </row>
    <row r="152">
      <c r="A152">
        <f>IFERROR(__xludf.DUMMYFUNCTION("""COMPUTED_VALUE"""),183.0)</f>
        <v>183</v>
      </c>
      <c r="B152" s="11" t="str">
        <f>IFERROR(__xludf.DUMMYFUNCTION("""COMPUTED_VALUE"""),"If the app that have access to my account, is something I will continue to use in the future.")</f>
        <v>If the app that have access to my account, is something I will continue to use in the future.</v>
      </c>
      <c r="C152" s="3"/>
      <c r="D152" s="3"/>
      <c r="E152" s="11"/>
      <c r="F152" s="11"/>
      <c r="H152" s="11"/>
      <c r="I152" s="11"/>
      <c r="J152" s="11"/>
    </row>
    <row r="153">
      <c r="A153">
        <f>IFERROR(__xludf.DUMMYFUNCTION("""COMPUTED_VALUE"""),184.0)</f>
        <v>184</v>
      </c>
      <c r="B153" s="11" t="str">
        <f>IFERROR(__xludf.DUMMYFUNCTION("""COMPUTED_VALUE"""),"I would look to confirm which apps actually have access and confirm what access they have")</f>
        <v>I would look to confirm which apps actually have access and confirm what access they have</v>
      </c>
      <c r="C153" s="3"/>
      <c r="D153" s="3"/>
      <c r="E153" s="11"/>
      <c r="F153" s="11"/>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t="str">
        <f>IFERROR(__xludf.DUMMYFUNCTION("""COMPUTED_VALUE"""),"Apps that I don't want to have access to my information")</f>
        <v>Apps that I don't want to have access to my information</v>
      </c>
      <c r="C155" s="11"/>
      <c r="D155" s="11"/>
      <c r="E155" s="11"/>
      <c r="F155" s="11"/>
      <c r="G155" s="11"/>
      <c r="H155" s="11"/>
      <c r="I155" s="11"/>
      <c r="J155" s="11"/>
    </row>
    <row r="156">
      <c r="A156">
        <f>IFERROR(__xludf.DUMMYFUNCTION("""COMPUTED_VALUE"""),187.0)</f>
        <v>187</v>
      </c>
      <c r="B156" s="11"/>
      <c r="C156" s="11"/>
      <c r="D156" s="11"/>
      <c r="E156" s="11"/>
      <c r="F156" s="11"/>
      <c r="G156" s="11"/>
      <c r="H156" s="11"/>
      <c r="I156" s="11"/>
      <c r="J156" s="11"/>
    </row>
    <row r="157">
      <c r="A157">
        <f>IFERROR(__xludf.DUMMYFUNCTION("""COMPUTED_VALUE"""),188.0)</f>
        <v>188</v>
      </c>
      <c r="B157" s="11"/>
      <c r="C157" s="11"/>
      <c r="D157" s="11"/>
      <c r="E157" s="11"/>
      <c r="F157" s="11"/>
      <c r="G157" s="11"/>
      <c r="H157" s="11"/>
      <c r="I157" s="11"/>
      <c r="J157" s="11"/>
    </row>
    <row r="158">
      <c r="A158">
        <f>IFERROR(__xludf.DUMMYFUNCTION("""COMPUTED_VALUE"""),189.0)</f>
        <v>189</v>
      </c>
      <c r="B158" s="11" t="str">
        <f>IFERROR(__xludf.DUMMYFUNCTION("""COMPUTED_VALUE"""),"What I have installed, and If I really need it.")</f>
        <v>What I have installed, and If I really need it.</v>
      </c>
      <c r="C158" s="11"/>
      <c r="D158" s="11"/>
      <c r="E158" s="11"/>
      <c r="F158" s="11"/>
      <c r="G158" s="11"/>
      <c r="H158" s="11"/>
      <c r="I158" s="11"/>
      <c r="J158" s="11"/>
    </row>
    <row r="159">
      <c r="A159">
        <f>IFERROR(__xludf.DUMMYFUNCTION("""COMPUTED_VALUE"""),190.0)</f>
        <v>190</v>
      </c>
      <c r="B159" s="11" t="str">
        <f>IFERROR(__xludf.DUMMYFUNCTION("""COMPUTED_VALUE"""),"Apps that I no longer use or apps with suspicious permissions.")</f>
        <v>Apps that I no longer use or apps with suspicious permissions.</v>
      </c>
      <c r="C159" s="11"/>
      <c r="D159" s="11"/>
      <c r="E159" s="11"/>
      <c r="F159" s="11"/>
      <c r="G159" s="11"/>
      <c r="H159" s="11"/>
      <c r="I159" s="11"/>
      <c r="J159" s="11"/>
    </row>
    <row r="160">
      <c r="A160">
        <f>IFERROR(__xludf.DUMMYFUNCTION("""COMPUTED_VALUE"""),191.0)</f>
        <v>191</v>
      </c>
      <c r="B160" s="11" t="str">
        <f>IFERROR(__xludf.DUMMYFUNCTION("""COMPUTED_VALUE"""),"how many apps have access")</f>
        <v>how many apps have access</v>
      </c>
      <c r="C160" s="11"/>
      <c r="D160" s="11"/>
      <c r="E160" s="11"/>
      <c r="F160" s="11"/>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t="str">
        <f>IFERROR(__xludf.DUMMYFUNCTION("""COMPUTED_VALUE"""),"I would like for any apps that have access to my account.")</f>
        <v>I would like for any apps that have access to my account.</v>
      </c>
      <c r="C162" s="11"/>
      <c r="D162" s="11"/>
      <c r="E162" s="11"/>
      <c r="F162" s="11"/>
      <c r="G162" s="11"/>
      <c r="H162" s="11"/>
      <c r="I162" s="11"/>
      <c r="J162" s="11"/>
    </row>
    <row r="163">
      <c r="A163">
        <f>IFERROR(__xludf.DUMMYFUNCTION("""COMPUTED_VALUE"""),194.0)</f>
        <v>194</v>
      </c>
      <c r="B163" s="11" t="str">
        <f>IFERROR(__xludf.DUMMYFUNCTION("""COMPUTED_VALUE"""),"I would look to see any third party logins in six months")</f>
        <v>I would look to see any third party logins in six months</v>
      </c>
      <c r="C163" s="11"/>
      <c r="D163" s="11"/>
      <c r="E163" s="11"/>
      <c r="F163" s="11"/>
      <c r="G163" s="11"/>
      <c r="H163" s="11"/>
      <c r="I163" s="11"/>
      <c r="J163" s="11"/>
    </row>
    <row r="164">
      <c r="A164">
        <f>IFERROR(__xludf.DUMMYFUNCTION("""COMPUTED_VALUE"""),195.0)</f>
        <v>195</v>
      </c>
      <c r="B164" s="11"/>
      <c r="C164" s="11"/>
      <c r="D164" s="11"/>
      <c r="E164" s="11"/>
      <c r="F164" s="11"/>
      <c r="G164" s="11"/>
      <c r="H164" s="11"/>
      <c r="I164" s="11"/>
      <c r="J164" s="11"/>
    </row>
    <row r="165">
      <c r="A165">
        <f>IFERROR(__xludf.DUMMYFUNCTION("""COMPUTED_VALUE"""),196.0)</f>
        <v>196</v>
      </c>
      <c r="B165" s="11" t="str">
        <f>IFERROR(__xludf.DUMMYFUNCTION("""COMPUTED_VALUE"""),"I would look for the apps that I do not use anymore, and also review and reflect why some of these apps require to access different parts of my Google account. This may determine whether I keep some apps or not too.")</f>
        <v>I would look for the apps that I do not use anymore, and also review and reflect why some of these apps require to access different parts of my Google account. This may determine whether I keep some apps or not too.</v>
      </c>
      <c r="C165" s="11"/>
      <c r="D165" s="11"/>
      <c r="E165" s="11"/>
      <c r="F165" s="11"/>
      <c r="G165" s="11"/>
      <c r="H165" s="11"/>
      <c r="I165" s="11"/>
      <c r="J165" s="11"/>
    </row>
    <row r="166">
      <c r="A166">
        <f>IFERROR(__xludf.DUMMYFUNCTION("""COMPUTED_VALUE"""),197.0)</f>
        <v>197</v>
      </c>
      <c r="B166" s="11"/>
      <c r="C166" s="11"/>
      <c r="D166" s="11"/>
      <c r="E166" s="11"/>
      <c r="F166" s="11"/>
      <c r="G166" s="11"/>
      <c r="H166" s="11"/>
      <c r="I166" s="11"/>
      <c r="J166" s="11"/>
    </row>
    <row r="167">
      <c r="A167">
        <f>IFERROR(__xludf.DUMMYFUNCTION("""COMPUTED_VALUE"""),198.0)</f>
        <v>198</v>
      </c>
      <c r="B167" s="11"/>
      <c r="C167" s="11"/>
      <c r="D167" s="11"/>
      <c r="E167" s="11"/>
      <c r="F167" s="11"/>
      <c r="G167" s="11"/>
      <c r="H167" s="11"/>
      <c r="I167" s="11"/>
      <c r="J167" s="11"/>
    </row>
    <row r="168">
      <c r="A168">
        <f>IFERROR(__xludf.DUMMYFUNCTION("""COMPUTED_VALUE"""),199.0)</f>
        <v>199</v>
      </c>
      <c r="B168" s="11" t="str">
        <f>IFERROR(__xludf.DUMMYFUNCTION("""COMPUTED_VALUE"""),"If any new apps are listed that I don't remember approving. Also, just as a safeguard for my data.")</f>
        <v>If any new apps are listed that I don't remember approving. Also, just as a safeguard for my data.</v>
      </c>
      <c r="C168" s="11"/>
      <c r="D168" s="11"/>
      <c r="E168" s="11"/>
      <c r="F168" s="11"/>
      <c r="G168" s="11"/>
      <c r="H168" s="11"/>
      <c r="I168" s="11"/>
      <c r="J168" s="11"/>
    </row>
    <row r="169">
      <c r="A169">
        <f>IFERROR(__xludf.DUMMYFUNCTION("""COMPUTED_VALUE"""),200.0)</f>
        <v>200</v>
      </c>
      <c r="B169" s="11" t="str">
        <f>IFERROR(__xludf.DUMMYFUNCTION("""COMPUTED_VALUE"""),"I would look to make sure there haven't been any alterations to accesses.")</f>
        <v>I would look to make sure there haven't been any alterations to accesses.</v>
      </c>
      <c r="C169" s="11"/>
      <c r="D169" s="11"/>
      <c r="E169" s="11"/>
      <c r="F169" s="11"/>
      <c r="G169" s="11"/>
      <c r="H169" s="11"/>
      <c r="I169" s="11"/>
      <c r="J169" s="11"/>
    </row>
    <row r="170">
      <c r="A170">
        <f>IFERROR(__xludf.DUMMYFUNCTION("""COMPUTED_VALUE"""),201.0)</f>
        <v>201</v>
      </c>
      <c r="B170" s="11" t="str">
        <f>IFERROR(__xludf.DUMMYFUNCTION("""COMPUTED_VALUE"""),"What they can see and change. How much info they have...")</f>
        <v>What they can see and change. How much info they have...</v>
      </c>
      <c r="C170" s="11"/>
      <c r="D170" s="11"/>
      <c r="E170" s="11"/>
      <c r="F170" s="11"/>
      <c r="G170" s="11"/>
      <c r="H170" s="11"/>
      <c r="I170" s="11"/>
      <c r="J170" s="11"/>
    </row>
    <row r="171">
      <c r="A171">
        <f>IFERROR(__xludf.DUMMYFUNCTION("""COMPUTED_VALUE"""),202.0)</f>
        <v>202</v>
      </c>
      <c r="B171" s="11" t="str">
        <f>IFERROR(__xludf.DUMMYFUNCTION("""COMPUTED_VALUE"""),"I would look for apps that I no longer use.")</f>
        <v>I would look for apps that I no longer use.</v>
      </c>
      <c r="C171" s="11"/>
      <c r="D171" s="11"/>
      <c r="E171" s="11"/>
      <c r="F171" s="11"/>
      <c r="G171" s="11"/>
      <c r="H171" s="11"/>
      <c r="I171" s="11"/>
      <c r="J171" s="11"/>
    </row>
    <row r="172">
      <c r="A172">
        <f>IFERROR(__xludf.DUMMYFUNCTION("""COMPUTED_VALUE"""),203.0)</f>
        <v>203</v>
      </c>
      <c r="B172" s="11" t="str">
        <f>IFERROR(__xludf.DUMMYFUNCTION("""COMPUTED_VALUE"""),"If they have anything to do with money.")</f>
        <v>If they have anything to do with money.</v>
      </c>
      <c r="C172" s="11"/>
      <c r="D172" s="11"/>
      <c r="E172" s="11"/>
      <c r="F172" s="11"/>
      <c r="G172" s="11"/>
      <c r="H172" s="11"/>
      <c r="I172" s="11"/>
      <c r="J172" s="11"/>
    </row>
    <row r="173">
      <c r="A173">
        <f>IFERROR(__xludf.DUMMYFUNCTION("""COMPUTED_VALUE"""),204.0)</f>
        <v>204</v>
      </c>
      <c r="B173" s="11" t="str">
        <f>IFERROR(__xludf.DUMMYFUNCTION("""COMPUTED_VALUE"""),"Websites and apps I no longer use that still have permission to use my account.")</f>
        <v>Websites and apps I no longer use that still have permission to use my account.</v>
      </c>
      <c r="C173" s="11"/>
      <c r="D173" s="11"/>
      <c r="E173" s="11"/>
      <c r="F173" s="11"/>
      <c r="G173" s="11"/>
      <c r="H173" s="11"/>
      <c r="I173" s="11"/>
      <c r="J173" s="11"/>
    </row>
    <row r="174">
      <c r="A174">
        <f>IFERROR(__xludf.DUMMYFUNCTION("""COMPUTED_VALUE"""),205.0)</f>
        <v>205</v>
      </c>
      <c r="B174" s="11" t="str">
        <f>IFERROR(__xludf.DUMMYFUNCTION("""COMPUTED_VALUE"""),"Which apps I use on a regular basis, which apps may warrant creation of a specific account for that purpose.")</f>
        <v>Which apps I use on a regular basis, which apps may warrant creation of a specific account for that purpose.</v>
      </c>
      <c r="C174" s="11"/>
      <c r="D174" s="11"/>
      <c r="E174" s="11"/>
      <c r="F174" s="11"/>
      <c r="G174" s="11"/>
      <c r="H174" s="11"/>
      <c r="I174" s="11"/>
      <c r="J174" s="11"/>
    </row>
    <row r="175">
      <c r="A175">
        <f>IFERROR(__xludf.DUMMYFUNCTION("""COMPUTED_VALUE"""),206.0)</f>
        <v>206</v>
      </c>
      <c r="B175" s="11" t="str">
        <f>IFERROR(__xludf.DUMMYFUNCTION("""COMPUTED_VALUE"""),"If there are permissions given that I did not authorize.")</f>
        <v>If there are permissions given that I did not authorize.</v>
      </c>
      <c r="C175" s="11"/>
      <c r="D175" s="11"/>
      <c r="E175" s="11"/>
      <c r="F175" s="11"/>
      <c r="G175" s="11"/>
      <c r="H175" s="11"/>
      <c r="I175" s="11"/>
      <c r="J175" s="11"/>
    </row>
    <row r="176">
      <c r="A176">
        <f>IFERROR(__xludf.DUMMYFUNCTION("""COMPUTED_VALUE"""),207.0)</f>
        <v>207</v>
      </c>
      <c r="B176" s="11" t="str">
        <f>IFERROR(__xludf.DUMMYFUNCTION("""COMPUTED_VALUE"""),"If I have given permission to apps that I should not have given permission to use my Google account.")</f>
        <v>If I have given permission to apps that I should not have given permission to use my Google account.</v>
      </c>
      <c r="C176" s="11"/>
      <c r="D176" s="11"/>
      <c r="E176" s="11"/>
      <c r="F176" s="11"/>
      <c r="G176" s="11"/>
      <c r="H176" s="11"/>
      <c r="I176" s="11"/>
      <c r="J176" s="11"/>
    </row>
    <row r="177">
      <c r="A177">
        <f>IFERROR(__xludf.DUMMYFUNCTION("""COMPUTED_VALUE"""),208.0)</f>
        <v>208</v>
      </c>
      <c r="B177" s="11"/>
      <c r="C177" s="11"/>
      <c r="D177" s="11"/>
      <c r="E177" s="11"/>
      <c r="F177" s="11"/>
      <c r="G177" s="11"/>
      <c r="H177" s="11"/>
      <c r="I177" s="11"/>
      <c r="J177" s="11"/>
    </row>
    <row r="178">
      <c r="A178">
        <f>IFERROR(__xludf.DUMMYFUNCTION("""COMPUTED_VALUE"""),209.0)</f>
        <v>209</v>
      </c>
      <c r="B178" s="11" t="str">
        <f>IFERROR(__xludf.DUMMYFUNCTION("""COMPUTED_VALUE"""),"I would like to see what I can get rid of")</f>
        <v>I would like to see what I can get rid of</v>
      </c>
      <c r="C178" s="11"/>
      <c r="D178" s="11"/>
      <c r="E178" s="11"/>
      <c r="F178" s="11"/>
      <c r="G178" s="11"/>
      <c r="H178" s="11"/>
      <c r="I178" s="11"/>
      <c r="J178" s="11"/>
    </row>
    <row r="179">
      <c r="A179">
        <f>IFERROR(__xludf.DUMMYFUNCTION("""COMPUTED_VALUE"""),210.0)</f>
        <v>210</v>
      </c>
      <c r="B179" s="11" t="str">
        <f>IFERROR(__xludf.DUMMYFUNCTION("""COMPUTED_VALUE"""),"i need to read what apps are seeing and what exactly i signed up for, plus check to see if anything has changed like they got more access without saying anything")</f>
        <v>i need to read what apps are seeing and what exactly i signed up for, plus check to see if anything has changed like they got more access without saying anything</v>
      </c>
      <c r="C179" s="11"/>
      <c r="D179" s="11"/>
      <c r="E179" s="11"/>
      <c r="F179" s="11"/>
      <c r="G179" s="11"/>
      <c r="H179" s="11"/>
      <c r="I179" s="11"/>
      <c r="J179" s="11"/>
    </row>
    <row r="180">
      <c r="A180">
        <f>IFERROR(__xludf.DUMMYFUNCTION("""COMPUTED_VALUE"""),211.0)</f>
        <v>211</v>
      </c>
      <c r="B180" s="11" t="str">
        <f>IFERROR(__xludf.DUMMYFUNCTION("""COMPUTED_VALUE"""),"I'd look for apps that had permissions to access areas other than what I feel they are intended to access.")</f>
        <v>I'd look for apps that had permissions to access areas other than what I feel they are intended to access.</v>
      </c>
      <c r="C180" s="11"/>
      <c r="D180" s="11"/>
      <c r="E180" s="11"/>
      <c r="F180" s="11"/>
      <c r="G180" s="11"/>
      <c r="H180" s="11"/>
      <c r="I180" s="11"/>
      <c r="J180" s="11"/>
    </row>
    <row r="181">
      <c r="A181">
        <f>IFERROR(__xludf.DUMMYFUNCTION("""COMPUTED_VALUE"""),212.0)</f>
        <v>212</v>
      </c>
      <c r="B181" s="11"/>
      <c r="C181" s="11"/>
      <c r="D181" s="11"/>
      <c r="E181" s="11"/>
      <c r="F181" s="11"/>
      <c r="G181" s="11"/>
      <c r="H181" s="11"/>
      <c r="I181" s="11"/>
      <c r="J181" s="11"/>
    </row>
    <row r="182">
      <c r="A182">
        <f>IFERROR(__xludf.DUMMYFUNCTION("""COMPUTED_VALUE"""),213.0)</f>
        <v>213</v>
      </c>
      <c r="B182" s="11" t="str">
        <f>IFERROR(__xludf.DUMMYFUNCTION("""COMPUTED_VALUE"""),"Date usage, Privacy settings, and linked accounts.")</f>
        <v>Date usage, Privacy settings, and linked accounts.</v>
      </c>
      <c r="C182" s="11"/>
      <c r="D182" s="11"/>
      <c r="E182" s="11"/>
      <c r="F182" s="11"/>
      <c r="G182" s="11"/>
      <c r="H182" s="11"/>
      <c r="I182" s="11"/>
      <c r="J182" s="11"/>
    </row>
    <row r="183">
      <c r="A183">
        <f>IFERROR(__xludf.DUMMYFUNCTION("""COMPUTED_VALUE"""),214.0)</f>
        <v>214</v>
      </c>
      <c r="B183" s="11"/>
      <c r="C183" s="11"/>
      <c r="D183" s="11"/>
      <c r="E183" s="11"/>
      <c r="F183" s="11"/>
      <c r="G183" s="11"/>
      <c r="H183" s="11"/>
      <c r="I183" s="11"/>
      <c r="J183" s="11"/>
    </row>
    <row r="184">
      <c r="A184">
        <f>IFERROR(__xludf.DUMMYFUNCTION("""COMPUTED_VALUE"""),216.0)</f>
        <v>216</v>
      </c>
      <c r="B184" s="11"/>
      <c r="C184" s="11"/>
      <c r="D184" s="11"/>
      <c r="E184" s="11"/>
      <c r="F184" s="11"/>
      <c r="G184" s="11"/>
      <c r="H184" s="11"/>
      <c r="I184" s="11"/>
      <c r="J184" s="11"/>
    </row>
    <row r="185">
      <c r="A185">
        <f>IFERROR(__xludf.DUMMYFUNCTION("""COMPUTED_VALUE"""),218.0)</f>
        <v>218</v>
      </c>
      <c r="B185" s="11" t="str">
        <f>IFERROR(__xludf.DUMMYFUNCTION("""COMPUTED_VALUE"""),"What information is shared")</f>
        <v>What information is shared</v>
      </c>
      <c r="C185" s="11"/>
      <c r="D185" s="11"/>
      <c r="E185" s="11"/>
      <c r="F185" s="11"/>
      <c r="G185" s="11"/>
      <c r="H185" s="11"/>
      <c r="I185" s="11"/>
      <c r="J185" s="11"/>
    </row>
    <row r="186">
      <c r="A186">
        <f>IFERROR(__xludf.DUMMYFUNCTION("""COMPUTED_VALUE"""),219.0)</f>
        <v>219</v>
      </c>
      <c r="B186" s="11"/>
      <c r="C186" s="11"/>
      <c r="D186" s="11"/>
      <c r="E186" s="11"/>
      <c r="F186" s="11"/>
      <c r="G186" s="11"/>
      <c r="H186" s="11"/>
      <c r="I186" s="11"/>
      <c r="J186" s="11"/>
    </row>
    <row r="187">
      <c r="A187">
        <f>IFERROR(__xludf.DUMMYFUNCTION("""COMPUTED_VALUE"""),220.0)</f>
        <v>220</v>
      </c>
      <c r="B187" s="11" t="str">
        <f>IFERROR(__xludf.DUMMYFUNCTION("""COMPUTED_VALUE"""),"The same information I was given today and re-evaluate how long I have used each application, what information it has access to and whether it is necessary for the applications to be given the permissions it has.")</f>
        <v>The same information I was given today and re-evaluate how long I have used each application, what information it has access to and whether it is necessary for the applications to be given the permissions it has.</v>
      </c>
      <c r="C187" s="11"/>
      <c r="D187" s="11"/>
      <c r="E187" s="11"/>
      <c r="F187" s="11"/>
      <c r="G187" s="11"/>
      <c r="H187" s="11"/>
      <c r="I187" s="11"/>
      <c r="J187" s="11"/>
    </row>
    <row r="188">
      <c r="A188">
        <f>IFERROR(__xludf.DUMMYFUNCTION("""COMPUTED_VALUE"""),221.0)</f>
        <v>221</v>
      </c>
      <c r="B188" s="11"/>
      <c r="C188" s="11"/>
      <c r="D188" s="11"/>
      <c r="E188" s="11"/>
      <c r="F188" s="11"/>
      <c r="G188" s="11"/>
      <c r="H188" s="11"/>
      <c r="I188" s="11"/>
      <c r="J188" s="11"/>
    </row>
    <row r="189">
      <c r="A189">
        <f>IFERROR(__xludf.DUMMYFUNCTION("""COMPUTED_VALUE"""),222.0)</f>
        <v>222</v>
      </c>
      <c r="B189" s="11"/>
      <c r="C189" s="11"/>
      <c r="D189" s="11"/>
      <c r="E189" s="11"/>
      <c r="F189" s="11"/>
      <c r="G189" s="11"/>
      <c r="H189" s="11"/>
      <c r="I189" s="11"/>
      <c r="J189" s="11"/>
    </row>
    <row r="190">
      <c r="A190">
        <f>IFERROR(__xludf.DUMMYFUNCTION("""COMPUTED_VALUE"""),223.0)</f>
        <v>223</v>
      </c>
      <c r="B190" s="11" t="str">
        <f>IFERROR(__xludf.DUMMYFUNCTION("""COMPUTED_VALUE"""),"If any of the permissions, etc have changed")</f>
        <v>If any of the permissions, etc have changed</v>
      </c>
      <c r="C190" s="11"/>
      <c r="D190" s="11"/>
      <c r="E190" s="11"/>
      <c r="F190" s="11"/>
      <c r="G190" s="11"/>
      <c r="H190" s="11"/>
      <c r="I190" s="11"/>
      <c r="J190" s="11"/>
    </row>
    <row r="191">
      <c r="A191">
        <f>IFERROR(__xludf.DUMMYFUNCTION("""COMPUTED_VALUE"""),224.0)</f>
        <v>224</v>
      </c>
      <c r="B191" s="11" t="str">
        <f>IFERROR(__xludf.DUMMYFUNCTION("""COMPUTED_VALUE"""),"I will want to see what the functions of the app are, and compare the permissions it's asking for to see if they are truly necessary.")</f>
        <v>I will want to see what the functions of the app are, and compare the permissions it's asking for to see if they are truly necessary.</v>
      </c>
      <c r="C191" s="11"/>
      <c r="D191" s="11"/>
      <c r="E191" s="11"/>
      <c r="F191" s="11"/>
      <c r="G191" s="11"/>
      <c r="H191" s="11"/>
      <c r="I191" s="11"/>
      <c r="J191" s="11"/>
    </row>
    <row r="192">
      <c r="A192">
        <f>IFERROR(__xludf.DUMMYFUNCTION("""COMPUTED_VALUE"""),225.0)</f>
        <v>225</v>
      </c>
      <c r="B192" s="11" t="str">
        <f>IFERROR(__xludf.DUMMYFUNCTION("""COMPUTED_VALUE"""),"I'd look to see what apps have been added to the account, and I may consider removing apps I do not use from the account.")</f>
        <v>I'd look to see what apps have been added to the account, and I may consider removing apps I do not use from the account.</v>
      </c>
      <c r="C192" s="11"/>
      <c r="D192" s="11"/>
      <c r="E192" s="11"/>
      <c r="F192" s="11"/>
      <c r="G192" s="11"/>
      <c r="H192" s="11"/>
      <c r="I192" s="11"/>
      <c r="J192" s="11"/>
    </row>
    <row r="193">
      <c r="A193">
        <f>IFERROR(__xludf.DUMMYFUNCTION("""COMPUTED_VALUE"""),226.0)</f>
        <v>226</v>
      </c>
      <c r="B193" s="11" t="str">
        <f>IFERROR(__xludf.DUMMYFUNCTION("""COMPUTED_VALUE"""),"I would look at how often I'm using those apps and if they are serving me.")</f>
        <v>I would look at how often I'm using those apps and if they are serving me.</v>
      </c>
      <c r="C193" s="11"/>
      <c r="D193" s="11"/>
      <c r="E193" s="11"/>
      <c r="F193" s="11"/>
      <c r="G193" s="11"/>
      <c r="H193" s="11"/>
      <c r="I193" s="11"/>
      <c r="J193" s="11"/>
    </row>
    <row r="194">
      <c r="A194">
        <f>IFERROR(__xludf.DUMMYFUNCTION("""COMPUTED_VALUE"""),227.0)</f>
        <v>227</v>
      </c>
      <c r="B194" s="11" t="str">
        <f>IFERROR(__xludf.DUMMYFUNCTION("""COMPUTED_VALUE"""),"I would just like to check up on what parts of my information the app has.")</f>
        <v>I would just like to check up on what parts of my information the app has.</v>
      </c>
      <c r="C194" s="11"/>
      <c r="D194" s="11"/>
      <c r="E194" s="11"/>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t="str">
        <f>IFERROR(__xludf.DUMMYFUNCTION("""COMPUTED_VALUE"""),"I would likely look to see if there are new apps accessing my information since this survey was done.")</f>
        <v>I would likely look to see if there are new apps accessing my information since this survey was done.</v>
      </c>
      <c r="C197" s="11"/>
      <c r="D197" s="11"/>
      <c r="E197" s="11"/>
      <c r="F197" s="11"/>
      <c r="G197" s="11"/>
      <c r="H197" s="11"/>
      <c r="I197" s="11"/>
      <c r="J197" s="11"/>
    </row>
    <row r="198">
      <c r="A198">
        <f>IFERROR(__xludf.DUMMYFUNCTION("""COMPUTED_VALUE"""),231.0)</f>
        <v>231</v>
      </c>
      <c r="B198" s="11" t="str">
        <f>IFERROR(__xludf.DUMMYFUNCTION("""COMPUTED_VALUE"""),"To see if anything has changed, I realize that companies are constantly changing their terms and policies.")</f>
        <v>To see if anything has changed, I realize that companies are constantly changing their terms and policies.</v>
      </c>
      <c r="C198" s="11"/>
      <c r="D198" s="11"/>
      <c r="E198" s="11"/>
      <c r="F198" s="11"/>
      <c r="G198" s="11"/>
      <c r="H198" s="11"/>
      <c r="I198" s="11"/>
      <c r="J198" s="11"/>
    </row>
    <row r="199">
      <c r="A199">
        <f>IFERROR(__xludf.DUMMYFUNCTION("""COMPUTED_VALUE"""),232.0)</f>
        <v>232</v>
      </c>
      <c r="B199" s="11" t="str">
        <f>IFERROR(__xludf.DUMMYFUNCTION("""COMPUTED_VALUE"""),"I would check which apps are on there and whether they need to be on there.")</f>
        <v>I would check which apps are on there and whether they need to be on there.</v>
      </c>
      <c r="C199" s="11"/>
      <c r="D199" s="11"/>
      <c r="E199" s="11"/>
      <c r="F199" s="11"/>
      <c r="G199" s="11"/>
      <c r="H199" s="11"/>
      <c r="I199" s="11"/>
      <c r="J199" s="11"/>
    </row>
    <row r="200">
      <c r="A200">
        <f>IFERROR(__xludf.DUMMYFUNCTION("""COMPUTED_VALUE"""),233.0)</f>
        <v>233</v>
      </c>
      <c r="B200" s="11"/>
      <c r="C200" s="11"/>
      <c r="D200" s="11"/>
      <c r="E200" s="11"/>
      <c r="F200" s="11"/>
      <c r="G200" s="11"/>
      <c r="H200" s="11"/>
      <c r="I200" s="11"/>
      <c r="J200" s="11"/>
    </row>
    <row r="201">
      <c r="A201">
        <f>IFERROR(__xludf.DUMMYFUNCTION("""COMPUTED_VALUE"""),234.0)</f>
        <v>234</v>
      </c>
      <c r="B201" s="11"/>
      <c r="C201" s="11"/>
      <c r="D201" s="11"/>
      <c r="E201" s="11"/>
      <c r="F201" s="11"/>
      <c r="G201" s="11"/>
      <c r="H201" s="11"/>
      <c r="I201" s="11"/>
      <c r="J201" s="11"/>
    </row>
    <row r="202">
      <c r="A202">
        <f>IFERROR(__xludf.DUMMYFUNCTION("""COMPUTED_VALUE"""),235.0)</f>
        <v>235</v>
      </c>
      <c r="B202" s="11" t="str">
        <f>IFERROR(__xludf.DUMMYFUNCTION("""COMPUTED_VALUE"""),"What new apps with access, and any shady apps with weird access.")</f>
        <v>What new apps with access, and any shady apps with weird access.</v>
      </c>
      <c r="C202" s="11"/>
      <c r="D202" s="11"/>
      <c r="E202" s="11"/>
      <c r="F202" s="11"/>
      <c r="G202" s="11"/>
      <c r="H202" s="11"/>
      <c r="I202" s="11"/>
      <c r="J202" s="11"/>
    </row>
    <row r="203">
      <c r="A203">
        <f>IFERROR(__xludf.DUMMYFUNCTION("""COMPUTED_VALUE"""),236.0)</f>
        <v>236</v>
      </c>
      <c r="B203" s="11" t="str">
        <f>IFERROR(__xludf.DUMMYFUNCTION("""COMPUTED_VALUE"""),"Apps I do not want/use or trust")</f>
        <v>Apps I do not want/use or trust</v>
      </c>
      <c r="C203" s="11"/>
      <c r="D203" s="11"/>
      <c r="E203" s="11"/>
      <c r="F203" s="11"/>
      <c r="G203" s="11"/>
      <c r="H203" s="11"/>
      <c r="I203" s="11"/>
      <c r="J203" s="11"/>
    </row>
    <row r="204">
      <c r="A204">
        <f>IFERROR(__xludf.DUMMYFUNCTION("""COMPUTED_VALUE"""),237.0)</f>
        <v>237</v>
      </c>
      <c r="B204" s="11" t="str">
        <f>IFERROR(__xludf.DUMMYFUNCTION("""COMPUTED_VALUE"""),"What information they can access and how long they have had this information.")</f>
        <v>What information they can access and how long they have had this information.</v>
      </c>
      <c r="C204" s="11"/>
      <c r="D204" s="11"/>
      <c r="E204" s="11"/>
      <c r="F204" s="11"/>
      <c r="G204" s="11"/>
      <c r="H204" s="11"/>
      <c r="I204" s="11"/>
      <c r="J204" s="11"/>
    </row>
    <row r="205">
      <c r="A205">
        <f>IFERROR(__xludf.DUMMYFUNCTION("""COMPUTED_VALUE"""),238.0)</f>
        <v>238</v>
      </c>
      <c r="B205" s="11" t="str">
        <f>IFERROR(__xludf.DUMMYFUNCTION("""COMPUTED_VALUE"""),"If I still use the app. 
 If I still trust the app. 
 If I feel okay with the permissions the app has.")</f>
        <v>If I still use the app. 
 If I still trust the app. 
 If I feel okay with the permissions the app has.</v>
      </c>
      <c r="C205" s="11"/>
      <c r="D205" s="11"/>
      <c r="E205" s="11"/>
      <c r="F205" s="11"/>
      <c r="G205" s="11"/>
      <c r="H205" s="11"/>
      <c r="I205" s="11"/>
      <c r="J205" s="11"/>
    </row>
    <row r="206">
      <c r="A206">
        <f>IFERROR(__xludf.DUMMYFUNCTION("""COMPUTED_VALUE"""),239.0)</f>
        <v>239</v>
      </c>
      <c r="B206" s="11" t="str">
        <f>IFERROR(__xludf.DUMMYFUNCTION("""COMPUTED_VALUE"""),"What permissions are allowed and if anything was added that I was unaware of.")</f>
        <v>What permissions are allowed and if anything was added that I was unaware of.</v>
      </c>
      <c r="C206" s="11"/>
      <c r="D206" s="11"/>
      <c r="E206" s="11"/>
      <c r="F206" s="11"/>
      <c r="G206" s="11"/>
      <c r="H206" s="11"/>
      <c r="I206" s="11"/>
      <c r="J206" s="11"/>
    </row>
    <row r="207">
      <c r="A207">
        <f>IFERROR(__xludf.DUMMYFUNCTION("""COMPUTED_VALUE"""),240.0)</f>
        <v>240</v>
      </c>
      <c r="B207" s="11" t="str">
        <f>IFERROR(__xludf.DUMMYFUNCTION("""COMPUTED_VALUE"""),"the information the apps have access to")</f>
        <v>the information the apps have access to</v>
      </c>
      <c r="C207" s="11"/>
      <c r="D207" s="11"/>
      <c r="E207" s="11"/>
      <c r="F207" s="11"/>
      <c r="G207" s="11"/>
      <c r="H207" s="11"/>
      <c r="I207" s="11"/>
      <c r="J207" s="11"/>
    </row>
    <row r="208">
      <c r="A208">
        <f>IFERROR(__xludf.DUMMYFUNCTION("""COMPUTED_VALUE"""),241.0)</f>
        <v>241</v>
      </c>
      <c r="B208" s="11" t="str">
        <f>IFERROR(__xludf.DUMMYFUNCTION("""COMPUTED_VALUE"""),"I would just look at what apps are utilizing what and then I will ask myself how often I even use that app.")</f>
        <v>I would just look at what apps are utilizing what and then I will ask myself how often I even use that app.</v>
      </c>
      <c r="C208" s="11"/>
      <c r="D208" s="11"/>
      <c r="E208" s="11"/>
      <c r="F208" s="11"/>
      <c r="G208" s="11"/>
      <c r="H208" s="11"/>
      <c r="I208" s="11"/>
      <c r="J208" s="11"/>
    </row>
    <row r="209">
      <c r="A209">
        <f>IFERROR(__xludf.DUMMYFUNCTION("""COMPUTED_VALUE"""),242.0)</f>
        <v>242</v>
      </c>
      <c r="B209" s="11" t="str">
        <f>IFERROR(__xludf.DUMMYFUNCTION("""COMPUTED_VALUE"""),"I would want to know exactly what those apps have access to. Actually wish there was more information there. Seems like it is a little generic.")</f>
        <v>I would want to know exactly what those apps have access to. Actually wish there was more information there. Seems like it is a little generic.</v>
      </c>
      <c r="C209" s="11"/>
      <c r="D209" s="11"/>
      <c r="E209" s="11"/>
      <c r="F209" s="11"/>
      <c r="G209" s="11"/>
      <c r="H209" s="11"/>
      <c r="I209" s="11"/>
      <c r="J209" s="11"/>
    </row>
    <row r="210">
      <c r="A210">
        <f>IFERROR(__xludf.DUMMYFUNCTION("""COMPUTED_VALUE"""),243.0)</f>
        <v>243</v>
      </c>
      <c r="B210" s="11" t="str">
        <f>IFERROR(__xludf.DUMMYFUNCTION("""COMPUTED_VALUE"""),"Apps I don't want to have particular access or that I dont know about")</f>
        <v>Apps I don't want to have particular access or that I dont know about</v>
      </c>
      <c r="C210" s="11"/>
      <c r="D210" s="11"/>
      <c r="E210" s="11"/>
      <c r="F210" s="11"/>
      <c r="G210" s="11"/>
      <c r="H210" s="11"/>
      <c r="I210" s="11"/>
      <c r="J210" s="11"/>
    </row>
    <row r="211">
      <c r="A211">
        <f>IFERROR(__xludf.DUMMYFUNCTION("""COMPUTED_VALUE"""),244.0)</f>
        <v>244</v>
      </c>
      <c r="B211" s="11" t="str">
        <f>IFERROR(__xludf.DUMMYFUNCTION("""COMPUTED_VALUE"""),"I would make sure that the apps that were listed were ones that I used and trusted.")</f>
        <v>I would make sure that the apps that were listed were ones that I used and trusted.</v>
      </c>
      <c r="C211" s="11"/>
      <c r="D211" s="11"/>
      <c r="E211" s="11"/>
      <c r="F211" s="11"/>
      <c r="G211" s="11"/>
      <c r="H211" s="11"/>
      <c r="I211" s="11"/>
      <c r="J211" s="11"/>
    </row>
    <row r="212">
      <c r="A212">
        <f>IFERROR(__xludf.DUMMYFUNCTION("""COMPUTED_VALUE"""),245.0)</f>
        <v>245</v>
      </c>
      <c r="B212" s="11" t="str">
        <f>IFERROR(__xludf.DUMMYFUNCTION("""COMPUTED_VALUE"""),"Extent of access and which apps")</f>
        <v>Extent of access and which apps</v>
      </c>
      <c r="C212" s="11"/>
      <c r="D212" s="11"/>
      <c r="E212" s="11"/>
      <c r="F212" s="11"/>
      <c r="G212" s="11"/>
      <c r="H212" s="11"/>
      <c r="I212" s="11"/>
      <c r="J212" s="11"/>
    </row>
    <row r="213">
      <c r="A213">
        <f>IFERROR(__xludf.DUMMYFUNCTION("""COMPUTED_VALUE"""),246.0)</f>
        <v>246</v>
      </c>
      <c r="B213" s="11"/>
      <c r="C213" s="11"/>
      <c r="D213" s="11"/>
      <c r="E213" s="11"/>
      <c r="F213" s="11"/>
      <c r="G213" s="11"/>
      <c r="H213" s="11"/>
      <c r="I213" s="11"/>
      <c r="J213" s="11"/>
    </row>
    <row r="214">
      <c r="A214">
        <f>IFERROR(__xludf.DUMMYFUNCTION("""COMPUTED_VALUE"""),247.0)</f>
        <v>247</v>
      </c>
      <c r="B214" s="11" t="str">
        <f>IFERROR(__xludf.DUMMYFUNCTION("""COMPUTED_VALUE"""),"To see if something snuck in and authorized access")</f>
        <v>To see if something snuck in and authorized access</v>
      </c>
      <c r="C214" s="11"/>
      <c r="D214" s="11"/>
      <c r="E214" s="11"/>
      <c r="F214" s="11"/>
      <c r="G214" s="11"/>
      <c r="H214" s="11"/>
      <c r="I214" s="11"/>
      <c r="J214" s="11"/>
    </row>
    <row r="215">
      <c r="A215">
        <f>IFERROR(__xludf.DUMMYFUNCTION("""COMPUTED_VALUE"""),248.0)</f>
        <v>248</v>
      </c>
      <c r="B215" s="11" t="str">
        <f>IFERROR(__xludf.DUMMYFUNCTION("""COMPUTED_VALUE"""),"Any apps I don't recognize/don't use anymore, and any permissions that grant more information/access than I'm comfortable providing")</f>
        <v>Any apps I don't recognize/don't use anymore, and any permissions that grant more information/access than I'm comfortable providing</v>
      </c>
      <c r="C215" s="11"/>
      <c r="D215" s="11"/>
      <c r="E215" s="11"/>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30.86"/>
  </cols>
  <sheetData>
    <row r="1">
      <c r="A1" s="15" t="s">
        <v>785</v>
      </c>
      <c r="B1" s="28"/>
      <c r="C1" s="28"/>
      <c r="D1" s="28"/>
      <c r="E1" s="15" t="s">
        <v>786</v>
      </c>
      <c r="F1" s="28"/>
    </row>
    <row r="2">
      <c r="A2" s="28" t="str">
        <f>IFERROR(__xludf.DUMMYFUNCTION("QUERY({'Q20 (secondary)'!C2:C1000;'Q20 (secondary)'!D2:D1000;'Q20 (secondary)'!E2:E1000;'Q20 (secondary)'!F2:F1000;'Q20 (secondary)'!G2:G1000;'Q20 (secondary)'!H2:H1000;'Q20 (secondary)'!I2:I1000;'Q20 (secondary)'!J2:J1000;'Q20 (secondary)'!K2:K1000}, ""s"&amp;"elect Col1, count(Col1) where Col1 is not null group by Col1 order by Col1 asc"")"),"")</f>
        <v/>
      </c>
      <c r="B2" s="28" t="str">
        <f>IFERROR(__xludf.DUMMYFUNCTION("""COMPUTED_VALUE"""),"count ")</f>
        <v>count </v>
      </c>
      <c r="C2" s="28"/>
      <c r="D2" s="28"/>
      <c r="E2" s="28" t="str">
        <f>IFERROR(__xludf.DUMMYFUNCTION("QUERY({'Q20 (secondary)'!C2:C1000;'Q20 (secondary)'!D2:D1000;'Q20 (secondary)'!E2:E1000;'Q20 (secondary)'!F2:F1000;'Q20 (secondary)'!G2:G1000;'Q20 (secondary)'!H2:H1000;'Q20 (secondary)'!I2:I1000;'Q20 (secondary)'!J2:J1000;'Q20 (secondary)'!K2:K1000}, ""s"&amp;"elect Col1, count(Col1) where Col1 is not null and not Col1 contains '-&gt;' group by Col1 order by count(Col1) asc"")"),"")</f>
        <v/>
      </c>
      <c r="F2" s="28" t="str">
        <f>IFERROR(__xludf.DUMMYFUNCTION("""COMPUTED_VALUE"""),"count ")</f>
        <v>count </v>
      </c>
    </row>
    <row r="3">
      <c r="A3" t="str">
        <f>IFERROR(__xludf.DUMMYFUNCTION("""COMPUTED_VALUE"""),"assess_risks")</f>
        <v>assess_risks</v>
      </c>
      <c r="B3">
        <f>IFERROR(__xludf.DUMMYFUNCTION("""COMPUTED_VALUE"""),1.0)</f>
        <v>1</v>
      </c>
      <c r="E3" t="str">
        <f>IFERROR(__xludf.DUMMYFUNCTION("""COMPUTED_VALUE"""),"assess_risks")</f>
        <v>assess_risks</v>
      </c>
      <c r="F3">
        <f>IFERROR(__xludf.DUMMYFUNCTION("""COMPUTED_VALUE"""),1.0)</f>
        <v>1</v>
      </c>
    </row>
    <row r="4">
      <c r="A4" t="str">
        <f>IFERROR(__xludf.DUMMYFUNCTION("""COMPUTED_VALUE"""),"change_permissions")</f>
        <v>change_permissions</v>
      </c>
      <c r="B4">
        <f>IFERROR(__xludf.DUMMYFUNCTION("""COMPUTED_VALUE"""),3.0)</f>
        <v>3</v>
      </c>
      <c r="E4" t="str">
        <f>IFERROR(__xludf.DUMMYFUNCTION("""COMPUTED_VALUE"""),"change_permissions")</f>
        <v>change_permissions</v>
      </c>
      <c r="F4">
        <f>IFERROR(__xludf.DUMMYFUNCTION("""COMPUTED_VALUE"""),3.0)</f>
        <v>3</v>
      </c>
    </row>
    <row r="5">
      <c r="A5" t="str">
        <f>IFERROR(__xludf.DUMMYFUNCTION("""COMPUTED_VALUE"""),"remove_app_access")</f>
        <v>remove_app_access</v>
      </c>
      <c r="B5">
        <f>IFERROR(__xludf.DUMMYFUNCTION("""COMPUTED_VALUE"""),7.0)</f>
        <v>7</v>
      </c>
      <c r="E5" t="str">
        <f>IFERROR(__xludf.DUMMYFUNCTION("""COMPUTED_VALUE"""),"remove_app_access")</f>
        <v>remove_app_access</v>
      </c>
      <c r="F5">
        <f>IFERROR(__xludf.DUMMYFUNCTION("""COMPUTED_VALUE"""),7.0)</f>
        <v>7</v>
      </c>
    </row>
    <row r="6">
      <c r="A6" t="str">
        <f>IFERROR(__xludf.DUMMYFUNCTION("""COMPUTED_VALUE"""),"remove_app_access-&gt;unused_apps")</f>
        <v>remove_app_access-&gt;unused_apps</v>
      </c>
      <c r="B6">
        <f>IFERROR(__xludf.DUMMYFUNCTION("""COMPUTED_VALUE"""),3.0)</f>
        <v>3</v>
      </c>
      <c r="E6" t="str">
        <f>IFERROR(__xludf.DUMMYFUNCTION("""COMPUTED_VALUE"""),"review_app_access")</f>
        <v>review_app_access</v>
      </c>
      <c r="F6">
        <f>IFERROR(__xludf.DUMMYFUNCTION("""COMPUTED_VALUE"""),30.0)</f>
        <v>30</v>
      </c>
    </row>
    <row r="7">
      <c r="A7" t="str">
        <f>IFERROR(__xludf.DUMMYFUNCTION("""COMPUTED_VALUE"""),"review_app_access")</f>
        <v>review_app_access</v>
      </c>
      <c r="B7">
        <f>IFERROR(__xludf.DUMMYFUNCTION("""COMPUTED_VALUE"""),30.0)</f>
        <v>30</v>
      </c>
    </row>
    <row r="8">
      <c r="A8" t="str">
        <f>IFERROR(__xludf.DUMMYFUNCTION("""COMPUTED_VALUE"""),"review_app_access-&gt;accidentally_added")</f>
        <v>review_app_access-&gt;accidentally_added</v>
      </c>
      <c r="B8">
        <f>IFERROR(__xludf.DUMMYFUNCTION("""COMPUTED_VALUE"""),1.0)</f>
        <v>1</v>
      </c>
    </row>
    <row r="9">
      <c r="A9" t="str">
        <f>IFERROR(__xludf.DUMMYFUNCTION("""COMPUTED_VALUE"""),"review_app_access-&gt;do_not_remember_authorizing")</f>
        <v>review_app_access-&gt;do_not_remember_authorizing</v>
      </c>
      <c r="B9">
        <f>IFERROR(__xludf.DUMMYFUNCTION("""COMPUTED_VALUE"""),4.0)</f>
        <v>4</v>
      </c>
    </row>
    <row r="10">
      <c r="A10" t="str">
        <f>IFERROR(__xludf.DUMMYFUNCTION("""COMPUTED_VALUE"""),"review_app_access-&gt;how_much_access_allowed")</f>
        <v>review_app_access-&gt;how_much_access_allowed</v>
      </c>
      <c r="B10">
        <f>IFERROR(__xludf.DUMMYFUNCTION("""COMPUTED_VALUE"""),1.0)</f>
        <v>1</v>
      </c>
    </row>
    <row r="11">
      <c r="A11" t="str">
        <f>IFERROR(__xludf.DUMMYFUNCTION("""COMPUTED_VALUE"""),"review_app_access-&gt;necessary_permissions_only")</f>
        <v>review_app_access-&gt;necessary_permissions_only</v>
      </c>
      <c r="B11">
        <f>IFERROR(__xludf.DUMMYFUNCTION("""COMPUTED_VALUE"""),2.0)</f>
        <v>2</v>
      </c>
    </row>
    <row r="12">
      <c r="A12" t="str">
        <f>IFERROR(__xludf.DUMMYFUNCTION("""COMPUTED_VALUE"""),"review_app_access-&gt;permissions")</f>
        <v>review_app_access-&gt;permissions</v>
      </c>
      <c r="B12">
        <f>IFERROR(__xludf.DUMMYFUNCTION("""COMPUTED_VALUE"""),10.0)</f>
        <v>10</v>
      </c>
    </row>
    <row r="13">
      <c r="A13" t="str">
        <f>IFERROR(__xludf.DUMMYFUNCTION("""COMPUTED_VALUE"""),"review_app_access-&gt;permissions-&gt;account_info")</f>
        <v>review_app_access-&gt;permissions-&gt;account_info</v>
      </c>
      <c r="B13">
        <f>IFERROR(__xludf.DUMMYFUNCTION("""COMPUTED_VALUE"""),3.0)</f>
        <v>3</v>
      </c>
    </row>
    <row r="14">
      <c r="A14" t="str">
        <f>IFERROR(__xludf.DUMMYFUNCTION("""COMPUTED_VALUE"""),"review_app_access-&gt;permissions-&gt;contacts")</f>
        <v>review_app_access-&gt;permissions-&gt;contacts</v>
      </c>
      <c r="B14">
        <f>IFERROR(__xludf.DUMMYFUNCTION("""COMPUTED_VALUE"""),1.0)</f>
        <v>1</v>
      </c>
    </row>
    <row r="15">
      <c r="A15" t="str">
        <f>IFERROR(__xludf.DUMMYFUNCTION("""COMPUTED_VALUE"""),"review_app_access-&gt;permissions_changed")</f>
        <v>review_app_access-&gt;permissions_changed</v>
      </c>
      <c r="B15">
        <f>IFERROR(__xludf.DUMMYFUNCTION("""COMPUTED_VALUE"""),1.0)</f>
        <v>1</v>
      </c>
    </row>
    <row r="16">
      <c r="A16" t="str">
        <f>IFERROR(__xludf.DUMMYFUNCTION("""COMPUTED_VALUE"""),"review_app_access-&gt;suspicious_apps")</f>
        <v>review_app_access-&gt;suspicious_apps</v>
      </c>
      <c r="B16">
        <f>IFERROR(__xludf.DUMMYFUNCTION("""COMPUTED_VALUE"""),1.0)</f>
        <v>1</v>
      </c>
    </row>
    <row r="17">
      <c r="A17" t="str">
        <f>IFERROR(__xludf.DUMMYFUNCTION("""COMPUTED_VALUE"""),"review_app_access-&gt;unused_apps")</f>
        <v>review_app_access-&gt;unused_apps</v>
      </c>
      <c r="B17">
        <f>IFERROR(__xludf.DUMMYFUNCTION("""COMPUTED_VALUE"""),11.0)</f>
        <v>11</v>
      </c>
    </row>
    <row r="18">
      <c r="A18" t="str">
        <f>IFERROR(__xludf.DUMMYFUNCTION("""COMPUTED_VALUE"""),"review_app_access-&gt;what_data_is_accessible")</f>
        <v>review_app_access-&gt;what_data_is_accessible</v>
      </c>
      <c r="B18">
        <f>IFERROR(__xludf.DUMMYFUNCTION("""COMPUTED_VALUE"""),3.0)</f>
        <v>3</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14"/>
    <col customWidth="1" min="2" max="2" width="48.14"/>
    <col customWidth="1" min="3" max="3" width="35.57"/>
    <col customWidth="1" min="4" max="10" width="30.29"/>
  </cols>
  <sheetData>
    <row r="1">
      <c r="A1" s="41" t="str">
        <f>IFERROR(__xludf.DUMMYFUNCTION("QUERY('All Responses'!2:1001,""select A,G"")"),"Response ID")</f>
        <v>Response ID</v>
      </c>
      <c r="B1" s="16" t="str">
        <f>IFERROR(__xludf.DUMMYFUNCTION("""COMPUTED_VALUE"""),"fut_features")</f>
        <v>fut_features</v>
      </c>
      <c r="C1" s="16" t="s">
        <v>750</v>
      </c>
      <c r="D1" s="16" t="s">
        <v>751</v>
      </c>
      <c r="E1" s="16" t="s">
        <v>752</v>
      </c>
      <c r="F1" s="16" t="s">
        <v>753</v>
      </c>
      <c r="G1" s="16" t="s">
        <v>754</v>
      </c>
      <c r="H1" s="16" t="s">
        <v>755</v>
      </c>
      <c r="I1" s="16" t="s">
        <v>756</v>
      </c>
      <c r="J1" s="16" t="s">
        <v>757</v>
      </c>
    </row>
    <row r="2">
      <c r="A2" s="42">
        <f>IFERROR(__xludf.DUMMYFUNCTION("""COMPUTED_VALUE"""),27.0)</f>
        <v>27</v>
      </c>
      <c r="B2" s="18" t="str">
        <f>IFERROR(__xludf.DUMMYFUNCTION("""COMPUTED_VALUE"""),"more transparaency")</f>
        <v>more transparaency</v>
      </c>
      <c r="C2" s="3" t="s">
        <v>871</v>
      </c>
      <c r="D2" s="3"/>
      <c r="E2" s="3"/>
      <c r="F2" s="3"/>
      <c r="G2" s="3"/>
      <c r="H2" s="11"/>
      <c r="I2" s="11"/>
      <c r="J2" s="11"/>
    </row>
    <row r="3">
      <c r="A3" s="42">
        <f>IFERROR(__xludf.DUMMYFUNCTION("""COMPUTED_VALUE"""),29.0)</f>
        <v>29</v>
      </c>
      <c r="B3" s="18" t="str">
        <f>IFERROR(__xludf.DUMMYFUNCTION("""COMPUTED_VALUE"""),"monthly reminders")</f>
        <v>monthly reminders</v>
      </c>
      <c r="C3" s="27" t="s">
        <v>872</v>
      </c>
      <c r="D3" s="3" t="s">
        <v>873</v>
      </c>
      <c r="E3" s="3" t="s">
        <v>874</v>
      </c>
      <c r="F3" s="3"/>
      <c r="G3" s="11"/>
      <c r="H3" s="11"/>
      <c r="I3" s="11"/>
      <c r="J3" s="11"/>
    </row>
    <row r="4">
      <c r="A4" s="42">
        <f>IFERROR(__xludf.DUMMYFUNCTION("""COMPUTED_VALUE"""),30.0)</f>
        <v>30</v>
      </c>
      <c r="B4" s="18" t="str">
        <f>IFERROR(__xludf.DUMMYFUNCTION("""COMPUTED_VALUE"""),"None")</f>
        <v>None</v>
      </c>
      <c r="C4" s="50" t="s">
        <v>18</v>
      </c>
      <c r="D4" s="3"/>
      <c r="E4" s="3"/>
      <c r="F4" s="3"/>
      <c r="G4" s="11"/>
      <c r="H4" s="11"/>
      <c r="I4" s="11"/>
      <c r="J4" s="11"/>
    </row>
    <row r="5">
      <c r="A5" s="42">
        <f>IFERROR(__xludf.DUMMYFUNCTION("""COMPUTED_VALUE"""),31.0)</f>
        <v>31</v>
      </c>
      <c r="B5" s="18" t="str">
        <f>IFERROR(__xludf.DUMMYFUNCTION("""COMPUTED_VALUE"""),"a way to set a date reminder to check")</f>
        <v>a way to set a date reminder to check</v>
      </c>
      <c r="C5" s="27" t="s">
        <v>872</v>
      </c>
      <c r="D5" s="3" t="s">
        <v>873</v>
      </c>
      <c r="E5" s="3" t="s">
        <v>875</v>
      </c>
      <c r="F5" s="3"/>
      <c r="G5" s="3"/>
      <c r="H5" s="11"/>
      <c r="I5" s="11"/>
      <c r="J5" s="11"/>
      <c r="K5" s="48"/>
      <c r="L5" s="48"/>
      <c r="M5" s="48"/>
      <c r="N5" s="48"/>
      <c r="O5" s="48"/>
      <c r="P5" s="48"/>
      <c r="Q5" s="48"/>
      <c r="R5" s="48"/>
      <c r="S5" s="48"/>
      <c r="T5" s="48"/>
      <c r="U5" s="48"/>
      <c r="V5" s="48"/>
      <c r="W5" s="48"/>
      <c r="X5" s="48"/>
      <c r="Y5" s="48"/>
      <c r="Z5" s="48"/>
    </row>
    <row r="6">
      <c r="A6" s="42">
        <f>IFERROR(__xludf.DUMMYFUNCTION("""COMPUTED_VALUE"""),32.0)</f>
        <v>32</v>
      </c>
      <c r="B6" s="18" t="str">
        <f>IFERROR(__xludf.DUMMYFUNCTION("""COMPUTED_VALUE"""),"none i like it now honestly")</f>
        <v>none i like it now honestly</v>
      </c>
      <c r="C6" s="50" t="s">
        <v>18</v>
      </c>
      <c r="D6" s="11"/>
      <c r="E6" s="11"/>
      <c r="F6" s="11"/>
      <c r="G6" s="11"/>
      <c r="H6" s="11"/>
      <c r="I6" s="11"/>
      <c r="J6" s="11"/>
    </row>
    <row r="7">
      <c r="A7" s="42">
        <f>IFERROR(__xludf.DUMMYFUNCTION("""COMPUTED_VALUE"""),34.0)</f>
        <v>34</v>
      </c>
      <c r="B7" s="18" t="str">
        <f>IFERROR(__xludf.DUMMYFUNCTION("""COMPUTED_VALUE"""),"I would like to see how often I sign into the apps, to help determine how necessary it is to continue allowing them access.")</f>
        <v>I would like to see how often I sign into the apps, to help determine how necessary it is to continue allowing them access.</v>
      </c>
      <c r="C7" s="3" t="s">
        <v>871</v>
      </c>
      <c r="D7" t="s">
        <v>876</v>
      </c>
      <c r="E7" s="3"/>
      <c r="F7" s="3"/>
      <c r="G7" s="3"/>
      <c r="H7" s="3"/>
      <c r="I7" s="11"/>
      <c r="J7" s="11"/>
    </row>
    <row r="8">
      <c r="A8" s="42">
        <f>IFERROR(__xludf.DUMMYFUNCTION("""COMPUTED_VALUE"""),35.0)</f>
        <v>35</v>
      </c>
      <c r="B8" s="18" t="str">
        <f>IFERROR(__xludf.DUMMYFUNCTION("""COMPUTED_VALUE"""),"I cannot think of any way this could be more useful. When you click, it expands, and you get additional info about the access the app has.")</f>
        <v>I cannot think of any way this could be more useful. When you click, it expands, and you get additional info about the access the app has.</v>
      </c>
      <c r="C8" s="50" t="s">
        <v>18</v>
      </c>
      <c r="D8" s="3"/>
      <c r="E8" s="11"/>
      <c r="F8" s="11"/>
      <c r="G8" s="11"/>
      <c r="H8" s="11"/>
      <c r="I8" s="11"/>
      <c r="J8" s="11"/>
    </row>
    <row r="9">
      <c r="A9" s="42">
        <f>IFERROR(__xludf.DUMMYFUNCTION("""COMPUTED_VALUE"""),36.0)</f>
        <v>36</v>
      </c>
      <c r="B9" s="20" t="str">
        <f>IFERROR(__xludf.DUMMYFUNCTION("""COMPUTED_VALUE"""),"Ability to pause the information that are currently being fed to the apps.")</f>
        <v>Ability to pause the information that are currently being fed to the apps.</v>
      </c>
      <c r="C9" s="50" t="s">
        <v>877</v>
      </c>
      <c r="D9" s="50" t="s">
        <v>878</v>
      </c>
      <c r="E9" s="3"/>
      <c r="F9" s="3"/>
      <c r="G9" s="3"/>
      <c r="H9" s="11"/>
      <c r="I9" s="11"/>
      <c r="J9" s="11"/>
    </row>
    <row r="10">
      <c r="A10" s="42">
        <f>IFERROR(__xludf.DUMMYFUNCTION("""COMPUTED_VALUE"""),37.0)</f>
        <v>37</v>
      </c>
      <c r="B10" s="18" t="str">
        <f>IFERROR(__xludf.DUMMYFUNCTION("""COMPUTED_VALUE"""),"none")</f>
        <v>none</v>
      </c>
      <c r="C10" s="50" t="s">
        <v>18</v>
      </c>
      <c r="D10" s="3"/>
      <c r="E10" s="3"/>
      <c r="G10" s="11"/>
      <c r="H10" s="11"/>
      <c r="I10" s="11"/>
      <c r="J10" s="11"/>
    </row>
    <row r="11">
      <c r="A11" s="42">
        <f>IFERROR(__xludf.DUMMYFUNCTION("""COMPUTED_VALUE"""),38.0)</f>
        <v>38</v>
      </c>
      <c r="B11" s="18" t="str">
        <f>IFERROR(__xludf.DUMMYFUNCTION("""COMPUTED_VALUE"""),"a quick easy way to (1) edit the amount of access that each thrid party app has and (2) delete apps I no longer want")</f>
        <v>a quick easy way to (1) edit the amount of access that each thrid party app has and (2) delete apps I no longer want</v>
      </c>
      <c r="C11" s="24" t="s">
        <v>879</v>
      </c>
      <c r="D11" s="27" t="s">
        <v>880</v>
      </c>
      <c r="E11" s="11"/>
      <c r="F11" s="11"/>
      <c r="G11" s="11"/>
      <c r="H11" s="11"/>
      <c r="I11" s="11"/>
      <c r="J11" s="11"/>
    </row>
    <row r="12">
      <c r="A12" s="42">
        <f>IFERROR(__xludf.DUMMYFUNCTION("""COMPUTED_VALUE"""),39.0)</f>
        <v>39</v>
      </c>
      <c r="B12" s="18" t="str">
        <f>IFERROR(__xludf.DUMMYFUNCTION("""COMPUTED_VALUE"""),"A way to remove access")</f>
        <v>A way to remove access</v>
      </c>
      <c r="C12" s="27" t="s">
        <v>880</v>
      </c>
      <c r="D12" s="3"/>
      <c r="E12" s="11"/>
      <c r="F12" s="11"/>
      <c r="G12" s="11"/>
      <c r="H12" s="11"/>
      <c r="I12" s="11"/>
      <c r="J12" s="11"/>
    </row>
    <row r="13">
      <c r="A13" s="42">
        <f>IFERROR(__xludf.DUMMYFUNCTION("""COMPUTED_VALUE"""),40.0)</f>
        <v>40</v>
      </c>
      <c r="B13" s="18" t="str">
        <f>IFERROR(__xludf.DUMMYFUNCTION("""COMPUTED_VALUE"""),"A fast delete button/express removal")</f>
        <v>A fast delete button/express removal</v>
      </c>
      <c r="C13" s="27" t="s">
        <v>880</v>
      </c>
      <c r="D13" s="3"/>
      <c r="E13" s="11"/>
      <c r="F13" s="11"/>
      <c r="G13" s="11"/>
      <c r="H13" s="11"/>
      <c r="I13" s="11"/>
      <c r="J13" s="11"/>
    </row>
    <row r="14">
      <c r="A14" s="42">
        <f>IFERROR(__xludf.DUMMYFUNCTION("""COMPUTED_VALUE"""),41.0)</f>
        <v>41</v>
      </c>
      <c r="B14" s="18" t="str">
        <f>IFERROR(__xludf.DUMMYFUNCTION("""COMPUTED_VALUE"""),"To see what kinds of information the app is using.")</f>
        <v>To see what kinds of information the app is using.</v>
      </c>
      <c r="C14" s="3" t="s">
        <v>871</v>
      </c>
      <c r="D14" s="3" t="s">
        <v>881</v>
      </c>
      <c r="E14" s="3"/>
      <c r="F14" s="3"/>
      <c r="G14" s="11"/>
      <c r="H14" s="11"/>
      <c r="I14" s="11"/>
      <c r="J14" s="11"/>
    </row>
    <row r="15">
      <c r="A15" s="42">
        <f>IFERROR(__xludf.DUMMYFUNCTION("""COMPUTED_VALUE"""),42.0)</f>
        <v>42</v>
      </c>
      <c r="B15" s="18" t="str">
        <f>IFERROR(__xludf.DUMMYFUNCTION("""COMPUTED_VALUE"""),"Notifications to review periodically.")</f>
        <v>Notifications to review periodically.</v>
      </c>
      <c r="C15" s="27" t="s">
        <v>872</v>
      </c>
      <c r="D15" s="27" t="s">
        <v>882</v>
      </c>
      <c r="E15" s="11"/>
      <c r="F15" s="11"/>
      <c r="G15" s="11"/>
      <c r="H15" s="11"/>
      <c r="I15" s="11"/>
      <c r="J15" s="11"/>
      <c r="K15" s="48"/>
      <c r="L15" s="48"/>
      <c r="M15" s="48"/>
      <c r="N15" s="48"/>
      <c r="O15" s="48"/>
      <c r="P15" s="48"/>
      <c r="Q15" s="48"/>
      <c r="R15" s="48"/>
      <c r="S15" s="48"/>
      <c r="T15" s="48"/>
      <c r="U15" s="48"/>
      <c r="V15" s="48"/>
      <c r="W15" s="48"/>
      <c r="X15" s="48"/>
      <c r="Y15" s="48"/>
      <c r="Z15" s="48"/>
    </row>
    <row r="16">
      <c r="A16" s="42">
        <f>IFERROR(__xludf.DUMMYFUNCTION("""COMPUTED_VALUE"""),43.0)</f>
        <v>43</v>
      </c>
      <c r="B16" s="20" t="str">
        <f>IFERROR(__xludf.DUMMYFUNCTION("""COMPUTED_VALUE"""),"I think it would be useful for them to show when I last used an app and when the app last used my data, to see if the app is using my data even when I have not used the app in a while.")</f>
        <v>I think it would be useful for them to show when I last used an app and when the app last used my data, to see if the app is using my data even when I have not used the app in a while.</v>
      </c>
      <c r="C16" s="3" t="s">
        <v>871</v>
      </c>
      <c r="D16" s="27" t="s">
        <v>883</v>
      </c>
      <c r="E16" s="3" t="s">
        <v>876</v>
      </c>
      <c r="F16" s="11"/>
      <c r="G16" s="11"/>
      <c r="H16" s="11"/>
      <c r="I16" s="11"/>
      <c r="J16" s="11"/>
      <c r="K16" s="48"/>
      <c r="L16" s="48"/>
      <c r="M16" s="48"/>
      <c r="N16" s="48"/>
      <c r="O16" s="48"/>
      <c r="P16" s="48"/>
      <c r="Q16" s="48"/>
      <c r="R16" s="48"/>
      <c r="S16" s="48"/>
      <c r="T16" s="48"/>
      <c r="U16" s="48"/>
      <c r="V16" s="48"/>
      <c r="W16" s="48"/>
      <c r="X16" s="48"/>
      <c r="Y16" s="48"/>
      <c r="Z16" s="48"/>
    </row>
    <row r="17">
      <c r="A17" s="42">
        <f>IFERROR(__xludf.DUMMYFUNCTION("""COMPUTED_VALUE"""),44.0)</f>
        <v>44</v>
      </c>
      <c r="B17" s="18" t="str">
        <f>IFERROR(__xludf.DUMMYFUNCTION("""COMPUTED_VALUE"""),"N/A")</f>
        <v>N/A</v>
      </c>
      <c r="C17" s="50" t="s">
        <v>18</v>
      </c>
      <c r="D17" s="19"/>
      <c r="E17" s="19"/>
      <c r="F17" s="11"/>
      <c r="G17" s="11"/>
      <c r="H17" s="11"/>
      <c r="I17" s="11"/>
      <c r="J17" s="11"/>
    </row>
    <row r="18">
      <c r="A18" s="42">
        <f>IFERROR(__xludf.DUMMYFUNCTION("""COMPUTED_VALUE"""),45.0)</f>
        <v>45</v>
      </c>
      <c r="B18" s="18" t="str">
        <f>IFERROR(__xludf.DUMMYFUNCTION("""COMPUTED_VALUE"""),"App filtering by date installed/authorized")</f>
        <v>App filtering by date installed/authorized</v>
      </c>
      <c r="C18" s="27" t="s">
        <v>884</v>
      </c>
      <c r="D18" s="27" t="s">
        <v>885</v>
      </c>
      <c r="E18" s="3"/>
      <c r="F18" s="11"/>
      <c r="G18" s="11"/>
      <c r="H18" s="11"/>
      <c r="I18" s="11"/>
      <c r="J18" s="11"/>
    </row>
    <row r="19">
      <c r="A19" s="42">
        <f>IFERROR(__xludf.DUMMYFUNCTION("""COMPUTED_VALUE"""),46.0)</f>
        <v>46</v>
      </c>
      <c r="B19" s="18" t="str">
        <f>IFERROR(__xludf.DUMMYFUNCTION("""COMPUTED_VALUE"""),"Not sure")</f>
        <v>Not sure</v>
      </c>
      <c r="C19" s="56" t="s">
        <v>886</v>
      </c>
      <c r="D19" s="19"/>
      <c r="E19" s="3"/>
      <c r="F19" s="11"/>
      <c r="G19" s="11"/>
      <c r="H19" s="11"/>
      <c r="I19" s="11"/>
      <c r="J19" s="11"/>
    </row>
    <row r="20">
      <c r="A20" s="42">
        <f>IFERROR(__xludf.DUMMYFUNCTION("""COMPUTED_VALUE"""),47.0)</f>
        <v>47</v>
      </c>
      <c r="B20" s="18" t="str">
        <f>IFERROR(__xludf.DUMMYFUNCTION("""COMPUTED_VALUE"""),"Disable which apps have access to what.")</f>
        <v>Disable which apps have access to what.</v>
      </c>
      <c r="C20" s="24" t="s">
        <v>879</v>
      </c>
      <c r="D20" s="3"/>
      <c r="E20" s="3"/>
      <c r="F20" s="11"/>
      <c r="G20" s="11"/>
      <c r="H20" s="11"/>
      <c r="I20" s="11"/>
      <c r="J20" s="11"/>
    </row>
    <row r="21">
      <c r="A21" s="42">
        <f>IFERROR(__xludf.DUMMYFUNCTION("""COMPUTED_VALUE"""),48.0)</f>
        <v>48</v>
      </c>
      <c r="B21" s="18" t="str">
        <f>IFERROR(__xludf.DUMMYFUNCTION("""COMPUTED_VALUE"""),"Quick delete any apps that have access.")</f>
        <v>Quick delete any apps that have access.</v>
      </c>
      <c r="C21" s="27" t="s">
        <v>880</v>
      </c>
      <c r="D21" s="3"/>
      <c r="E21" s="11"/>
      <c r="F21" s="11"/>
      <c r="G21" s="11"/>
      <c r="H21" s="11"/>
      <c r="I21" s="11"/>
      <c r="J21" s="11"/>
    </row>
    <row r="22">
      <c r="A22" s="42">
        <f>IFERROR(__xludf.DUMMYFUNCTION("""COMPUTED_VALUE"""),49.0)</f>
        <v>49</v>
      </c>
      <c r="B22" s="18" t="str">
        <f>IFERROR(__xludf.DUMMYFUNCTION("""COMPUTED_VALUE"""),"None that II can think of.")</f>
        <v>None that II can think of.</v>
      </c>
      <c r="C22" s="50" t="s">
        <v>18</v>
      </c>
      <c r="D22" s="19"/>
      <c r="E22" s="3"/>
      <c r="F22" s="3"/>
      <c r="G22" s="11"/>
      <c r="H22" s="11"/>
      <c r="I22" s="11"/>
      <c r="J22" s="11"/>
    </row>
    <row r="23">
      <c r="A23" s="42">
        <f>IFERROR(__xludf.DUMMYFUNCTION("""COMPUTED_VALUE"""),50.0)</f>
        <v>50</v>
      </c>
      <c r="B23" s="18" t="str">
        <f>IFERROR(__xludf.DUMMYFUNCTION("""COMPUTED_VALUE"""),"easy delete or block button ... notice of access")</f>
        <v>easy delete or block button ... notice of access</v>
      </c>
      <c r="C23" s="27" t="s">
        <v>880</v>
      </c>
      <c r="D23" s="27" t="s">
        <v>872</v>
      </c>
      <c r="E23" s="27" t="s">
        <v>887</v>
      </c>
      <c r="F23" s="11"/>
      <c r="G23" s="11"/>
      <c r="H23" s="11"/>
      <c r="I23" s="11"/>
      <c r="J23" s="11"/>
    </row>
    <row r="24">
      <c r="A24" s="42">
        <f>IFERROR(__xludf.DUMMYFUNCTION("""COMPUTED_VALUE"""),51.0)</f>
        <v>51</v>
      </c>
      <c r="B24" s="18" t="str">
        <f>IFERROR(__xludf.DUMMYFUNCTION("""COMPUTED_VALUE"""),"The option to immediately disconnect all of an app's access and a report feature if something seems shady or intrusive.")</f>
        <v>The option to immediately disconnect all of an app's access and a report feature if something seems shady or intrusive.</v>
      </c>
      <c r="C24" s="27" t="s">
        <v>880</v>
      </c>
      <c r="D24" s="3" t="s">
        <v>871</v>
      </c>
      <c r="E24" s="3" t="s">
        <v>888</v>
      </c>
      <c r="F24" s="11"/>
      <c r="G24" s="11"/>
      <c r="H24" s="11"/>
      <c r="I24" s="11"/>
      <c r="J24" s="11"/>
    </row>
    <row r="25">
      <c r="A25" s="42">
        <f>IFERROR(__xludf.DUMMYFUNCTION("""COMPUTED_VALUE"""),52.0)</f>
        <v>52</v>
      </c>
      <c r="B25" s="18" t="str">
        <f>IFERROR(__xludf.DUMMYFUNCTION("""COMPUTED_VALUE"""),"Any sort of insight into why the apps have the permissions they have. Being able to sort by type(s) of permissions would also be great.")</f>
        <v>Any sort of insight into why the apps have the permissions they have. Being able to sort by type(s) of permissions would also be great.</v>
      </c>
      <c r="C25" s="27" t="s">
        <v>884</v>
      </c>
      <c r="D25" s="50" t="s">
        <v>889</v>
      </c>
      <c r="E25" s="27" t="s">
        <v>871</v>
      </c>
      <c r="F25" s="27" t="s">
        <v>890</v>
      </c>
      <c r="G25" s="11"/>
      <c r="H25" s="11"/>
      <c r="I25" s="11"/>
      <c r="J25" s="11"/>
    </row>
    <row r="26">
      <c r="A26" s="42">
        <f>IFERROR(__xludf.DUMMYFUNCTION("""COMPUTED_VALUE"""),53.0)</f>
        <v>53</v>
      </c>
      <c r="B26" s="18" t="str">
        <f>IFERROR(__xludf.DUMMYFUNCTION("""COMPUTED_VALUE"""),"None")</f>
        <v>None</v>
      </c>
      <c r="C26" s="50" t="s">
        <v>18</v>
      </c>
      <c r="D26" s="3"/>
      <c r="E26" s="3"/>
      <c r="F26" s="11"/>
      <c r="G26" s="11"/>
      <c r="H26" s="11"/>
      <c r="I26" s="11"/>
      <c r="J26" s="11"/>
    </row>
    <row r="27">
      <c r="A27" s="42">
        <f>IFERROR(__xludf.DUMMYFUNCTION("""COMPUTED_VALUE"""),54.0)</f>
        <v>54</v>
      </c>
      <c r="B27" s="18" t="str">
        <f>IFERROR(__xludf.DUMMYFUNCTION("""COMPUTED_VALUE"""),"The list of apps and sites that are linked in some way but don't have direct access")</f>
        <v>The list of apps and sites that are linked in some way but don't have direct access</v>
      </c>
      <c r="C27" s="27" t="s">
        <v>871</v>
      </c>
      <c r="D27" s="27" t="s">
        <v>891</v>
      </c>
      <c r="E27" s="11"/>
      <c r="F27" s="11"/>
      <c r="G27" s="11"/>
      <c r="H27" s="11"/>
      <c r="I27" s="11"/>
      <c r="J27" s="11"/>
    </row>
    <row r="28">
      <c r="A28" s="42">
        <f>IFERROR(__xludf.DUMMYFUNCTION("""COMPUTED_VALUE"""),55.0)</f>
        <v>55</v>
      </c>
      <c r="B28" s="18" t="str">
        <f>IFERROR(__xludf.DUMMYFUNCTION("""COMPUTED_VALUE"""),"ability to log in and access easily")</f>
        <v>ability to log in and access easily</v>
      </c>
      <c r="C28" s="27" t="s">
        <v>884</v>
      </c>
      <c r="D28" s="3" t="s">
        <v>892</v>
      </c>
      <c r="E28" s="3"/>
      <c r="F28" s="19"/>
      <c r="G28" s="11"/>
      <c r="H28" s="11"/>
      <c r="I28" s="11"/>
      <c r="J28" s="11"/>
    </row>
    <row r="29">
      <c r="A29">
        <f>IFERROR(__xludf.DUMMYFUNCTION("""COMPUTED_VALUE"""),56.0)</f>
        <v>56</v>
      </c>
      <c r="B29" s="11" t="str">
        <f>IFERROR(__xludf.DUMMYFUNCTION("""COMPUTED_VALUE"""),"I would like the ability to temporarily block certain App access, or schedule them to only have access within certain times.")</f>
        <v>I would like the ability to temporarily block certain App access, or schedule them to only have access within certain times.</v>
      </c>
      <c r="C29" s="50" t="s">
        <v>877</v>
      </c>
      <c r="D29" s="50" t="s">
        <v>878</v>
      </c>
      <c r="E29" s="19"/>
      <c r="F29" s="19"/>
      <c r="G29" s="11"/>
      <c r="H29" s="11"/>
      <c r="I29" s="11"/>
      <c r="J29" s="11"/>
    </row>
    <row r="30">
      <c r="A30">
        <f>IFERROR(__xludf.DUMMYFUNCTION("""COMPUTED_VALUE"""),57.0)</f>
        <v>57</v>
      </c>
      <c r="B30" s="11" t="str">
        <f>IFERROR(__xludf.DUMMYFUNCTION("""COMPUTED_VALUE"""),"Maybe just some more specific icos for the labels. I like the layout otherwise.")</f>
        <v>Maybe just some more specific icos for the labels. I like the layout otherwise.</v>
      </c>
      <c r="C30" s="56" t="s">
        <v>884</v>
      </c>
      <c r="D30" s="56" t="s">
        <v>893</v>
      </c>
      <c r="E30" s="24"/>
      <c r="F30" s="11"/>
      <c r="G30" s="11"/>
      <c r="H30" s="11"/>
      <c r="I30" s="11"/>
      <c r="J30" s="11"/>
    </row>
    <row r="31">
      <c r="A31">
        <f>IFERROR(__xludf.DUMMYFUNCTION("""COMPUTED_VALUE"""),58.0)</f>
        <v>58</v>
      </c>
      <c r="B31" s="11" t="str">
        <f>IFERROR(__xludf.DUMMYFUNCTION("""COMPUTED_VALUE"""),"I'd like to secure my data supplied to Google.")</f>
        <v>I'd like to secure my data supplied to Google.</v>
      </c>
      <c r="C31" s="56" t="s">
        <v>894</v>
      </c>
      <c r="E31" s="11"/>
      <c r="F31" s="11"/>
      <c r="G31" s="11"/>
      <c r="H31" s="11"/>
      <c r="I31" s="11"/>
      <c r="J31" s="11"/>
    </row>
    <row r="32">
      <c r="A32">
        <f>IFERROR(__xludf.DUMMYFUNCTION("""COMPUTED_VALUE"""),59.0)</f>
        <v>59</v>
      </c>
      <c r="B32" s="11" t="str">
        <f>IFERROR(__xludf.DUMMYFUNCTION("""COMPUTED_VALUE"""),"I would like if it was easier to find the page in the first place or make it more prominent because I'm not even sure I know how to get to it. I'd also like to know how and what exactly these apps do with the information they get about me.")</f>
        <v>I would like if it was easier to find the page in the first place or make it more prominent because I'm not even sure I know how to get to it. I'd also like to know how and what exactly these apps do with the information they get about me.</v>
      </c>
      <c r="C32" s="27" t="s">
        <v>884</v>
      </c>
      <c r="D32" s="3" t="s">
        <v>892</v>
      </c>
      <c r="E32" s="11"/>
      <c r="F32" s="11"/>
      <c r="G32" s="11"/>
      <c r="H32" s="11"/>
      <c r="I32" s="11"/>
      <c r="J32" s="11"/>
    </row>
    <row r="33">
      <c r="A33">
        <f>IFERROR(__xludf.DUMMYFUNCTION("""COMPUTED_VALUE"""),60.0)</f>
        <v>60</v>
      </c>
      <c r="B33" s="11" t="str">
        <f>IFERROR(__xludf.DUMMYFUNCTION("""COMPUTED_VALUE"""),"None that I can think of.")</f>
        <v>None that I can think of.</v>
      </c>
      <c r="C33" s="50" t="s">
        <v>18</v>
      </c>
      <c r="D33" s="3"/>
      <c r="E33" s="11"/>
      <c r="F33" s="11"/>
      <c r="G33" s="11"/>
      <c r="H33" s="11"/>
      <c r="I33" s="11"/>
      <c r="J33" s="11"/>
    </row>
    <row r="34">
      <c r="A34">
        <f>IFERROR(__xludf.DUMMYFUNCTION("""COMPUTED_VALUE"""),61.0)</f>
        <v>61</v>
      </c>
      <c r="B34" s="11" t="str">
        <f>IFERROR(__xludf.DUMMYFUNCTION("""COMPUTED_VALUE"""),"Not sure.")</f>
        <v>Not sure.</v>
      </c>
      <c r="C34" s="3" t="s">
        <v>886</v>
      </c>
      <c r="D34" s="3"/>
      <c r="E34" s="11"/>
      <c r="F34" s="11"/>
      <c r="G34" s="11"/>
      <c r="H34" s="11"/>
      <c r="I34" s="11"/>
      <c r="J34" s="11"/>
    </row>
    <row r="35">
      <c r="A35">
        <f>IFERROR(__xludf.DUMMYFUNCTION("""COMPUTED_VALUE"""),62.0)</f>
        <v>62</v>
      </c>
      <c r="B35" s="11" t="str">
        <f>IFERROR(__xludf.DUMMYFUNCTION("""COMPUTED_VALUE"""),"none")</f>
        <v>none</v>
      </c>
      <c r="C35" s="50" t="s">
        <v>18</v>
      </c>
      <c r="E35" s="11"/>
      <c r="F35" s="11"/>
      <c r="G35" s="11"/>
      <c r="H35" s="11"/>
      <c r="I35" s="11"/>
      <c r="J35" s="11"/>
    </row>
    <row r="36">
      <c r="A36">
        <f>IFERROR(__xludf.DUMMYFUNCTION("""COMPUTED_VALUE"""),63.0)</f>
        <v>63</v>
      </c>
      <c r="B36" s="11" t="str">
        <f>IFERROR(__xludf.DUMMYFUNCTION("""COMPUTED_VALUE"""),"It might be nice if access was automatically removed after a period of time if the app had not been used.")</f>
        <v>It might be nice if access was automatically removed after a period of time if the app had not been used.</v>
      </c>
      <c r="C36" s="50" t="s">
        <v>877</v>
      </c>
      <c r="D36" s="19" t="s">
        <v>895</v>
      </c>
      <c r="E36" s="11"/>
      <c r="F36" s="11"/>
      <c r="G36" s="11"/>
      <c r="H36" s="11"/>
      <c r="I36" s="11"/>
      <c r="J36" s="11"/>
      <c r="K36" s="48"/>
      <c r="L36" s="48"/>
      <c r="M36" s="48"/>
      <c r="N36" s="48"/>
      <c r="O36" s="48"/>
      <c r="P36" s="48"/>
      <c r="Q36" s="48"/>
      <c r="R36" s="48"/>
      <c r="S36" s="48"/>
      <c r="T36" s="48"/>
      <c r="U36" s="48"/>
      <c r="V36" s="48"/>
      <c r="W36" s="48"/>
      <c r="X36" s="48"/>
      <c r="Y36" s="48"/>
      <c r="Z36" s="48"/>
    </row>
    <row r="37">
      <c r="A37">
        <f>IFERROR(__xludf.DUMMYFUNCTION("""COMPUTED_VALUE"""),64.0)</f>
        <v>64</v>
      </c>
      <c r="B37" s="11" t="str">
        <f>IFERROR(__xludf.DUMMYFUNCTION("""COMPUTED_VALUE"""),"I don't know.")</f>
        <v>I don't know.</v>
      </c>
      <c r="C37" s="24" t="s">
        <v>886</v>
      </c>
      <c r="D37" s="19"/>
      <c r="E37" s="50"/>
      <c r="F37" s="3"/>
      <c r="G37" s="3"/>
      <c r="H37" s="11"/>
      <c r="I37" s="11"/>
      <c r="J37" s="11"/>
    </row>
    <row r="38">
      <c r="A38">
        <f>IFERROR(__xludf.DUMMYFUNCTION("""COMPUTED_VALUE"""),65.0)</f>
        <v>65</v>
      </c>
      <c r="B38" s="11" t="str">
        <f>IFERROR(__xludf.DUMMYFUNCTION("""COMPUTED_VALUE"""),"Change permissions from the page itself. Also set some permissions you would like to never share.")</f>
        <v>Change permissions from the page itself. Also set some permissions you would like to never share.</v>
      </c>
      <c r="C38" s="24" t="s">
        <v>879</v>
      </c>
      <c r="D38" s="24" t="s">
        <v>896</v>
      </c>
      <c r="E38" s="11"/>
      <c r="F38" s="11"/>
      <c r="G38" s="11"/>
      <c r="H38" s="11"/>
      <c r="I38" s="11"/>
      <c r="J38" s="11"/>
    </row>
    <row r="39">
      <c r="A39">
        <f>IFERROR(__xludf.DUMMYFUNCTION("""COMPUTED_VALUE"""),66.0)</f>
        <v>66</v>
      </c>
      <c r="B39" s="11" t="str">
        <f>IFERROR(__xludf.DUMMYFUNCTION("""COMPUTED_VALUE"""),"I can't think of any new features that would improve it. I think it's an extremely helpful tool already. Easy to access, navigate, and understand.")</f>
        <v>I can't think of any new features that would improve it. I think it's an extremely helpful tool already. Easy to access, navigate, and understand.</v>
      </c>
      <c r="C39" s="50" t="s">
        <v>18</v>
      </c>
      <c r="D39" s="3"/>
      <c r="E39" s="11"/>
      <c r="F39" s="11"/>
      <c r="G39" s="11"/>
      <c r="H39" s="11"/>
      <c r="I39" s="11"/>
      <c r="J39" s="11"/>
    </row>
    <row r="40">
      <c r="A40">
        <f>IFERROR(__xludf.DUMMYFUNCTION("""COMPUTED_VALUE"""),67.0)</f>
        <v>67</v>
      </c>
      <c r="B40" s="11" t="str">
        <f>IFERROR(__xludf.DUMMYFUNCTION("""COMPUTED_VALUE"""),"I can't think of any.")</f>
        <v>I can't think of any.</v>
      </c>
      <c r="C40" s="50" t="s">
        <v>18</v>
      </c>
      <c r="D40" s="24"/>
      <c r="F40" s="11"/>
      <c r="G40" s="11"/>
      <c r="H40" s="11"/>
      <c r="I40" s="11"/>
      <c r="J40" s="11"/>
    </row>
    <row r="41">
      <c r="A41">
        <f>IFERROR(__xludf.DUMMYFUNCTION("""COMPUTED_VALUE"""),68.0)</f>
        <v>68</v>
      </c>
      <c r="B41" s="11" t="str">
        <f>IFERROR(__xludf.DUMMYFUNCTION("""COMPUTED_VALUE"""),"The ability to see which data they have accessed or kept from me.")</f>
        <v>The ability to see which data they have accessed or kept from me.</v>
      </c>
      <c r="C41" s="27" t="s">
        <v>871</v>
      </c>
      <c r="D41" t="s">
        <v>883</v>
      </c>
      <c r="G41" s="11"/>
      <c r="H41" s="11"/>
      <c r="I41" s="11"/>
      <c r="J41" s="11"/>
      <c r="K41" s="48"/>
      <c r="L41" s="48"/>
      <c r="M41" s="48"/>
      <c r="N41" s="48"/>
      <c r="O41" s="48"/>
      <c r="P41" s="48"/>
      <c r="Q41" s="48"/>
      <c r="R41" s="48"/>
      <c r="S41" s="48"/>
      <c r="T41" s="48"/>
      <c r="U41" s="48"/>
      <c r="V41" s="48"/>
      <c r="W41" s="48"/>
      <c r="X41" s="48"/>
      <c r="Y41" s="48"/>
      <c r="Z41" s="48"/>
    </row>
    <row r="42">
      <c r="A42">
        <f>IFERROR(__xludf.DUMMYFUNCTION("""COMPUTED_VALUE"""),69.0)</f>
        <v>69</v>
      </c>
      <c r="B42" s="11" t="str">
        <f>IFERROR(__xludf.DUMMYFUNCTION("""COMPUTED_VALUE"""),"I never really put any thought into that.. ..Nothing comes to mind!")</f>
        <v>I never really put any thought into that.. ..Nothing comes to mind!</v>
      </c>
      <c r="C42" s="50" t="s">
        <v>18</v>
      </c>
      <c r="D42" s="50"/>
      <c r="E42" s="3"/>
      <c r="F42" s="11"/>
      <c r="G42" s="11"/>
      <c r="H42" s="11"/>
      <c r="I42" s="11"/>
      <c r="J42" s="11"/>
    </row>
    <row r="43">
      <c r="A43">
        <f>IFERROR(__xludf.DUMMYFUNCTION("""COMPUTED_VALUE"""),70.0)</f>
        <v>70</v>
      </c>
      <c r="B43" s="11" t="str">
        <f>IFERROR(__xludf.DUMMYFUNCTION("""COMPUTED_VALUE"""),"How long the app has had access to my account")</f>
        <v>How long the app has had access to my account</v>
      </c>
      <c r="C43" s="27" t="s">
        <v>871</v>
      </c>
      <c r="D43" s="27" t="s">
        <v>897</v>
      </c>
      <c r="F43" s="3"/>
      <c r="G43" s="3"/>
      <c r="H43" s="3"/>
      <c r="I43" s="11"/>
      <c r="J43" s="11"/>
    </row>
    <row r="44">
      <c r="A44">
        <f>IFERROR(__xludf.DUMMYFUNCTION("""COMPUTED_VALUE"""),71.0)</f>
        <v>71</v>
      </c>
      <c r="B44" s="11" t="str">
        <f>IFERROR(__xludf.DUMMYFUNCTION("""COMPUTED_VALUE"""),"The location which the app will be operating from")</f>
        <v>The location which the app will be operating from</v>
      </c>
      <c r="C44" s="27" t="s">
        <v>871</v>
      </c>
      <c r="D44" s="27" t="s">
        <v>898</v>
      </c>
      <c r="E44" s="11"/>
      <c r="F44" s="11"/>
      <c r="G44" s="11"/>
      <c r="H44" s="11"/>
      <c r="I44" s="11"/>
      <c r="J44" s="11"/>
      <c r="K44" s="48"/>
      <c r="L44" s="48"/>
      <c r="M44" s="48"/>
      <c r="N44" s="48"/>
      <c r="O44" s="48"/>
      <c r="P44" s="48"/>
      <c r="Q44" s="48"/>
      <c r="R44" s="48"/>
      <c r="S44" s="48"/>
      <c r="T44" s="48"/>
      <c r="U44" s="48"/>
      <c r="V44" s="48"/>
      <c r="W44" s="48"/>
      <c r="X44" s="48"/>
      <c r="Y44" s="48"/>
      <c r="Z44" s="48"/>
    </row>
    <row r="45">
      <c r="A45">
        <f>IFERROR(__xludf.DUMMYFUNCTION("""COMPUTED_VALUE"""),72.0)</f>
        <v>72</v>
      </c>
      <c r="B45" s="11" t="str">
        <f>IFERROR(__xludf.DUMMYFUNCTION("""COMPUTED_VALUE"""),"It is good as is. It has a sleek design and you can click on each app to expand for more details. I would not add or remove anything.")</f>
        <v>It is good as is. It has a sleek design and you can click on each app to expand for more details. I would not add or remove anything.</v>
      </c>
      <c r="C45" s="50" t="s">
        <v>18</v>
      </c>
      <c r="D45" s="3"/>
      <c r="E45" s="11"/>
      <c r="F45" s="11"/>
      <c r="G45" s="11"/>
      <c r="H45" s="11"/>
      <c r="I45" s="11"/>
      <c r="J45" s="11"/>
    </row>
    <row r="46">
      <c r="A46">
        <f>IFERROR(__xludf.DUMMYFUNCTION("""COMPUTED_VALUE"""),73.0)</f>
        <v>73</v>
      </c>
      <c r="B46" s="11" t="str">
        <f>IFERROR(__xludf.DUMMYFUNCTION("""COMPUTED_VALUE"""),"None")</f>
        <v>None</v>
      </c>
      <c r="C46" s="50" t="s">
        <v>18</v>
      </c>
      <c r="D46" s="24"/>
      <c r="E46" s="11"/>
      <c r="F46" s="11"/>
      <c r="G46" s="11"/>
      <c r="H46" s="11"/>
      <c r="I46" s="11"/>
      <c r="J46" s="11"/>
    </row>
    <row r="47">
      <c r="A47">
        <f>IFERROR(__xludf.DUMMYFUNCTION("""COMPUTED_VALUE"""),74.0)</f>
        <v>74</v>
      </c>
      <c r="B47" s="11" t="str">
        <f>IFERROR(__xludf.DUMMYFUNCTION("""COMPUTED_VALUE"""),"Nothing that I can think of.")</f>
        <v>Nothing that I can think of.</v>
      </c>
      <c r="C47" s="50" t="s">
        <v>18</v>
      </c>
      <c r="D47" s="3"/>
      <c r="E47" s="3"/>
      <c r="F47" s="11"/>
      <c r="G47" s="11"/>
      <c r="H47" s="11"/>
      <c r="I47" s="11"/>
      <c r="J47" s="11"/>
    </row>
    <row r="48">
      <c r="A48">
        <f>IFERROR(__xludf.DUMMYFUNCTION("""COMPUTED_VALUE"""),75.0)</f>
        <v>75</v>
      </c>
      <c r="B48" s="11" t="str">
        <f>IFERROR(__xludf.DUMMYFUNCTION("""COMPUTED_VALUE"""),"none to be honest")</f>
        <v>none to be honest</v>
      </c>
      <c r="C48" s="50" t="s">
        <v>18</v>
      </c>
      <c r="D48" s="3"/>
      <c r="E48" s="11"/>
      <c r="F48" s="11"/>
      <c r="G48" s="11"/>
      <c r="H48" s="11"/>
      <c r="I48" s="11"/>
      <c r="J48" s="11"/>
    </row>
    <row r="49">
      <c r="A49">
        <f>IFERROR(__xludf.DUMMYFUNCTION("""COMPUTED_VALUE"""),76.0)</f>
        <v>76</v>
      </c>
      <c r="B49" s="11" t="str">
        <f>IFERROR(__xludf.DUMMYFUNCTION("""COMPUTED_VALUE"""),"NA")</f>
        <v>NA</v>
      </c>
      <c r="C49" s="50" t="s">
        <v>18</v>
      </c>
      <c r="D49" s="3"/>
      <c r="E49" s="11"/>
      <c r="F49" s="11"/>
      <c r="G49" s="11"/>
      <c r="H49" s="11"/>
      <c r="I49" s="11"/>
      <c r="J49" s="11"/>
    </row>
    <row r="50">
      <c r="A50">
        <f>IFERROR(__xludf.DUMMYFUNCTION("""COMPUTED_VALUE"""),77.0)</f>
        <v>77</v>
      </c>
      <c r="B50" s="11" t="str">
        <f>IFERROR(__xludf.DUMMYFUNCTION("""COMPUTED_VALUE"""),"Maybe a more detailed page of what the app is using from my account.")</f>
        <v>Maybe a more detailed page of what the app is using from my account.</v>
      </c>
      <c r="C50" s="3" t="s">
        <v>871</v>
      </c>
      <c r="D50" s="3" t="s">
        <v>899</v>
      </c>
      <c r="E50" s="11"/>
      <c r="F50" s="11"/>
      <c r="G50" s="11"/>
      <c r="H50" s="11"/>
      <c r="I50" s="11"/>
      <c r="J50" s="11"/>
    </row>
    <row r="51">
      <c r="A51">
        <f>IFERROR(__xludf.DUMMYFUNCTION("""COMPUTED_VALUE"""),78.0)</f>
        <v>78</v>
      </c>
      <c r="B51" s="11" t="str">
        <f>IFERROR(__xludf.DUMMYFUNCTION("""COMPUTED_VALUE"""),"None I can think of.")</f>
        <v>None I can think of.</v>
      </c>
      <c r="C51" s="50" t="s">
        <v>18</v>
      </c>
      <c r="D51" s="3"/>
      <c r="E51" s="3"/>
      <c r="F51" s="11"/>
      <c r="G51" s="11"/>
      <c r="H51" s="11"/>
      <c r="I51" s="11"/>
      <c r="J51" s="11"/>
    </row>
    <row r="52">
      <c r="A52">
        <f>IFERROR(__xludf.DUMMYFUNCTION("""COMPUTED_VALUE"""),79.0)</f>
        <v>79</v>
      </c>
      <c r="B52" s="11" t="str">
        <f>IFERROR(__xludf.DUMMYFUNCTION("""COMPUTED_VALUE"""),"Easy to remove.")</f>
        <v>Easy to remove.</v>
      </c>
      <c r="C52" s="27" t="s">
        <v>880</v>
      </c>
      <c r="D52" s="3"/>
      <c r="E52" s="11"/>
      <c r="F52" s="11"/>
      <c r="G52" s="11"/>
      <c r="H52" s="11"/>
      <c r="I52" s="11"/>
      <c r="J52" s="11"/>
    </row>
    <row r="53">
      <c r="A53">
        <f>IFERROR(__xludf.DUMMYFUNCTION("""COMPUTED_VALUE"""),80.0)</f>
        <v>80</v>
      </c>
      <c r="B53" s="11" t="str">
        <f>IFERROR(__xludf.DUMMYFUNCTION("""COMPUTED_VALUE"""),"None")</f>
        <v>None</v>
      </c>
      <c r="C53" s="50" t="s">
        <v>18</v>
      </c>
      <c r="D53" s="3"/>
      <c r="E53" s="3"/>
      <c r="F53" s="3"/>
      <c r="G53" s="11"/>
      <c r="H53" s="11"/>
      <c r="I53" s="11"/>
      <c r="J53" s="11"/>
    </row>
    <row r="54">
      <c r="A54">
        <f>IFERROR(__xludf.DUMMYFUNCTION("""COMPUTED_VALUE"""),81.0)</f>
        <v>81</v>
      </c>
      <c r="B54" s="11" t="str">
        <f>IFERROR(__xludf.DUMMYFUNCTION("""COMPUTED_VALUE"""),"cannot think of any off hand")</f>
        <v>cannot think of any off hand</v>
      </c>
      <c r="C54" s="50" t="s">
        <v>18</v>
      </c>
      <c r="D54" s="3"/>
      <c r="E54" s="11"/>
      <c r="F54" s="11"/>
      <c r="G54" s="11"/>
      <c r="H54" s="11"/>
      <c r="I54" s="11"/>
      <c r="J54" s="11"/>
    </row>
    <row r="55">
      <c r="A55">
        <f>IFERROR(__xludf.DUMMYFUNCTION("""COMPUTED_VALUE"""),82.0)</f>
        <v>82</v>
      </c>
      <c r="B55" s="11" t="str">
        <f>IFERROR(__xludf.DUMMYFUNCTION("""COMPUTED_VALUE"""),"I can't think of any features I'd add.")</f>
        <v>I can't think of any features I'd add.</v>
      </c>
      <c r="C55" s="50" t="s">
        <v>18</v>
      </c>
      <c r="D55" s="24"/>
      <c r="E55" s="3"/>
      <c r="F55" s="11"/>
      <c r="G55" s="11"/>
      <c r="H55" s="11"/>
      <c r="I55" s="11"/>
      <c r="J55" s="11"/>
    </row>
    <row r="56">
      <c r="A56">
        <f>IFERROR(__xludf.DUMMYFUNCTION("""COMPUTED_VALUE"""),83.0)</f>
        <v>83</v>
      </c>
      <c r="B56" s="11" t="str">
        <f>IFERROR(__xludf.DUMMYFUNCTION("""COMPUTED_VALUE"""),"N/A")</f>
        <v>N/A</v>
      </c>
      <c r="C56" s="50" t="s">
        <v>18</v>
      </c>
      <c r="D56" s="11"/>
      <c r="E56" s="11"/>
      <c r="F56" s="11"/>
      <c r="G56" s="11"/>
      <c r="H56" s="11"/>
      <c r="I56" s="11"/>
      <c r="J56" s="11"/>
    </row>
    <row r="57">
      <c r="A57">
        <f>IFERROR(__xludf.DUMMYFUNCTION("""COMPUTED_VALUE"""),84.0)</f>
        <v>84</v>
      </c>
      <c r="B57" s="11" t="str">
        <f>IFERROR(__xludf.DUMMYFUNCTION("""COMPUTED_VALUE"""),"n/a")</f>
        <v>n/a</v>
      </c>
      <c r="C57" s="50" t="s">
        <v>18</v>
      </c>
      <c r="D57" s="3"/>
      <c r="E57" s="11"/>
      <c r="F57" s="11"/>
      <c r="G57" s="11"/>
      <c r="H57" s="11"/>
      <c r="I57" s="11"/>
      <c r="J57" s="11"/>
    </row>
    <row r="58">
      <c r="A58">
        <f>IFERROR(__xludf.DUMMYFUNCTION("""COMPUTED_VALUE"""),85.0)</f>
        <v>85</v>
      </c>
      <c r="B58" s="11" t="str">
        <f>IFERROR(__xludf.DUMMYFUNCTION("""COMPUTED_VALUE"""),"Some new features that could be added is a breakdown of what specific data the app currently has that is used or is using, alerts on apps that were added that could be prone to vulnerability, and also the number of times/when I signed in to the Google App"&amp;"s.")</f>
        <v>Some new features that could be added is a breakdown of what specific data the app currently has that is used or is using, alerts on apps that were added that could be prone to vulnerability, and also the number of times/when I signed in to the Google Apps.</v>
      </c>
      <c r="C58" s="3" t="s">
        <v>871</v>
      </c>
      <c r="D58" t="s">
        <v>876</v>
      </c>
      <c r="E58" t="s">
        <v>883</v>
      </c>
      <c r="F58" s="27" t="s">
        <v>900</v>
      </c>
      <c r="G58" s="11"/>
      <c r="H58" s="11"/>
      <c r="I58" s="11"/>
      <c r="J58" s="11"/>
    </row>
    <row r="59">
      <c r="A59">
        <f>IFERROR(__xludf.DUMMYFUNCTION("""COMPUTED_VALUE"""),86.0)</f>
        <v>86</v>
      </c>
      <c r="B59" s="11" t="str">
        <f>IFERROR(__xludf.DUMMYFUNCTION("""COMPUTED_VALUE"""),"Distinguishing between apps that act alone vs. ones that need to ask for your permission to do things.")</f>
        <v>Distinguishing between apps that act alone vs. ones that need to ask for your permission to do things.</v>
      </c>
      <c r="C59" s="3" t="s">
        <v>871</v>
      </c>
      <c r="D59" s="3" t="s">
        <v>901</v>
      </c>
      <c r="E59" s="3"/>
      <c r="F59" s="11"/>
      <c r="G59" s="11"/>
      <c r="H59" s="11"/>
      <c r="I59" s="11"/>
      <c r="J59" s="11"/>
    </row>
    <row r="60">
      <c r="A60">
        <f>IFERROR(__xludf.DUMMYFUNCTION("""COMPUTED_VALUE"""),87.0)</f>
        <v>87</v>
      </c>
      <c r="B60" s="11" t="str">
        <f>IFERROR(__xludf.DUMMYFUNCTION("""COMPUTED_VALUE"""),"A way to remove or change what they access to.")</f>
        <v>A way to remove or change what they access to.</v>
      </c>
      <c r="C60" s="27" t="s">
        <v>877</v>
      </c>
      <c r="D60" s="3"/>
      <c r="F60" s="3"/>
      <c r="G60" s="3"/>
      <c r="H60" s="11"/>
      <c r="I60" s="11"/>
      <c r="J60" s="11"/>
    </row>
    <row r="61">
      <c r="A61">
        <f>IFERROR(__xludf.DUMMYFUNCTION("""COMPUTED_VALUE"""),88.0)</f>
        <v>88</v>
      </c>
      <c r="B61" s="11" t="str">
        <f>IFERROR(__xludf.DUMMYFUNCTION("""COMPUTED_VALUE"""),"None.")</f>
        <v>None.</v>
      </c>
      <c r="C61" s="50" t="s">
        <v>18</v>
      </c>
      <c r="D61" s="3"/>
      <c r="E61" s="24"/>
      <c r="G61" s="11"/>
      <c r="H61" s="11"/>
      <c r="I61" s="11"/>
      <c r="J61" s="11"/>
    </row>
    <row r="62">
      <c r="A62">
        <f>IFERROR(__xludf.DUMMYFUNCTION("""COMPUTED_VALUE"""),89.0)</f>
        <v>89</v>
      </c>
      <c r="B62" s="26" t="str">
        <f>IFERROR(__xludf.DUMMYFUNCTION("""COMPUTED_VALUE"""),"I would like to see the last time one of these permissions was used. (i.e a ""Last used x days ago"" or ""[app] performed [activity that requires permission] x days ago"").")</f>
        <v>I would like to see the last time one of these permissions was used. (i.e a "Last used x days ago" or "[app] performed [activity that requires permission] x days ago").</v>
      </c>
      <c r="C62" s="3" t="s">
        <v>871</v>
      </c>
      <c r="D62" s="3" t="s">
        <v>902</v>
      </c>
      <c r="E62" s="11"/>
      <c r="F62" s="11"/>
      <c r="G62" s="11"/>
      <c r="H62" s="11"/>
      <c r="I62" s="11"/>
      <c r="J62" s="11"/>
    </row>
    <row r="63">
      <c r="A63">
        <f>IFERROR(__xludf.DUMMYFUNCTION("""COMPUTED_VALUE"""),90.0)</f>
        <v>90</v>
      </c>
      <c r="B63" s="11" t="str">
        <f>IFERROR(__xludf.DUMMYFUNCTION("""COMPUTED_VALUE"""),"don't know")</f>
        <v>don't know</v>
      </c>
      <c r="C63" s="50" t="s">
        <v>886</v>
      </c>
      <c r="D63" s="3"/>
      <c r="F63" s="3"/>
      <c r="G63" s="3"/>
      <c r="H63" s="11"/>
      <c r="I63" s="11"/>
      <c r="J63" s="11"/>
    </row>
    <row r="64">
      <c r="A64">
        <f>IFERROR(__xludf.DUMMYFUNCTION("""COMPUTED_VALUE"""),91.0)</f>
        <v>91</v>
      </c>
      <c r="B64" s="11" t="str">
        <f>IFERROR(__xludf.DUMMYFUNCTION("""COMPUTED_VALUE"""),"Probably none")</f>
        <v>Probably none</v>
      </c>
      <c r="C64" s="50" t="s">
        <v>18</v>
      </c>
      <c r="D64" s="24"/>
      <c r="E64" s="3"/>
      <c r="F64" s="11"/>
      <c r="G64" s="11"/>
      <c r="H64" s="11"/>
      <c r="I64" s="11"/>
      <c r="J64" s="11"/>
    </row>
    <row r="65">
      <c r="A65">
        <f>IFERROR(__xludf.DUMMYFUNCTION("""COMPUTED_VALUE"""),92.0)</f>
        <v>92</v>
      </c>
      <c r="B65" s="11" t="str">
        <f>IFERROR(__xludf.DUMMYFUNCTION("""COMPUTED_VALUE"""),"I can't really think of any features I would want added. All the information I can think I'd want is there already.")</f>
        <v>I can't really think of any features I would want added. All the information I can think I'd want is there already.</v>
      </c>
      <c r="C65" s="50" t="s">
        <v>18</v>
      </c>
      <c r="D65" s="3"/>
      <c r="E65" s="3"/>
      <c r="F65" s="3"/>
      <c r="G65" s="19"/>
      <c r="H65" s="11"/>
      <c r="I65" s="11"/>
      <c r="J65" s="11"/>
    </row>
    <row r="66">
      <c r="A66">
        <f>IFERROR(__xludf.DUMMYFUNCTION("""COMPUTED_VALUE"""),93.0)</f>
        <v>93</v>
      </c>
      <c r="B66" s="11" t="str">
        <f>IFERROR(__xludf.DUMMYFUNCTION("""COMPUTED_VALUE"""),"I don't know.")</f>
        <v>I don't know.</v>
      </c>
      <c r="C66" s="50" t="s">
        <v>18</v>
      </c>
      <c r="D66" s="3"/>
      <c r="F66" s="11"/>
      <c r="G66" s="11"/>
      <c r="H66" s="11"/>
      <c r="I66" s="11"/>
      <c r="J66" s="11"/>
    </row>
    <row r="67">
      <c r="A67">
        <f>IFERROR(__xludf.DUMMYFUNCTION("""COMPUTED_VALUE"""),94.0)</f>
        <v>94</v>
      </c>
      <c r="B67" s="11" t="str">
        <f>IFERROR(__xludf.DUMMYFUNCTION("""COMPUTED_VALUE"""),"An option to have even more detail of what was exactly being accessed.")</f>
        <v>An option to have even more detail of what was exactly being accessed.</v>
      </c>
      <c r="C67" s="3" t="s">
        <v>871</v>
      </c>
      <c r="D67" s="3" t="s">
        <v>899</v>
      </c>
      <c r="E67" s="19"/>
      <c r="F67" s="19"/>
      <c r="G67" s="3"/>
      <c r="H67" s="3"/>
      <c r="J67" s="11"/>
      <c r="K67" s="48"/>
      <c r="L67" s="48"/>
      <c r="M67" s="48"/>
      <c r="N67" s="48"/>
      <c r="O67" s="48"/>
      <c r="P67" s="48"/>
      <c r="Q67" s="48"/>
      <c r="R67" s="48"/>
      <c r="S67" s="48"/>
      <c r="T67" s="48"/>
      <c r="U67" s="48"/>
      <c r="V67" s="48"/>
      <c r="W67" s="48"/>
      <c r="X67" s="48"/>
      <c r="Y67" s="48"/>
      <c r="Z67" s="48"/>
    </row>
    <row r="68">
      <c r="A68">
        <f>IFERROR(__xludf.DUMMYFUNCTION("""COMPUTED_VALUE"""),95.0)</f>
        <v>95</v>
      </c>
      <c r="B68" s="11" t="str">
        <f>IFERROR(__xludf.DUMMYFUNCTION("""COMPUTED_VALUE"""),"none")</f>
        <v>none</v>
      </c>
      <c r="C68" s="50" t="s">
        <v>18</v>
      </c>
      <c r="D68" s="3"/>
      <c r="E68" s="11"/>
      <c r="F68" s="11"/>
      <c r="G68" s="11"/>
      <c r="J68" s="11"/>
    </row>
    <row r="69">
      <c r="A69">
        <f>IFERROR(__xludf.DUMMYFUNCTION("""COMPUTED_VALUE"""),96.0)</f>
        <v>96</v>
      </c>
      <c r="B69" s="11" t="str">
        <f>IFERROR(__xludf.DUMMYFUNCTION("""COMPUTED_VALUE"""),"not sure at the moment")</f>
        <v>not sure at the moment</v>
      </c>
      <c r="C69" s="50" t="s">
        <v>18</v>
      </c>
      <c r="D69" s="24"/>
      <c r="E69" s="3"/>
      <c r="F69" s="3"/>
      <c r="G69" s="3"/>
      <c r="J69" s="11"/>
    </row>
    <row r="70">
      <c r="A70">
        <f>IFERROR(__xludf.DUMMYFUNCTION("""COMPUTED_VALUE"""),97.0)</f>
        <v>97</v>
      </c>
      <c r="B70" s="11" t="str">
        <f>IFERROR(__xludf.DUMMYFUNCTION("""COMPUTED_VALUE"""),"a listing of when access was given and when it was last used")</f>
        <v>a listing of when access was given and when it was last used</v>
      </c>
      <c r="C70" s="3" t="s">
        <v>871</v>
      </c>
      <c r="D70" s="27" t="s">
        <v>897</v>
      </c>
      <c r="E70" t="s">
        <v>876</v>
      </c>
      <c r="F70" s="3"/>
      <c r="G70" s="3"/>
      <c r="H70" s="11"/>
      <c r="I70" s="11"/>
      <c r="J70" s="11"/>
    </row>
    <row r="71">
      <c r="A71">
        <f>IFERROR(__xludf.DUMMYFUNCTION("""COMPUTED_VALUE"""),98.0)</f>
        <v>98</v>
      </c>
      <c r="B71" s="11" t="str">
        <f>IFERROR(__xludf.DUMMYFUNCTION("""COMPUTED_VALUE"""),"None")</f>
        <v>None</v>
      </c>
      <c r="C71" s="50" t="s">
        <v>18</v>
      </c>
      <c r="D71" s="3"/>
      <c r="E71" s="3"/>
      <c r="F71" s="3"/>
      <c r="G71" s="3"/>
      <c r="H71" s="3"/>
      <c r="I71" s="3"/>
      <c r="J71" s="11"/>
      <c r="K71" s="48"/>
      <c r="L71" s="48"/>
      <c r="M71" s="48"/>
      <c r="N71" s="48"/>
      <c r="O71" s="48"/>
      <c r="P71" s="48"/>
      <c r="Q71" s="48"/>
      <c r="R71" s="48"/>
      <c r="S71" s="48"/>
      <c r="T71" s="48"/>
      <c r="U71" s="48"/>
      <c r="V71" s="48"/>
      <c r="W71" s="48"/>
      <c r="X71" s="48"/>
      <c r="Y71" s="48"/>
      <c r="Z71" s="48"/>
    </row>
    <row r="72">
      <c r="A72">
        <f>IFERROR(__xludf.DUMMYFUNCTION("""COMPUTED_VALUE"""),99.0)</f>
        <v>99</v>
      </c>
      <c r="B72" s="11" t="str">
        <f>IFERROR(__xludf.DUMMYFUNCTION("""COMPUTED_VALUE"""),"Being able to remove permissions from the list or to have more detail about what each permission needs, like to access pictures--why?")</f>
        <v>Being able to remove permissions from the list or to have more detail about what each permission needs, like to access pictures--why?</v>
      </c>
      <c r="C72" s="24" t="s">
        <v>879</v>
      </c>
      <c r="D72" s="3" t="s">
        <v>871</v>
      </c>
      <c r="E72" s="27" t="s">
        <v>890</v>
      </c>
      <c r="F72" s="11"/>
      <c r="G72" s="11"/>
      <c r="H72" s="11"/>
      <c r="I72" s="11"/>
      <c r="J72" s="11"/>
    </row>
    <row r="73">
      <c r="A73">
        <f>IFERROR(__xludf.DUMMYFUNCTION("""COMPUTED_VALUE"""),100.0)</f>
        <v>100</v>
      </c>
      <c r="B73" s="11" t="str">
        <f>IFERROR(__xludf.DUMMYFUNCTION("""COMPUTED_VALUE"""),"I don't look at the page enough to have any meaningful suggestions")</f>
        <v>I don't look at the page enough to have any meaningful suggestions</v>
      </c>
      <c r="C73" s="50" t="s">
        <v>18</v>
      </c>
      <c r="D73" s="3"/>
      <c r="E73" s="3"/>
      <c r="F73" s="3"/>
      <c r="G73" s="3"/>
      <c r="H73" s="3"/>
      <c r="I73" s="11"/>
      <c r="J73" s="11"/>
    </row>
    <row r="74">
      <c r="A74">
        <f>IFERROR(__xludf.DUMMYFUNCTION("""COMPUTED_VALUE"""),101.0)</f>
        <v>101</v>
      </c>
      <c r="B74" s="11" t="str">
        <f>IFERROR(__xludf.DUMMYFUNCTION("""COMPUTED_VALUE"""),"Can't really think of any at the moment.")</f>
        <v>Can't really think of any at the moment.</v>
      </c>
      <c r="C74" s="50" t="s">
        <v>18</v>
      </c>
      <c r="D74" s="24"/>
      <c r="E74" s="3"/>
      <c r="F74" s="11"/>
      <c r="G74" s="11"/>
      <c r="H74" s="11"/>
      <c r="I74" s="11"/>
      <c r="J74" s="11"/>
    </row>
    <row r="75">
      <c r="A75">
        <f>IFERROR(__xludf.DUMMYFUNCTION("""COMPUTED_VALUE"""),102.0)</f>
        <v>102</v>
      </c>
      <c r="B75" s="11" t="str">
        <f>IFERROR(__xludf.DUMMYFUNCTION("""COMPUTED_VALUE"""),"Push notifications if something changes.")</f>
        <v>Push notifications if something changes.</v>
      </c>
      <c r="C75" s="24" t="s">
        <v>872</v>
      </c>
      <c r="D75" s="27" t="s">
        <v>903</v>
      </c>
      <c r="E75" s="3"/>
      <c r="F75" s="11"/>
      <c r="G75" s="11"/>
      <c r="H75" s="11"/>
      <c r="I75" s="11"/>
      <c r="J75" s="11"/>
    </row>
    <row r="76">
      <c r="A76">
        <f>IFERROR(__xludf.DUMMYFUNCTION("""COMPUTED_VALUE"""),103.0)</f>
        <v>103</v>
      </c>
      <c r="B76" s="11" t="str">
        <f>IFERROR(__xludf.DUMMYFUNCTION("""COMPUTED_VALUE"""),"Possibly highlight certain Apps or services that are known to cause issues.")</f>
        <v>Possibly highlight certain Apps or services that are known to cause issues.</v>
      </c>
      <c r="C76" s="3" t="s">
        <v>871</v>
      </c>
      <c r="D76" t="s">
        <v>888</v>
      </c>
      <c r="E76" s="3"/>
      <c r="F76" s="11"/>
      <c r="G76" s="11"/>
      <c r="H76" s="11"/>
      <c r="I76" s="11"/>
      <c r="J76" s="11"/>
    </row>
    <row r="77">
      <c r="A77">
        <f>IFERROR(__xludf.DUMMYFUNCTION("""COMPUTED_VALUE"""),104.0)</f>
        <v>104</v>
      </c>
      <c r="B77" s="11" t="str">
        <f>IFERROR(__xludf.DUMMYFUNCTION("""COMPUTED_VALUE"""),"N/A.")</f>
        <v>N/A.</v>
      </c>
      <c r="C77" s="50" t="s">
        <v>18</v>
      </c>
      <c r="D77" s="24"/>
      <c r="E77" s="3"/>
      <c r="F77" s="11"/>
      <c r="G77" s="11"/>
      <c r="H77" s="11"/>
      <c r="I77" s="11"/>
      <c r="J77" s="11"/>
    </row>
    <row r="78">
      <c r="A78">
        <f>IFERROR(__xludf.DUMMYFUNCTION("""COMPUTED_VALUE"""),105.0)</f>
        <v>105</v>
      </c>
      <c r="B78" s="11" t="str">
        <f>IFERROR(__xludf.DUMMYFUNCTION("""COMPUTED_VALUE"""),"Edit button to change preferences directly")</f>
        <v>Edit button to change preferences directly</v>
      </c>
      <c r="C78" s="24" t="s">
        <v>884</v>
      </c>
      <c r="D78" s="24" t="s">
        <v>904</v>
      </c>
      <c r="E78" s="11"/>
      <c r="F78" s="11"/>
      <c r="G78" s="11"/>
      <c r="H78" s="11"/>
      <c r="I78" s="11"/>
      <c r="J78" s="11"/>
    </row>
    <row r="79">
      <c r="A79">
        <f>IFERROR(__xludf.DUMMYFUNCTION("""COMPUTED_VALUE"""),106.0)</f>
        <v>106</v>
      </c>
      <c r="B79" s="11" t="str">
        <f>IFERROR(__xludf.DUMMYFUNCTION("""COMPUTED_VALUE"""),"none")</f>
        <v>none</v>
      </c>
      <c r="C79" s="50" t="s">
        <v>18</v>
      </c>
      <c r="D79" s="3"/>
      <c r="E79" s="11"/>
      <c r="F79" s="11"/>
      <c r="G79" s="11"/>
      <c r="H79" s="11"/>
      <c r="I79" s="11"/>
      <c r="J79" s="11"/>
    </row>
    <row r="80">
      <c r="A80">
        <f>IFERROR(__xludf.DUMMYFUNCTION("""COMPUTED_VALUE"""),107.0)</f>
        <v>107</v>
      </c>
      <c r="B80" s="11" t="str">
        <f>IFERROR(__xludf.DUMMYFUNCTION("""COMPUTED_VALUE"""),"I can't think of any right now. Maybe how they got access, more specific than ""you gave it to them"". A couple of these I know I used their website but don't remember giving them access to anything.")</f>
        <v>I can't think of any right now. Maybe how they got access, more specific than "you gave it to them". A couple of these I know I used their website but don't remember giving them access to anything.</v>
      </c>
      <c r="C80" s="3" t="s">
        <v>871</v>
      </c>
      <c r="D80" s="19" t="s">
        <v>905</v>
      </c>
      <c r="E80" s="3"/>
      <c r="F80" s="11"/>
      <c r="G80" s="11"/>
      <c r="H80" s="11"/>
      <c r="I80" s="11"/>
      <c r="J80" s="11"/>
    </row>
    <row r="81">
      <c r="A81">
        <f>IFERROR(__xludf.DUMMYFUNCTION("""COMPUTED_VALUE"""),108.0)</f>
        <v>108</v>
      </c>
      <c r="B81" s="11" t="str">
        <f>IFERROR(__xludf.DUMMYFUNCTION("""COMPUTED_VALUE"""),"I don't see myself ever visiting the page again, so I think it's fine as is.")</f>
        <v>I don't see myself ever visiting the page again, so I think it's fine as is.</v>
      </c>
      <c r="C81" s="50" t="s">
        <v>18</v>
      </c>
      <c r="D81" s="3"/>
      <c r="E81" s="3"/>
      <c r="F81" s="3"/>
      <c r="G81" s="11"/>
      <c r="H81" s="11"/>
      <c r="I81" s="11"/>
      <c r="J81" s="11"/>
    </row>
    <row r="82">
      <c r="A82">
        <f>IFERROR(__xludf.DUMMYFUNCTION("""COMPUTED_VALUE"""),109.0)</f>
        <v>109</v>
      </c>
      <c r="B82" s="26" t="str">
        <f>IFERROR(__xludf.DUMMYFUNCTION("""COMPUTED_VALUE"""),"Ways to alter what permissions have been given.")</f>
        <v>Ways to alter what permissions have been given.</v>
      </c>
      <c r="C82" s="24" t="s">
        <v>879</v>
      </c>
      <c r="D82" s="24"/>
      <c r="E82" s="11"/>
      <c r="F82" s="11"/>
      <c r="G82" s="11"/>
      <c r="H82" s="11"/>
      <c r="I82" s="11"/>
      <c r="J82" s="11"/>
    </row>
    <row r="83">
      <c r="A83">
        <f>IFERROR(__xludf.DUMMYFUNCTION("""COMPUTED_VALUE"""),110.0)</f>
        <v>110</v>
      </c>
      <c r="B83" s="11" t="str">
        <f>IFERROR(__xludf.DUMMYFUNCTION("""COMPUTED_VALUE"""),"How often my data was accessed")</f>
        <v>How often my data was accessed</v>
      </c>
      <c r="C83" s="19" t="s">
        <v>871</v>
      </c>
      <c r="D83" t="s">
        <v>883</v>
      </c>
      <c r="E83" s="3"/>
      <c r="F83" s="3"/>
      <c r="G83" s="11"/>
      <c r="H83" s="11"/>
      <c r="I83" s="11"/>
      <c r="J83" s="11"/>
      <c r="K83" s="48"/>
      <c r="L83" s="48"/>
      <c r="M83" s="48"/>
      <c r="N83" s="48"/>
      <c r="O83" s="48"/>
      <c r="P83" s="48"/>
      <c r="Q83" s="48"/>
      <c r="R83" s="48"/>
      <c r="S83" s="48"/>
      <c r="T83" s="48"/>
      <c r="U83" s="48"/>
      <c r="V83" s="48"/>
      <c r="W83" s="48"/>
      <c r="X83" s="48"/>
      <c r="Y83" s="48"/>
      <c r="Z83" s="48"/>
    </row>
    <row r="84">
      <c r="A84">
        <f>IFERROR(__xludf.DUMMYFUNCTION("""COMPUTED_VALUE"""),112.0)</f>
        <v>112</v>
      </c>
      <c r="B84" s="11" t="str">
        <f>IFERROR(__xludf.DUMMYFUNCTION("""COMPUTED_VALUE"""),"Date added, last used")</f>
        <v>Date added, last used</v>
      </c>
      <c r="C84" s="24"/>
      <c r="D84" s="24"/>
      <c r="E84" s="3"/>
      <c r="F84" s="3"/>
      <c r="G84" s="3"/>
      <c r="H84" s="11"/>
      <c r="I84" s="11"/>
      <c r="J84" s="11"/>
    </row>
    <row r="85">
      <c r="A85">
        <f>IFERROR(__xludf.DUMMYFUNCTION("""COMPUTED_VALUE"""),113.0)</f>
        <v>113</v>
      </c>
      <c r="B85" s="11" t="str">
        <f>IFERROR(__xludf.DUMMYFUNCTION("""COMPUTED_VALUE"""),"when permission was given")</f>
        <v>when permission was given</v>
      </c>
      <c r="C85" s="19" t="s">
        <v>871</v>
      </c>
      <c r="D85" s="27" t="s">
        <v>897</v>
      </c>
      <c r="E85" s="3"/>
      <c r="F85" s="11"/>
      <c r="G85" s="11"/>
      <c r="H85" s="11"/>
      <c r="I85" s="11"/>
      <c r="J85" s="11"/>
    </row>
    <row r="86">
      <c r="A86">
        <f>IFERROR(__xludf.DUMMYFUNCTION("""COMPUTED_VALUE"""),114.0)</f>
        <v>114</v>
      </c>
      <c r="B86" s="11" t="str">
        <f>IFERROR(__xludf.DUMMYFUNCTION("""COMPUTED_VALUE"""),"when it was last used or accessed")</f>
        <v>when it was last used or accessed</v>
      </c>
      <c r="C86" s="24"/>
      <c r="D86" s="24"/>
      <c r="E86" s="3"/>
      <c r="F86" s="3"/>
      <c r="G86" s="3"/>
      <c r="H86" s="11"/>
      <c r="I86" s="11"/>
      <c r="J86" s="11"/>
    </row>
    <row r="87">
      <c r="A87">
        <f>IFERROR(__xludf.DUMMYFUNCTION("""COMPUTED_VALUE"""),115.0)</f>
        <v>115</v>
      </c>
      <c r="B87" s="11" t="str">
        <f>IFERROR(__xludf.DUMMYFUNCTION("""COMPUTED_VALUE"""),"be able to set a reviewal schedule")</f>
        <v>be able to set a reviewal schedule</v>
      </c>
      <c r="C87" s="27" t="s">
        <v>872</v>
      </c>
      <c r="D87" s="3" t="s">
        <v>873</v>
      </c>
      <c r="E87" s="3" t="s">
        <v>875</v>
      </c>
      <c r="F87" s="11"/>
      <c r="G87" s="11"/>
      <c r="H87" s="11"/>
      <c r="I87" s="11"/>
      <c r="J87" s="11"/>
    </row>
    <row r="88">
      <c r="A88">
        <f>IFERROR(__xludf.DUMMYFUNCTION("""COMPUTED_VALUE"""),116.0)</f>
        <v>116</v>
      </c>
      <c r="B88" s="11" t="str">
        <f>IFERROR(__xludf.DUMMYFUNCTION("""COMPUTED_VALUE"""),"N/A")</f>
        <v>N/A</v>
      </c>
      <c r="C88" s="50" t="s">
        <v>18</v>
      </c>
      <c r="D88" s="3"/>
      <c r="E88" s="11"/>
      <c r="F88" s="11"/>
      <c r="G88" s="11"/>
      <c r="H88" s="11"/>
      <c r="I88" s="11"/>
      <c r="J88" s="11"/>
    </row>
    <row r="89">
      <c r="A89">
        <f>IFERROR(__xludf.DUMMYFUNCTION("""COMPUTED_VALUE"""),117.0)</f>
        <v>117</v>
      </c>
      <c r="B89" s="11" t="str">
        <f>IFERROR(__xludf.DUMMYFUNCTION("""COMPUTED_VALUE"""),"Maybe the date they were originally added.")</f>
        <v>Maybe the date they were originally added.</v>
      </c>
      <c r="C89" s="19" t="s">
        <v>871</v>
      </c>
      <c r="D89" s="27" t="s">
        <v>897</v>
      </c>
      <c r="E89" s="3"/>
      <c r="F89" s="3"/>
      <c r="G89" s="11"/>
      <c r="H89" s="11"/>
      <c r="I89" s="11"/>
      <c r="J89" s="11"/>
    </row>
    <row r="90">
      <c r="A90">
        <f>IFERROR(__xludf.DUMMYFUNCTION("""COMPUTED_VALUE"""),118.0)</f>
        <v>118</v>
      </c>
      <c r="B90" s="11"/>
      <c r="C90" s="24"/>
      <c r="D90" s="3"/>
      <c r="E90" s="11"/>
      <c r="F90" s="11"/>
      <c r="G90" s="11"/>
      <c r="H90" s="11"/>
      <c r="I90" s="11"/>
      <c r="J90" s="11"/>
    </row>
    <row r="91">
      <c r="A91">
        <f>IFERROR(__xludf.DUMMYFUNCTION("""COMPUTED_VALUE"""),120.0)</f>
        <v>120</v>
      </c>
      <c r="B91" s="11" t="str">
        <f>IFERROR(__xludf.DUMMYFUNCTION("""COMPUTED_VALUE"""),"How and if and when the app used each permission")</f>
        <v>How and if and when the app used each permission</v>
      </c>
      <c r="C91" s="19" t="s">
        <v>871</v>
      </c>
      <c r="D91" t="s">
        <v>883</v>
      </c>
      <c r="E91" s="3"/>
      <c r="F91" s="11"/>
      <c r="G91" s="11"/>
      <c r="H91" s="11"/>
      <c r="I91" s="11"/>
      <c r="J91" s="11"/>
      <c r="K91" s="48"/>
      <c r="L91" s="48"/>
      <c r="M91" s="48"/>
      <c r="N91" s="48"/>
      <c r="O91" s="48"/>
      <c r="P91" s="48"/>
      <c r="Q91" s="48"/>
      <c r="R91" s="48"/>
      <c r="S91" s="48"/>
      <c r="T91" s="48"/>
      <c r="U91" s="48"/>
      <c r="V91" s="48"/>
      <c r="W91" s="48"/>
      <c r="X91" s="48"/>
      <c r="Y91" s="48"/>
      <c r="Z91" s="48"/>
    </row>
    <row r="92">
      <c r="A92">
        <f>IFERROR(__xludf.DUMMYFUNCTION("""COMPUTED_VALUE"""),121.0)</f>
        <v>121</v>
      </c>
      <c r="B92" s="11" t="str">
        <f>IFERROR(__xludf.DUMMYFUNCTION("""COMPUTED_VALUE"""),"The ability to revoke permissions/unlink account with one click or uninstall apps.")</f>
        <v>The ability to revoke permissions/unlink account with one click or uninstall apps.</v>
      </c>
      <c r="C92" t="s">
        <v>880</v>
      </c>
      <c r="D92" s="3"/>
      <c r="E92" s="3"/>
      <c r="F92" s="11"/>
      <c r="G92" s="11"/>
      <c r="H92" s="11"/>
      <c r="I92" s="11"/>
      <c r="J92" s="11"/>
    </row>
    <row r="93">
      <c r="A93">
        <f>IFERROR(__xludf.DUMMYFUNCTION("""COMPUTED_VALUE"""),122.0)</f>
        <v>122</v>
      </c>
      <c r="B93" s="11" t="str">
        <f>IFERROR(__xludf.DUMMYFUNCTION("""COMPUTED_VALUE"""),"info on what these permissions mean, even if its a brief description with examples")</f>
        <v>info on what these permissions mean, even if its a brief description with examples</v>
      </c>
      <c r="C93" s="19" t="s">
        <v>871</v>
      </c>
      <c r="D93" t="s">
        <v>890</v>
      </c>
      <c r="E93" s="11"/>
      <c r="F93" s="11"/>
      <c r="G93" s="11"/>
      <c r="H93" s="11"/>
      <c r="I93" s="11"/>
      <c r="J93" s="11"/>
    </row>
    <row r="94">
      <c r="A94">
        <f>IFERROR(__xludf.DUMMYFUNCTION("""COMPUTED_VALUE"""),123.0)</f>
        <v>123</v>
      </c>
      <c r="B94" s="11" t="str">
        <f>IFERROR(__xludf.DUMMYFUNCTION("""COMPUTED_VALUE"""),"Sort them by permissions granted")</f>
        <v>Sort them by permissions granted</v>
      </c>
      <c r="C94" t="s">
        <v>884</v>
      </c>
      <c r="D94" t="s">
        <v>889</v>
      </c>
      <c r="E94" s="11"/>
      <c r="F94" s="11"/>
      <c r="G94" s="11"/>
      <c r="H94" s="11"/>
      <c r="I94" s="11"/>
      <c r="J94" s="11"/>
    </row>
    <row r="95">
      <c r="A95">
        <f>IFERROR(__xludf.DUMMYFUNCTION("""COMPUTED_VALUE"""),124.0)</f>
        <v>124</v>
      </c>
      <c r="B95" s="11" t="str">
        <f>IFERROR(__xludf.DUMMYFUNCTION("""COMPUTED_VALUE"""),"Possibly the ability to add a reminder. Like, ""Remind me 6 months"" to check the list of apps with access to my account.")</f>
        <v>Possibly the ability to add a reminder. Like, "Remind me 6 months" to check the list of apps with access to my account.</v>
      </c>
      <c r="C95" s="27" t="s">
        <v>872</v>
      </c>
      <c r="D95" s="27" t="s">
        <v>873</v>
      </c>
      <c r="E95" t="s">
        <v>875</v>
      </c>
      <c r="F95" s="11"/>
      <c r="G95" s="11"/>
      <c r="H95" s="11"/>
      <c r="I95" s="11"/>
      <c r="J95" s="11"/>
    </row>
    <row r="96">
      <c r="A96">
        <f>IFERROR(__xludf.DUMMYFUNCTION("""COMPUTED_VALUE"""),125.0)</f>
        <v>125</v>
      </c>
      <c r="B96" s="11" t="str">
        <f>IFERROR(__xludf.DUMMYFUNCTION("""COMPUTED_VALUE"""),"Have them listed in order of date added")</f>
        <v>Have them listed in order of date added</v>
      </c>
      <c r="C96" t="s">
        <v>884</v>
      </c>
      <c r="D96" s="27" t="s">
        <v>906</v>
      </c>
      <c r="E96" s="3"/>
      <c r="F96" s="11"/>
      <c r="G96" s="11"/>
      <c r="H96" s="11"/>
      <c r="I96" s="11"/>
      <c r="J96" s="11"/>
    </row>
    <row r="97">
      <c r="A97">
        <f>IFERROR(__xludf.DUMMYFUNCTION("""COMPUTED_VALUE"""),126.0)</f>
        <v>126</v>
      </c>
      <c r="B97" s="11" t="str">
        <f>IFERROR(__xludf.DUMMYFUNCTION("""COMPUTED_VALUE"""),"I would like access to terms and conditions and an opt out option.")</f>
        <v>I would like access to terms and conditions and an opt out option.</v>
      </c>
      <c r="C97" s="19" t="s">
        <v>871</v>
      </c>
      <c r="D97" s="19" t="s">
        <v>907</v>
      </c>
      <c r="E97" t="s">
        <v>884</v>
      </c>
      <c r="F97" s="27" t="s">
        <v>908</v>
      </c>
      <c r="G97" s="11"/>
      <c r="H97" s="11"/>
      <c r="I97" s="11"/>
      <c r="J97" s="11"/>
    </row>
    <row r="98">
      <c r="A98">
        <f>IFERROR(__xludf.DUMMYFUNCTION("""COMPUTED_VALUE"""),127.0)</f>
        <v>127</v>
      </c>
      <c r="B98" s="11" t="str">
        <f>IFERROR(__xludf.DUMMYFUNCTION("""COMPUTED_VALUE"""),"Who owns the app as in what company.")</f>
        <v>Who owns the app as in what company.</v>
      </c>
      <c r="C98" s="19" t="s">
        <v>871</v>
      </c>
      <c r="D98" s="19" t="s">
        <v>909</v>
      </c>
      <c r="E98" s="3"/>
      <c r="F98" s="3"/>
      <c r="G98" s="11"/>
      <c r="H98" s="11"/>
      <c r="I98" s="11"/>
      <c r="J98" s="11"/>
    </row>
    <row r="99">
      <c r="A99">
        <f>IFERROR(__xludf.DUMMYFUNCTION("""COMPUTED_VALUE"""),128.0)</f>
        <v>128</v>
      </c>
      <c r="B99" s="11" t="str">
        <f>IFERROR(__xludf.DUMMYFUNCTION("""COMPUTED_VALUE"""),"None")</f>
        <v>None</v>
      </c>
      <c r="C99" s="50" t="s">
        <v>18</v>
      </c>
      <c r="D99" s="11"/>
      <c r="E99" s="11"/>
      <c r="F99" s="11"/>
      <c r="G99" s="11"/>
      <c r="H99" s="11"/>
      <c r="I99" s="11"/>
      <c r="J99" s="11"/>
    </row>
    <row r="100">
      <c r="A100">
        <f>IFERROR(__xludf.DUMMYFUNCTION("""COMPUTED_VALUE"""),129.0)</f>
        <v>129</v>
      </c>
      <c r="B100" s="11" t="str">
        <f>IFERROR(__xludf.DUMMYFUNCTION("""COMPUTED_VALUE"""),"A ""quick button"" on each one that would allow me to remove permissions without having to select and look at each App.")</f>
        <v>A "quick button" on each one that would allow me to remove permissions without having to select and look at each App.</v>
      </c>
      <c r="C100" t="s">
        <v>879</v>
      </c>
      <c r="D100" s="27" t="s">
        <v>910</v>
      </c>
      <c r="E100" s="11"/>
      <c r="F100" s="11"/>
      <c r="G100" s="11"/>
      <c r="H100" s="11"/>
      <c r="I100" s="11"/>
      <c r="J100" s="11"/>
    </row>
    <row r="101">
      <c r="A101">
        <f>IFERROR(__xludf.DUMMYFUNCTION("""COMPUTED_VALUE"""),130.0)</f>
        <v>130</v>
      </c>
      <c r="B101" s="11" t="str">
        <f>IFERROR(__xludf.DUMMYFUNCTION("""COMPUTED_VALUE"""),"I would have a feature to temporarily grant access.")</f>
        <v>I would have a feature to temporarily grant access.</v>
      </c>
      <c r="C101" s="27" t="s">
        <v>877</v>
      </c>
      <c r="D101" s="27" t="s">
        <v>911</v>
      </c>
      <c r="E101" s="3"/>
      <c r="F101" s="11"/>
      <c r="G101" s="11"/>
      <c r="H101" s="11"/>
      <c r="I101" s="11"/>
      <c r="J101" s="11"/>
    </row>
    <row r="102">
      <c r="A102">
        <f>IFERROR(__xludf.DUMMYFUNCTION("""COMPUTED_VALUE"""),131.0)</f>
        <v>131</v>
      </c>
      <c r="B102" s="11" t="str">
        <f>IFERROR(__xludf.DUMMYFUNCTION("""COMPUTED_VALUE"""),"I would like my Google nest to be able to remember more things about me. So my address, phone, birthdays ect.")</f>
        <v>I would like my Google nest to be able to remember more things about me. So my address, phone, birthdays ect.</v>
      </c>
      <c r="C102" s="50" t="s">
        <v>18</v>
      </c>
      <c r="D102" s="3"/>
      <c r="E102" s="3"/>
      <c r="F102" s="11"/>
      <c r="G102" s="11"/>
      <c r="H102" s="11"/>
      <c r="I102" s="11"/>
      <c r="J102" s="11"/>
    </row>
    <row r="103">
      <c r="A103">
        <f>IFERROR(__xludf.DUMMYFUNCTION("""COMPUTED_VALUE"""),132.0)</f>
        <v>132</v>
      </c>
      <c r="B103" s="11" t="str">
        <f>IFERROR(__xludf.DUMMYFUNCTION("""COMPUTED_VALUE"""),"maybe a color code if they know of issues with certain apps, make them yellow or red with a blurb about issues that are known")</f>
        <v>maybe a color code if they know of issues with certain apps, make them yellow or red with a blurb about issues that are known</v>
      </c>
      <c r="C103" t="s">
        <v>884</v>
      </c>
      <c r="D103" s="27" t="s">
        <v>912</v>
      </c>
      <c r="E103" s="19" t="s">
        <v>871</v>
      </c>
      <c r="F103" t="s">
        <v>888</v>
      </c>
      <c r="G103" s="11"/>
      <c r="H103" s="11"/>
      <c r="I103" s="11"/>
      <c r="J103" s="11"/>
    </row>
    <row r="104">
      <c r="A104">
        <f>IFERROR(__xludf.DUMMYFUNCTION("""COMPUTED_VALUE"""),133.0)</f>
        <v>133</v>
      </c>
      <c r="B104" s="11" t="str">
        <f>IFERROR(__xludf.DUMMYFUNCTION("""COMPUTED_VALUE"""),"Not sure. I don' tknow enough about it currently.")</f>
        <v>Not sure. I don' tknow enough about it currently.</v>
      </c>
      <c r="C104" s="24" t="s">
        <v>886</v>
      </c>
      <c r="D104" s="3"/>
      <c r="E104" s="11"/>
      <c r="F104" s="11"/>
      <c r="G104" s="11"/>
      <c r="H104" s="11"/>
      <c r="I104" s="11"/>
      <c r="J104" s="11"/>
    </row>
    <row r="105">
      <c r="A105">
        <f>IFERROR(__xludf.DUMMYFUNCTION("""COMPUTED_VALUE"""),134.0)</f>
        <v>134</v>
      </c>
      <c r="B105" s="11" t="str">
        <f>IFERROR(__xludf.DUMMYFUNCTION("""COMPUTED_VALUE"""),"Can't think of anything")</f>
        <v>Can't think of anything</v>
      </c>
      <c r="C105" s="50" t="s">
        <v>18</v>
      </c>
      <c r="D105" s="3"/>
      <c r="E105" s="3"/>
      <c r="F105" s="3"/>
      <c r="G105" s="11"/>
      <c r="H105" s="11"/>
      <c r="I105" s="11"/>
      <c r="J105" s="11"/>
    </row>
    <row r="106">
      <c r="A106">
        <f>IFERROR(__xludf.DUMMYFUNCTION("""COMPUTED_VALUE"""),135.0)</f>
        <v>135</v>
      </c>
      <c r="B106" s="11" t="str">
        <f>IFERROR(__xludf.DUMMYFUNCTION("""COMPUTED_VALUE"""),"I would like to add an easy way to set limits on how long an app had access, and perhaps a note that shows the last time you logged into/used the service.")</f>
        <v>I would like to add an easy way to set limits on how long an app had access, and perhaps a note that shows the last time you logged into/used the service.</v>
      </c>
      <c r="C106" s="19" t="s">
        <v>871</v>
      </c>
      <c r="D106" t="s">
        <v>876</v>
      </c>
      <c r="E106" s="27" t="s">
        <v>877</v>
      </c>
      <c r="F106" s="27" t="s">
        <v>913</v>
      </c>
      <c r="G106" s="11"/>
      <c r="H106" s="11"/>
      <c r="I106" s="11"/>
      <c r="J106" s="11"/>
    </row>
    <row r="107">
      <c r="A107">
        <f>IFERROR(__xludf.DUMMYFUNCTION("""COMPUTED_VALUE"""),136.0)</f>
        <v>136</v>
      </c>
      <c r="B107" s="11" t="str">
        <f>IFERROR(__xludf.DUMMYFUNCTION("""COMPUTED_VALUE"""),"N/A")</f>
        <v>N/A</v>
      </c>
      <c r="C107" s="50" t="s">
        <v>18</v>
      </c>
      <c r="D107" s="3"/>
      <c r="E107" s="3"/>
      <c r="F107" s="3"/>
      <c r="G107" s="11"/>
      <c r="H107" s="11"/>
      <c r="I107" s="11"/>
      <c r="J107" s="11"/>
    </row>
    <row r="108">
      <c r="A108">
        <f>IFERROR(__xludf.DUMMYFUNCTION("""COMPUTED_VALUE"""),137.0)</f>
        <v>137</v>
      </c>
      <c r="B108" s="11" t="str">
        <f>IFERROR(__xludf.DUMMYFUNCTION("""COMPUTED_VALUE"""),"transparency what the apps need access for")</f>
        <v>transparency what the apps need access for</v>
      </c>
      <c r="C108" s="19" t="s">
        <v>871</v>
      </c>
      <c r="D108" t="s">
        <v>901</v>
      </c>
      <c r="E108" s="3"/>
      <c r="F108" s="11"/>
      <c r="G108" s="11"/>
      <c r="H108" s="11"/>
      <c r="I108" s="11"/>
      <c r="J108" s="11"/>
    </row>
    <row r="109">
      <c r="A109">
        <f>IFERROR(__xludf.DUMMYFUNCTION("""COMPUTED_VALUE"""),138.0)</f>
        <v>138</v>
      </c>
      <c r="B109" s="11" t="str">
        <f>IFERROR(__xludf.DUMMYFUNCTION("""COMPUTED_VALUE"""),"it is good the way it is now")</f>
        <v>it is good the way it is now</v>
      </c>
      <c r="C109" s="50" t="s">
        <v>18</v>
      </c>
      <c r="D109" s="3"/>
      <c r="E109" s="11"/>
      <c r="F109" s="11"/>
      <c r="G109" s="11"/>
      <c r="H109" s="11"/>
      <c r="I109" s="11"/>
      <c r="J109" s="11"/>
    </row>
    <row r="110">
      <c r="A110">
        <f>IFERROR(__xludf.DUMMYFUNCTION("""COMPUTED_VALUE"""),139.0)</f>
        <v>139</v>
      </c>
      <c r="B110" s="11" t="str">
        <f>IFERROR(__xludf.DUMMYFUNCTION("""COMPUTED_VALUE"""),"More security details")</f>
        <v>More security details</v>
      </c>
      <c r="C110" s="19" t="s">
        <v>871</v>
      </c>
      <c r="D110" s="3" t="s">
        <v>914</v>
      </c>
      <c r="E110" s="3"/>
      <c r="F110" s="11"/>
      <c r="G110" s="11"/>
      <c r="H110" s="11"/>
      <c r="I110" s="11"/>
      <c r="J110" s="11"/>
    </row>
    <row r="111">
      <c r="A111">
        <f>IFERROR(__xludf.DUMMYFUNCTION("""COMPUTED_VALUE"""),140.0)</f>
        <v>140</v>
      </c>
      <c r="B111" s="11" t="str">
        <f>IFERROR(__xludf.DUMMYFUNCTION("""COMPUTED_VALUE"""),"It would be nice to be reminded to check this say every 3 months or 6 months. Kind of like the password check-up.")</f>
        <v>It would be nice to be reminded to check this say every 3 months or 6 months. Kind of like the password check-up.</v>
      </c>
      <c r="C111" s="27" t="s">
        <v>872</v>
      </c>
      <c r="D111" s="27" t="s">
        <v>873</v>
      </c>
      <c r="E111" t="s">
        <v>874</v>
      </c>
      <c r="F111" s="3"/>
      <c r="G111" s="11"/>
      <c r="H111" s="11"/>
      <c r="I111" s="11"/>
      <c r="J111" s="11"/>
    </row>
    <row r="112">
      <c r="A112">
        <f>IFERROR(__xludf.DUMMYFUNCTION("""COMPUTED_VALUE"""),141.0)</f>
        <v>141</v>
      </c>
      <c r="B112" s="11" t="str">
        <f>IFERROR(__xludf.DUMMYFUNCTION("""COMPUTED_VALUE"""),"none")</f>
        <v>none</v>
      </c>
      <c r="C112" s="50" t="s">
        <v>18</v>
      </c>
      <c r="D112" s="3"/>
      <c r="E112" s="3"/>
      <c r="F112" s="11"/>
      <c r="G112" s="11"/>
      <c r="H112" s="11"/>
      <c r="I112" s="11"/>
      <c r="J112" s="11"/>
    </row>
    <row r="113">
      <c r="A113">
        <f>IFERROR(__xludf.DUMMYFUNCTION("""COMPUTED_VALUE"""),143.0)</f>
        <v>143</v>
      </c>
      <c r="B113" s="11" t="str">
        <f>IFERROR(__xludf.DUMMYFUNCTION("""COMPUTED_VALUE"""),"None")</f>
        <v>None</v>
      </c>
      <c r="C113" s="50" t="s">
        <v>18</v>
      </c>
      <c r="D113" s="3"/>
      <c r="E113" s="11"/>
      <c r="F113" s="11"/>
      <c r="G113" s="11"/>
      <c r="H113" s="11"/>
      <c r="I113" s="11"/>
      <c r="J113" s="11"/>
    </row>
    <row r="114">
      <c r="A114">
        <f>IFERROR(__xludf.DUMMYFUNCTION("""COMPUTED_VALUE"""),144.0)</f>
        <v>144</v>
      </c>
      <c r="B114" s="26" t="str">
        <f>IFERROR(__xludf.DUMMYFUNCTION("""COMPUTED_VALUE"""),"which app accesses your account the most, suggestions on deletions like how they suggest which emails to unsubscribe from in gmail")</f>
        <v>which app accesses your account the most, suggestions on deletions like how they suggest which emails to unsubscribe from in gmail</v>
      </c>
      <c r="C114" s="19" t="s">
        <v>871</v>
      </c>
      <c r="D114" s="19" t="s">
        <v>915</v>
      </c>
      <c r="E114" t="s">
        <v>884</v>
      </c>
      <c r="F114" s="27" t="s">
        <v>916</v>
      </c>
      <c r="G114" s="11"/>
      <c r="H114" s="11"/>
      <c r="I114" s="11"/>
      <c r="J114" s="11"/>
    </row>
    <row r="115">
      <c r="A115">
        <f>IFERROR(__xludf.DUMMYFUNCTION("""COMPUTED_VALUE"""),145.0)</f>
        <v>145</v>
      </c>
      <c r="B115" s="11" t="str">
        <f>IFERROR(__xludf.DUMMYFUNCTION("""COMPUTED_VALUE"""),"I'm content with the features currently available on this page.")</f>
        <v>I'm content with the features currently available on this page.</v>
      </c>
      <c r="C115" s="50" t="s">
        <v>18</v>
      </c>
      <c r="D115" s="11"/>
      <c r="E115" s="11"/>
      <c r="F115" s="11"/>
      <c r="G115" s="11"/>
      <c r="H115" s="11"/>
      <c r="I115" s="11"/>
      <c r="J115" s="11"/>
    </row>
    <row r="116">
      <c r="A116">
        <f>IFERROR(__xludf.DUMMYFUNCTION("""COMPUTED_VALUE"""),146.0)</f>
        <v>146</v>
      </c>
      <c r="B116" s="11" t="str">
        <f>IFERROR(__xludf.DUMMYFUNCTION("""COMPUTED_VALUE"""),"I can't think of anything in particular, maybe more personalization?")</f>
        <v>I can't think of anything in particular, maybe more personalization?</v>
      </c>
      <c r="C116" t="s">
        <v>884</v>
      </c>
      <c r="D116" s="27" t="s">
        <v>917</v>
      </c>
      <c r="E116" s="3"/>
      <c r="F116" s="3"/>
      <c r="G116" s="11"/>
      <c r="H116" s="11"/>
      <c r="I116" s="11"/>
      <c r="J116" s="11"/>
    </row>
    <row r="117">
      <c r="A117">
        <f>IFERROR(__xludf.DUMMYFUNCTION("""COMPUTED_VALUE"""),147.0)</f>
        <v>147</v>
      </c>
      <c r="B117" s="11" t="str">
        <f>IFERROR(__xludf.DUMMYFUNCTION("""COMPUTED_VALUE"""),"none")</f>
        <v>none</v>
      </c>
      <c r="C117" s="50" t="s">
        <v>18</v>
      </c>
      <c r="D117" s="3"/>
      <c r="E117" s="11"/>
      <c r="F117" s="11"/>
      <c r="G117" s="11"/>
      <c r="H117" s="11"/>
      <c r="I117" s="11"/>
      <c r="J117" s="11"/>
    </row>
    <row r="118">
      <c r="A118">
        <f>IFERROR(__xludf.DUMMYFUNCTION("""COMPUTED_VALUE"""),148.0)</f>
        <v>148</v>
      </c>
      <c r="B118" s="11" t="str">
        <f>IFERROR(__xludf.DUMMYFUNCTION("""COMPUTED_VALUE"""),"Nothing")</f>
        <v>Nothing</v>
      </c>
      <c r="C118" s="50" t="s">
        <v>18</v>
      </c>
      <c r="D118" s="3"/>
      <c r="E118" s="11"/>
      <c r="F118" s="11"/>
      <c r="G118" s="11"/>
      <c r="H118" s="11"/>
      <c r="I118" s="11"/>
      <c r="J118" s="11"/>
    </row>
    <row r="119">
      <c r="A119">
        <f>IFERROR(__xludf.DUMMYFUNCTION("""COMPUTED_VALUE"""),149.0)</f>
        <v>149</v>
      </c>
      <c r="B119" s="11" t="str">
        <f>IFERROR(__xludf.DUMMYFUNCTION("""COMPUTED_VALUE"""),"Button to easily delete apps from accessing account maybe, although it's not strictly needed.")</f>
        <v>Button to easily delete apps from accessing account maybe, although it's not strictly needed.</v>
      </c>
      <c r="C119" t="s">
        <v>880</v>
      </c>
      <c r="D119" s="3"/>
      <c r="E119" s="11"/>
      <c r="F119" s="11"/>
      <c r="G119" s="11"/>
      <c r="H119" s="11"/>
      <c r="I119" s="11"/>
      <c r="J119" s="11"/>
    </row>
    <row r="120">
      <c r="A120">
        <f>IFERROR(__xludf.DUMMYFUNCTION("""COMPUTED_VALUE"""),150.0)</f>
        <v>150</v>
      </c>
      <c r="B120" s="11" t="str">
        <f>IFERROR(__xludf.DUMMYFUNCTION("""COMPUTED_VALUE"""),"Description of what the app is")</f>
        <v>Description of what the app is</v>
      </c>
      <c r="C120" s="19" t="s">
        <v>884</v>
      </c>
      <c r="D120" s="19" t="s">
        <v>918</v>
      </c>
      <c r="E120" s="11"/>
      <c r="F120" s="11"/>
      <c r="G120" s="11"/>
      <c r="H120" s="11"/>
      <c r="I120" s="11"/>
      <c r="J120" s="11"/>
    </row>
    <row r="121">
      <c r="A121">
        <f>IFERROR(__xludf.DUMMYFUNCTION("""COMPUTED_VALUE"""),151.0)</f>
        <v>151</v>
      </c>
      <c r="B121" s="11" t="str">
        <f>IFERROR(__xludf.DUMMYFUNCTION("""COMPUTED_VALUE"""),"I wish it would remind me to review it periodically.")</f>
        <v>I wish it would remind me to review it periodically.</v>
      </c>
      <c r="C121" s="27" t="s">
        <v>872</v>
      </c>
      <c r="D121" t="s">
        <v>882</v>
      </c>
      <c r="E121" s="3"/>
      <c r="F121" s="3"/>
      <c r="G121" s="11"/>
      <c r="H121" s="11"/>
      <c r="I121" s="11"/>
      <c r="J121" s="11"/>
    </row>
    <row r="122">
      <c r="A122">
        <f>IFERROR(__xludf.DUMMYFUNCTION("""COMPUTED_VALUE"""),152.0)</f>
        <v>152</v>
      </c>
      <c r="B122" s="11" t="str">
        <f>IFERROR(__xludf.DUMMYFUNCTION("""COMPUTED_VALUE"""),"N/A")</f>
        <v>N/A</v>
      </c>
      <c r="C122" s="50" t="s">
        <v>18</v>
      </c>
      <c r="D122" s="3"/>
      <c r="E122" s="3"/>
      <c r="F122" s="11"/>
      <c r="G122" s="11"/>
      <c r="H122" s="11"/>
      <c r="I122" s="11"/>
      <c r="J122" s="11"/>
    </row>
    <row r="123">
      <c r="A123">
        <f>IFERROR(__xludf.DUMMYFUNCTION("""COMPUTED_VALUE"""),153.0)</f>
        <v>153</v>
      </c>
      <c r="B123" s="11" t="str">
        <f>IFERROR(__xludf.DUMMYFUNCTION("""COMPUTED_VALUE"""),"easy way to click and remove")</f>
        <v>easy way to click and remove</v>
      </c>
      <c r="C123" t="s">
        <v>880</v>
      </c>
      <c r="D123" s="3"/>
      <c r="E123" s="3"/>
      <c r="F123" s="3"/>
      <c r="G123" s="11"/>
      <c r="H123" s="11"/>
      <c r="I123" s="11"/>
      <c r="J123" s="11"/>
    </row>
    <row r="124">
      <c r="A124">
        <f>IFERROR(__xludf.DUMMYFUNCTION("""COMPUTED_VALUE"""),154.0)</f>
        <v>154</v>
      </c>
      <c r="B124" s="11" t="str">
        <f>IFERROR(__xludf.DUMMYFUNCTION("""COMPUTED_VALUE"""),"Better explanations")</f>
        <v>Better explanations</v>
      </c>
      <c r="C124" t="s">
        <v>871</v>
      </c>
      <c r="D124" s="11"/>
      <c r="E124" s="11"/>
      <c r="F124" s="11"/>
      <c r="G124" s="11"/>
      <c r="H124" s="11"/>
      <c r="I124" s="11"/>
      <c r="J124" s="11"/>
    </row>
    <row r="125">
      <c r="A125">
        <f>IFERROR(__xludf.DUMMYFUNCTION("""COMPUTED_VALUE"""),155.0)</f>
        <v>155</v>
      </c>
      <c r="B125" s="11" t="str">
        <f>IFERROR(__xludf.DUMMYFUNCTION("""COMPUTED_VALUE"""),"Perhaps a more extensive view that precisely explains what exactly a service or app can see from my account.")</f>
        <v>Perhaps a more extensive view that precisely explains what exactly a service or app can see from my account.</v>
      </c>
      <c r="C125" t="s">
        <v>871</v>
      </c>
      <c r="D125" t="s">
        <v>899</v>
      </c>
      <c r="E125" s="11"/>
      <c r="F125" s="11"/>
      <c r="G125" s="11"/>
      <c r="H125" s="11"/>
      <c r="I125" s="11"/>
      <c r="J125" s="11"/>
    </row>
    <row r="126">
      <c r="A126">
        <f>IFERROR(__xludf.DUMMYFUNCTION("""COMPUTED_VALUE"""),156.0)</f>
        <v>156</v>
      </c>
      <c r="B126" s="11" t="str">
        <f>IFERROR(__xludf.DUMMYFUNCTION("""COMPUTED_VALUE"""),"n/a")</f>
        <v>n/a</v>
      </c>
      <c r="C126" s="50" t="s">
        <v>18</v>
      </c>
      <c r="D126" s="3"/>
      <c r="E126" s="11"/>
      <c r="F126" s="11"/>
      <c r="G126" s="11"/>
      <c r="H126" s="11"/>
      <c r="I126" s="11"/>
      <c r="J126" s="11"/>
    </row>
    <row r="127">
      <c r="A127">
        <f>IFERROR(__xludf.DUMMYFUNCTION("""COMPUTED_VALUE"""),157.0)</f>
        <v>157</v>
      </c>
      <c r="B127" s="26" t="str">
        <f>IFERROR(__xludf.DUMMYFUNCTION("""COMPUTED_VALUE"""),"Maybe when the apps were last used by the user would be good.")</f>
        <v>Maybe when the apps were last used by the user would be good.</v>
      </c>
      <c r="C127" s="19" t="s">
        <v>871</v>
      </c>
      <c r="D127" t="s">
        <v>876</v>
      </c>
      <c r="E127" s="11"/>
      <c r="F127" s="11"/>
      <c r="G127" s="11"/>
      <c r="H127" s="11"/>
      <c r="I127" s="11"/>
      <c r="J127" s="11"/>
    </row>
    <row r="128">
      <c r="A128">
        <f>IFERROR(__xludf.DUMMYFUNCTION("""COMPUTED_VALUE"""),158.0)</f>
        <v>158</v>
      </c>
      <c r="B128" s="11" t="str">
        <f>IFERROR(__xludf.DUMMYFUNCTION("""COMPUTED_VALUE"""),"None. Additional features would probably make it harder to use for no benefit.")</f>
        <v>None. Additional features would probably make it harder to use for no benefit.</v>
      </c>
      <c r="C128" s="50" t="s">
        <v>18</v>
      </c>
      <c r="D128" s="3"/>
      <c r="E128" s="3"/>
      <c r="F128" s="3"/>
      <c r="G128" s="11"/>
      <c r="H128" s="11"/>
      <c r="I128" s="11"/>
      <c r="J128" s="11"/>
    </row>
    <row r="129">
      <c r="A129">
        <f>IFERROR(__xludf.DUMMYFUNCTION("""COMPUTED_VALUE"""),159.0)</f>
        <v>159</v>
      </c>
      <c r="B129" s="11" t="str">
        <f>IFERROR(__xludf.DUMMYFUNCTION("""COMPUTED_VALUE"""),"Nothing really.
 It's all pretty easy to use.")</f>
        <v>Nothing really.
 It's all pretty easy to use.</v>
      </c>
      <c r="C129" s="50" t="s">
        <v>18</v>
      </c>
      <c r="D129" s="3"/>
      <c r="E129" s="11"/>
      <c r="F129" s="11"/>
      <c r="G129" s="11"/>
      <c r="H129" s="11"/>
      <c r="I129" s="11"/>
      <c r="J129" s="11"/>
    </row>
    <row r="130">
      <c r="A130">
        <f>IFERROR(__xludf.DUMMYFUNCTION("""COMPUTED_VALUE"""),160.0)</f>
        <v>160</v>
      </c>
      <c r="B130" s="11" t="str">
        <f>IFERROR(__xludf.DUMMYFUNCTION("""COMPUTED_VALUE"""),"Maybe the ability to see when it was added next to the icon.")</f>
        <v>Maybe the ability to see when it was added next to the icon.</v>
      </c>
      <c r="C130" t="s">
        <v>884</v>
      </c>
      <c r="D130" s="19" t="s">
        <v>871</v>
      </c>
      <c r="E130" s="27" t="s">
        <v>897</v>
      </c>
      <c r="F130" s="3"/>
      <c r="G130" s="11"/>
      <c r="H130" s="11"/>
      <c r="I130" s="11"/>
      <c r="J130" s="11"/>
    </row>
    <row r="131">
      <c r="A131">
        <f>IFERROR(__xludf.DUMMYFUNCTION("""COMPUTED_VALUE"""),161.0)</f>
        <v>161</v>
      </c>
      <c r="B131" s="11" t="str">
        <f>IFERROR(__xludf.DUMMYFUNCTION("""COMPUTED_VALUE"""),"Last time the app was used. And the exact information that it is using. Not just generalization.")</f>
        <v>Last time the app was used. And the exact information that it is using. Not just generalization.</v>
      </c>
      <c r="C131" t="s">
        <v>871</v>
      </c>
      <c r="D131" t="s">
        <v>881</v>
      </c>
      <c r="E131" t="s">
        <v>876</v>
      </c>
      <c r="F131" s="11"/>
      <c r="G131" s="11"/>
      <c r="H131" s="11"/>
      <c r="I131" s="11"/>
      <c r="J131" s="11"/>
    </row>
    <row r="132">
      <c r="A132">
        <f>IFERROR(__xludf.DUMMYFUNCTION("""COMPUTED_VALUE"""),162.0)</f>
        <v>162</v>
      </c>
      <c r="B132" s="11" t="str">
        <f>IFERROR(__xludf.DUMMYFUNCTION("""COMPUTED_VALUE"""),"I can't think of any other features I'd need.")</f>
        <v>I can't think of any other features I'd need.</v>
      </c>
      <c r="C132" s="50" t="s">
        <v>18</v>
      </c>
      <c r="D132" s="3"/>
      <c r="E132" s="11"/>
      <c r="F132" s="11"/>
      <c r="G132" s="11"/>
      <c r="H132" s="11"/>
      <c r="I132" s="11"/>
      <c r="J132" s="11"/>
    </row>
    <row r="133">
      <c r="A133">
        <f>IFERROR(__xludf.DUMMYFUNCTION("""COMPUTED_VALUE"""),163.0)</f>
        <v>163</v>
      </c>
      <c r="B133" s="11" t="str">
        <f>IFERROR(__xludf.DUMMYFUNCTION("""COMPUTED_VALUE"""),"A feature to remove access for any of these apps you no longer what to have access.")</f>
        <v>A feature to remove access for any of these apps you no longer what to have access.</v>
      </c>
      <c r="C133" t="s">
        <v>880</v>
      </c>
      <c r="D133" s="3"/>
      <c r="E133" s="11"/>
      <c r="F133" s="11"/>
      <c r="G133" s="11"/>
      <c r="H133" s="11"/>
      <c r="I133" s="11"/>
      <c r="J133" s="11"/>
    </row>
    <row r="134">
      <c r="A134">
        <f>IFERROR(__xludf.DUMMYFUNCTION("""COMPUTED_VALUE"""),164.0)</f>
        <v>164</v>
      </c>
      <c r="B134" s="11" t="str">
        <f>IFERROR(__xludf.DUMMYFUNCTION("""COMPUTED_VALUE"""),"Maybe a rating on how sketchy each company is known to handle their info.")</f>
        <v>Maybe a rating on how sketchy each company is known to handle their info.</v>
      </c>
      <c r="C134" s="3" t="s">
        <v>871</v>
      </c>
      <c r="D134" t="s">
        <v>888</v>
      </c>
      <c r="E134" s="3"/>
      <c r="F134" s="11"/>
      <c r="G134" s="11"/>
      <c r="H134" s="11"/>
      <c r="I134" s="11"/>
      <c r="J134" s="11"/>
    </row>
    <row r="135">
      <c r="A135">
        <f>IFERROR(__xludf.DUMMYFUNCTION("""COMPUTED_VALUE"""),165.0)</f>
        <v>165</v>
      </c>
      <c r="B135" s="26" t="str">
        <f>IFERROR(__xludf.DUMMYFUNCTION("""COMPUTED_VALUE"""),"Maybe a list of ""how detailed is the access these apps have"" - there is a large scale of degrees of access and the access one app needs for something isn't the same as another app, but there is only one degree listed; it's binary.")</f>
        <v>Maybe a list of "how detailed is the access these apps have" - there is a large scale of degrees of access and the access one app needs for something isn't the same as another app, but there is only one degree listed; it's binary.</v>
      </c>
      <c r="C135" s="3" t="s">
        <v>871</v>
      </c>
      <c r="D135" t="s">
        <v>890</v>
      </c>
      <c r="E135" s="11"/>
      <c r="F135" s="11"/>
      <c r="G135" s="11"/>
      <c r="H135" s="11"/>
      <c r="I135" s="11"/>
      <c r="J135" s="11"/>
    </row>
    <row r="136">
      <c r="A136">
        <f>IFERROR(__xludf.DUMMYFUNCTION("""COMPUTED_VALUE"""),166.0)</f>
        <v>166</v>
      </c>
      <c r="B136" s="11" t="str">
        <f>IFERROR(__xludf.DUMMYFUNCTION("""COMPUTED_VALUE"""),"I would like a feature that allows me to easily remove certain apps from having access to my account.")</f>
        <v>I would like a feature that allows me to easily remove certain apps from having access to my account.</v>
      </c>
      <c r="C136" t="s">
        <v>880</v>
      </c>
      <c r="D136" s="3"/>
      <c r="E136" s="3"/>
      <c r="F136" s="11"/>
      <c r="G136" s="11"/>
      <c r="H136" s="11"/>
      <c r="I136" s="11"/>
      <c r="J136" s="11"/>
    </row>
    <row r="137">
      <c r="A137">
        <f>IFERROR(__xludf.DUMMYFUNCTION("""COMPUTED_VALUE"""),167.0)</f>
        <v>167</v>
      </c>
      <c r="B137" s="11" t="str">
        <f>IFERROR(__xludf.DUMMYFUNCTION("""COMPUTED_VALUE"""),"I think I would want to know exactly what kind of information those third parties have access to. Seeing that they can access all of my ""public information"" doesn't help me remember what information that includes - does it include my full name? Or birth"&amp;"day? Or photographs of me? I just feel a little uneducated about the whole situation, so I'm placing a lot of trust in something I know nothing about.")</f>
        <v>I think I would want to know exactly what kind of information those third parties have access to. Seeing that they can access all of my "public information" doesn't help me remember what information that includes - does it include my full name? Or birthday? Or photographs of me? I just feel a little uneducated about the whole situation, so I'm placing a lot of trust in something I know nothing about.</v>
      </c>
      <c r="C137" s="3" t="s">
        <v>871</v>
      </c>
      <c r="D137" t="s">
        <v>881</v>
      </c>
      <c r="E137" s="11"/>
      <c r="F137" s="11"/>
      <c r="G137" s="11"/>
      <c r="H137" s="11"/>
      <c r="I137" s="11"/>
      <c r="J137" s="11"/>
    </row>
    <row r="138">
      <c r="A138">
        <f>IFERROR(__xludf.DUMMYFUNCTION("""COMPUTED_VALUE"""),168.0)</f>
        <v>168</v>
      </c>
      <c r="B138" s="11" t="str">
        <f>IFERROR(__xludf.DUMMYFUNCTION("""COMPUTED_VALUE"""),"maybe a facts widget about privacy")</f>
        <v>maybe a facts widget about privacy</v>
      </c>
      <c r="C138" s="3" t="s">
        <v>871</v>
      </c>
      <c r="D138" s="27" t="s">
        <v>919</v>
      </c>
      <c r="E138" s="3"/>
      <c r="F138" s="11"/>
      <c r="G138" s="11"/>
      <c r="H138" s="11"/>
      <c r="I138" s="11"/>
      <c r="J138" s="11"/>
    </row>
    <row r="139">
      <c r="A139">
        <f>IFERROR(__xludf.DUMMYFUNCTION("""COMPUTED_VALUE"""),169.0)</f>
        <v>169</v>
      </c>
      <c r="B139" s="11" t="str">
        <f>IFERROR(__xludf.DUMMYFUNCTION("""COMPUTED_VALUE"""),"None")</f>
        <v>None</v>
      </c>
      <c r="C139" s="50" t="s">
        <v>18</v>
      </c>
      <c r="D139" s="3"/>
      <c r="E139" s="3"/>
      <c r="F139" s="11"/>
      <c r="G139" s="11"/>
      <c r="H139" s="11"/>
      <c r="I139" s="11"/>
      <c r="J139" s="11"/>
    </row>
    <row r="140">
      <c r="A140">
        <f>IFERROR(__xludf.DUMMYFUNCTION("""COMPUTED_VALUE"""),170.0)</f>
        <v>170</v>
      </c>
      <c r="B140" s="11" t="str">
        <f>IFERROR(__xludf.DUMMYFUNCTION("""COMPUTED_VALUE"""),"none that i can think of.")</f>
        <v>none that i can think of.</v>
      </c>
      <c r="C140" s="50" t="s">
        <v>18</v>
      </c>
      <c r="D140" s="3"/>
      <c r="E140" s="3"/>
      <c r="F140" s="3"/>
      <c r="G140" s="11"/>
      <c r="H140" s="11"/>
      <c r="I140" s="11"/>
      <c r="J140" s="11"/>
    </row>
    <row r="141">
      <c r="A141">
        <f>IFERROR(__xludf.DUMMYFUNCTION("""COMPUTED_VALUE"""),171.0)</f>
        <v>171</v>
      </c>
      <c r="B141" s="11" t="str">
        <f>IFERROR(__xludf.DUMMYFUNCTION("""COMPUTED_VALUE"""),"There are none that I can think of.")</f>
        <v>There are none that I can think of.</v>
      </c>
      <c r="C141" s="50" t="s">
        <v>18</v>
      </c>
      <c r="D141" s="3"/>
      <c r="E141" s="11"/>
      <c r="F141" s="11"/>
      <c r="G141" s="11"/>
      <c r="H141" s="11"/>
      <c r="I141" s="11"/>
      <c r="J141" s="11"/>
    </row>
    <row r="142">
      <c r="A142">
        <f>IFERROR(__xludf.DUMMYFUNCTION("""COMPUTED_VALUE"""),172.0)</f>
        <v>172</v>
      </c>
      <c r="B142" s="11" t="str">
        <f>IFERROR(__xludf.DUMMYFUNCTION("""COMPUTED_VALUE"""),"I'm not sure if it has it or not, but the ability to remove certain accesses that I don't think the app needs.")</f>
        <v>I'm not sure if it has it or not, but the ability to remove certain accesses that I don't think the app needs.</v>
      </c>
      <c r="C142" t="s">
        <v>879</v>
      </c>
      <c r="D142" t="s">
        <v>910</v>
      </c>
      <c r="E142" s="11"/>
      <c r="F142" s="11"/>
      <c r="G142" s="11"/>
      <c r="H142" s="11"/>
      <c r="I142" s="11"/>
      <c r="J142" s="11"/>
    </row>
    <row r="143">
      <c r="A143">
        <f>IFERROR(__xludf.DUMMYFUNCTION("""COMPUTED_VALUE"""),173.0)</f>
        <v>173</v>
      </c>
      <c r="B143" s="11" t="str">
        <f>IFERROR(__xludf.DUMMYFUNCTION("""COMPUTED_VALUE"""),"Approve permissions every X amount of days")</f>
        <v>Approve permissions every X amount of days</v>
      </c>
      <c r="C143" t="s">
        <v>920</v>
      </c>
      <c r="D143" s="27" t="s">
        <v>921</v>
      </c>
      <c r="E143" s="3"/>
      <c r="F143" s="11"/>
      <c r="G143" s="11"/>
      <c r="H143" s="11"/>
      <c r="I143" s="11"/>
      <c r="J143" s="11"/>
    </row>
    <row r="144">
      <c r="A144">
        <f>IFERROR(__xludf.DUMMYFUNCTION("""COMPUTED_VALUE"""),174.0)</f>
        <v>174</v>
      </c>
      <c r="B144" s="11" t="str">
        <f>IFERROR(__xludf.DUMMYFUNCTION("""COMPUTED_VALUE"""),"An easy way to remove access to my account.")</f>
        <v>An easy way to remove access to my account.</v>
      </c>
      <c r="C144" s="27" t="s">
        <v>880</v>
      </c>
      <c r="D144" s="3"/>
      <c r="E144" s="3"/>
      <c r="F144" s="3"/>
      <c r="G144" s="3"/>
      <c r="H144" s="11"/>
      <c r="I144" s="11"/>
      <c r="J144" s="11"/>
    </row>
    <row r="145">
      <c r="A145">
        <f>IFERROR(__xludf.DUMMYFUNCTION("""COMPUTED_VALUE"""),175.0)</f>
        <v>175</v>
      </c>
      <c r="B145" s="11" t="str">
        <f>IFERROR(__xludf.DUMMYFUNCTION("""COMPUTED_VALUE"""),"more information about how to tell if an app is trustworthy and why they need the personal info they collect")</f>
        <v>more information about how to tell if an app is trustworthy and why they need the personal info they collect</v>
      </c>
      <c r="C145" t="s">
        <v>871</v>
      </c>
      <c r="D145" t="s">
        <v>901</v>
      </c>
      <c r="E145" t="s">
        <v>888</v>
      </c>
      <c r="F145" s="11"/>
      <c r="G145" s="11"/>
      <c r="H145" s="11"/>
      <c r="I145" s="11"/>
      <c r="J145" s="11"/>
    </row>
    <row r="146">
      <c r="A146">
        <f>IFERROR(__xludf.DUMMYFUNCTION("""COMPUTED_VALUE"""),176.0)</f>
        <v>176</v>
      </c>
      <c r="B146" s="11" t="str">
        <f>IFERROR(__xludf.DUMMYFUNCTION("""COMPUTED_VALUE"""),"Can't think of any necessary features.")</f>
        <v>Can't think of any necessary features.</v>
      </c>
      <c r="C146" s="50" t="s">
        <v>18</v>
      </c>
      <c r="D146" s="3"/>
      <c r="E146" s="3"/>
      <c r="F146" s="11"/>
      <c r="H146" s="11"/>
      <c r="I146" s="11"/>
      <c r="J146" s="11"/>
    </row>
    <row r="147">
      <c r="A147">
        <f>IFERROR(__xludf.DUMMYFUNCTION("""COMPUTED_VALUE"""),178.0)</f>
        <v>178</v>
      </c>
      <c r="B147" s="11" t="str">
        <f>IFERROR(__xludf.DUMMYFUNCTION("""COMPUTED_VALUE"""),"n/a")</f>
        <v>n/a</v>
      </c>
      <c r="C147" s="50" t="s">
        <v>18</v>
      </c>
      <c r="D147" s="3"/>
      <c r="E147" s="3"/>
      <c r="F147" s="3"/>
      <c r="H147" s="11"/>
      <c r="I147" s="11"/>
      <c r="J147" s="11"/>
    </row>
    <row r="148">
      <c r="A148">
        <f>IFERROR(__xludf.DUMMYFUNCTION("""COMPUTED_VALUE"""),179.0)</f>
        <v>179</v>
      </c>
      <c r="B148" s="11" t="str">
        <f>IFERROR(__xludf.DUMMYFUNCTION("""COMPUTED_VALUE"""),"Nothing, I like that it's simple and not cluttered. It has everything it needs in my opinion")</f>
        <v>Nothing, I like that it's simple and not cluttered. It has everything it needs in my opinion</v>
      </c>
      <c r="C148" s="50" t="s">
        <v>18</v>
      </c>
      <c r="D148" s="3"/>
      <c r="E148" s="11"/>
      <c r="F148" s="11"/>
      <c r="H148" s="11"/>
      <c r="I148" s="11"/>
      <c r="J148" s="11"/>
    </row>
    <row r="149">
      <c r="A149">
        <f>IFERROR(__xludf.DUMMYFUNCTION("""COMPUTED_VALUE"""),180.0)</f>
        <v>180</v>
      </c>
      <c r="B149" s="11" t="str">
        <f>IFERROR(__xludf.DUMMYFUNCTION("""COMPUTED_VALUE"""),"Explanations provided by the services as to why they need the specific permissions they do.")</f>
        <v>Explanations provided by the services as to why they need the specific permissions they do.</v>
      </c>
      <c r="C149" t="s">
        <v>871</v>
      </c>
      <c r="D149" t="s">
        <v>890</v>
      </c>
      <c r="E149" s="11"/>
      <c r="F149" s="11"/>
      <c r="H149" s="11"/>
      <c r="I149" s="11"/>
      <c r="J149" s="11"/>
    </row>
    <row r="150">
      <c r="A150">
        <f>IFERROR(__xludf.DUMMYFUNCTION("""COMPUTED_VALUE"""),181.0)</f>
        <v>181</v>
      </c>
      <c r="B150" s="11" t="str">
        <f>IFERROR(__xludf.DUMMYFUNCTION("""COMPUTED_VALUE"""),"I think a history of when and what data was accessed would be nice.")</f>
        <v>I think a history of when and what data was accessed would be nice.</v>
      </c>
      <c r="C150" t="s">
        <v>871</v>
      </c>
      <c r="D150" t="s">
        <v>876</v>
      </c>
      <c r="E150" t="s">
        <v>881</v>
      </c>
      <c r="F150" s="3"/>
      <c r="H150" s="11"/>
      <c r="I150" s="11"/>
      <c r="J150" s="11"/>
    </row>
    <row r="151">
      <c r="A151">
        <f>IFERROR(__xludf.DUMMYFUNCTION("""COMPUTED_VALUE"""),182.0)</f>
        <v>182</v>
      </c>
      <c r="B151" s="11" t="str">
        <f>IFERROR(__xludf.DUMMYFUNCTION("""COMPUTED_VALUE"""),"Just saying information about what apps have access to what or whenever I last used it.")</f>
        <v>Just saying information about what apps have access to what or whenever I last used it.</v>
      </c>
      <c r="C151" t="s">
        <v>871</v>
      </c>
      <c r="D151" t="s">
        <v>876</v>
      </c>
      <c r="E151" t="s">
        <v>881</v>
      </c>
      <c r="F151" s="3"/>
      <c r="H151" s="11"/>
      <c r="I151" s="11"/>
      <c r="J151" s="11"/>
    </row>
    <row r="152">
      <c r="A152">
        <f>IFERROR(__xludf.DUMMYFUNCTION("""COMPUTED_VALUE"""),183.0)</f>
        <v>183</v>
      </c>
      <c r="B152" s="11" t="str">
        <f>IFERROR(__xludf.DUMMYFUNCTION("""COMPUTED_VALUE"""),"I would like to know when was the last time I accessed the app")</f>
        <v>I would like to know when was the last time I accessed the app</v>
      </c>
      <c r="C152" t="s">
        <v>871</v>
      </c>
      <c r="D152" t="s">
        <v>876</v>
      </c>
      <c r="E152" s="11"/>
      <c r="F152" s="11"/>
      <c r="H152" s="11"/>
      <c r="I152" s="11"/>
      <c r="J152" s="11"/>
    </row>
    <row r="153">
      <c r="A153">
        <f>IFERROR(__xludf.DUMMYFUNCTION("""COMPUTED_VALUE"""),184.0)</f>
        <v>184</v>
      </c>
      <c r="B153" s="11" t="str">
        <f>IFERROR(__xludf.DUMMYFUNCTION("""COMPUTED_VALUE"""),"The ability to remove access right from this page")</f>
        <v>The ability to remove access right from this page</v>
      </c>
      <c r="C153" s="27" t="s">
        <v>880</v>
      </c>
      <c r="D153" s="3"/>
      <c r="E153" s="11"/>
      <c r="F153" s="11"/>
      <c r="H153" s="11"/>
      <c r="I153" s="11"/>
      <c r="J153" s="11"/>
    </row>
    <row r="154">
      <c r="A154">
        <f>IFERROR(__xludf.DUMMYFUNCTION("""COMPUTED_VALUE"""),185.0)</f>
        <v>185</v>
      </c>
      <c r="B154" s="11" t="str">
        <f>IFERROR(__xludf.DUMMYFUNCTION("""COMPUTED_VALUE"""),"none")</f>
        <v>none</v>
      </c>
      <c r="C154" s="50" t="s">
        <v>18</v>
      </c>
      <c r="D154" s="3"/>
      <c r="E154" s="3"/>
      <c r="F154" s="3"/>
      <c r="H154" s="11"/>
      <c r="I154" s="11"/>
      <c r="J154" s="11"/>
    </row>
    <row r="155">
      <c r="A155">
        <f>IFERROR(__xludf.DUMMYFUNCTION("""COMPUTED_VALUE"""),186.0)</f>
        <v>186</v>
      </c>
      <c r="B155" s="11" t="str">
        <f>IFERROR(__xludf.DUMMYFUNCTION("""COMPUTED_VALUE"""),"Auto removal of apps after 3 months of no use.")</f>
        <v>Auto removal of apps after 3 months of no use.</v>
      </c>
      <c r="C155" t="s">
        <v>920</v>
      </c>
      <c r="D155" s="27" t="s">
        <v>922</v>
      </c>
      <c r="E155" s="27" t="s">
        <v>923</v>
      </c>
      <c r="F155" s="11"/>
      <c r="G155" s="11"/>
      <c r="H155" s="11"/>
      <c r="I155" s="11"/>
      <c r="J155" s="11"/>
    </row>
    <row r="156">
      <c r="A156">
        <f>IFERROR(__xludf.DUMMYFUNCTION("""COMPUTED_VALUE"""),187.0)</f>
        <v>187</v>
      </c>
      <c r="B156" s="11" t="str">
        <f>IFERROR(__xludf.DUMMYFUNCTION("""COMPUTED_VALUE"""),"None.")</f>
        <v>None.</v>
      </c>
      <c r="C156" s="50" t="s">
        <v>18</v>
      </c>
      <c r="D156" s="11"/>
      <c r="E156" s="11"/>
      <c r="F156" s="11"/>
      <c r="G156" s="11"/>
      <c r="H156" s="11"/>
      <c r="I156" s="11"/>
      <c r="J156" s="11"/>
    </row>
    <row r="157">
      <c r="A157">
        <f>IFERROR(__xludf.DUMMYFUNCTION("""COMPUTED_VALUE"""),188.0)</f>
        <v>188</v>
      </c>
      <c r="B157" s="11" t="str">
        <f>IFERROR(__xludf.DUMMYFUNCTION("""COMPUTED_VALUE"""),"nothing.")</f>
        <v>nothing.</v>
      </c>
      <c r="C157" s="50" t="s">
        <v>18</v>
      </c>
      <c r="D157" s="11"/>
      <c r="E157" s="11"/>
      <c r="F157" s="11"/>
      <c r="G157" s="11"/>
      <c r="H157" s="11"/>
      <c r="I157" s="11"/>
      <c r="J157" s="11"/>
    </row>
    <row r="158">
      <c r="A158">
        <f>IFERROR(__xludf.DUMMYFUNCTION("""COMPUTED_VALUE"""),189.0)</f>
        <v>189</v>
      </c>
      <c r="B158" s="11" t="str">
        <f>IFERROR(__xludf.DUMMYFUNCTION("""COMPUTED_VALUE"""),"not sure")</f>
        <v>not sure</v>
      </c>
      <c r="C158" s="50" t="s">
        <v>18</v>
      </c>
      <c r="D158" s="11"/>
      <c r="E158" s="11"/>
      <c r="F158" s="11"/>
      <c r="G158" s="11"/>
      <c r="H158" s="11"/>
      <c r="I158" s="11"/>
      <c r="J158" s="11"/>
    </row>
    <row r="159">
      <c r="A159">
        <f>IFERROR(__xludf.DUMMYFUNCTION("""COMPUTED_VALUE"""),190.0)</f>
        <v>190</v>
      </c>
      <c r="B159" s="11" t="str">
        <f>IFERROR(__xludf.DUMMYFUNCTION("""COMPUTED_VALUE"""),"The last time you used an app or service.")</f>
        <v>The last time you used an app or service.</v>
      </c>
      <c r="C159" s="27" t="s">
        <v>871</v>
      </c>
      <c r="D159" t="s">
        <v>876</v>
      </c>
      <c r="E159" s="11"/>
      <c r="F159" s="11"/>
      <c r="G159" s="11"/>
      <c r="H159" s="11"/>
      <c r="I159" s="11"/>
      <c r="J159" s="11"/>
    </row>
    <row r="160">
      <c r="A160">
        <f>IFERROR(__xludf.DUMMYFUNCTION("""COMPUTED_VALUE"""),191.0)</f>
        <v>191</v>
      </c>
      <c r="B160" s="11" t="str">
        <f>IFERROR(__xludf.DUMMYFUNCTION("""COMPUTED_VALUE"""),"how they use the data")</f>
        <v>how they use the data</v>
      </c>
      <c r="C160" s="27" t="s">
        <v>871</v>
      </c>
      <c r="D160" s="3" t="s">
        <v>924</v>
      </c>
      <c r="E160" s="11"/>
      <c r="F160" s="11"/>
      <c r="G160" s="11"/>
      <c r="H160" s="11"/>
      <c r="I160" s="11"/>
      <c r="J160" s="11"/>
    </row>
    <row r="161">
      <c r="A161">
        <f>IFERROR(__xludf.DUMMYFUNCTION("""COMPUTED_VALUE"""),192.0)</f>
        <v>192</v>
      </c>
      <c r="B161" s="11" t="str">
        <f>IFERROR(__xludf.DUMMYFUNCTION("""COMPUTED_VALUE"""),"none")</f>
        <v>none</v>
      </c>
      <c r="C161" s="50" t="s">
        <v>18</v>
      </c>
      <c r="D161" s="11"/>
      <c r="E161" s="11"/>
      <c r="F161" s="11"/>
      <c r="G161" s="11"/>
      <c r="H161" s="11"/>
      <c r="I161" s="11"/>
      <c r="J161" s="11"/>
    </row>
    <row r="162">
      <c r="A162">
        <f>IFERROR(__xludf.DUMMYFUNCTION("""COMPUTED_VALUE"""),193.0)</f>
        <v>193</v>
      </c>
      <c r="B162" s="11" t="str">
        <f>IFERROR(__xludf.DUMMYFUNCTION("""COMPUTED_VALUE"""),"What type of access these apps have to my account i.e. can they see my browsing history")</f>
        <v>What type of access these apps have to my account i.e. can they see my browsing history</v>
      </c>
      <c r="C162" t="s">
        <v>871</v>
      </c>
      <c r="D162" t="s">
        <v>890</v>
      </c>
      <c r="E162" s="11"/>
      <c r="F162" s="11"/>
      <c r="G162" s="11"/>
      <c r="H162" s="11"/>
      <c r="I162" s="11"/>
      <c r="J162" s="11"/>
    </row>
    <row r="163">
      <c r="A163">
        <f>IFERROR(__xludf.DUMMYFUNCTION("""COMPUTED_VALUE"""),194.0)</f>
        <v>194</v>
      </c>
      <c r="B163" s="11" t="str">
        <f>IFERROR(__xludf.DUMMYFUNCTION("""COMPUTED_VALUE"""),"I want to see descriptions of what it does on my gmail account")</f>
        <v>I want to see descriptions of what it does on my gmail account</v>
      </c>
      <c r="C163" t="s">
        <v>871</v>
      </c>
      <c r="D163" t="s">
        <v>890</v>
      </c>
      <c r="E163" s="11"/>
      <c r="F163" s="11"/>
      <c r="G163" s="11"/>
      <c r="H163" s="11"/>
      <c r="I163" s="11"/>
      <c r="J163" s="11"/>
    </row>
    <row r="164">
      <c r="A164">
        <f>IFERROR(__xludf.DUMMYFUNCTION("""COMPUTED_VALUE"""),195.0)</f>
        <v>195</v>
      </c>
      <c r="B164" s="11" t="str">
        <f>IFERROR(__xludf.DUMMYFUNCTION("""COMPUTED_VALUE"""),"Maybe a brief justification for the permissions each service uses.")</f>
        <v>Maybe a brief justification for the permissions each service uses.</v>
      </c>
      <c r="C164" t="s">
        <v>871</v>
      </c>
      <c r="D164" t="s">
        <v>890</v>
      </c>
      <c r="E164" s="11"/>
      <c r="F164" s="11"/>
      <c r="G164" s="11"/>
      <c r="H164" s="11"/>
      <c r="I164" s="11"/>
      <c r="J164" s="11"/>
    </row>
    <row r="165">
      <c r="A165">
        <f>IFERROR(__xludf.DUMMYFUNCTION("""COMPUTED_VALUE"""),196.0)</f>
        <v>196</v>
      </c>
      <c r="B165" s="11" t="str">
        <f>IFERROR(__xludf.DUMMYFUNCTION("""COMPUTED_VALUE"""),"I would like to see an easy button for removal of some of these apps if I do not wish for them to be associated with my account anymore.")</f>
        <v>I would like to see an easy button for removal of some of these apps if I do not wish for them to be associated with my account anymore.</v>
      </c>
      <c r="C165" t="s">
        <v>880</v>
      </c>
      <c r="D165" s="11"/>
      <c r="E165" s="11"/>
      <c r="F165" s="11"/>
      <c r="G165" s="11"/>
      <c r="H165" s="11"/>
      <c r="I165" s="11"/>
      <c r="J165" s="11"/>
    </row>
    <row r="166">
      <c r="A166">
        <f>IFERROR(__xludf.DUMMYFUNCTION("""COMPUTED_VALUE"""),197.0)</f>
        <v>197</v>
      </c>
      <c r="B166" s="11" t="str">
        <f>IFERROR(__xludf.DUMMYFUNCTION("""COMPUTED_VALUE"""),"none")</f>
        <v>none</v>
      </c>
      <c r="C166" s="50" t="s">
        <v>18</v>
      </c>
      <c r="D166" s="11"/>
      <c r="E166" s="11"/>
      <c r="F166" s="11"/>
      <c r="G166" s="11"/>
      <c r="H166" s="11"/>
      <c r="I166" s="11"/>
      <c r="J166" s="11"/>
    </row>
    <row r="167">
      <c r="A167">
        <f>IFERROR(__xludf.DUMMYFUNCTION("""COMPUTED_VALUE"""),198.0)</f>
        <v>198</v>
      </c>
      <c r="B167" s="11" t="str">
        <f>IFERROR(__xludf.DUMMYFUNCTION("""COMPUTED_VALUE"""),"Maybe a last used date when you last used the app and a little notification that it hasnt been used in 1-5 months and that it's probably time to delete it.")</f>
        <v>Maybe a last used date when you last used the app and a little notification that it hasnt been used in 1-5 months and that it's probably time to delete it.</v>
      </c>
      <c r="C167" t="s">
        <v>872</v>
      </c>
      <c r="D167" s="27" t="s">
        <v>925</v>
      </c>
      <c r="E167" t="s">
        <v>871</v>
      </c>
      <c r="F167" t="s">
        <v>876</v>
      </c>
      <c r="G167" s="11"/>
      <c r="H167" s="11"/>
      <c r="I167" s="11"/>
      <c r="J167" s="11"/>
    </row>
    <row r="168">
      <c r="A168">
        <f>IFERROR(__xludf.DUMMYFUNCTION("""COMPUTED_VALUE"""),199.0)</f>
        <v>199</v>
      </c>
      <c r="B168" s="11" t="str">
        <f>IFERROR(__xludf.DUMMYFUNCTION("""COMPUTED_VALUE"""),"N/A")</f>
        <v>N/A</v>
      </c>
      <c r="C168" s="50" t="s">
        <v>18</v>
      </c>
      <c r="D168" s="11"/>
      <c r="E168" s="11"/>
      <c r="F168" s="11"/>
      <c r="G168" s="11"/>
      <c r="H168" s="11"/>
      <c r="I168" s="11"/>
      <c r="J168" s="11"/>
    </row>
    <row r="169">
      <c r="A169">
        <f>IFERROR(__xludf.DUMMYFUNCTION("""COMPUTED_VALUE"""),200.0)</f>
        <v>200</v>
      </c>
      <c r="B169" s="11" t="str">
        <f>IFERROR(__xludf.DUMMYFUNCTION("""COMPUTED_VALUE"""),"I would like it if the details about which permissions are granted for access were readily viewable and more extensively insightful, rather than viewable only when clicked.")</f>
        <v>I would like it if the details about which permissions are granted for access were readily viewable and more extensively insightful, rather than viewable only when clicked.</v>
      </c>
      <c r="C169" t="s">
        <v>871</v>
      </c>
      <c r="D169" t="s">
        <v>890</v>
      </c>
      <c r="E169" s="11"/>
      <c r="F169" s="11"/>
      <c r="G169" s="11"/>
      <c r="H169" s="11"/>
      <c r="I169" s="11"/>
      <c r="J169" s="11"/>
    </row>
    <row r="170">
      <c r="A170">
        <f>IFERROR(__xludf.DUMMYFUNCTION("""COMPUTED_VALUE"""),201.0)</f>
        <v>201</v>
      </c>
      <c r="B170" s="11" t="str">
        <f>IFERROR(__xludf.DUMMYFUNCTION("""COMPUTED_VALUE"""),"none")</f>
        <v>none</v>
      </c>
      <c r="C170" s="50" t="s">
        <v>18</v>
      </c>
      <c r="D170" s="11"/>
      <c r="E170" s="11"/>
      <c r="F170" s="11"/>
      <c r="G170" s="11"/>
      <c r="H170" s="11"/>
      <c r="I170" s="11"/>
      <c r="J170" s="11"/>
    </row>
    <row r="171">
      <c r="A171">
        <f>IFERROR(__xludf.DUMMYFUNCTION("""COMPUTED_VALUE"""),202.0)</f>
        <v>202</v>
      </c>
      <c r="B171" s="11" t="str">
        <f>IFERROR(__xludf.DUMMYFUNCTION("""COMPUTED_VALUE"""),"I cannot think of any.")</f>
        <v>I cannot think of any.</v>
      </c>
      <c r="C171" s="50" t="s">
        <v>18</v>
      </c>
      <c r="D171" s="11"/>
      <c r="E171" s="11"/>
      <c r="F171" s="11"/>
      <c r="G171" s="11"/>
      <c r="H171" s="11"/>
      <c r="I171" s="11"/>
      <c r="J171" s="11"/>
    </row>
    <row r="172">
      <c r="A172">
        <f>IFERROR(__xludf.DUMMYFUNCTION("""COMPUTED_VALUE"""),203.0)</f>
        <v>203</v>
      </c>
      <c r="B172" s="11" t="str">
        <f>IFERROR(__xludf.DUMMYFUNCTION("""COMPUTED_VALUE"""),"None")</f>
        <v>None</v>
      </c>
      <c r="C172" s="50" t="s">
        <v>18</v>
      </c>
      <c r="D172" s="11"/>
      <c r="E172" s="11"/>
      <c r="F172" s="11"/>
      <c r="G172" s="11"/>
      <c r="H172" s="11"/>
      <c r="I172" s="11"/>
      <c r="J172" s="11"/>
    </row>
    <row r="173">
      <c r="A173">
        <f>IFERROR(__xludf.DUMMYFUNCTION("""COMPUTED_VALUE"""),204.0)</f>
        <v>204</v>
      </c>
      <c r="B173" s="11" t="str">
        <f>IFERROR(__xludf.DUMMYFUNCTION("""COMPUTED_VALUE"""),"I do not want any new features.")</f>
        <v>I do not want any new features.</v>
      </c>
      <c r="C173" s="50" t="s">
        <v>18</v>
      </c>
      <c r="D173" s="11"/>
      <c r="E173" s="11"/>
      <c r="F173" s="11"/>
      <c r="G173" s="11"/>
      <c r="H173" s="11"/>
      <c r="I173" s="11"/>
      <c r="J173" s="11"/>
    </row>
    <row r="174">
      <c r="A174">
        <f>IFERROR(__xludf.DUMMYFUNCTION("""COMPUTED_VALUE"""),205.0)</f>
        <v>205</v>
      </c>
      <c r="B174" s="26" t="str">
        <f>IFERROR(__xludf.DUMMYFUNCTION("""COMPUTED_VALUE"""),"DETAILED information about what is available to third party apps. not just ""access to your personal information"" but ""access to: your full name, age, date of birth, street address, ""...etc")</f>
        <v>DETAILED information about what is available to third party apps. not just "access to your personal information" but "access to: your full name, age, date of birth, street address, "...etc</v>
      </c>
      <c r="C174" t="s">
        <v>871</v>
      </c>
      <c r="D174" t="s">
        <v>890</v>
      </c>
      <c r="E174" s="11"/>
      <c r="F174" s="11"/>
      <c r="G174" s="11"/>
      <c r="H174" s="11"/>
      <c r="I174" s="11"/>
      <c r="J174" s="11"/>
    </row>
    <row r="175">
      <c r="A175">
        <f>IFERROR(__xludf.DUMMYFUNCTION("""COMPUTED_VALUE"""),206.0)</f>
        <v>206</v>
      </c>
      <c r="B175" s="11" t="str">
        <f>IFERROR(__xludf.DUMMYFUNCTION("""COMPUTED_VALUE"""),"itt might be nice to know the date when permission was given")</f>
        <v>itt might be nice to know the date when permission was given</v>
      </c>
      <c r="C175" t="s">
        <v>871</v>
      </c>
      <c r="D175" t="s">
        <v>897</v>
      </c>
      <c r="E175" s="11"/>
      <c r="F175" s="11"/>
      <c r="G175" s="11"/>
      <c r="H175" s="11"/>
      <c r="I175" s="11"/>
      <c r="J175" s="11"/>
    </row>
    <row r="176">
      <c r="A176">
        <f>IFERROR(__xludf.DUMMYFUNCTION("""COMPUTED_VALUE"""),207.0)</f>
        <v>207</v>
      </c>
      <c r="B176" s="11" t="str">
        <f>IFERROR(__xludf.DUMMYFUNCTION("""COMPUTED_VALUE"""),"A button to automatically deny access to apps.")</f>
        <v>A button to automatically deny access to apps.</v>
      </c>
      <c r="C176" t="s">
        <v>880</v>
      </c>
      <c r="D176" s="11"/>
      <c r="E176" s="11"/>
      <c r="F176" s="11"/>
      <c r="G176" s="11"/>
      <c r="H176" s="11"/>
      <c r="I176" s="11"/>
      <c r="J176" s="11"/>
    </row>
    <row r="177">
      <c r="A177">
        <f>IFERROR(__xludf.DUMMYFUNCTION("""COMPUTED_VALUE"""),208.0)</f>
        <v>208</v>
      </c>
      <c r="B177" s="26" t="str">
        <f>IFERROR(__xludf.DUMMYFUNCTION("""COMPUTED_VALUE"""),"Not sure if it's there but it would be beneficial for a way to remove them; have yearly certifications required for these apps to remain there.")</f>
        <v>Not sure if it's there but it would be beneficial for a way to remove them; have yearly certifications required for these apps to remain there.</v>
      </c>
      <c r="C177" s="3" t="s">
        <v>920</v>
      </c>
      <c r="D177" s="3" t="s">
        <v>926</v>
      </c>
      <c r="E177" s="11"/>
      <c r="F177" s="11"/>
      <c r="G177" s="11"/>
      <c r="H177" s="11"/>
      <c r="I177" s="11"/>
      <c r="J177" s="11"/>
    </row>
    <row r="178">
      <c r="A178">
        <f>IFERROR(__xludf.DUMMYFUNCTION("""COMPUTED_VALUE"""),209.0)</f>
        <v>209</v>
      </c>
      <c r="B178" s="11" t="str">
        <f>IFERROR(__xludf.DUMMYFUNCTION("""COMPUTED_VALUE"""),"None")</f>
        <v>None</v>
      </c>
      <c r="C178" s="50" t="s">
        <v>18</v>
      </c>
      <c r="D178" s="11"/>
      <c r="E178" s="11"/>
      <c r="F178" s="11"/>
      <c r="G178" s="11"/>
      <c r="H178" s="11"/>
      <c r="I178" s="11"/>
      <c r="J178" s="11"/>
    </row>
    <row r="179">
      <c r="A179">
        <f>IFERROR(__xludf.DUMMYFUNCTION("""COMPUTED_VALUE"""),210.0)</f>
        <v>210</v>
      </c>
      <c r="B179" s="11" t="str">
        <f>IFERROR(__xludf.DUMMYFUNCTION("""COMPUTED_VALUE"""),"maybe how often that app has been used to see if it's really necessary for them to have my info. if i use them requently then fine but wayfair i only ever used once and forgot about it. same with kinedu")</f>
        <v>maybe how often that app has been used to see if it's really necessary for them to have my info. if i use them requently then fine but wayfair i only ever used once and forgot about it. same with kinedu</v>
      </c>
      <c r="C179" t="s">
        <v>871</v>
      </c>
      <c r="D179" t="s">
        <v>876</v>
      </c>
      <c r="E179" s="11"/>
      <c r="F179" s="11"/>
      <c r="G179" s="11"/>
      <c r="H179" s="11"/>
      <c r="I179" s="11"/>
      <c r="J179" s="11"/>
    </row>
    <row r="180">
      <c r="A180">
        <f>IFERROR(__xludf.DUMMYFUNCTION("""COMPUTED_VALUE"""),211.0)</f>
        <v>211</v>
      </c>
      <c r="B180" s="11" t="str">
        <f>IFERROR(__xludf.DUMMYFUNCTION("""COMPUTED_VALUE"""),"Maybe slightly clarify the readability for those who aren't computer savvy. Mostly, I'd like to see a button on my gmail specifically that I could click to take me directly to the review page, so I could review periodically. (I forget that there are place"&amp;"s I need to go in settings to find stuff.)")</f>
        <v>Maybe slightly clarify the readability for those who aren't computer savvy. Mostly, I'd like to see a button on my gmail specifically that I could click to take me directly to the review page, so I could review periodically. (I forget that there are places I need to go in settings to find stuff.)</v>
      </c>
      <c r="C180" t="s">
        <v>872</v>
      </c>
      <c r="D180" s="27" t="s">
        <v>927</v>
      </c>
      <c r="E180" s="19" t="s">
        <v>884</v>
      </c>
      <c r="F180" t="s">
        <v>892</v>
      </c>
      <c r="G180" s="11"/>
      <c r="H180" s="11"/>
      <c r="I180" s="11"/>
      <c r="J180" s="11"/>
    </row>
    <row r="181">
      <c r="A181">
        <f>IFERROR(__xludf.DUMMYFUNCTION("""COMPUTED_VALUE"""),212.0)</f>
        <v>212</v>
      </c>
      <c r="B181" s="11" t="str">
        <f>IFERROR(__xludf.DUMMYFUNCTION("""COMPUTED_VALUE"""),"Being able to sort by the type of access so if I wanted to change certain access across multiple apps, it would be easier.")</f>
        <v>Being able to sort by the type of access so if I wanted to change certain access across multiple apps, it would be easier.</v>
      </c>
      <c r="C181" s="19" t="s">
        <v>884</v>
      </c>
      <c r="D181" t="s">
        <v>889</v>
      </c>
      <c r="E181" s="11"/>
      <c r="F181" s="11"/>
      <c r="G181" s="11"/>
      <c r="H181" s="11"/>
      <c r="I181" s="11"/>
      <c r="J181" s="11"/>
    </row>
    <row r="182">
      <c r="A182">
        <f>IFERROR(__xludf.DUMMYFUNCTION("""COMPUTED_VALUE"""),213.0)</f>
        <v>213</v>
      </c>
      <c r="B182" s="11" t="str">
        <f>IFERROR(__xludf.DUMMYFUNCTION("""COMPUTED_VALUE"""),"none.")</f>
        <v>none.</v>
      </c>
      <c r="C182" s="50" t="s">
        <v>18</v>
      </c>
      <c r="D182" s="11"/>
      <c r="E182" s="11"/>
      <c r="F182" s="11"/>
      <c r="G182" s="11"/>
      <c r="H182" s="11"/>
      <c r="I182" s="11"/>
      <c r="J182" s="11"/>
    </row>
    <row r="183">
      <c r="A183">
        <f>IFERROR(__xludf.DUMMYFUNCTION("""COMPUTED_VALUE"""),214.0)</f>
        <v>214</v>
      </c>
      <c r="B183" s="11" t="str">
        <f>IFERROR(__xludf.DUMMYFUNCTION("""COMPUTED_VALUE"""),"I can't think of anything to add")</f>
        <v>I can't think of anything to add</v>
      </c>
      <c r="C183" s="50" t="s">
        <v>18</v>
      </c>
      <c r="D183" s="11"/>
      <c r="E183" s="11"/>
      <c r="F183" s="11"/>
      <c r="G183" s="11"/>
      <c r="H183" s="11"/>
      <c r="I183" s="11"/>
      <c r="J183" s="11"/>
    </row>
    <row r="184">
      <c r="A184">
        <f>IFERROR(__xludf.DUMMYFUNCTION("""COMPUTED_VALUE"""),216.0)</f>
        <v>216</v>
      </c>
      <c r="B184" s="11" t="str">
        <f>IFERROR(__xludf.DUMMYFUNCTION("""COMPUTED_VALUE"""),"I would like a button that limits apps to just the minimal use necessary to run the app.")</f>
        <v>I would like a button that limits apps to just the minimal use necessary to run the app.</v>
      </c>
      <c r="C184" t="s">
        <v>877</v>
      </c>
      <c r="D184" s="27" t="s">
        <v>928</v>
      </c>
      <c r="E184" s="11"/>
      <c r="F184" s="11"/>
      <c r="G184" s="11"/>
      <c r="H184" s="11"/>
      <c r="I184" s="11"/>
      <c r="J184" s="11"/>
    </row>
    <row r="185">
      <c r="A185">
        <f>IFERROR(__xludf.DUMMYFUNCTION("""COMPUTED_VALUE"""),218.0)</f>
        <v>218</v>
      </c>
      <c r="B185" s="11" t="str">
        <f>IFERROR(__xludf.DUMMYFUNCTION("""COMPUTED_VALUE"""),"Not sure")</f>
        <v>Not sure</v>
      </c>
      <c r="C185" s="50" t="s">
        <v>18</v>
      </c>
      <c r="D185" s="11"/>
      <c r="E185" s="11"/>
      <c r="F185" s="11"/>
      <c r="G185" s="11"/>
      <c r="H185" s="11"/>
      <c r="I185" s="11"/>
      <c r="J185" s="11"/>
    </row>
    <row r="186">
      <c r="A186">
        <f>IFERROR(__xludf.DUMMYFUNCTION("""COMPUTED_VALUE"""),219.0)</f>
        <v>219</v>
      </c>
      <c r="B186" s="26" t="str">
        <f>IFERROR(__xludf.DUMMYFUNCTION("""COMPUTED_VALUE"""),"I wish that it knew that these things had been uninstalled from my phone and that it stated that somewhere. I wish it reminded me to remove their access when I uninstalled too.")</f>
        <v>I wish that it knew that these things had been uninstalled from my phone and that it stated that somewhere. I wish it reminded me to remove their access when I uninstalled too.</v>
      </c>
      <c r="C186" t="s">
        <v>872</v>
      </c>
      <c r="D186" s="27" t="s">
        <v>929</v>
      </c>
      <c r="E186" s="11"/>
      <c r="F186" s="11"/>
      <c r="G186" s="11"/>
      <c r="H186" s="11"/>
      <c r="I186" s="11"/>
      <c r="J186" s="11"/>
    </row>
    <row r="187">
      <c r="A187">
        <f>IFERROR(__xludf.DUMMYFUNCTION("""COMPUTED_VALUE"""),220.0)</f>
        <v>220</v>
      </c>
      <c r="B187" s="11" t="str">
        <f>IFERROR(__xludf.DUMMYFUNCTION("""COMPUTED_VALUE"""),"It would be helpful to see when each application was downloaded")</f>
        <v>It would be helpful to see when each application was downloaded</v>
      </c>
      <c r="C187" t="s">
        <v>871</v>
      </c>
      <c r="D187" s="27" t="s">
        <v>897</v>
      </c>
      <c r="E187" s="11"/>
      <c r="F187" s="11"/>
      <c r="G187" s="11"/>
      <c r="H187" s="11"/>
      <c r="I187" s="11"/>
      <c r="J187" s="11"/>
    </row>
    <row r="188">
      <c r="A188">
        <f>IFERROR(__xludf.DUMMYFUNCTION("""COMPUTED_VALUE"""),221.0)</f>
        <v>221</v>
      </c>
      <c r="B188" s="11" t="str">
        <f>IFERROR(__xludf.DUMMYFUNCTION("""COMPUTED_VALUE"""),"none")</f>
        <v>none</v>
      </c>
      <c r="C188" s="50" t="s">
        <v>18</v>
      </c>
      <c r="D188" s="11"/>
      <c r="E188" s="11"/>
      <c r="F188" s="11"/>
      <c r="G188" s="11"/>
      <c r="H188" s="11"/>
      <c r="I188" s="11"/>
      <c r="J188" s="11"/>
    </row>
    <row r="189">
      <c r="A189">
        <f>IFERROR(__xludf.DUMMYFUNCTION("""COMPUTED_VALUE"""),222.0)</f>
        <v>222</v>
      </c>
      <c r="B189" s="11" t="str">
        <f>IFERROR(__xludf.DUMMYFUNCTION("""COMPUTED_VALUE"""),"Honestly everything about this feature seems fine to me, I cannot really think of any added features to benefit users.")</f>
        <v>Honestly everything about this feature seems fine to me, I cannot really think of any added features to benefit users.</v>
      </c>
      <c r="C189" s="50" t="s">
        <v>18</v>
      </c>
      <c r="D189" s="11"/>
      <c r="E189" s="11"/>
      <c r="F189" s="11"/>
      <c r="G189" s="11"/>
      <c r="H189" s="11"/>
      <c r="I189" s="11"/>
      <c r="J189" s="11"/>
    </row>
    <row r="190">
      <c r="A190">
        <f>IFERROR(__xludf.DUMMYFUNCTION("""COMPUTED_VALUE"""),223.0)</f>
        <v>223</v>
      </c>
      <c r="B190" s="11" t="str">
        <f>IFERROR(__xludf.DUMMYFUNCTION("""COMPUTED_VALUE"""),"n/a")</f>
        <v>n/a</v>
      </c>
      <c r="C190" s="50" t="s">
        <v>18</v>
      </c>
      <c r="D190" s="11"/>
      <c r="E190" s="11"/>
      <c r="F190" s="11"/>
      <c r="G190" s="11"/>
      <c r="H190" s="11"/>
      <c r="I190" s="11"/>
      <c r="J190" s="11"/>
    </row>
    <row r="191">
      <c r="A191">
        <f>IFERROR(__xludf.DUMMYFUNCTION("""COMPUTED_VALUE"""),224.0)</f>
        <v>224</v>
      </c>
      <c r="B191" s="11" t="str">
        <f>IFERROR(__xludf.DUMMYFUNCTION("""COMPUTED_VALUE"""),"A more detailed description of how these apps are going to use the permissions I have granted.")</f>
        <v>A more detailed description of how these apps are going to use the permissions I have granted.</v>
      </c>
      <c r="C191" t="s">
        <v>871</v>
      </c>
      <c r="D191" t="s">
        <v>890</v>
      </c>
      <c r="E191" s="11"/>
      <c r="F191" s="11"/>
      <c r="G191" s="11"/>
      <c r="H191" s="11"/>
      <c r="I191" s="11"/>
      <c r="J191" s="11"/>
    </row>
    <row r="192">
      <c r="A192">
        <f>IFERROR(__xludf.DUMMYFUNCTION("""COMPUTED_VALUE"""),225.0)</f>
        <v>225</v>
      </c>
      <c r="B192" s="11" t="str">
        <f>IFERROR(__xludf.DUMMYFUNCTION("""COMPUTED_VALUE"""),"An easier way to access this information within my Google settings.")</f>
        <v>An easier way to access this information within my Google settings.</v>
      </c>
      <c r="C192" t="s">
        <v>884</v>
      </c>
      <c r="D192" t="s">
        <v>892</v>
      </c>
      <c r="E192" s="11"/>
      <c r="F192" s="11"/>
      <c r="G192" s="11"/>
      <c r="H192" s="11"/>
      <c r="I192" s="11"/>
      <c r="J192" s="11"/>
    </row>
    <row r="193">
      <c r="A193">
        <f>IFERROR(__xludf.DUMMYFUNCTION("""COMPUTED_VALUE"""),226.0)</f>
        <v>226</v>
      </c>
      <c r="B193" s="11" t="str">
        <f>IFERROR(__xludf.DUMMYFUNCTION("""COMPUTED_VALUE"""),"I'm not sure at the moment.")</f>
        <v>I'm not sure at the moment.</v>
      </c>
      <c r="C193" s="3" t="s">
        <v>886</v>
      </c>
      <c r="D193" s="11"/>
      <c r="E193" s="11"/>
      <c r="F193" s="11"/>
      <c r="G193" s="11"/>
      <c r="H193" s="11"/>
      <c r="I193" s="11"/>
      <c r="J193" s="11"/>
    </row>
    <row r="194">
      <c r="A194">
        <f>IFERROR(__xludf.DUMMYFUNCTION("""COMPUTED_VALUE"""),227.0)</f>
        <v>227</v>
      </c>
      <c r="B194" s="11" t="str">
        <f>IFERROR(__xludf.DUMMYFUNCTION("""COMPUTED_VALUE"""),"I would like them to share any news/data breaches within the apps as well and notify me if my account has been affected.")</f>
        <v>I would like them to share any news/data breaches within the apps as well and notify me if my account has been affected.</v>
      </c>
      <c r="C194" t="s">
        <v>871</v>
      </c>
      <c r="D194" t="s">
        <v>888</v>
      </c>
      <c r="E194" t="s">
        <v>872</v>
      </c>
      <c r="F194" s="27" t="s">
        <v>930</v>
      </c>
      <c r="G194" s="11"/>
      <c r="H194" s="11"/>
      <c r="I194" s="11"/>
      <c r="J194" s="11"/>
    </row>
    <row r="195">
      <c r="A195">
        <f>IFERROR(__xludf.DUMMYFUNCTION("""COMPUTED_VALUE"""),228.0)</f>
        <v>228</v>
      </c>
      <c r="B195" s="11" t="str">
        <f>IFERROR(__xludf.DUMMYFUNCTION("""COMPUTED_VALUE"""),"None")</f>
        <v>None</v>
      </c>
      <c r="C195" s="50" t="s">
        <v>18</v>
      </c>
      <c r="D195" s="11"/>
      <c r="E195" s="11"/>
      <c r="F195" s="11"/>
      <c r="G195" s="11"/>
      <c r="H195" s="11"/>
      <c r="I195" s="11"/>
      <c r="J195" s="11"/>
    </row>
    <row r="196">
      <c r="A196">
        <f>IFERROR(__xludf.DUMMYFUNCTION("""COMPUTED_VALUE"""),229.0)</f>
        <v>229</v>
      </c>
      <c r="B196" s="11" t="str">
        <f>IFERROR(__xludf.DUMMYFUNCTION("""COMPUTED_VALUE"""),"None that I can think of")</f>
        <v>None that I can think of</v>
      </c>
      <c r="C196" s="50" t="s">
        <v>18</v>
      </c>
      <c r="D196" s="11"/>
      <c r="E196" s="11"/>
      <c r="F196" s="11"/>
      <c r="G196" s="11"/>
      <c r="H196" s="11"/>
      <c r="I196" s="11"/>
      <c r="J196" s="11"/>
    </row>
    <row r="197">
      <c r="A197">
        <f>IFERROR(__xludf.DUMMYFUNCTION("""COMPUTED_VALUE"""),230.0)</f>
        <v>230</v>
      </c>
      <c r="B197" s="11" t="str">
        <f>IFERROR(__xludf.DUMMYFUNCTION("""COMPUTED_VALUE"""),"I'm actually pretty satisfied with the information available on this page.")</f>
        <v>I'm actually pretty satisfied with the information available on this page.</v>
      </c>
      <c r="C197" s="50" t="s">
        <v>18</v>
      </c>
      <c r="D197" s="11"/>
      <c r="E197" s="11"/>
      <c r="F197" s="11"/>
      <c r="G197" s="11"/>
      <c r="H197" s="11"/>
      <c r="I197" s="11"/>
      <c r="J197" s="11"/>
    </row>
    <row r="198">
      <c r="A198">
        <f>IFERROR(__xludf.DUMMYFUNCTION("""COMPUTED_VALUE"""),231.0)</f>
        <v>231</v>
      </c>
      <c r="B198" s="11" t="str">
        <f>IFERROR(__xludf.DUMMYFUNCTION("""COMPUTED_VALUE"""),"A direct, easy way to adjust what information is shared.")</f>
        <v>A direct, easy way to adjust what information is shared.</v>
      </c>
      <c r="C198" t="s">
        <v>894</v>
      </c>
      <c r="D198" s="3" t="s">
        <v>931</v>
      </c>
      <c r="E198" s="11"/>
      <c r="F198" s="11"/>
      <c r="G198" s="11"/>
      <c r="H198" s="11"/>
      <c r="I198" s="11"/>
      <c r="J198" s="11"/>
    </row>
    <row r="199">
      <c r="A199">
        <f>IFERROR(__xludf.DUMMYFUNCTION("""COMPUTED_VALUE"""),232.0)</f>
        <v>232</v>
      </c>
      <c r="B199" s="11" t="str">
        <f>IFERROR(__xludf.DUMMYFUNCTION("""COMPUTED_VALUE"""),"n/a")</f>
        <v>n/a</v>
      </c>
      <c r="C199" s="50" t="s">
        <v>18</v>
      </c>
      <c r="D199" s="11"/>
      <c r="E199" s="11"/>
      <c r="F199" s="11"/>
      <c r="G199" s="11"/>
      <c r="H199" s="11"/>
      <c r="I199" s="11"/>
      <c r="J199" s="11"/>
    </row>
    <row r="200">
      <c r="A200">
        <f>IFERROR(__xludf.DUMMYFUNCTION("""COMPUTED_VALUE"""),233.0)</f>
        <v>233</v>
      </c>
      <c r="B200" s="11" t="str">
        <f>IFERROR(__xludf.DUMMYFUNCTION("""COMPUTED_VALUE"""),"None")</f>
        <v>None</v>
      </c>
      <c r="C200" s="50" t="s">
        <v>18</v>
      </c>
      <c r="D200" s="11"/>
      <c r="E200" s="11"/>
      <c r="F200" s="11"/>
      <c r="G200" s="11"/>
      <c r="H200" s="11"/>
      <c r="I200" s="11"/>
      <c r="J200" s="11"/>
    </row>
    <row r="201">
      <c r="A201">
        <f>IFERROR(__xludf.DUMMYFUNCTION("""COMPUTED_VALUE"""),234.0)</f>
        <v>234</v>
      </c>
      <c r="B201" s="11" t="str">
        <f>IFERROR(__xludf.DUMMYFUNCTION("""COMPUTED_VALUE"""),"Not sure")</f>
        <v>Not sure</v>
      </c>
      <c r="C201" s="50" t="s">
        <v>18</v>
      </c>
      <c r="D201" s="11"/>
      <c r="E201" s="11"/>
      <c r="F201" s="11"/>
      <c r="G201" s="11"/>
      <c r="H201" s="11"/>
      <c r="I201" s="11"/>
      <c r="J201" s="11"/>
    </row>
    <row r="202">
      <c r="A202">
        <f>IFERROR(__xludf.DUMMYFUNCTION("""COMPUTED_VALUE"""),235.0)</f>
        <v>235</v>
      </c>
      <c r="B202" s="11" t="str">
        <f>IFERROR(__xludf.DUMMYFUNCTION("""COMPUTED_VALUE"""),"Maybe this is a feature and I missed it but, I would like to revoke specific access like not allowing drive but allowing google play.")</f>
        <v>Maybe this is a feature and I missed it but, I would like to revoke specific access like not allowing drive but allowing google play.</v>
      </c>
      <c r="C202" t="s">
        <v>879</v>
      </c>
      <c r="D202" t="s">
        <v>910</v>
      </c>
      <c r="E202" s="11"/>
      <c r="F202" s="11"/>
      <c r="G202" s="11"/>
      <c r="H202" s="11"/>
      <c r="I202" s="11"/>
      <c r="J202" s="11"/>
    </row>
    <row r="203">
      <c r="A203">
        <f>IFERROR(__xludf.DUMMYFUNCTION("""COMPUTED_VALUE"""),236.0)</f>
        <v>236</v>
      </c>
      <c r="B203" s="11" t="str">
        <f>IFERROR(__xludf.DUMMYFUNCTION("""COMPUTED_VALUE"""),"Paid site information, verify my information is safe")</f>
        <v>Paid site information, verify my information is safe</v>
      </c>
      <c r="C203" t="s">
        <v>894</v>
      </c>
      <c r="D203" s="11"/>
      <c r="E203" s="11"/>
      <c r="F203" s="11"/>
      <c r="G203" s="11"/>
      <c r="H203" s="11"/>
      <c r="I203" s="11"/>
      <c r="J203" s="11"/>
    </row>
    <row r="204">
      <c r="A204">
        <f>IFERROR(__xludf.DUMMYFUNCTION("""COMPUTED_VALUE"""),237.0)</f>
        <v>237</v>
      </c>
      <c r="B204" s="11" t="str">
        <f>IFERROR(__xludf.DUMMYFUNCTION("""COMPUTED_VALUE"""),"How to remove my information from said apps.")</f>
        <v>How to remove my information from said apps.</v>
      </c>
      <c r="C204" t="s">
        <v>871</v>
      </c>
      <c r="D204" s="27" t="s">
        <v>932</v>
      </c>
      <c r="E204" s="11"/>
      <c r="F204" s="11"/>
      <c r="G204" s="11"/>
      <c r="H204" s="11"/>
      <c r="I204" s="11"/>
      <c r="J204" s="11"/>
    </row>
    <row r="205">
      <c r="A205">
        <f>IFERROR(__xludf.DUMMYFUNCTION("""COMPUTED_VALUE"""),238.0)</f>
        <v>238</v>
      </c>
      <c r="B205" s="11" t="str">
        <f>IFERROR(__xludf.DUMMYFUNCTION("""COMPUTED_VALUE"""),"None.")</f>
        <v>None.</v>
      </c>
      <c r="C205" s="50" t="s">
        <v>18</v>
      </c>
      <c r="D205" s="11"/>
      <c r="E205" s="11"/>
      <c r="F205" s="11"/>
      <c r="G205" s="11"/>
      <c r="H205" s="11"/>
      <c r="I205" s="11"/>
      <c r="J205" s="11"/>
    </row>
    <row r="206">
      <c r="A206">
        <f>IFERROR(__xludf.DUMMYFUNCTION("""COMPUTED_VALUE"""),239.0)</f>
        <v>239</v>
      </c>
      <c r="B206" s="11" t="str">
        <f>IFERROR(__xludf.DUMMYFUNCTION("""COMPUTED_VALUE"""),"Nothing.")</f>
        <v>Nothing.</v>
      </c>
      <c r="C206" s="50" t="s">
        <v>18</v>
      </c>
      <c r="D206" s="11"/>
      <c r="E206" s="11"/>
      <c r="F206" s="11"/>
      <c r="G206" s="11"/>
      <c r="H206" s="11"/>
      <c r="I206" s="11"/>
      <c r="J206" s="11"/>
    </row>
    <row r="207">
      <c r="A207">
        <f>IFERROR(__xludf.DUMMYFUNCTION("""COMPUTED_VALUE"""),240.0)</f>
        <v>240</v>
      </c>
      <c r="B207" s="11" t="str">
        <f>IFERROR(__xludf.DUMMYFUNCTION("""COMPUTED_VALUE"""),"not sure")</f>
        <v>not sure</v>
      </c>
      <c r="C207" s="50" t="s">
        <v>18</v>
      </c>
      <c r="D207" s="11"/>
      <c r="E207" s="11"/>
      <c r="F207" s="11"/>
      <c r="G207" s="11"/>
      <c r="H207" s="11"/>
      <c r="I207" s="11"/>
      <c r="J207" s="11"/>
    </row>
    <row r="208">
      <c r="A208">
        <f>IFERROR(__xludf.DUMMYFUNCTION("""COMPUTED_VALUE"""),241.0)</f>
        <v>241</v>
      </c>
      <c r="B208" s="11" t="str">
        <f>IFERROR(__xludf.DUMMYFUNCTION("""COMPUTED_VALUE"""),"An easy way to remove access. Kind of like a kill-switch.")</f>
        <v>An easy way to remove access. Kind of like a kill-switch.</v>
      </c>
      <c r="C208" t="s">
        <v>880</v>
      </c>
      <c r="D208" s="11"/>
      <c r="E208" s="11"/>
      <c r="F208" s="11"/>
      <c r="G208" s="11"/>
      <c r="H208" s="11"/>
      <c r="I208" s="11"/>
      <c r="J208" s="11"/>
    </row>
    <row r="209">
      <c r="A209">
        <f>IFERROR(__xludf.DUMMYFUNCTION("""COMPUTED_VALUE"""),242.0)</f>
        <v>242</v>
      </c>
      <c r="B209" s="11" t="str">
        <f>IFERROR(__xludf.DUMMYFUNCTION("""COMPUTED_VALUE"""),"It would be cool if you could just give access to certain things and not others. Like turn off contacts and leave email on.")</f>
        <v>It would be cool if you could just give access to certain things and not others. Like turn off contacts and leave email on.</v>
      </c>
      <c r="C209" t="s">
        <v>879</v>
      </c>
      <c r="D209" t="s">
        <v>910</v>
      </c>
      <c r="E209" s="11"/>
      <c r="F209" s="11"/>
      <c r="G209" s="11"/>
      <c r="H209" s="11"/>
      <c r="I209" s="11"/>
      <c r="J209" s="11"/>
    </row>
    <row r="210">
      <c r="A210">
        <f>IFERROR(__xludf.DUMMYFUNCTION("""COMPUTED_VALUE"""),243.0)</f>
        <v>243</v>
      </c>
      <c r="B210" s="11" t="str">
        <f>IFERROR(__xludf.DUMMYFUNCTION("""COMPUTED_VALUE"""),"I cannot think of any")</f>
        <v>I cannot think of any</v>
      </c>
      <c r="C210" s="50" t="s">
        <v>18</v>
      </c>
      <c r="D210" s="11"/>
      <c r="E210" s="11"/>
      <c r="F210" s="11"/>
      <c r="G210" s="11"/>
      <c r="H210" s="11"/>
      <c r="I210" s="11"/>
      <c r="J210" s="11"/>
    </row>
    <row r="211">
      <c r="A211">
        <f>IFERROR(__xludf.DUMMYFUNCTION("""COMPUTED_VALUE"""),244.0)</f>
        <v>244</v>
      </c>
      <c r="B211" s="11" t="str">
        <f>IFERROR(__xludf.DUMMYFUNCTION("""COMPUTED_VALUE"""),"Maybe a time/date that they were given access.")</f>
        <v>Maybe a time/date that they were given access.</v>
      </c>
      <c r="C211" t="s">
        <v>871</v>
      </c>
      <c r="D211" s="27" t="s">
        <v>897</v>
      </c>
      <c r="E211" s="11"/>
      <c r="F211" s="11"/>
      <c r="G211" s="11"/>
      <c r="H211" s="11"/>
      <c r="I211" s="11"/>
      <c r="J211" s="11"/>
    </row>
    <row r="212">
      <c r="A212">
        <f>IFERROR(__xludf.DUMMYFUNCTION("""COMPUTED_VALUE"""),245.0)</f>
        <v>245</v>
      </c>
      <c r="B212" s="11" t="str">
        <f>IFERROR(__xludf.DUMMYFUNCTION("""COMPUTED_VALUE"""),"alerts")</f>
        <v>alerts</v>
      </c>
      <c r="C212" s="27" t="s">
        <v>872</v>
      </c>
      <c r="D212" s="27" t="s">
        <v>903</v>
      </c>
      <c r="E212" s="11"/>
      <c r="F212" s="11"/>
      <c r="G212" s="11"/>
      <c r="H212" s="11"/>
      <c r="I212" s="11"/>
      <c r="J212" s="11"/>
    </row>
    <row r="213">
      <c r="A213">
        <f>IFERROR(__xludf.DUMMYFUNCTION("""COMPUTED_VALUE"""),246.0)</f>
        <v>246</v>
      </c>
      <c r="B213" s="11" t="str">
        <f>IFERROR(__xludf.DUMMYFUNCTION("""COMPUTED_VALUE"""),"dont care about this")</f>
        <v>dont care about this</v>
      </c>
      <c r="C213" s="50" t="s">
        <v>18</v>
      </c>
      <c r="D213" s="11"/>
      <c r="E213" s="11"/>
      <c r="F213" s="11"/>
      <c r="G213" s="11"/>
      <c r="H213" s="11"/>
      <c r="I213" s="11"/>
      <c r="J213" s="11"/>
    </row>
    <row r="214">
      <c r="A214">
        <f>IFERROR(__xludf.DUMMYFUNCTION("""COMPUTED_VALUE"""),247.0)</f>
        <v>247</v>
      </c>
      <c r="B214" s="11" t="str">
        <f>IFERROR(__xludf.DUMMYFUNCTION("""COMPUTED_VALUE"""),"Comments from other users if they have concerns about how the app is using their information")</f>
        <v>Comments from other users if they have concerns about how the app is using their information</v>
      </c>
      <c r="C214" s="3" t="s">
        <v>933</v>
      </c>
      <c r="D214" s="11"/>
      <c r="E214" s="11"/>
      <c r="F214" s="11"/>
      <c r="G214" s="11"/>
      <c r="H214" s="11"/>
      <c r="I214" s="11"/>
      <c r="J214" s="11"/>
    </row>
    <row r="215">
      <c r="A215">
        <f>IFERROR(__xludf.DUMMYFUNCTION("""COMPUTED_VALUE"""),248.0)</f>
        <v>248</v>
      </c>
      <c r="B215" s="11" t="str">
        <f>IFERROR(__xludf.DUMMYFUNCTION("""COMPUTED_VALUE"""),"Explanations of the more vague permissions")</f>
        <v>Explanations of the more vague permissions</v>
      </c>
      <c r="C215" t="s">
        <v>871</v>
      </c>
      <c r="D215" s="27" t="s">
        <v>890</v>
      </c>
      <c r="E215" s="11"/>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58.71"/>
    <col customWidth="1" min="5" max="5" width="30.86"/>
  </cols>
  <sheetData>
    <row r="1">
      <c r="A1" s="15" t="s">
        <v>785</v>
      </c>
      <c r="B1" s="28"/>
      <c r="C1" s="28"/>
      <c r="D1" s="28"/>
      <c r="E1" s="15" t="s">
        <v>786</v>
      </c>
      <c r="F1" s="28"/>
    </row>
    <row r="2">
      <c r="A2" s="28" t="str">
        <f>IFERROR(__xludf.DUMMYFUNCTION("QUERY({'Q21 (primary)'!C2:C1000;'Q21 (primary)'!D2:D1000;'Q21 (primary)'!E2:E1000;'Q21 (primary)'!F2:F1000;'Q21 (primary)'!G2:G1000;'Q21 (primary)'!H2:H1000;'Q21 (primary)'!I2:I1000;'Q21 (primary)'!J2:J1000;'Q21 (primary)'!K2:K1000}, ""select Col1, count("&amp;"Col1) where Col1 is not null group by Col1 order by Col1 asc"")"),"")</f>
        <v/>
      </c>
      <c r="B2" s="28" t="str">
        <f>IFERROR(__xludf.DUMMYFUNCTION("""COMPUTED_VALUE"""),"count ")</f>
        <v>count </v>
      </c>
      <c r="C2" s="28"/>
      <c r="D2" s="28"/>
      <c r="E2" s="28" t="str">
        <f>IFERROR(__xludf.DUMMYFUNCTION("QUERY({'Q21 (primary)'!C2:C1000;'Q21 (primary)'!D2:D1000;'Q21 (primary)'!E2:E1000;'Q21 (primary)'!F2:F1000;'Q21 (primary)'!G2:G1000;'Q21 (primary)'!H2:H1000;'Q21 (primary)'!I2:I1000;'Q21 (primary)'!J2:J1000;'Q21 (primary)'!K2:K1000}, ""select Col1, count("&amp;"Col1) where Col1 is not null and not Col1 contains '-&gt;' group by Col1 order by count(Col1) desc"")"),"")</f>
        <v/>
      </c>
      <c r="F2" s="28" t="str">
        <f>IFERROR(__xludf.DUMMYFUNCTION("""COMPUTED_VALUE"""),"count ")</f>
        <v>count </v>
      </c>
    </row>
    <row r="3">
      <c r="A3" t="str">
        <f>IFERROR(__xludf.DUMMYFUNCTION("""COMPUTED_VALUE"""),"ability_to_limit_access")</f>
        <v>ability_to_limit_access</v>
      </c>
      <c r="B3">
        <f>IFERROR(__xludf.DUMMYFUNCTION("""COMPUTED_VALUE"""),7.0)</f>
        <v>7</v>
      </c>
      <c r="E3" t="str">
        <f>IFERROR(__xludf.DUMMYFUNCTION("""COMPUTED_VALUE"""),"none")</f>
        <v>none</v>
      </c>
      <c r="F3">
        <f>IFERROR(__xludf.DUMMYFUNCTION("""COMPUTED_VALUE"""),86.0)</f>
        <v>86</v>
      </c>
      <c r="G3" s="40"/>
    </row>
    <row r="4">
      <c r="A4" t="str">
        <f>IFERROR(__xludf.DUMMYFUNCTION("""COMPUTED_VALUE"""),"ability_to_limit_access-&gt;minimum_necessary")</f>
        <v>ability_to_limit_access-&gt;minimum_necessary</v>
      </c>
      <c r="B4">
        <f>IFERROR(__xludf.DUMMYFUNCTION("""COMPUTED_VALUE"""),1.0)</f>
        <v>1</v>
      </c>
      <c r="E4" t="str">
        <f>IFERROR(__xludf.DUMMYFUNCTION("""COMPUTED_VALUE"""),"more_transparency")</f>
        <v>more_transparency</v>
      </c>
      <c r="F4">
        <f>IFERROR(__xludf.DUMMYFUNCTION("""COMPUTED_VALUE"""),61.0)</f>
        <v>61</v>
      </c>
      <c r="G4" s="40"/>
    </row>
    <row r="5">
      <c r="A5" t="str">
        <f>IFERROR(__xludf.DUMMYFUNCTION("""COMPUTED_VALUE"""),"ability_to_limit_access-&gt;remove_access_if_not_used")</f>
        <v>ability_to_limit_access-&gt;remove_access_if_not_used</v>
      </c>
      <c r="B5">
        <f>IFERROR(__xludf.DUMMYFUNCTION("""COMPUTED_VALUE"""),1.0)</f>
        <v>1</v>
      </c>
      <c r="E5" t="str">
        <f>IFERROR(__xludf.DUMMYFUNCTION("""COMPUTED_VALUE"""),"easier_access_removal")</f>
        <v>easier_access_removal</v>
      </c>
      <c r="F5">
        <f>IFERROR(__xludf.DUMMYFUNCTION("""COMPUTED_VALUE"""),17.0)</f>
        <v>17</v>
      </c>
      <c r="G5" s="40"/>
    </row>
    <row r="6">
      <c r="A6" t="str">
        <f>IFERROR(__xludf.DUMMYFUNCTION("""COMPUTED_VALUE"""),"ability_to_limit_access-&gt;temporarily_allow_app_access")</f>
        <v>ability_to_limit_access-&gt;temporarily_allow_app_access</v>
      </c>
      <c r="B6">
        <f>IFERROR(__xludf.DUMMYFUNCTION("""COMPUTED_VALUE"""),1.0)</f>
        <v>1</v>
      </c>
      <c r="E6" t="str">
        <f>IFERROR(__xludf.DUMMYFUNCTION("""COMPUTED_VALUE"""),"improved_user_interface")</f>
        <v>improved_user_interface</v>
      </c>
      <c r="F6">
        <f>IFERROR(__xludf.DUMMYFUNCTION("""COMPUTED_VALUE"""),17.0)</f>
        <v>17</v>
      </c>
      <c r="G6" s="40"/>
    </row>
    <row r="7">
      <c r="A7" t="str">
        <f>IFERROR(__xludf.DUMMYFUNCTION("""COMPUTED_VALUE"""),"ability_to_limit_access-&gt;temporarily_block_app_access")</f>
        <v>ability_to_limit_access-&gt;temporarily_block_app_access</v>
      </c>
      <c r="B7">
        <f>IFERROR(__xludf.DUMMYFUNCTION("""COMPUTED_VALUE"""),2.0)</f>
        <v>2</v>
      </c>
      <c r="E7" t="str">
        <f>IFERROR(__xludf.DUMMYFUNCTION("""COMPUTED_VALUE"""),"notifications")</f>
        <v>notifications</v>
      </c>
      <c r="F7">
        <f>IFERROR(__xludf.DUMMYFUNCTION("""COMPUTED_VALUE"""),14.0)</f>
        <v>14</v>
      </c>
      <c r="G7" s="40"/>
    </row>
    <row r="8">
      <c r="A8" t="str">
        <f>IFERROR(__xludf.DUMMYFUNCTION("""COMPUTED_VALUE"""),"ability_to_limit_access-&gt;time_limits")</f>
        <v>ability_to_limit_access-&gt;time_limits</v>
      </c>
      <c r="B8">
        <f>IFERROR(__xludf.DUMMYFUNCTION("""COMPUTED_VALUE"""),1.0)</f>
        <v>1</v>
      </c>
      <c r="E8" t="str">
        <f>IFERROR(__xludf.DUMMYFUNCTION("""COMPUTED_VALUE"""),"permission_level_control")</f>
        <v>permission_level_control</v>
      </c>
      <c r="F8">
        <f>IFERROR(__xludf.DUMMYFUNCTION("""COMPUTED_VALUE"""),9.0)</f>
        <v>9</v>
      </c>
      <c r="G8" s="40"/>
    </row>
    <row r="9">
      <c r="A9" t="str">
        <f>IFERROR(__xludf.DUMMYFUNCTION("""COMPUTED_VALUE"""),"ability_to_secure_data")</f>
        <v>ability_to_secure_data</v>
      </c>
      <c r="B9">
        <f>IFERROR(__xludf.DUMMYFUNCTION("""COMPUTED_VALUE"""),3.0)</f>
        <v>3</v>
      </c>
      <c r="E9" t="str">
        <f>IFERROR(__xludf.DUMMYFUNCTION("""COMPUTED_VALUE"""),"ability_to_limit_access")</f>
        <v>ability_to_limit_access</v>
      </c>
      <c r="F9">
        <f>IFERROR(__xludf.DUMMYFUNCTION("""COMPUTED_VALUE"""),7.0)</f>
        <v>7</v>
      </c>
      <c r="G9" s="40"/>
    </row>
    <row r="10">
      <c r="A10" t="str">
        <f>IFERROR(__xludf.DUMMYFUNCTION("""COMPUTED_VALUE"""),"ability_to_secure_data-&gt;limit_what_data_can_be_accessed")</f>
        <v>ability_to_secure_data-&gt;limit_what_data_can_be_accessed</v>
      </c>
      <c r="B10">
        <f>IFERROR(__xludf.DUMMYFUNCTION("""COMPUTED_VALUE"""),1.0)</f>
        <v>1</v>
      </c>
      <c r="E10" t="str">
        <f>IFERROR(__xludf.DUMMYFUNCTION("""COMPUTED_VALUE"""),"unsure")</f>
        <v>unsure</v>
      </c>
      <c r="F10">
        <f>IFERROR(__xludf.DUMMYFUNCTION("""COMPUTED_VALUE"""),6.0)</f>
        <v>6</v>
      </c>
    </row>
    <row r="11">
      <c r="A11" t="str">
        <f>IFERROR(__xludf.DUMMYFUNCTION("""COMPUTED_VALUE"""),"easier_access_removal")</f>
        <v>easier_access_removal</v>
      </c>
      <c r="B11">
        <f>IFERROR(__xludf.DUMMYFUNCTION("""COMPUTED_VALUE"""),17.0)</f>
        <v>17</v>
      </c>
      <c r="E11" t="str">
        <f>IFERROR(__xludf.DUMMYFUNCTION("""COMPUTED_VALUE"""),"ability_to_secure_data")</f>
        <v>ability_to_secure_data</v>
      </c>
      <c r="F11">
        <f>IFERROR(__xludf.DUMMYFUNCTION("""COMPUTED_VALUE"""),3.0)</f>
        <v>3</v>
      </c>
    </row>
    <row r="12">
      <c r="A12" t="str">
        <f>IFERROR(__xludf.DUMMYFUNCTION("""COMPUTED_VALUE"""),"improved_user_interface")</f>
        <v>improved_user_interface</v>
      </c>
      <c r="B12">
        <f>IFERROR(__xludf.DUMMYFUNCTION("""COMPUTED_VALUE"""),17.0)</f>
        <v>17</v>
      </c>
      <c r="E12" t="str">
        <f>IFERROR(__xludf.DUMMYFUNCTION("""COMPUTED_VALUE"""),"require_reauthorization")</f>
        <v>require_reauthorization</v>
      </c>
      <c r="F12">
        <f>IFERROR(__xludf.DUMMYFUNCTION("""COMPUTED_VALUE"""),3.0)</f>
        <v>3</v>
      </c>
    </row>
    <row r="13">
      <c r="A13" t="str">
        <f>IFERROR(__xludf.DUMMYFUNCTION("""COMPUTED_VALUE"""),"improved_user_interface-&gt;add_app_description_text")</f>
        <v>improved_user_interface-&gt;add_app_description_text</v>
      </c>
      <c r="B13">
        <f>IFERROR(__xludf.DUMMYFUNCTION("""COMPUTED_VALUE"""),1.0)</f>
        <v>1</v>
      </c>
      <c r="E13" t="str">
        <f>IFERROR(__xludf.DUMMYFUNCTION("""COMPUTED_VALUE"""),"user_reviews")</f>
        <v>user_reviews</v>
      </c>
      <c r="F13">
        <f>IFERROR(__xludf.DUMMYFUNCTION("""COMPUTED_VALUE"""),1.0)</f>
        <v>1</v>
      </c>
    </row>
    <row r="14">
      <c r="A14" t="str">
        <f>IFERROR(__xludf.DUMMYFUNCTION("""COMPUTED_VALUE"""),"improved_user_interface-&gt;color_code_based_on_level_of_access")</f>
        <v>improved_user_interface-&gt;color_code_based_on_level_of_access</v>
      </c>
      <c r="B14">
        <f>IFERROR(__xludf.DUMMYFUNCTION("""COMPUTED_VALUE"""),1.0)</f>
        <v>1</v>
      </c>
    </row>
    <row r="15">
      <c r="A15" t="str">
        <f>IFERROR(__xludf.DUMMYFUNCTION("""COMPUTED_VALUE"""),"improved_user_interface-&gt;deletion_suggestions")</f>
        <v>improved_user_interface-&gt;deletion_suggestions</v>
      </c>
      <c r="B15">
        <f>IFERROR(__xludf.DUMMYFUNCTION("""COMPUTED_VALUE"""),1.0)</f>
        <v>1</v>
      </c>
    </row>
    <row r="16">
      <c r="A16" t="str">
        <f>IFERROR(__xludf.DUMMYFUNCTION("""COMPUTED_VALUE"""),"improved_user_interface-&gt;easier_to_access_page")</f>
        <v>improved_user_interface-&gt;easier_to_access_page</v>
      </c>
      <c r="B16">
        <f>IFERROR(__xludf.DUMMYFUNCTION("""COMPUTED_VALUE"""),4.0)</f>
        <v>4</v>
      </c>
    </row>
    <row r="17">
      <c r="A17" t="str">
        <f>IFERROR(__xludf.DUMMYFUNCTION("""COMPUTED_VALUE"""),"improved_user_interface-&gt;edit_preferences_directly")</f>
        <v>improved_user_interface-&gt;edit_preferences_directly</v>
      </c>
      <c r="B17">
        <f>IFERROR(__xludf.DUMMYFUNCTION("""COMPUTED_VALUE"""),1.0)</f>
        <v>1</v>
      </c>
    </row>
    <row r="18">
      <c r="A18" t="str">
        <f>IFERROR(__xludf.DUMMYFUNCTION("""COMPUTED_VALUE"""),"improved_user_interface-&gt;filter_by_authorization_date")</f>
        <v>improved_user_interface-&gt;filter_by_authorization_date</v>
      </c>
      <c r="B18">
        <f>IFERROR(__xludf.DUMMYFUNCTION("""COMPUTED_VALUE"""),1.0)</f>
        <v>1</v>
      </c>
    </row>
    <row r="19">
      <c r="A19" t="str">
        <f>IFERROR(__xludf.DUMMYFUNCTION("""COMPUTED_VALUE"""),"improved_user_interface-&gt;opt_out_option")</f>
        <v>improved_user_interface-&gt;opt_out_option</v>
      </c>
      <c r="B19">
        <f>IFERROR(__xludf.DUMMYFUNCTION("""COMPUTED_VALUE"""),1.0)</f>
        <v>1</v>
      </c>
    </row>
    <row r="20">
      <c r="A20" t="str">
        <f>IFERROR(__xludf.DUMMYFUNCTION("""COMPUTED_VALUE"""),"improved_user_interface-&gt;order_by_date_authorized")</f>
        <v>improved_user_interface-&gt;order_by_date_authorized</v>
      </c>
      <c r="B20">
        <f>IFERROR(__xludf.DUMMYFUNCTION("""COMPUTED_VALUE"""),1.0)</f>
        <v>1</v>
      </c>
    </row>
    <row r="21">
      <c r="A21" t="str">
        <f>IFERROR(__xludf.DUMMYFUNCTION("""COMPUTED_VALUE"""),"improved_user_interface-&gt;personalization")</f>
        <v>improved_user_interface-&gt;personalization</v>
      </c>
      <c r="B21">
        <f>IFERROR(__xludf.DUMMYFUNCTION("""COMPUTED_VALUE"""),1.0)</f>
        <v>1</v>
      </c>
    </row>
    <row r="22">
      <c r="A22" t="str">
        <f>IFERROR(__xludf.DUMMYFUNCTION("""COMPUTED_VALUE"""),"improved_user_interface-&gt;sort_apps_by_permission_type")</f>
        <v>improved_user_interface-&gt;sort_apps_by_permission_type</v>
      </c>
      <c r="B22">
        <f>IFERROR(__xludf.DUMMYFUNCTION("""COMPUTED_VALUE"""),3.0)</f>
        <v>3</v>
      </c>
    </row>
    <row r="23">
      <c r="A23" t="str">
        <f>IFERROR(__xludf.DUMMYFUNCTION("""COMPUTED_VALUE"""),"improved_user_interface-&gt;specific_icons")</f>
        <v>improved_user_interface-&gt;specific_icons</v>
      </c>
      <c r="B23">
        <f>IFERROR(__xludf.DUMMYFUNCTION("""COMPUTED_VALUE"""),1.0)</f>
        <v>1</v>
      </c>
    </row>
    <row r="24">
      <c r="A24" t="str">
        <f>IFERROR(__xludf.DUMMYFUNCTION("""COMPUTED_VALUE"""),"more_transparency")</f>
        <v>more_transparency</v>
      </c>
      <c r="B24">
        <f>IFERROR(__xludf.DUMMYFUNCTION("""COMPUTED_VALUE"""),61.0)</f>
        <v>61</v>
      </c>
    </row>
    <row r="25">
      <c r="A25" t="str">
        <f>IFERROR(__xludf.DUMMYFUNCTION("""COMPUTED_VALUE"""),"more_transparency-&gt;app_usage_log")</f>
        <v>more_transparency-&gt;app_usage_log</v>
      </c>
      <c r="B25">
        <f>IFERROR(__xludf.DUMMYFUNCTION("""COMPUTED_VALUE"""),13.0)</f>
        <v>13</v>
      </c>
    </row>
    <row r="26">
      <c r="A26" t="str">
        <f>IFERROR(__xludf.DUMMYFUNCTION("""COMPUTED_VALUE"""),"more_transparency-&gt;company_providing_app")</f>
        <v>more_transparency-&gt;company_providing_app</v>
      </c>
      <c r="B26">
        <f>IFERROR(__xludf.DUMMYFUNCTION("""COMPUTED_VALUE"""),1.0)</f>
        <v>1</v>
      </c>
    </row>
    <row r="27">
      <c r="A27" t="str">
        <f>IFERROR(__xludf.DUMMYFUNCTION("""COMPUTED_VALUE"""),"more_transparency-&gt;data_access_logs")</f>
        <v>more_transparency-&gt;data_access_logs</v>
      </c>
      <c r="B27">
        <f>IFERROR(__xludf.DUMMYFUNCTION("""COMPUTED_VALUE"""),5.0)</f>
        <v>5</v>
      </c>
    </row>
    <row r="28">
      <c r="A28" t="str">
        <f>IFERROR(__xludf.DUMMYFUNCTION("""COMPUTED_VALUE"""),"more_transparency-&gt;detailed_permission_explanation")</f>
        <v>more_transparency-&gt;detailed_permission_explanation</v>
      </c>
      <c r="B28">
        <f>IFERROR(__xludf.DUMMYFUNCTION("""COMPUTED_VALUE"""),12.0)</f>
        <v>12</v>
      </c>
    </row>
    <row r="29">
      <c r="A29" t="str">
        <f>IFERROR(__xludf.DUMMYFUNCTION("""COMPUTED_VALUE"""),"more_transparency-&gt;how_access_was_authorized")</f>
        <v>more_transparency-&gt;how_access_was_authorized</v>
      </c>
      <c r="B29">
        <f>IFERROR(__xludf.DUMMYFUNCTION("""COMPUTED_VALUE"""),1.0)</f>
        <v>1</v>
      </c>
    </row>
    <row r="30">
      <c r="A30" t="str">
        <f>IFERROR(__xludf.DUMMYFUNCTION("""COMPUTED_VALUE"""),"more_transparency-&gt;how_data_used")</f>
        <v>more_transparency-&gt;how_data_used</v>
      </c>
      <c r="B30">
        <f>IFERROR(__xludf.DUMMYFUNCTION("""COMPUTED_VALUE"""),1.0)</f>
        <v>1</v>
      </c>
    </row>
    <row r="31">
      <c r="A31" t="str">
        <f>IFERROR(__xludf.DUMMYFUNCTION("""COMPUTED_VALUE"""),"more_transparency-&gt;how_to_remove_information")</f>
        <v>more_transparency-&gt;how_to_remove_information</v>
      </c>
      <c r="B31">
        <f>IFERROR(__xludf.DUMMYFUNCTION("""COMPUTED_VALUE"""),1.0)</f>
        <v>1</v>
      </c>
    </row>
    <row r="32">
      <c r="A32" t="str">
        <f>IFERROR(__xludf.DUMMYFUNCTION("""COMPUTED_VALUE"""),"more_transparency-&gt;information_about_privacy")</f>
        <v>more_transparency-&gt;information_about_privacy</v>
      </c>
      <c r="B32">
        <f>IFERROR(__xludf.DUMMYFUNCTION("""COMPUTED_VALUE"""),1.0)</f>
        <v>1</v>
      </c>
    </row>
    <row r="33">
      <c r="A33" t="str">
        <f>IFERROR(__xludf.DUMMYFUNCTION("""COMPUTED_VALUE"""),"more_transparency-&gt;information_about_security")</f>
        <v>more_transparency-&gt;information_about_security</v>
      </c>
      <c r="B33">
        <f>IFERROR(__xludf.DUMMYFUNCTION("""COMPUTED_VALUE"""),1.0)</f>
        <v>1</v>
      </c>
    </row>
    <row r="34">
      <c r="A34" t="str">
        <f>IFERROR(__xludf.DUMMYFUNCTION("""COMPUTED_VALUE"""),"more_transparency-&gt;listing_of_sites_indirectly_accessing")</f>
        <v>more_transparency-&gt;listing_of_sites_indirectly_accessing</v>
      </c>
      <c r="B34">
        <f>IFERROR(__xludf.DUMMYFUNCTION("""COMPUTED_VALUE"""),1.0)</f>
        <v>1</v>
      </c>
    </row>
    <row r="35">
      <c r="A35" t="str">
        <f>IFERROR(__xludf.DUMMYFUNCTION("""COMPUTED_VALUE"""),"more_transparency-&gt;location_of_app_access")</f>
        <v>more_transparency-&gt;location_of_app_access</v>
      </c>
      <c r="B35">
        <f>IFERROR(__xludf.DUMMYFUNCTION("""COMPUTED_VALUE"""),1.0)</f>
        <v>1</v>
      </c>
    </row>
    <row r="36">
      <c r="A36" t="str">
        <f>IFERROR(__xludf.DUMMYFUNCTION("""COMPUTED_VALUE"""),"more_transparency-&gt;misuse_reports")</f>
        <v>more_transparency-&gt;misuse_reports</v>
      </c>
      <c r="B36">
        <f>IFERROR(__xludf.DUMMYFUNCTION("""COMPUTED_VALUE"""),6.0)</f>
        <v>6</v>
      </c>
    </row>
    <row r="37">
      <c r="A37" t="str">
        <f>IFERROR(__xludf.DUMMYFUNCTION("""COMPUTED_VALUE"""),"more_transparency-&gt;permission_usage_log")</f>
        <v>more_transparency-&gt;permission_usage_log</v>
      </c>
      <c r="B37">
        <f>IFERROR(__xludf.DUMMYFUNCTION("""COMPUTED_VALUE"""),1.0)</f>
        <v>1</v>
      </c>
    </row>
    <row r="38">
      <c r="A38" t="str">
        <f>IFERROR(__xludf.DUMMYFUNCTION("""COMPUTED_VALUE"""),"more_transparency-&gt;terms_and_conditions")</f>
        <v>more_transparency-&gt;terms_and_conditions</v>
      </c>
      <c r="B38">
        <f>IFERROR(__xludf.DUMMYFUNCTION("""COMPUTED_VALUE"""),1.0)</f>
        <v>1</v>
      </c>
    </row>
    <row r="39">
      <c r="A39" t="str">
        <f>IFERROR(__xludf.DUMMYFUNCTION("""COMPUTED_VALUE"""),"more_transparency-&gt;vulnerability_alert")</f>
        <v>more_transparency-&gt;vulnerability_alert</v>
      </c>
      <c r="B39">
        <f>IFERROR(__xludf.DUMMYFUNCTION("""COMPUTED_VALUE"""),1.0)</f>
        <v>1</v>
      </c>
    </row>
    <row r="40">
      <c r="A40" t="str">
        <f>IFERROR(__xludf.DUMMYFUNCTION("""COMPUTED_VALUE"""),"more_transparency-&gt;what_app_needs_to_work")</f>
        <v>more_transparency-&gt;what_app_needs_to_work</v>
      </c>
      <c r="B40">
        <f>IFERROR(__xludf.DUMMYFUNCTION("""COMPUTED_VALUE"""),3.0)</f>
        <v>3</v>
      </c>
    </row>
    <row r="41">
      <c r="A41" t="str">
        <f>IFERROR(__xludf.DUMMYFUNCTION("""COMPUTED_VALUE"""),"more_transparency-&gt;what_data_accessible")</f>
        <v>more_transparency-&gt;what_data_accessible</v>
      </c>
      <c r="B41">
        <f>IFERROR(__xludf.DUMMYFUNCTION("""COMPUTED_VALUE"""),5.0)</f>
        <v>5</v>
      </c>
    </row>
    <row r="42">
      <c r="A42" t="str">
        <f>IFERROR(__xludf.DUMMYFUNCTION("""COMPUTED_VALUE"""),"more_transparency-&gt;what_parts_of_account_accessible")</f>
        <v>more_transparency-&gt;what_parts_of_account_accessible</v>
      </c>
      <c r="B42">
        <f>IFERROR(__xludf.DUMMYFUNCTION("""COMPUTED_VALUE"""),3.0)</f>
        <v>3</v>
      </c>
    </row>
    <row r="43">
      <c r="A43" t="str">
        <f>IFERROR(__xludf.DUMMYFUNCTION("""COMPUTED_VALUE"""),"more_transparency-&gt;when_access_authorized")</f>
        <v>more_transparency-&gt;when_access_authorized</v>
      </c>
      <c r="B43">
        <f>IFERROR(__xludf.DUMMYFUNCTION("""COMPUTED_VALUE"""),8.0)</f>
        <v>8</v>
      </c>
    </row>
    <row r="44">
      <c r="A44" t="str">
        <f>IFERROR(__xludf.DUMMYFUNCTION("""COMPUTED_VALUE"""),"more_transparency-&gt;which_app_accessed_the_most")</f>
        <v>more_transparency-&gt;which_app_accessed_the_most</v>
      </c>
      <c r="B44">
        <f>IFERROR(__xludf.DUMMYFUNCTION("""COMPUTED_VALUE"""),1.0)</f>
        <v>1</v>
      </c>
    </row>
    <row r="45">
      <c r="A45" t="str">
        <f>IFERROR(__xludf.DUMMYFUNCTION("""COMPUTED_VALUE"""),"none")</f>
        <v>none</v>
      </c>
      <c r="B45">
        <f>IFERROR(__xludf.DUMMYFUNCTION("""COMPUTED_VALUE"""),86.0)</f>
        <v>86</v>
      </c>
    </row>
    <row r="46">
      <c r="A46" t="str">
        <f>IFERROR(__xludf.DUMMYFUNCTION("""COMPUTED_VALUE"""),"notifications")</f>
        <v>notifications</v>
      </c>
      <c r="B46">
        <f>IFERROR(__xludf.DUMMYFUNCTION("""COMPUTED_VALUE"""),14.0)</f>
        <v>14</v>
      </c>
    </row>
    <row r="47">
      <c r="A47" t="str">
        <f>IFERROR(__xludf.DUMMYFUNCTION("""COMPUTED_VALUE"""),"notifications-&gt;data_breach")</f>
        <v>notifications-&gt;data_breach</v>
      </c>
      <c r="B47">
        <f>IFERROR(__xludf.DUMMYFUNCTION("""COMPUTED_VALUE"""),1.0)</f>
        <v>1</v>
      </c>
    </row>
    <row r="48">
      <c r="A48" t="str">
        <f>IFERROR(__xludf.DUMMYFUNCTION("""COMPUTED_VALUE"""),"notifications-&gt;email")</f>
        <v>notifications-&gt;email</v>
      </c>
      <c r="B48">
        <f>IFERROR(__xludf.DUMMYFUNCTION("""COMPUTED_VALUE"""),1.0)</f>
        <v>1</v>
      </c>
    </row>
    <row r="49">
      <c r="A49" t="str">
        <f>IFERROR(__xludf.DUMMYFUNCTION("""COMPUTED_VALUE"""),"notifications-&gt;reminders")</f>
        <v>notifications-&gt;reminders</v>
      </c>
      <c r="B49">
        <f>IFERROR(__xludf.DUMMYFUNCTION("""COMPUTED_VALUE"""),5.0)</f>
        <v>5</v>
      </c>
    </row>
    <row r="50">
      <c r="A50" t="str">
        <f>IFERROR(__xludf.DUMMYFUNCTION("""COMPUTED_VALUE"""),"notifications-&gt;reminders-&gt;by_date")</f>
        <v>notifications-&gt;reminders-&gt;by_date</v>
      </c>
      <c r="B50">
        <f>IFERROR(__xludf.DUMMYFUNCTION("""COMPUTED_VALUE"""),3.0)</f>
        <v>3</v>
      </c>
    </row>
    <row r="51">
      <c r="A51" t="str">
        <f>IFERROR(__xludf.DUMMYFUNCTION("""COMPUTED_VALUE"""),"notifications-&gt;reminders-&gt;monthly")</f>
        <v>notifications-&gt;reminders-&gt;monthly</v>
      </c>
      <c r="B51">
        <f>IFERROR(__xludf.DUMMYFUNCTION("""COMPUTED_VALUE"""),2.0)</f>
        <v>2</v>
      </c>
    </row>
    <row r="52">
      <c r="A52" t="str">
        <f>IFERROR(__xludf.DUMMYFUNCTION("""COMPUTED_VALUE"""),"notifications-&gt;remove_access_after_app_removed")</f>
        <v>notifications-&gt;remove_access_after_app_removed</v>
      </c>
      <c r="B52">
        <f>IFERROR(__xludf.DUMMYFUNCTION("""COMPUTED_VALUE"""),1.0)</f>
        <v>1</v>
      </c>
    </row>
    <row r="53">
      <c r="A53" t="str">
        <f>IFERROR(__xludf.DUMMYFUNCTION("""COMPUTED_VALUE"""),"notifications-&gt;to_review")</f>
        <v>notifications-&gt;to_review</v>
      </c>
      <c r="B53">
        <f>IFERROR(__xludf.DUMMYFUNCTION("""COMPUTED_VALUE"""),2.0)</f>
        <v>2</v>
      </c>
    </row>
    <row r="54">
      <c r="A54" t="str">
        <f>IFERROR(__xludf.DUMMYFUNCTION("""COMPUTED_VALUE"""),"notifications-&gt;unused_apps")</f>
        <v>notifications-&gt;unused_apps</v>
      </c>
      <c r="B54">
        <f>IFERROR(__xludf.DUMMYFUNCTION("""COMPUTED_VALUE"""),1.0)</f>
        <v>1</v>
      </c>
    </row>
    <row r="55">
      <c r="A55" t="str">
        <f>IFERROR(__xludf.DUMMYFUNCTION("""COMPUTED_VALUE"""),"notifications-&gt;upon_changes")</f>
        <v>notifications-&gt;upon_changes</v>
      </c>
      <c r="B55">
        <f>IFERROR(__xludf.DUMMYFUNCTION("""COMPUTED_VALUE"""),2.0)</f>
        <v>2</v>
      </c>
    </row>
    <row r="56">
      <c r="A56" t="str">
        <f>IFERROR(__xludf.DUMMYFUNCTION("""COMPUTED_VALUE"""),"notifications-&gt;when_account_accessed")</f>
        <v>notifications-&gt;when_account_accessed</v>
      </c>
      <c r="B56">
        <f>IFERROR(__xludf.DUMMYFUNCTION("""COMPUTED_VALUE"""),1.0)</f>
        <v>1</v>
      </c>
    </row>
    <row r="57">
      <c r="A57" t="str">
        <f>IFERROR(__xludf.DUMMYFUNCTION("""COMPUTED_VALUE"""),"permission_level_control")</f>
        <v>permission_level_control</v>
      </c>
      <c r="B57">
        <f>IFERROR(__xludf.DUMMYFUNCTION("""COMPUTED_VALUE"""),9.0)</f>
        <v>9</v>
      </c>
    </row>
    <row r="58">
      <c r="A58" t="str">
        <f>IFERROR(__xludf.DUMMYFUNCTION("""COMPUTED_VALUE"""),"permission_level_control-&gt;remove_individual_permissions")</f>
        <v>permission_level_control-&gt;remove_individual_permissions</v>
      </c>
      <c r="B58">
        <f>IFERROR(__xludf.DUMMYFUNCTION("""COMPUTED_VALUE"""),4.0)</f>
        <v>4</v>
      </c>
    </row>
    <row r="59">
      <c r="A59" t="str">
        <f>IFERROR(__xludf.DUMMYFUNCTION("""COMPUTED_VALUE"""),"permission_level_control-&gt;set_some_permissions_never_use")</f>
        <v>permission_level_control-&gt;set_some_permissions_never_use</v>
      </c>
      <c r="B59">
        <f>IFERROR(__xludf.DUMMYFUNCTION("""COMPUTED_VALUE"""),1.0)</f>
        <v>1</v>
      </c>
    </row>
    <row r="60">
      <c r="A60" t="str">
        <f>IFERROR(__xludf.DUMMYFUNCTION("""COMPUTED_VALUE"""),"require_reauthorization")</f>
        <v>require_reauthorization</v>
      </c>
      <c r="B60">
        <f>IFERROR(__xludf.DUMMYFUNCTION("""COMPUTED_VALUE"""),3.0)</f>
        <v>3</v>
      </c>
    </row>
    <row r="61">
      <c r="A61" t="str">
        <f>IFERROR(__xludf.DUMMYFUNCTION("""COMPUTED_VALUE"""),"require_reauthorization-&gt;period_of_time")</f>
        <v>require_reauthorization-&gt;period_of_time</v>
      </c>
      <c r="B61">
        <f>IFERROR(__xludf.DUMMYFUNCTION("""COMPUTED_VALUE"""),1.0)</f>
        <v>1</v>
      </c>
    </row>
    <row r="62">
      <c r="A62" t="str">
        <f>IFERROR(__xludf.DUMMYFUNCTION("""COMPUTED_VALUE"""),"require_reauthorization-&gt;unused_apps")</f>
        <v>require_reauthorization-&gt;unused_apps</v>
      </c>
      <c r="B62">
        <f>IFERROR(__xludf.DUMMYFUNCTION("""COMPUTED_VALUE"""),1.0)</f>
        <v>1</v>
      </c>
    </row>
    <row r="63">
      <c r="A63" t="str">
        <f>IFERROR(__xludf.DUMMYFUNCTION("""COMPUTED_VALUE"""),"require_reauthorization-&gt;unused_apps-&gt;3_months")</f>
        <v>require_reauthorization-&gt;unused_apps-&gt;3_months</v>
      </c>
      <c r="B63">
        <f>IFERROR(__xludf.DUMMYFUNCTION("""COMPUTED_VALUE"""),1.0)</f>
        <v>1</v>
      </c>
    </row>
    <row r="64">
      <c r="A64" t="str">
        <f>IFERROR(__xludf.DUMMYFUNCTION("""COMPUTED_VALUE"""),"require_reauthorization-&gt;yearly")</f>
        <v>require_reauthorization-&gt;yearly</v>
      </c>
      <c r="B64">
        <f>IFERROR(__xludf.DUMMYFUNCTION("""COMPUTED_VALUE"""),1.0)</f>
        <v>1</v>
      </c>
    </row>
    <row r="65">
      <c r="A65" t="str">
        <f>IFERROR(__xludf.DUMMYFUNCTION("""COMPUTED_VALUE"""),"unsure")</f>
        <v>unsure</v>
      </c>
      <c r="B65">
        <f>IFERROR(__xludf.DUMMYFUNCTION("""COMPUTED_VALUE"""),6.0)</f>
        <v>6</v>
      </c>
    </row>
    <row r="66">
      <c r="A66" t="str">
        <f>IFERROR(__xludf.DUMMYFUNCTION("""COMPUTED_VALUE"""),"user_reviews")</f>
        <v>user_reviews</v>
      </c>
      <c r="B66">
        <f>IFERROR(__xludf.DUMMYFUNCTION("""COMPUTED_VALUE"""),1.0)</f>
        <v>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3.14"/>
    <col customWidth="1" min="2" max="2" width="48.14"/>
    <col customWidth="1" min="3" max="10" width="30.29"/>
  </cols>
  <sheetData>
    <row r="1">
      <c r="A1" s="41" t="str">
        <f>IFERROR(__xludf.DUMMYFUNCTION("QUERY('All Responses'!2:1001,""select A,G"")"),"Response ID")</f>
        <v>Response ID</v>
      </c>
      <c r="B1" s="16" t="str">
        <f>IFERROR(__xludf.DUMMYFUNCTION("""COMPUTED_VALUE"""),"fut_features")</f>
        <v>fut_features</v>
      </c>
      <c r="C1" s="16" t="s">
        <v>750</v>
      </c>
      <c r="D1" s="16" t="s">
        <v>751</v>
      </c>
      <c r="E1" s="16" t="s">
        <v>752</v>
      </c>
      <c r="F1" s="16" t="s">
        <v>753</v>
      </c>
      <c r="G1" s="16" t="s">
        <v>754</v>
      </c>
      <c r="H1" s="16" t="s">
        <v>755</v>
      </c>
      <c r="I1" s="16" t="s">
        <v>756</v>
      </c>
      <c r="J1" s="16" t="s">
        <v>757</v>
      </c>
    </row>
    <row r="2">
      <c r="A2" s="42">
        <f>IFERROR(__xludf.DUMMYFUNCTION("""COMPUTED_VALUE"""),27.0)</f>
        <v>27</v>
      </c>
      <c r="B2" s="18" t="str">
        <f>IFERROR(__xludf.DUMMYFUNCTION("""COMPUTED_VALUE"""),"more transparaency")</f>
        <v>more transparaency</v>
      </c>
      <c r="C2" t="s">
        <v>871</v>
      </c>
      <c r="D2" s="3"/>
      <c r="E2" s="3"/>
      <c r="F2" s="3"/>
      <c r="G2" s="3"/>
      <c r="H2" s="11"/>
      <c r="I2" s="11"/>
      <c r="J2" s="11"/>
    </row>
    <row r="3">
      <c r="A3" s="42">
        <f>IFERROR(__xludf.DUMMYFUNCTION("""COMPUTED_VALUE"""),29.0)</f>
        <v>29</v>
      </c>
      <c r="B3" s="18" t="str">
        <f>IFERROR(__xludf.DUMMYFUNCTION("""COMPUTED_VALUE"""),"monthly reminders")</f>
        <v>monthly reminders</v>
      </c>
      <c r="C3" t="s">
        <v>874</v>
      </c>
      <c r="D3" s="19" t="s">
        <v>872</v>
      </c>
      <c r="E3" s="3"/>
      <c r="F3" s="3"/>
      <c r="G3" s="11"/>
      <c r="H3" s="11"/>
      <c r="I3" s="11"/>
      <c r="J3" s="11"/>
    </row>
    <row r="4">
      <c r="A4" s="42">
        <f>IFERROR(__xludf.DUMMYFUNCTION("""COMPUTED_VALUE"""),30.0)</f>
        <v>30</v>
      </c>
      <c r="B4" s="18" t="str">
        <f>IFERROR(__xludf.DUMMYFUNCTION("""COMPUTED_VALUE"""),"None")</f>
        <v>None</v>
      </c>
      <c r="C4" t="s">
        <v>18</v>
      </c>
      <c r="D4" s="3"/>
      <c r="E4" s="3"/>
      <c r="F4" s="3"/>
      <c r="G4" s="11"/>
      <c r="H4" s="11"/>
      <c r="I4" s="11"/>
      <c r="J4" s="11"/>
    </row>
    <row r="5">
      <c r="A5" s="42">
        <f>IFERROR(__xludf.DUMMYFUNCTION("""COMPUTED_VALUE"""),31.0)</f>
        <v>31</v>
      </c>
      <c r="B5" s="18" t="str">
        <f>IFERROR(__xludf.DUMMYFUNCTION("""COMPUTED_VALUE"""),"a way to set a date reminder to check")</f>
        <v>a way to set a date reminder to check</v>
      </c>
      <c r="C5" t="s">
        <v>875</v>
      </c>
      <c r="D5" s="19" t="s">
        <v>872</v>
      </c>
      <c r="E5" s="3"/>
      <c r="F5" s="3"/>
      <c r="G5" s="3"/>
      <c r="H5" s="11"/>
      <c r="I5" s="11"/>
      <c r="J5" s="11"/>
    </row>
    <row r="6">
      <c r="A6" s="42">
        <f>IFERROR(__xludf.DUMMYFUNCTION("""COMPUTED_VALUE"""),32.0)</f>
        <v>32</v>
      </c>
      <c r="B6" s="18" t="str">
        <f>IFERROR(__xludf.DUMMYFUNCTION("""COMPUTED_VALUE"""),"none i like it now honestly")</f>
        <v>none i like it now honestly</v>
      </c>
      <c r="C6" t="s">
        <v>18</v>
      </c>
      <c r="D6" s="11"/>
      <c r="E6" s="11"/>
      <c r="F6" s="11"/>
      <c r="G6" s="11"/>
      <c r="H6" s="11"/>
      <c r="I6" s="11"/>
      <c r="J6" s="11"/>
    </row>
    <row r="7">
      <c r="A7" s="42">
        <f>IFERROR(__xludf.DUMMYFUNCTION("""COMPUTED_VALUE"""),34.0)</f>
        <v>34</v>
      </c>
      <c r="B7" s="18" t="str">
        <f>IFERROR(__xludf.DUMMYFUNCTION("""COMPUTED_VALUE"""),"I would like to see how often I sign into the apps, to help determine how necessary it is to continue allowing them access.")</f>
        <v>I would like to see how often I sign into the apps, to help determine how necessary it is to continue allowing them access.</v>
      </c>
      <c r="C7" t="s">
        <v>871</v>
      </c>
      <c r="D7" s="32"/>
      <c r="E7" s="32"/>
      <c r="F7" s="3"/>
      <c r="G7" s="3"/>
      <c r="H7" s="3"/>
      <c r="I7" s="11"/>
      <c r="J7" s="11"/>
    </row>
    <row r="8">
      <c r="A8" s="42">
        <f>IFERROR(__xludf.DUMMYFUNCTION("""COMPUTED_VALUE"""),35.0)</f>
        <v>35</v>
      </c>
      <c r="B8" s="18" t="str">
        <f>IFERROR(__xludf.DUMMYFUNCTION("""COMPUTED_VALUE"""),"I cannot think of any way this could be more useful. When you click, it expands, and you get additional info about the access the app has.")</f>
        <v>I cannot think of any way this could be more useful. When you click, it expands, and you get additional info about the access the app has.</v>
      </c>
      <c r="C8" t="s">
        <v>18</v>
      </c>
      <c r="D8" s="3"/>
      <c r="E8" s="11"/>
      <c r="F8" s="11"/>
      <c r="G8" s="11"/>
      <c r="H8" s="11"/>
      <c r="I8" s="11"/>
      <c r="J8" s="11"/>
    </row>
    <row r="9">
      <c r="A9" s="42">
        <f>IFERROR(__xludf.DUMMYFUNCTION("""COMPUTED_VALUE"""),36.0)</f>
        <v>36</v>
      </c>
      <c r="B9" s="18" t="str">
        <f>IFERROR(__xludf.DUMMYFUNCTION("""COMPUTED_VALUE"""),"Ability to pause the information that are currently being fed to the apps.")</f>
        <v>Ability to pause the information that are currently being fed to the apps.</v>
      </c>
      <c r="C9" t="s">
        <v>877</v>
      </c>
      <c r="D9" s="3"/>
      <c r="E9" s="3"/>
      <c r="F9" s="3"/>
      <c r="G9" s="3"/>
      <c r="H9" s="11"/>
      <c r="I9" s="11"/>
      <c r="J9" s="11"/>
    </row>
    <row r="10">
      <c r="A10" s="42">
        <f>IFERROR(__xludf.DUMMYFUNCTION("""COMPUTED_VALUE"""),37.0)</f>
        <v>37</v>
      </c>
      <c r="B10" s="18" t="str">
        <f>IFERROR(__xludf.DUMMYFUNCTION("""COMPUTED_VALUE"""),"none")</f>
        <v>none</v>
      </c>
      <c r="C10" t="s">
        <v>18</v>
      </c>
      <c r="D10" s="32"/>
      <c r="E10" s="32"/>
      <c r="G10" s="11"/>
      <c r="H10" s="11"/>
      <c r="I10" s="11"/>
      <c r="J10" s="11"/>
    </row>
    <row r="11">
      <c r="A11" s="42">
        <f>IFERROR(__xludf.DUMMYFUNCTION("""COMPUTED_VALUE"""),38.0)</f>
        <v>38</v>
      </c>
      <c r="B11" s="18" t="str">
        <f>IFERROR(__xludf.DUMMYFUNCTION("""COMPUTED_VALUE"""),"a quick easy way to (1) edit the amount of access that each thrid party app has and (2) delete apps I no longer want")</f>
        <v>a quick easy way to (1) edit the amount of access that each thrid party app has and (2) delete apps I no longer want</v>
      </c>
      <c r="C11" t="s">
        <v>877</v>
      </c>
      <c r="D11" t="s">
        <v>895</v>
      </c>
      <c r="E11" s="11"/>
      <c r="F11" s="11"/>
      <c r="G11" s="11"/>
      <c r="H11" s="11"/>
      <c r="I11" s="11"/>
      <c r="J11" s="11"/>
    </row>
    <row r="12">
      <c r="A12" s="42">
        <f>IFERROR(__xludf.DUMMYFUNCTION("""COMPUTED_VALUE"""),39.0)</f>
        <v>39</v>
      </c>
      <c r="B12" s="18" t="str">
        <f>IFERROR(__xludf.DUMMYFUNCTION("""COMPUTED_VALUE"""),"A way to remove access")</f>
        <v>A way to remove access</v>
      </c>
      <c r="C12" t="s">
        <v>932</v>
      </c>
      <c r="D12" s="19" t="s">
        <v>871</v>
      </c>
      <c r="E12" s="11"/>
      <c r="F12" s="11"/>
      <c r="G12" s="11"/>
      <c r="H12" s="11"/>
      <c r="I12" s="11"/>
      <c r="J12" s="11"/>
    </row>
    <row r="13">
      <c r="A13" s="42">
        <f>IFERROR(__xludf.DUMMYFUNCTION("""COMPUTED_VALUE"""),40.0)</f>
        <v>40</v>
      </c>
      <c r="B13" s="18" t="str">
        <f>IFERROR(__xludf.DUMMYFUNCTION("""COMPUTED_VALUE"""),"A fast delete button/express removal")</f>
        <v>A fast delete button/express removal</v>
      </c>
      <c r="C13" t="s">
        <v>880</v>
      </c>
      <c r="D13" s="3"/>
      <c r="E13" s="11"/>
      <c r="F13" s="11"/>
      <c r="G13" s="11"/>
      <c r="H13" s="11"/>
      <c r="I13" s="11"/>
      <c r="J13" s="11"/>
    </row>
    <row r="14">
      <c r="A14" s="42">
        <f>IFERROR(__xludf.DUMMYFUNCTION("""COMPUTED_VALUE"""),41.0)</f>
        <v>41</v>
      </c>
      <c r="B14" s="18" t="str">
        <f>IFERROR(__xludf.DUMMYFUNCTION("""COMPUTED_VALUE"""),"To see what kinds of information the app is using.")</f>
        <v>To see what kinds of information the app is using.</v>
      </c>
      <c r="C14" t="s">
        <v>881</v>
      </c>
      <c r="D14" s="19" t="s">
        <v>871</v>
      </c>
      <c r="E14" s="3"/>
      <c r="F14" s="3"/>
      <c r="G14" s="11"/>
      <c r="H14" s="11"/>
      <c r="I14" s="11"/>
      <c r="J14" s="11"/>
    </row>
    <row r="15">
      <c r="A15" s="42">
        <f>IFERROR(__xludf.DUMMYFUNCTION("""COMPUTED_VALUE"""),42.0)</f>
        <v>42</v>
      </c>
      <c r="B15" s="18" t="str">
        <f>IFERROR(__xludf.DUMMYFUNCTION("""COMPUTED_VALUE"""),"Notifications to review periodically.")</f>
        <v>Notifications to review periodically.</v>
      </c>
      <c r="C15" t="s">
        <v>875</v>
      </c>
      <c r="D15" s="19" t="s">
        <v>872</v>
      </c>
      <c r="E15" s="11"/>
      <c r="F15" s="11"/>
      <c r="G15" s="11"/>
      <c r="H15" s="11"/>
      <c r="I15" s="11"/>
      <c r="J15" s="11"/>
    </row>
    <row r="16">
      <c r="A16" s="42">
        <f>IFERROR(__xludf.DUMMYFUNCTION("""COMPUTED_VALUE"""),43.0)</f>
        <v>43</v>
      </c>
      <c r="B16" s="18" t="str">
        <f>IFERROR(__xludf.DUMMYFUNCTION("""COMPUTED_VALUE"""),"I think it would be useful for them to show when I last used an app and when the app last used my data, to see if the app is using my data even when I have not used the app in a while.")</f>
        <v>I think it would be useful for them to show when I last used an app and when the app last used my data, to see if the app is using my data even when I have not used the app in a while.</v>
      </c>
      <c r="C16" t="s">
        <v>883</v>
      </c>
      <c r="D16" s="19" t="s">
        <v>871</v>
      </c>
      <c r="E16" s="3"/>
      <c r="F16" s="11"/>
      <c r="G16" s="11"/>
      <c r="H16" s="11"/>
      <c r="I16" s="11"/>
      <c r="J16" s="11"/>
    </row>
    <row r="17">
      <c r="A17" s="42">
        <f>IFERROR(__xludf.DUMMYFUNCTION("""COMPUTED_VALUE"""),44.0)</f>
        <v>44</v>
      </c>
      <c r="B17" s="18" t="str">
        <f>IFERROR(__xludf.DUMMYFUNCTION("""COMPUTED_VALUE"""),"N/A")</f>
        <v>N/A</v>
      </c>
      <c r="C17" t="s">
        <v>18</v>
      </c>
      <c r="D17" s="19"/>
      <c r="E17" s="19"/>
      <c r="F17" s="11"/>
      <c r="G17" s="11"/>
      <c r="H17" s="11"/>
      <c r="I17" s="11"/>
      <c r="J17" s="11"/>
    </row>
    <row r="18">
      <c r="A18" s="42">
        <f>IFERROR(__xludf.DUMMYFUNCTION("""COMPUTED_VALUE"""),45.0)</f>
        <v>45</v>
      </c>
      <c r="B18" s="18" t="str">
        <f>IFERROR(__xludf.DUMMYFUNCTION("""COMPUTED_VALUE"""),"App filtering by date installed/authorized")</f>
        <v>App filtering by date installed/authorized</v>
      </c>
      <c r="C18" t="s">
        <v>885</v>
      </c>
      <c r="D18" s="19" t="s">
        <v>884</v>
      </c>
      <c r="E18" s="3"/>
      <c r="F18" s="11"/>
      <c r="G18" s="11"/>
      <c r="H18" s="11"/>
      <c r="I18" s="11"/>
      <c r="J18" s="11"/>
    </row>
    <row r="19">
      <c r="A19" s="42">
        <f>IFERROR(__xludf.DUMMYFUNCTION("""COMPUTED_VALUE"""),46.0)</f>
        <v>46</v>
      </c>
      <c r="B19" s="18" t="str">
        <f>IFERROR(__xludf.DUMMYFUNCTION("""COMPUTED_VALUE"""),"Not sure")</f>
        <v>Not sure</v>
      </c>
      <c r="C19" t="s">
        <v>886</v>
      </c>
      <c r="D19" s="19"/>
      <c r="E19" s="3"/>
      <c r="F19" s="11"/>
      <c r="G19" s="11"/>
      <c r="H19" s="11"/>
      <c r="I19" s="11"/>
      <c r="J19" s="11"/>
    </row>
    <row r="20">
      <c r="A20" s="42">
        <f>IFERROR(__xludf.DUMMYFUNCTION("""COMPUTED_VALUE"""),47.0)</f>
        <v>47</v>
      </c>
      <c r="B20" s="18" t="str">
        <f>IFERROR(__xludf.DUMMYFUNCTION("""COMPUTED_VALUE"""),"Disable which apps have access to what.")</f>
        <v>Disable which apps have access to what.</v>
      </c>
      <c r="C20" t="s">
        <v>877</v>
      </c>
      <c r="D20" s="3"/>
      <c r="E20" s="3"/>
      <c r="F20" s="11"/>
      <c r="G20" s="11"/>
      <c r="H20" s="11"/>
      <c r="I20" s="11"/>
      <c r="J20" s="11"/>
    </row>
    <row r="21">
      <c r="A21" s="42">
        <f>IFERROR(__xludf.DUMMYFUNCTION("""COMPUTED_VALUE"""),48.0)</f>
        <v>48</v>
      </c>
      <c r="B21" s="18" t="str">
        <f>IFERROR(__xludf.DUMMYFUNCTION("""COMPUTED_VALUE"""),"Quick delete any apps that have access.")</f>
        <v>Quick delete any apps that have access.</v>
      </c>
      <c r="C21" t="s">
        <v>880</v>
      </c>
      <c r="D21" s="3"/>
      <c r="E21" s="11"/>
      <c r="F21" s="11"/>
      <c r="G21" s="11"/>
      <c r="H21" s="11"/>
      <c r="I21" s="11"/>
      <c r="J21" s="11"/>
    </row>
    <row r="22">
      <c r="A22" s="42">
        <f>IFERROR(__xludf.DUMMYFUNCTION("""COMPUTED_VALUE"""),49.0)</f>
        <v>49</v>
      </c>
      <c r="B22" s="18" t="str">
        <f>IFERROR(__xludf.DUMMYFUNCTION("""COMPUTED_VALUE"""),"None that II can think of.")</f>
        <v>None that II can think of.</v>
      </c>
      <c r="C22" t="s">
        <v>18</v>
      </c>
      <c r="D22" s="19"/>
      <c r="E22" s="3"/>
      <c r="F22" s="3"/>
      <c r="G22" s="11"/>
      <c r="H22" s="11"/>
      <c r="I22" s="11"/>
      <c r="J22" s="11"/>
    </row>
    <row r="23">
      <c r="A23" s="42">
        <f>IFERROR(__xludf.DUMMYFUNCTION("""COMPUTED_VALUE"""),50.0)</f>
        <v>50</v>
      </c>
      <c r="B23" s="18" t="str">
        <f>IFERROR(__xludf.DUMMYFUNCTION("""COMPUTED_VALUE"""),"easy delete or block button ... notice of access")</f>
        <v>easy delete or block button ... notice of access</v>
      </c>
      <c r="C23" t="s">
        <v>880</v>
      </c>
      <c r="D23" t="s">
        <v>887</v>
      </c>
      <c r="E23" s="19" t="s">
        <v>872</v>
      </c>
      <c r="F23" s="11"/>
      <c r="G23" s="11"/>
      <c r="H23" s="11"/>
      <c r="I23" s="11"/>
      <c r="J23" s="11"/>
    </row>
    <row r="24">
      <c r="A24" s="42">
        <f>IFERROR(__xludf.DUMMYFUNCTION("""COMPUTED_VALUE"""),51.0)</f>
        <v>51</v>
      </c>
      <c r="B24" s="18" t="str">
        <f>IFERROR(__xludf.DUMMYFUNCTION("""COMPUTED_VALUE"""),"The option to immediately disconnect all of an app's access and a report feature if something seems shady or intrusive.")</f>
        <v>The option to immediately disconnect all of an app's access and a report feature if something seems shady or intrusive.</v>
      </c>
      <c r="C24" t="s">
        <v>877</v>
      </c>
      <c r="D24" t="s">
        <v>888</v>
      </c>
      <c r="E24" s="19" t="s">
        <v>871</v>
      </c>
      <c r="F24" s="11"/>
      <c r="G24" s="11"/>
      <c r="H24" s="11"/>
      <c r="I24" s="11"/>
      <c r="J24" s="11"/>
    </row>
    <row r="25">
      <c r="A25" s="42">
        <f>IFERROR(__xludf.DUMMYFUNCTION("""COMPUTED_VALUE"""),52.0)</f>
        <v>52</v>
      </c>
      <c r="B25" s="18" t="str">
        <f>IFERROR(__xludf.DUMMYFUNCTION("""COMPUTED_VALUE"""),"Any sort of insight into why the apps have the permissions they have. Being able to sort by type(s) of permissions would also be great.")</f>
        <v>Any sort of insight into why the apps have the permissions they have. Being able to sort by type(s) of permissions would also be great.</v>
      </c>
      <c r="C25" t="s">
        <v>871</v>
      </c>
      <c r="D25" t="s">
        <v>889</v>
      </c>
      <c r="E25" s="19" t="s">
        <v>884</v>
      </c>
      <c r="F25" s="11"/>
      <c r="G25" s="11"/>
      <c r="H25" s="11"/>
      <c r="I25" s="11"/>
      <c r="J25" s="11"/>
    </row>
    <row r="26">
      <c r="A26" s="42">
        <f>IFERROR(__xludf.DUMMYFUNCTION("""COMPUTED_VALUE"""),53.0)</f>
        <v>53</v>
      </c>
      <c r="B26" s="18" t="str">
        <f>IFERROR(__xludf.DUMMYFUNCTION("""COMPUTED_VALUE"""),"None")</f>
        <v>None</v>
      </c>
      <c r="C26" t="s">
        <v>18</v>
      </c>
      <c r="D26" s="3"/>
      <c r="E26" s="3"/>
      <c r="F26" s="11"/>
      <c r="G26" s="11"/>
      <c r="H26" s="11"/>
      <c r="I26" s="11"/>
      <c r="J26" s="11"/>
    </row>
    <row r="27">
      <c r="A27" s="42">
        <f>IFERROR(__xludf.DUMMYFUNCTION("""COMPUTED_VALUE"""),54.0)</f>
        <v>54</v>
      </c>
      <c r="B27" s="18" t="str">
        <f>IFERROR(__xludf.DUMMYFUNCTION("""COMPUTED_VALUE"""),"The list of apps and sites that are linked in some way but don't have direct access")</f>
        <v>The list of apps and sites that are linked in some way but don't have direct access</v>
      </c>
      <c r="C27" t="s">
        <v>891</v>
      </c>
      <c r="D27" s="19" t="s">
        <v>871</v>
      </c>
      <c r="E27" s="11"/>
      <c r="F27" s="11"/>
      <c r="G27" s="11"/>
      <c r="H27" s="11"/>
      <c r="I27" s="11"/>
      <c r="J27" s="11"/>
    </row>
    <row r="28">
      <c r="A28" s="42">
        <f>IFERROR(__xludf.DUMMYFUNCTION("""COMPUTED_VALUE"""),55.0)</f>
        <v>55</v>
      </c>
      <c r="B28" s="18" t="str">
        <f>IFERROR(__xludf.DUMMYFUNCTION("""COMPUTED_VALUE"""),"ability to log in and access easily")</f>
        <v>ability to log in and access easily</v>
      </c>
      <c r="C28" t="s">
        <v>892</v>
      </c>
      <c r="D28" s="19" t="s">
        <v>884</v>
      </c>
      <c r="E28" s="3"/>
      <c r="F28" s="19"/>
      <c r="G28" s="11"/>
      <c r="H28" s="11"/>
      <c r="I28" s="11"/>
      <c r="J28" s="11"/>
    </row>
    <row r="29">
      <c r="A29">
        <f>IFERROR(__xludf.DUMMYFUNCTION("""COMPUTED_VALUE"""),56.0)</f>
        <v>56</v>
      </c>
      <c r="B29" s="11" t="str">
        <f>IFERROR(__xludf.DUMMYFUNCTION("""COMPUTED_VALUE"""),"I would like the ability to temporarily block certain App access, or schedule them to only have access within certain times.")</f>
        <v>I would like the ability to temporarily block certain App access, or schedule them to only have access within certain times.</v>
      </c>
      <c r="C29" t="s">
        <v>877</v>
      </c>
      <c r="D29" t="s">
        <v>878</v>
      </c>
      <c r="E29" t="s">
        <v>913</v>
      </c>
      <c r="F29" s="19"/>
      <c r="G29" s="11"/>
      <c r="H29" s="11"/>
      <c r="I29" s="11"/>
      <c r="J29" s="11"/>
    </row>
    <row r="30">
      <c r="A30">
        <f>IFERROR(__xludf.DUMMYFUNCTION("""COMPUTED_VALUE"""),57.0)</f>
        <v>57</v>
      </c>
      <c r="B30" s="11" t="str">
        <f>IFERROR(__xludf.DUMMYFUNCTION("""COMPUTED_VALUE"""),"Maybe just some more specific icos for the labels. I like the layout otherwise.")</f>
        <v>Maybe just some more specific icos for the labels. I like the layout otherwise.</v>
      </c>
      <c r="C30" t="s">
        <v>893</v>
      </c>
      <c r="D30" s="19" t="s">
        <v>884</v>
      </c>
      <c r="E30" s="3"/>
      <c r="F30" s="11"/>
      <c r="G30" s="11"/>
      <c r="H30" s="11"/>
      <c r="I30" s="11"/>
      <c r="J30" s="11"/>
    </row>
    <row r="31">
      <c r="A31">
        <f>IFERROR(__xludf.DUMMYFUNCTION("""COMPUTED_VALUE"""),58.0)</f>
        <v>58</v>
      </c>
      <c r="B31" s="11" t="str">
        <f>IFERROR(__xludf.DUMMYFUNCTION("""COMPUTED_VALUE"""),"I'd like to secure my data supplied to Google.")</f>
        <v>I'd like to secure my data supplied to Google.</v>
      </c>
      <c r="C31" t="s">
        <v>894</v>
      </c>
      <c r="D31" s="32"/>
      <c r="E31" s="11"/>
      <c r="F31" s="11"/>
      <c r="G31" s="11"/>
      <c r="H31" s="11"/>
      <c r="I31" s="11"/>
      <c r="J31" s="11"/>
    </row>
    <row r="32">
      <c r="A32">
        <f>IFERROR(__xludf.DUMMYFUNCTION("""COMPUTED_VALUE"""),59.0)</f>
        <v>59</v>
      </c>
      <c r="B32" s="11" t="str">
        <f>IFERROR(__xludf.DUMMYFUNCTION("""COMPUTED_VALUE"""),"I would like if it was easier to find the page in the first place or make it more prominent because I'm not even sure I know how to get to it. I'd also like to know how and what exactly these apps do with the information they get about me.")</f>
        <v>I would like if it was easier to find the page in the first place or make it more prominent because I'm not even sure I know how to get to it. I'd also like to know how and what exactly these apps do with the information they get about me.</v>
      </c>
      <c r="C32" t="s">
        <v>892</v>
      </c>
      <c r="D32" s="19" t="s">
        <v>884</v>
      </c>
      <c r="E32" t="s">
        <v>871</v>
      </c>
      <c r="F32" t="s">
        <v>924</v>
      </c>
      <c r="G32" s="11"/>
      <c r="H32" s="11"/>
      <c r="I32" s="11"/>
      <c r="J32" s="11"/>
    </row>
    <row r="33">
      <c r="A33">
        <f>IFERROR(__xludf.DUMMYFUNCTION("""COMPUTED_VALUE"""),60.0)</f>
        <v>60</v>
      </c>
      <c r="B33" s="11" t="str">
        <f>IFERROR(__xludf.DUMMYFUNCTION("""COMPUTED_VALUE"""),"None that I can think of.")</f>
        <v>None that I can think of.</v>
      </c>
      <c r="C33" t="s">
        <v>18</v>
      </c>
      <c r="D33" s="3"/>
      <c r="E33" s="11"/>
      <c r="F33" s="11"/>
      <c r="G33" s="11"/>
      <c r="H33" s="11"/>
      <c r="I33" s="11"/>
      <c r="J33" s="11"/>
    </row>
    <row r="34">
      <c r="A34">
        <f>IFERROR(__xludf.DUMMYFUNCTION("""COMPUTED_VALUE"""),61.0)</f>
        <v>61</v>
      </c>
      <c r="B34" s="11" t="str">
        <f>IFERROR(__xludf.DUMMYFUNCTION("""COMPUTED_VALUE"""),"Not sure.")</f>
        <v>Not sure.</v>
      </c>
      <c r="C34" t="s">
        <v>886</v>
      </c>
      <c r="D34" s="3"/>
      <c r="E34" s="11"/>
      <c r="F34" s="11"/>
      <c r="G34" s="11"/>
      <c r="H34" s="11"/>
      <c r="I34" s="11"/>
      <c r="J34" s="11"/>
    </row>
    <row r="35">
      <c r="A35">
        <f>IFERROR(__xludf.DUMMYFUNCTION("""COMPUTED_VALUE"""),62.0)</f>
        <v>62</v>
      </c>
      <c r="B35" s="11" t="str">
        <f>IFERROR(__xludf.DUMMYFUNCTION("""COMPUTED_VALUE"""),"none")</f>
        <v>none</v>
      </c>
      <c r="C35" t="s">
        <v>18</v>
      </c>
      <c r="D35" s="11"/>
      <c r="E35" s="11"/>
      <c r="F35" s="11"/>
      <c r="G35" s="11"/>
      <c r="H35" s="11"/>
      <c r="I35" s="11"/>
      <c r="J35" s="11"/>
    </row>
    <row r="36">
      <c r="A36">
        <f>IFERROR(__xludf.DUMMYFUNCTION("""COMPUTED_VALUE"""),63.0)</f>
        <v>63</v>
      </c>
      <c r="B36" s="11" t="str">
        <f>IFERROR(__xludf.DUMMYFUNCTION("""COMPUTED_VALUE"""),"It might be nice if access was automatically removed after a period of time if the app had not been used.")</f>
        <v>It might be nice if access was automatically removed after a period of time if the app had not been used.</v>
      </c>
      <c r="C36" t="s">
        <v>877</v>
      </c>
      <c r="D36" t="s">
        <v>895</v>
      </c>
      <c r="E36" s="11"/>
      <c r="F36" s="11"/>
      <c r="G36" s="11"/>
      <c r="H36" s="11"/>
      <c r="I36" s="11"/>
      <c r="J36" s="11"/>
    </row>
    <row r="37">
      <c r="A37">
        <f>IFERROR(__xludf.DUMMYFUNCTION("""COMPUTED_VALUE"""),64.0)</f>
        <v>64</v>
      </c>
      <c r="B37" s="11" t="str">
        <f>IFERROR(__xludf.DUMMYFUNCTION("""COMPUTED_VALUE"""),"I don't know.")</f>
        <v>I don't know.</v>
      </c>
      <c r="C37" t="s">
        <v>886</v>
      </c>
      <c r="D37" s="3"/>
      <c r="E37" s="3"/>
      <c r="F37" s="3"/>
      <c r="G37" s="3"/>
      <c r="H37" s="11"/>
      <c r="I37" s="11"/>
      <c r="J37" s="11"/>
    </row>
    <row r="38">
      <c r="A38">
        <f>IFERROR(__xludf.DUMMYFUNCTION("""COMPUTED_VALUE"""),65.0)</f>
        <v>65</v>
      </c>
      <c r="B38" s="11" t="str">
        <f>IFERROR(__xludf.DUMMYFUNCTION("""COMPUTED_VALUE"""),"Change permissions from the page itself. Also set some permissions you would like to never share.")</f>
        <v>Change permissions from the page itself. Also set some permissions you would like to never share.</v>
      </c>
      <c r="C38" t="s">
        <v>879</v>
      </c>
      <c r="D38" t="s">
        <v>896</v>
      </c>
      <c r="E38" s="11"/>
      <c r="F38" s="11"/>
      <c r="G38" s="11"/>
      <c r="H38" s="11"/>
      <c r="I38" s="11"/>
      <c r="J38" s="11"/>
    </row>
    <row r="39">
      <c r="A39">
        <f>IFERROR(__xludf.DUMMYFUNCTION("""COMPUTED_VALUE"""),66.0)</f>
        <v>66</v>
      </c>
      <c r="B39" s="11" t="str">
        <f>IFERROR(__xludf.DUMMYFUNCTION("""COMPUTED_VALUE"""),"I can't think of any new features that would improve it. I think it's an extremely helpful tool already. Easy to access, navigate, and understand.")</f>
        <v>I can't think of any new features that would improve it. I think it's an extremely helpful tool already. Easy to access, navigate, and understand.</v>
      </c>
      <c r="C39" t="s">
        <v>18</v>
      </c>
      <c r="D39" s="19"/>
      <c r="E39" s="11"/>
      <c r="F39" s="11"/>
      <c r="G39" s="11"/>
      <c r="H39" s="11"/>
      <c r="I39" s="11"/>
      <c r="J39" s="11"/>
    </row>
    <row r="40">
      <c r="A40">
        <f>IFERROR(__xludf.DUMMYFUNCTION("""COMPUTED_VALUE"""),67.0)</f>
        <v>67</v>
      </c>
      <c r="B40" s="11" t="str">
        <f>IFERROR(__xludf.DUMMYFUNCTION("""COMPUTED_VALUE"""),"I can't think of any.")</f>
        <v>I can't think of any.</v>
      </c>
      <c r="C40" t="s">
        <v>18</v>
      </c>
      <c r="D40" s="3"/>
      <c r="E40" s="3"/>
      <c r="F40" s="11"/>
      <c r="G40" s="11"/>
      <c r="H40" s="11"/>
      <c r="I40" s="11"/>
      <c r="J40" s="11"/>
    </row>
    <row r="41">
      <c r="A41">
        <f>IFERROR(__xludf.DUMMYFUNCTION("""COMPUTED_VALUE"""),68.0)</f>
        <v>68</v>
      </c>
      <c r="B41" s="11" t="str">
        <f>IFERROR(__xludf.DUMMYFUNCTION("""COMPUTED_VALUE"""),"The ability to see which data they have accessed or kept from me.")</f>
        <v>The ability to see which data they have accessed or kept from me.</v>
      </c>
      <c r="C41" t="s">
        <v>871</v>
      </c>
      <c r="D41" t="s">
        <v>881</v>
      </c>
      <c r="E41" s="11"/>
      <c r="F41" s="11"/>
      <c r="G41" s="11"/>
      <c r="H41" s="11"/>
      <c r="I41" s="11"/>
      <c r="J41" s="11"/>
    </row>
    <row r="42">
      <c r="A42">
        <f>IFERROR(__xludf.DUMMYFUNCTION("""COMPUTED_VALUE"""),69.0)</f>
        <v>69</v>
      </c>
      <c r="B42" s="11" t="str">
        <f>IFERROR(__xludf.DUMMYFUNCTION("""COMPUTED_VALUE"""),"I never really put any thought into that.. ..Nothing comes to mind!")</f>
        <v>I never really put any thought into that.. ..Nothing comes to mind!</v>
      </c>
      <c r="C42" t="s">
        <v>18</v>
      </c>
      <c r="D42" s="11"/>
      <c r="E42" s="11"/>
      <c r="F42" s="11"/>
      <c r="G42" s="11"/>
      <c r="H42" s="11"/>
      <c r="I42" s="11"/>
      <c r="J42" s="11"/>
    </row>
    <row r="43">
      <c r="A43">
        <f>IFERROR(__xludf.DUMMYFUNCTION("""COMPUTED_VALUE"""),70.0)</f>
        <v>70</v>
      </c>
      <c r="B43" s="11" t="str">
        <f>IFERROR(__xludf.DUMMYFUNCTION("""COMPUTED_VALUE"""),"How long the app has had access to my account")</f>
        <v>How long the app has had access to my account</v>
      </c>
      <c r="C43" t="s">
        <v>871</v>
      </c>
      <c r="D43" t="s">
        <v>897</v>
      </c>
      <c r="F43" s="3"/>
      <c r="G43" s="3"/>
      <c r="H43" s="3"/>
      <c r="I43" s="11"/>
      <c r="J43" s="11"/>
    </row>
    <row r="44">
      <c r="A44">
        <f>IFERROR(__xludf.DUMMYFUNCTION("""COMPUTED_VALUE"""),71.0)</f>
        <v>71</v>
      </c>
      <c r="B44" s="11" t="str">
        <f>IFERROR(__xludf.DUMMYFUNCTION("""COMPUTED_VALUE"""),"The location which the app will be operating from")</f>
        <v>The location which the app will be operating from</v>
      </c>
      <c r="C44" t="s">
        <v>871</v>
      </c>
      <c r="D44" t="s">
        <v>898</v>
      </c>
      <c r="E44" s="11"/>
      <c r="F44" s="11"/>
      <c r="G44" s="11"/>
      <c r="H44" s="11"/>
      <c r="I44" s="11"/>
      <c r="J44" s="11"/>
    </row>
    <row r="45">
      <c r="A45">
        <f>IFERROR(__xludf.DUMMYFUNCTION("""COMPUTED_VALUE"""),72.0)</f>
        <v>72</v>
      </c>
      <c r="B45" s="11" t="str">
        <f>IFERROR(__xludf.DUMMYFUNCTION("""COMPUTED_VALUE"""),"It is good as is. It has a sleek design and you can click on each app to expand for more details. I would not add or remove anything.")</f>
        <v>It is good as is. It has a sleek design and you can click on each app to expand for more details. I would not add or remove anything.</v>
      </c>
      <c r="C45" s="3"/>
      <c r="D45" s="3"/>
      <c r="E45" s="11"/>
      <c r="F45" s="11"/>
      <c r="G45" s="11"/>
      <c r="H45" s="11"/>
      <c r="I45" s="11"/>
      <c r="J45" s="11"/>
    </row>
    <row r="46">
      <c r="A46">
        <f>IFERROR(__xludf.DUMMYFUNCTION("""COMPUTED_VALUE"""),73.0)</f>
        <v>73</v>
      </c>
      <c r="B46" s="11" t="str">
        <f>IFERROR(__xludf.DUMMYFUNCTION("""COMPUTED_VALUE"""),"None")</f>
        <v>None</v>
      </c>
      <c r="C46" s="3"/>
      <c r="D46" s="3"/>
      <c r="E46" s="11"/>
      <c r="F46" s="11"/>
      <c r="G46" s="11"/>
      <c r="H46" s="11"/>
      <c r="I46" s="11"/>
      <c r="J46" s="11"/>
    </row>
    <row r="47">
      <c r="A47">
        <f>IFERROR(__xludf.DUMMYFUNCTION("""COMPUTED_VALUE"""),74.0)</f>
        <v>74</v>
      </c>
      <c r="B47" s="11" t="str">
        <f>IFERROR(__xludf.DUMMYFUNCTION("""COMPUTED_VALUE"""),"Nothing that I can think of.")</f>
        <v>Nothing that I can think of.</v>
      </c>
      <c r="C47" s="3"/>
      <c r="D47" s="3"/>
      <c r="E47" s="3"/>
      <c r="F47" s="11"/>
      <c r="G47" s="11"/>
      <c r="H47" s="11"/>
      <c r="I47" s="11"/>
      <c r="J47" s="11"/>
    </row>
    <row r="48">
      <c r="A48">
        <f>IFERROR(__xludf.DUMMYFUNCTION("""COMPUTED_VALUE"""),75.0)</f>
        <v>75</v>
      </c>
      <c r="B48" s="11" t="str">
        <f>IFERROR(__xludf.DUMMYFUNCTION("""COMPUTED_VALUE"""),"none to be honest")</f>
        <v>none to be honest</v>
      </c>
      <c r="C48" s="3"/>
      <c r="D48" s="3"/>
      <c r="E48" s="11"/>
      <c r="F48" s="11"/>
      <c r="G48" s="11"/>
      <c r="H48" s="11"/>
      <c r="I48" s="11"/>
      <c r="J48" s="11"/>
    </row>
    <row r="49">
      <c r="A49">
        <f>IFERROR(__xludf.DUMMYFUNCTION("""COMPUTED_VALUE"""),76.0)</f>
        <v>76</v>
      </c>
      <c r="B49" s="11" t="str">
        <f>IFERROR(__xludf.DUMMYFUNCTION("""COMPUTED_VALUE"""),"NA")</f>
        <v>NA</v>
      </c>
      <c r="C49" s="3"/>
      <c r="D49" s="3"/>
      <c r="E49" s="11"/>
      <c r="F49" s="11"/>
      <c r="G49" s="11"/>
      <c r="H49" s="11"/>
      <c r="I49" s="11"/>
      <c r="J49" s="11"/>
    </row>
    <row r="50">
      <c r="A50">
        <f>IFERROR(__xludf.DUMMYFUNCTION("""COMPUTED_VALUE"""),77.0)</f>
        <v>77</v>
      </c>
      <c r="B50" s="11" t="str">
        <f>IFERROR(__xludf.DUMMYFUNCTION("""COMPUTED_VALUE"""),"Maybe a more detailed page of what the app is using from my account.")</f>
        <v>Maybe a more detailed page of what the app is using from my account.</v>
      </c>
      <c r="C50" s="3"/>
      <c r="D50" s="11"/>
      <c r="E50" s="11"/>
      <c r="F50" s="11"/>
      <c r="G50" s="11"/>
      <c r="H50" s="11"/>
      <c r="I50" s="11"/>
      <c r="J50" s="11"/>
    </row>
    <row r="51">
      <c r="A51">
        <f>IFERROR(__xludf.DUMMYFUNCTION("""COMPUTED_VALUE"""),78.0)</f>
        <v>78</v>
      </c>
      <c r="B51" s="11" t="str">
        <f>IFERROR(__xludf.DUMMYFUNCTION("""COMPUTED_VALUE"""),"None I can think of.")</f>
        <v>None I can think of.</v>
      </c>
      <c r="C51" s="3"/>
      <c r="D51" s="3"/>
      <c r="E51" s="3"/>
      <c r="F51" s="11"/>
      <c r="G51" s="11"/>
      <c r="H51" s="11"/>
      <c r="I51" s="11"/>
      <c r="J51" s="11"/>
    </row>
    <row r="52">
      <c r="A52">
        <f>IFERROR(__xludf.DUMMYFUNCTION("""COMPUTED_VALUE"""),79.0)</f>
        <v>79</v>
      </c>
      <c r="B52" s="11" t="str">
        <f>IFERROR(__xludf.DUMMYFUNCTION("""COMPUTED_VALUE"""),"Easy to remove.")</f>
        <v>Easy to remove.</v>
      </c>
      <c r="C52" s="3"/>
      <c r="D52" s="3"/>
      <c r="E52" s="11"/>
      <c r="F52" s="11"/>
      <c r="G52" s="11"/>
      <c r="H52" s="11"/>
      <c r="I52" s="11"/>
      <c r="J52" s="11"/>
    </row>
    <row r="53">
      <c r="A53">
        <f>IFERROR(__xludf.DUMMYFUNCTION("""COMPUTED_VALUE"""),80.0)</f>
        <v>80</v>
      </c>
      <c r="B53" s="11" t="str">
        <f>IFERROR(__xludf.DUMMYFUNCTION("""COMPUTED_VALUE"""),"None")</f>
        <v>None</v>
      </c>
      <c r="C53" s="3"/>
      <c r="D53" s="3"/>
      <c r="E53" s="3"/>
      <c r="F53" s="3"/>
      <c r="G53" s="11"/>
      <c r="H53" s="11"/>
      <c r="I53" s="11"/>
      <c r="J53" s="11"/>
    </row>
    <row r="54">
      <c r="A54">
        <f>IFERROR(__xludf.DUMMYFUNCTION("""COMPUTED_VALUE"""),81.0)</f>
        <v>81</v>
      </c>
      <c r="B54" s="11" t="str">
        <f>IFERROR(__xludf.DUMMYFUNCTION("""COMPUTED_VALUE"""),"cannot think of any off hand")</f>
        <v>cannot think of any off hand</v>
      </c>
      <c r="C54" s="3"/>
      <c r="D54" s="3"/>
      <c r="E54" s="11"/>
      <c r="F54" s="11"/>
      <c r="G54" s="11"/>
      <c r="H54" s="11"/>
      <c r="I54" s="11"/>
      <c r="J54" s="11"/>
    </row>
    <row r="55">
      <c r="A55">
        <f>IFERROR(__xludf.DUMMYFUNCTION("""COMPUTED_VALUE"""),82.0)</f>
        <v>82</v>
      </c>
      <c r="B55" s="11" t="str">
        <f>IFERROR(__xludf.DUMMYFUNCTION("""COMPUTED_VALUE"""),"I can't think of any features I'd add.")</f>
        <v>I can't think of any features I'd add.</v>
      </c>
      <c r="C55" s="3"/>
      <c r="D55" s="3"/>
      <c r="E55" s="11"/>
      <c r="F55" s="11"/>
      <c r="G55" s="11"/>
      <c r="H55" s="11"/>
      <c r="I55" s="11"/>
      <c r="J55" s="11"/>
    </row>
    <row r="56">
      <c r="A56">
        <f>IFERROR(__xludf.DUMMYFUNCTION("""COMPUTED_VALUE"""),83.0)</f>
        <v>83</v>
      </c>
      <c r="B56" s="11" t="str">
        <f>IFERROR(__xludf.DUMMYFUNCTION("""COMPUTED_VALUE"""),"N/A")</f>
        <v>N/A</v>
      </c>
      <c r="C56" s="3"/>
      <c r="D56" s="11"/>
      <c r="E56" s="11"/>
      <c r="F56" s="11"/>
      <c r="G56" s="11"/>
      <c r="H56" s="11"/>
      <c r="I56" s="11"/>
      <c r="J56" s="11"/>
    </row>
    <row r="57">
      <c r="A57">
        <f>IFERROR(__xludf.DUMMYFUNCTION("""COMPUTED_VALUE"""),84.0)</f>
        <v>84</v>
      </c>
      <c r="B57" s="11" t="str">
        <f>IFERROR(__xludf.DUMMYFUNCTION("""COMPUTED_VALUE"""),"n/a")</f>
        <v>n/a</v>
      </c>
      <c r="C57" s="3"/>
      <c r="D57" s="3"/>
      <c r="E57" s="11"/>
      <c r="F57" s="11"/>
      <c r="G57" s="11"/>
      <c r="H57" s="11"/>
      <c r="I57" s="11"/>
      <c r="J57" s="11"/>
    </row>
    <row r="58">
      <c r="A58">
        <f>IFERROR(__xludf.DUMMYFUNCTION("""COMPUTED_VALUE"""),85.0)</f>
        <v>85</v>
      </c>
      <c r="B58" s="11" t="str">
        <f>IFERROR(__xludf.DUMMYFUNCTION("""COMPUTED_VALUE"""),"Some new features that could be added is a breakdown of what specific data the app currently has that is used or is using, alerts on apps that were added that could be prone to vulnerability, and also the number of times/when I signed in to the Google App"&amp;"s.")</f>
        <v>Some new features that could be added is a breakdown of what specific data the app currently has that is used or is using, alerts on apps that were added that could be prone to vulnerability, and also the number of times/when I signed in to the Google Apps.</v>
      </c>
      <c r="C58" s="3"/>
      <c r="D58" s="3"/>
      <c r="E58" s="3"/>
      <c r="F58" s="11"/>
      <c r="G58" s="11"/>
      <c r="H58" s="11"/>
      <c r="I58" s="11"/>
      <c r="J58" s="11"/>
    </row>
    <row r="59">
      <c r="A59">
        <f>IFERROR(__xludf.DUMMYFUNCTION("""COMPUTED_VALUE"""),86.0)</f>
        <v>86</v>
      </c>
      <c r="B59" s="11" t="str">
        <f>IFERROR(__xludf.DUMMYFUNCTION("""COMPUTED_VALUE"""),"Distinguishing between apps that act alone vs. ones that need to ask for your permission to do things.")</f>
        <v>Distinguishing between apps that act alone vs. ones that need to ask for your permission to do things.</v>
      </c>
      <c r="C59" s="3"/>
      <c r="D59" s="3"/>
      <c r="E59" s="11"/>
      <c r="F59" s="11"/>
      <c r="G59" s="11"/>
      <c r="H59" s="11"/>
      <c r="I59" s="11"/>
      <c r="J59" s="11"/>
    </row>
    <row r="60">
      <c r="A60">
        <f>IFERROR(__xludf.DUMMYFUNCTION("""COMPUTED_VALUE"""),87.0)</f>
        <v>87</v>
      </c>
      <c r="B60" s="11" t="str">
        <f>IFERROR(__xludf.DUMMYFUNCTION("""COMPUTED_VALUE"""),"A way to remove or change what they access to.")</f>
        <v>A way to remove or change what they access to.</v>
      </c>
      <c r="C60" s="3"/>
      <c r="D60" s="3"/>
      <c r="E60" s="3"/>
      <c r="F60" s="3"/>
      <c r="G60" s="3"/>
      <c r="H60" s="11"/>
      <c r="I60" s="11"/>
      <c r="J60" s="11"/>
    </row>
    <row r="61">
      <c r="A61">
        <f>IFERROR(__xludf.DUMMYFUNCTION("""COMPUTED_VALUE"""),88.0)</f>
        <v>88</v>
      </c>
      <c r="B61" s="11" t="str">
        <f>IFERROR(__xludf.DUMMYFUNCTION("""COMPUTED_VALUE"""),"None.")</f>
        <v>None.</v>
      </c>
      <c r="C61" s="19"/>
      <c r="D61" s="11"/>
      <c r="E61" s="11"/>
      <c r="F61" s="11"/>
      <c r="G61" s="11"/>
      <c r="H61" s="11"/>
      <c r="I61" s="11"/>
      <c r="J61" s="11"/>
    </row>
    <row r="62">
      <c r="A62">
        <f>IFERROR(__xludf.DUMMYFUNCTION("""COMPUTED_VALUE"""),89.0)</f>
        <v>89</v>
      </c>
      <c r="B62" s="11" t="str">
        <f>IFERROR(__xludf.DUMMYFUNCTION("""COMPUTED_VALUE"""),"I would like to see the last time one of these permissions was used. (i.e a ""Last used x days ago"" or ""[app] performed [activity that requires permission] x days ago"").")</f>
        <v>I would like to see the last time one of these permissions was used. (i.e a "Last used x days ago" or "[app] performed [activity that requires permission] x days ago").</v>
      </c>
      <c r="C62" s="3"/>
      <c r="D62" s="3"/>
      <c r="E62" s="11"/>
      <c r="F62" s="11"/>
      <c r="G62" s="11"/>
      <c r="H62" s="11"/>
      <c r="I62" s="11"/>
      <c r="J62" s="11"/>
    </row>
    <row r="63">
      <c r="A63">
        <f>IFERROR(__xludf.DUMMYFUNCTION("""COMPUTED_VALUE"""),90.0)</f>
        <v>90</v>
      </c>
      <c r="B63" s="11" t="str">
        <f>IFERROR(__xludf.DUMMYFUNCTION("""COMPUTED_VALUE"""),"don't know")</f>
        <v>don't know</v>
      </c>
      <c r="C63" s="3"/>
      <c r="D63" s="3"/>
      <c r="F63" s="3"/>
      <c r="G63" s="3"/>
      <c r="H63" s="11"/>
      <c r="I63" s="11"/>
      <c r="J63" s="11"/>
    </row>
    <row r="64">
      <c r="A64">
        <f>IFERROR(__xludf.DUMMYFUNCTION("""COMPUTED_VALUE"""),91.0)</f>
        <v>91</v>
      </c>
      <c r="B64" s="11" t="str">
        <f>IFERROR(__xludf.DUMMYFUNCTION("""COMPUTED_VALUE"""),"Probably none")</f>
        <v>Probably none</v>
      </c>
      <c r="C64" s="3"/>
      <c r="D64" s="3"/>
      <c r="E64" s="11"/>
      <c r="F64" s="11"/>
      <c r="G64" s="11"/>
      <c r="H64" s="11"/>
      <c r="I64" s="11"/>
      <c r="J64" s="11"/>
    </row>
    <row r="65">
      <c r="A65">
        <f>IFERROR(__xludf.DUMMYFUNCTION("""COMPUTED_VALUE"""),92.0)</f>
        <v>92</v>
      </c>
      <c r="B65" s="11" t="str">
        <f>IFERROR(__xludf.DUMMYFUNCTION("""COMPUTED_VALUE"""),"I can't really think of any features I would want added. All the information I can think I'd want is there already.")</f>
        <v>I can't really think of any features I would want added. All the information I can think I'd want is there already.</v>
      </c>
      <c r="C65" s="3"/>
      <c r="D65" s="3"/>
      <c r="E65" s="3"/>
      <c r="F65" s="3"/>
      <c r="G65" s="19"/>
      <c r="H65" s="11"/>
      <c r="I65" s="11"/>
      <c r="J65" s="11"/>
    </row>
    <row r="66">
      <c r="A66">
        <f>IFERROR(__xludf.DUMMYFUNCTION("""COMPUTED_VALUE"""),93.0)</f>
        <v>93</v>
      </c>
      <c r="B66" s="11" t="str">
        <f>IFERROR(__xludf.DUMMYFUNCTION("""COMPUTED_VALUE"""),"I don't know.")</f>
        <v>I don't know.</v>
      </c>
      <c r="C66" s="3"/>
      <c r="D66" s="3"/>
      <c r="F66" s="11"/>
      <c r="G66" s="11"/>
      <c r="H66" s="11"/>
      <c r="I66" s="11"/>
      <c r="J66" s="11"/>
    </row>
    <row r="67">
      <c r="A67">
        <f>IFERROR(__xludf.DUMMYFUNCTION("""COMPUTED_VALUE"""),94.0)</f>
        <v>94</v>
      </c>
      <c r="B67" s="11" t="str">
        <f>IFERROR(__xludf.DUMMYFUNCTION("""COMPUTED_VALUE"""),"An option to have even more detail of what was exactly being accessed.")</f>
        <v>An option to have even more detail of what was exactly being accessed.</v>
      </c>
      <c r="C67" s="3"/>
      <c r="D67" s="3"/>
      <c r="E67" s="19"/>
      <c r="F67" s="19"/>
      <c r="G67" s="3"/>
      <c r="H67" s="3"/>
      <c r="J67" s="11"/>
    </row>
    <row r="68">
      <c r="A68">
        <f>IFERROR(__xludf.DUMMYFUNCTION("""COMPUTED_VALUE"""),95.0)</f>
        <v>95</v>
      </c>
      <c r="B68" s="11" t="str">
        <f>IFERROR(__xludf.DUMMYFUNCTION("""COMPUTED_VALUE"""),"none")</f>
        <v>none</v>
      </c>
      <c r="C68" s="3"/>
      <c r="D68" s="3"/>
      <c r="E68" s="11"/>
      <c r="F68" s="11"/>
      <c r="G68" s="11"/>
      <c r="J68" s="11"/>
    </row>
    <row r="69">
      <c r="A69">
        <f>IFERROR(__xludf.DUMMYFUNCTION("""COMPUTED_VALUE"""),96.0)</f>
        <v>96</v>
      </c>
      <c r="B69" s="11" t="str">
        <f>IFERROR(__xludf.DUMMYFUNCTION("""COMPUTED_VALUE"""),"not sure at the moment")</f>
        <v>not sure at the moment</v>
      </c>
      <c r="C69" s="3"/>
      <c r="D69" s="3"/>
      <c r="E69" s="3"/>
      <c r="F69" s="3"/>
      <c r="G69" s="3"/>
      <c r="J69" s="11"/>
    </row>
    <row r="70">
      <c r="A70">
        <f>IFERROR(__xludf.DUMMYFUNCTION("""COMPUTED_VALUE"""),97.0)</f>
        <v>97</v>
      </c>
      <c r="B70" s="11" t="str">
        <f>IFERROR(__xludf.DUMMYFUNCTION("""COMPUTED_VALUE"""),"a listing of when access was given and when it was last used")</f>
        <v>a listing of when access was given and when it was last used</v>
      </c>
      <c r="C70" s="3"/>
      <c r="D70" s="3"/>
      <c r="E70" s="3"/>
      <c r="F70" s="3"/>
      <c r="G70" s="3"/>
      <c r="H70" s="11"/>
      <c r="I70" s="11"/>
      <c r="J70" s="11"/>
    </row>
    <row r="71">
      <c r="A71">
        <f>IFERROR(__xludf.DUMMYFUNCTION("""COMPUTED_VALUE"""),98.0)</f>
        <v>98</v>
      </c>
      <c r="B71" s="11" t="str">
        <f>IFERROR(__xludf.DUMMYFUNCTION("""COMPUTED_VALUE"""),"None")</f>
        <v>None</v>
      </c>
      <c r="C71" s="3"/>
      <c r="D71" s="3"/>
      <c r="E71" s="3"/>
      <c r="F71" s="3"/>
      <c r="G71" s="3"/>
      <c r="H71" s="3"/>
      <c r="I71" s="3"/>
      <c r="J71" s="11"/>
    </row>
    <row r="72">
      <c r="A72">
        <f>IFERROR(__xludf.DUMMYFUNCTION("""COMPUTED_VALUE"""),99.0)</f>
        <v>99</v>
      </c>
      <c r="B72" s="11" t="str">
        <f>IFERROR(__xludf.DUMMYFUNCTION("""COMPUTED_VALUE"""),"Being able to remove permissions from the list or to have more detail about what each permission needs, like to access pictures--why?")</f>
        <v>Being able to remove permissions from the list or to have more detail about what each permission needs, like to access pictures--why?</v>
      </c>
      <c r="C72" s="3"/>
      <c r="D72" s="3"/>
      <c r="E72" s="11"/>
      <c r="F72" s="11"/>
      <c r="G72" s="11"/>
      <c r="H72" s="11"/>
      <c r="I72" s="11"/>
      <c r="J72" s="11"/>
    </row>
    <row r="73">
      <c r="A73">
        <f>IFERROR(__xludf.DUMMYFUNCTION("""COMPUTED_VALUE"""),100.0)</f>
        <v>100</v>
      </c>
      <c r="B73" s="11" t="str">
        <f>IFERROR(__xludf.DUMMYFUNCTION("""COMPUTED_VALUE"""),"I don't look at the page enough to have any meaningful suggestions")</f>
        <v>I don't look at the page enough to have any meaningful suggestions</v>
      </c>
      <c r="C73" s="3"/>
      <c r="D73" s="3"/>
      <c r="E73" s="3"/>
      <c r="F73" s="3"/>
      <c r="G73" s="3"/>
      <c r="H73" s="3"/>
      <c r="I73" s="11"/>
      <c r="J73" s="11"/>
    </row>
    <row r="74">
      <c r="A74">
        <f>IFERROR(__xludf.DUMMYFUNCTION("""COMPUTED_VALUE"""),101.0)</f>
        <v>101</v>
      </c>
      <c r="B74" s="11" t="str">
        <f>IFERROR(__xludf.DUMMYFUNCTION("""COMPUTED_VALUE"""),"Can't really think of any at the moment.")</f>
        <v>Can't really think of any at the moment.</v>
      </c>
      <c r="C74" s="3"/>
      <c r="D74" s="3"/>
      <c r="E74" s="3"/>
      <c r="F74" s="11"/>
      <c r="G74" s="11"/>
      <c r="H74" s="11"/>
      <c r="I74" s="11"/>
      <c r="J74" s="11"/>
    </row>
    <row r="75">
      <c r="A75">
        <f>IFERROR(__xludf.DUMMYFUNCTION("""COMPUTED_VALUE"""),102.0)</f>
        <v>102</v>
      </c>
      <c r="B75" s="11" t="str">
        <f>IFERROR(__xludf.DUMMYFUNCTION("""COMPUTED_VALUE"""),"Push notifications if something changes.")</f>
        <v>Push notifications if something changes.</v>
      </c>
      <c r="C75" s="3"/>
      <c r="D75" s="3"/>
      <c r="E75" s="3"/>
      <c r="F75" s="11"/>
      <c r="G75" s="11"/>
      <c r="H75" s="11"/>
      <c r="I75" s="11"/>
      <c r="J75" s="11"/>
    </row>
    <row r="76">
      <c r="A76">
        <f>IFERROR(__xludf.DUMMYFUNCTION("""COMPUTED_VALUE"""),103.0)</f>
        <v>103</v>
      </c>
      <c r="B76" s="11" t="str">
        <f>IFERROR(__xludf.DUMMYFUNCTION("""COMPUTED_VALUE"""),"Possibly highlight certain Apps or services that are known to cause issues.")</f>
        <v>Possibly highlight certain Apps or services that are known to cause issues.</v>
      </c>
      <c r="C76" s="3"/>
      <c r="D76" s="3"/>
      <c r="E76" s="3"/>
      <c r="F76" s="11"/>
      <c r="G76" s="11"/>
      <c r="H76" s="11"/>
      <c r="I76" s="11"/>
      <c r="J76" s="11"/>
    </row>
    <row r="77">
      <c r="A77">
        <f>IFERROR(__xludf.DUMMYFUNCTION("""COMPUTED_VALUE"""),104.0)</f>
        <v>104</v>
      </c>
      <c r="B77" s="11" t="str">
        <f>IFERROR(__xludf.DUMMYFUNCTION("""COMPUTED_VALUE"""),"N/A.")</f>
        <v>N/A.</v>
      </c>
      <c r="C77" s="3"/>
      <c r="D77" s="3"/>
      <c r="E77" s="3"/>
      <c r="F77" s="11"/>
      <c r="G77" s="11"/>
      <c r="H77" s="11"/>
      <c r="I77" s="11"/>
      <c r="J77" s="11"/>
    </row>
    <row r="78">
      <c r="A78">
        <f>IFERROR(__xludf.DUMMYFUNCTION("""COMPUTED_VALUE"""),105.0)</f>
        <v>105</v>
      </c>
      <c r="B78" s="11" t="str">
        <f>IFERROR(__xludf.DUMMYFUNCTION("""COMPUTED_VALUE"""),"Edit button to change preferences directly")</f>
        <v>Edit button to change preferences directly</v>
      </c>
      <c r="C78" s="3"/>
      <c r="D78" s="3"/>
      <c r="E78" s="11"/>
      <c r="F78" s="11"/>
      <c r="G78" s="11"/>
      <c r="H78" s="11"/>
      <c r="I78" s="11"/>
      <c r="J78" s="11"/>
    </row>
    <row r="79">
      <c r="A79">
        <f>IFERROR(__xludf.DUMMYFUNCTION("""COMPUTED_VALUE"""),106.0)</f>
        <v>106</v>
      </c>
      <c r="B79" s="11" t="str">
        <f>IFERROR(__xludf.DUMMYFUNCTION("""COMPUTED_VALUE"""),"none")</f>
        <v>none</v>
      </c>
      <c r="C79" s="3"/>
      <c r="D79" s="3"/>
      <c r="E79" s="11"/>
      <c r="F79" s="11"/>
      <c r="G79" s="11"/>
      <c r="H79" s="11"/>
      <c r="I79" s="11"/>
      <c r="J79" s="11"/>
    </row>
    <row r="80">
      <c r="A80">
        <f>IFERROR(__xludf.DUMMYFUNCTION("""COMPUTED_VALUE"""),107.0)</f>
        <v>107</v>
      </c>
      <c r="B80" s="11" t="str">
        <f>IFERROR(__xludf.DUMMYFUNCTION("""COMPUTED_VALUE"""),"I can't think of any right now. Maybe how they got access, more specific than ""you gave it to them"". A couple of these I know I used their website but don't remember giving them access to anything.")</f>
        <v>I can't think of any right now. Maybe how they got access, more specific than "you gave it to them". A couple of these I know I used their website but don't remember giving them access to anything.</v>
      </c>
      <c r="C80" s="3"/>
      <c r="D80" s="3"/>
      <c r="E80" s="3"/>
      <c r="F80" s="11"/>
      <c r="G80" s="11"/>
      <c r="H80" s="11"/>
      <c r="I80" s="11"/>
      <c r="J80" s="11"/>
    </row>
    <row r="81">
      <c r="A81">
        <f>IFERROR(__xludf.DUMMYFUNCTION("""COMPUTED_VALUE"""),108.0)</f>
        <v>108</v>
      </c>
      <c r="B81" s="11" t="str">
        <f>IFERROR(__xludf.DUMMYFUNCTION("""COMPUTED_VALUE"""),"I don't see myself ever visiting the page again, so I think it's fine as is.")</f>
        <v>I don't see myself ever visiting the page again, so I think it's fine as is.</v>
      </c>
      <c r="C81" s="3"/>
      <c r="D81" s="3"/>
      <c r="E81" s="3"/>
      <c r="F81" s="3"/>
      <c r="G81" s="11"/>
      <c r="H81" s="11"/>
      <c r="I81" s="11"/>
      <c r="J81" s="11"/>
    </row>
    <row r="82">
      <c r="A82">
        <f>IFERROR(__xludf.DUMMYFUNCTION("""COMPUTED_VALUE"""),109.0)</f>
        <v>109</v>
      </c>
      <c r="B82" s="11" t="str">
        <f>IFERROR(__xludf.DUMMYFUNCTION("""COMPUTED_VALUE"""),"Ways to alter what permissions have been given.")</f>
        <v>Ways to alter what permissions have been given.</v>
      </c>
      <c r="C82" s="3"/>
      <c r="D82" s="3"/>
      <c r="E82" s="11"/>
      <c r="F82" s="11"/>
      <c r="G82" s="11"/>
      <c r="H82" s="11"/>
      <c r="I82" s="11"/>
      <c r="J82" s="11"/>
    </row>
    <row r="83">
      <c r="A83">
        <f>IFERROR(__xludf.DUMMYFUNCTION("""COMPUTED_VALUE"""),110.0)</f>
        <v>110</v>
      </c>
      <c r="B83" s="11" t="str">
        <f>IFERROR(__xludf.DUMMYFUNCTION("""COMPUTED_VALUE"""),"How often my data was accessed")</f>
        <v>How often my data was accessed</v>
      </c>
      <c r="C83" s="3"/>
      <c r="D83" s="3"/>
      <c r="E83" s="3"/>
      <c r="F83" s="3"/>
      <c r="G83" s="11"/>
      <c r="H83" s="11"/>
      <c r="I83" s="11"/>
      <c r="J83" s="11"/>
    </row>
    <row r="84">
      <c r="A84">
        <f>IFERROR(__xludf.DUMMYFUNCTION("""COMPUTED_VALUE"""),112.0)</f>
        <v>112</v>
      </c>
      <c r="B84" s="11" t="str">
        <f>IFERROR(__xludf.DUMMYFUNCTION("""COMPUTED_VALUE"""),"Date added, last used")</f>
        <v>Date added, last used</v>
      </c>
      <c r="C84" s="3"/>
      <c r="D84" s="3"/>
      <c r="E84" s="3"/>
      <c r="F84" s="3"/>
      <c r="G84" s="3"/>
      <c r="H84" s="11"/>
      <c r="I84" s="11"/>
      <c r="J84" s="11"/>
    </row>
    <row r="85">
      <c r="A85">
        <f>IFERROR(__xludf.DUMMYFUNCTION("""COMPUTED_VALUE"""),113.0)</f>
        <v>113</v>
      </c>
      <c r="B85" s="11" t="str">
        <f>IFERROR(__xludf.DUMMYFUNCTION("""COMPUTED_VALUE"""),"when permission was given")</f>
        <v>when permission was given</v>
      </c>
      <c r="C85" s="3"/>
      <c r="D85" s="3"/>
      <c r="E85" s="3"/>
      <c r="F85" s="11"/>
      <c r="G85" s="11"/>
      <c r="H85" s="11"/>
      <c r="I85" s="11"/>
      <c r="J85" s="11"/>
    </row>
    <row r="86">
      <c r="A86">
        <f>IFERROR(__xludf.DUMMYFUNCTION("""COMPUTED_VALUE"""),114.0)</f>
        <v>114</v>
      </c>
      <c r="B86" s="11" t="str">
        <f>IFERROR(__xludf.DUMMYFUNCTION("""COMPUTED_VALUE"""),"when it was last used or accessed")</f>
        <v>when it was last used or accessed</v>
      </c>
      <c r="C86" s="3"/>
      <c r="D86" s="3"/>
      <c r="E86" s="3"/>
      <c r="F86" s="3"/>
      <c r="G86" s="3"/>
      <c r="H86" s="11"/>
      <c r="I86" s="11"/>
      <c r="J86" s="11"/>
    </row>
    <row r="87">
      <c r="A87">
        <f>IFERROR(__xludf.DUMMYFUNCTION("""COMPUTED_VALUE"""),115.0)</f>
        <v>115</v>
      </c>
      <c r="B87" s="11" t="str">
        <f>IFERROR(__xludf.DUMMYFUNCTION("""COMPUTED_VALUE"""),"be able to set a reviewal schedule")</f>
        <v>be able to set a reviewal schedule</v>
      </c>
      <c r="C87" s="3"/>
      <c r="D87" s="11"/>
      <c r="E87" s="11"/>
      <c r="F87" s="11"/>
      <c r="G87" s="11"/>
      <c r="H87" s="11"/>
      <c r="I87" s="11"/>
      <c r="J87" s="11"/>
    </row>
    <row r="88">
      <c r="A88">
        <f>IFERROR(__xludf.DUMMYFUNCTION("""COMPUTED_VALUE"""),116.0)</f>
        <v>116</v>
      </c>
      <c r="B88" s="11" t="str">
        <f>IFERROR(__xludf.DUMMYFUNCTION("""COMPUTED_VALUE"""),"N/A")</f>
        <v>N/A</v>
      </c>
      <c r="C88" s="3"/>
      <c r="D88" s="3"/>
      <c r="E88" s="11"/>
      <c r="F88" s="11"/>
      <c r="G88" s="11"/>
      <c r="H88" s="11"/>
      <c r="I88" s="11"/>
      <c r="J88" s="11"/>
    </row>
    <row r="89">
      <c r="A89">
        <f>IFERROR(__xludf.DUMMYFUNCTION("""COMPUTED_VALUE"""),117.0)</f>
        <v>117</v>
      </c>
      <c r="B89" s="11" t="str">
        <f>IFERROR(__xludf.DUMMYFUNCTION("""COMPUTED_VALUE"""),"Maybe the date they were originally added.")</f>
        <v>Maybe the date they were originally added.</v>
      </c>
      <c r="C89" s="3"/>
      <c r="D89" s="3"/>
      <c r="E89" s="3"/>
      <c r="F89" s="3"/>
      <c r="G89" s="11"/>
      <c r="H89" s="11"/>
      <c r="I89" s="11"/>
      <c r="J89" s="11"/>
    </row>
    <row r="90">
      <c r="A90">
        <f>IFERROR(__xludf.DUMMYFUNCTION("""COMPUTED_VALUE"""),118.0)</f>
        <v>118</v>
      </c>
      <c r="B90" s="11"/>
      <c r="C90" s="3"/>
      <c r="D90" s="3"/>
      <c r="E90" s="11"/>
      <c r="F90" s="11"/>
      <c r="G90" s="11"/>
      <c r="H90" s="11"/>
      <c r="I90" s="11"/>
      <c r="J90" s="11"/>
    </row>
    <row r="91">
      <c r="A91">
        <f>IFERROR(__xludf.DUMMYFUNCTION("""COMPUTED_VALUE"""),120.0)</f>
        <v>120</v>
      </c>
      <c r="B91" s="11" t="str">
        <f>IFERROR(__xludf.DUMMYFUNCTION("""COMPUTED_VALUE"""),"How and if and when the app used each permission")</f>
        <v>How and if and when the app used each permission</v>
      </c>
      <c r="C91" s="3"/>
      <c r="D91" s="3"/>
      <c r="E91" s="3"/>
      <c r="F91" s="11"/>
      <c r="G91" s="11"/>
      <c r="H91" s="11"/>
      <c r="I91" s="11"/>
      <c r="J91" s="11"/>
    </row>
    <row r="92">
      <c r="A92">
        <f>IFERROR(__xludf.DUMMYFUNCTION("""COMPUTED_VALUE"""),121.0)</f>
        <v>121</v>
      </c>
      <c r="B92" s="11" t="str">
        <f>IFERROR(__xludf.DUMMYFUNCTION("""COMPUTED_VALUE"""),"The ability to revoke permissions/unlink account with one click or uninstall apps.")</f>
        <v>The ability to revoke permissions/unlink account with one click or uninstall apps.</v>
      </c>
      <c r="C92" s="3"/>
      <c r="D92" s="3"/>
      <c r="E92" s="3"/>
      <c r="F92" s="11"/>
      <c r="G92" s="11"/>
      <c r="H92" s="11"/>
      <c r="I92" s="11"/>
      <c r="J92" s="11"/>
    </row>
    <row r="93">
      <c r="A93">
        <f>IFERROR(__xludf.DUMMYFUNCTION("""COMPUTED_VALUE"""),122.0)</f>
        <v>122</v>
      </c>
      <c r="B93" s="11" t="str">
        <f>IFERROR(__xludf.DUMMYFUNCTION("""COMPUTED_VALUE"""),"info on what these permissions mean, even if its a brief description with examples")</f>
        <v>info on what these permissions mean, even if its a brief description with examples</v>
      </c>
      <c r="C93" s="3"/>
      <c r="D93" s="3"/>
      <c r="E93" s="11"/>
      <c r="F93" s="11"/>
      <c r="G93" s="11"/>
      <c r="H93" s="11"/>
      <c r="I93" s="11"/>
      <c r="J93" s="11"/>
    </row>
    <row r="94">
      <c r="A94">
        <f>IFERROR(__xludf.DUMMYFUNCTION("""COMPUTED_VALUE"""),123.0)</f>
        <v>123</v>
      </c>
      <c r="B94" s="11" t="str">
        <f>IFERROR(__xludf.DUMMYFUNCTION("""COMPUTED_VALUE"""),"Sort them by permissions granted")</f>
        <v>Sort them by permissions granted</v>
      </c>
      <c r="C94" s="3"/>
      <c r="D94" s="3"/>
      <c r="E94" s="11"/>
      <c r="F94" s="11"/>
      <c r="G94" s="11"/>
      <c r="H94" s="11"/>
      <c r="I94" s="11"/>
      <c r="J94" s="11"/>
    </row>
    <row r="95">
      <c r="A95">
        <f>IFERROR(__xludf.DUMMYFUNCTION("""COMPUTED_VALUE"""),124.0)</f>
        <v>124</v>
      </c>
      <c r="B95" s="11" t="str">
        <f>IFERROR(__xludf.DUMMYFUNCTION("""COMPUTED_VALUE"""),"Possibly the ability to add a reminder. Like, ""Remind me 6 months"" to check the list of apps with access to my account.")</f>
        <v>Possibly the ability to add a reminder. Like, "Remind me 6 months" to check the list of apps with access to my account.</v>
      </c>
      <c r="C95" s="3"/>
      <c r="D95" s="3"/>
      <c r="E95" s="11"/>
      <c r="F95" s="11"/>
      <c r="G95" s="11"/>
      <c r="H95" s="11"/>
      <c r="I95" s="11"/>
      <c r="J95" s="11"/>
    </row>
    <row r="96">
      <c r="A96">
        <f>IFERROR(__xludf.DUMMYFUNCTION("""COMPUTED_VALUE"""),125.0)</f>
        <v>125</v>
      </c>
      <c r="B96" s="11" t="str">
        <f>IFERROR(__xludf.DUMMYFUNCTION("""COMPUTED_VALUE"""),"Have them listed in order of date added")</f>
        <v>Have them listed in order of date added</v>
      </c>
      <c r="C96" s="3"/>
      <c r="D96" s="3"/>
      <c r="E96" s="3"/>
      <c r="F96" s="11"/>
      <c r="G96" s="11"/>
      <c r="H96" s="11"/>
      <c r="I96" s="11"/>
      <c r="J96" s="11"/>
    </row>
    <row r="97">
      <c r="A97">
        <f>IFERROR(__xludf.DUMMYFUNCTION("""COMPUTED_VALUE"""),126.0)</f>
        <v>126</v>
      </c>
      <c r="B97" s="11" t="str">
        <f>IFERROR(__xludf.DUMMYFUNCTION("""COMPUTED_VALUE"""),"I would like access to terms and conditions and an opt out option.")</f>
        <v>I would like access to terms and conditions and an opt out option.</v>
      </c>
      <c r="C97" s="3"/>
      <c r="D97" s="3"/>
      <c r="E97" s="11"/>
      <c r="F97" s="11"/>
      <c r="G97" s="11"/>
      <c r="H97" s="11"/>
      <c r="I97" s="11"/>
      <c r="J97" s="11"/>
    </row>
    <row r="98">
      <c r="A98">
        <f>IFERROR(__xludf.DUMMYFUNCTION("""COMPUTED_VALUE"""),127.0)</f>
        <v>127</v>
      </c>
      <c r="B98" s="11" t="str">
        <f>IFERROR(__xludf.DUMMYFUNCTION("""COMPUTED_VALUE"""),"Who owns the app as in what company.")</f>
        <v>Who owns the app as in what company.</v>
      </c>
      <c r="C98" s="3"/>
      <c r="D98" s="3"/>
      <c r="E98" s="3"/>
      <c r="F98" s="3"/>
      <c r="G98" s="11"/>
      <c r="H98" s="11"/>
      <c r="I98" s="11"/>
      <c r="J98" s="11"/>
    </row>
    <row r="99">
      <c r="A99">
        <f>IFERROR(__xludf.DUMMYFUNCTION("""COMPUTED_VALUE"""),128.0)</f>
        <v>128</v>
      </c>
      <c r="B99" s="11" t="str">
        <f>IFERROR(__xludf.DUMMYFUNCTION("""COMPUTED_VALUE"""),"None")</f>
        <v>None</v>
      </c>
      <c r="C99" s="3"/>
      <c r="D99" s="11"/>
      <c r="E99" s="11"/>
      <c r="F99" s="11"/>
      <c r="G99" s="11"/>
      <c r="H99" s="11"/>
      <c r="I99" s="11"/>
      <c r="J99" s="11"/>
    </row>
    <row r="100">
      <c r="A100">
        <f>IFERROR(__xludf.DUMMYFUNCTION("""COMPUTED_VALUE"""),129.0)</f>
        <v>129</v>
      </c>
      <c r="B100" s="11" t="str">
        <f>IFERROR(__xludf.DUMMYFUNCTION("""COMPUTED_VALUE"""),"A ""quick button"" on each one that would allow me to remove permissions without having to select and look at each App.")</f>
        <v>A "quick button" on each one that would allow me to remove permissions without having to select and look at each App.</v>
      </c>
      <c r="C100" s="3"/>
      <c r="D100" s="11"/>
      <c r="E100" s="11"/>
      <c r="F100" s="11"/>
      <c r="G100" s="11"/>
      <c r="H100" s="11"/>
      <c r="I100" s="11"/>
      <c r="J100" s="11"/>
    </row>
    <row r="101">
      <c r="A101">
        <f>IFERROR(__xludf.DUMMYFUNCTION("""COMPUTED_VALUE"""),130.0)</f>
        <v>130</v>
      </c>
      <c r="B101" s="11" t="str">
        <f>IFERROR(__xludf.DUMMYFUNCTION("""COMPUTED_VALUE"""),"I would have a feature to temporarily grant access.")</f>
        <v>I would have a feature to temporarily grant access.</v>
      </c>
      <c r="C101" s="3"/>
      <c r="D101" s="3"/>
      <c r="E101" s="3"/>
      <c r="F101" s="11"/>
      <c r="G101" s="11"/>
      <c r="H101" s="11"/>
      <c r="I101" s="11"/>
      <c r="J101" s="11"/>
    </row>
    <row r="102">
      <c r="A102">
        <f>IFERROR(__xludf.DUMMYFUNCTION("""COMPUTED_VALUE"""),131.0)</f>
        <v>131</v>
      </c>
      <c r="B102" s="11" t="str">
        <f>IFERROR(__xludf.DUMMYFUNCTION("""COMPUTED_VALUE"""),"I would like my Google nest to be able to remember more things about me. So my address, phone, birthdays ect.")</f>
        <v>I would like my Google nest to be able to remember more things about me. So my address, phone, birthdays ect.</v>
      </c>
      <c r="C102" s="3"/>
      <c r="D102" s="3"/>
      <c r="E102" s="3"/>
      <c r="F102" s="11"/>
      <c r="G102" s="11"/>
      <c r="H102" s="11"/>
      <c r="I102" s="11"/>
      <c r="J102" s="11"/>
    </row>
    <row r="103">
      <c r="A103">
        <f>IFERROR(__xludf.DUMMYFUNCTION("""COMPUTED_VALUE"""),132.0)</f>
        <v>132</v>
      </c>
      <c r="B103" s="11" t="str">
        <f>IFERROR(__xludf.DUMMYFUNCTION("""COMPUTED_VALUE"""),"maybe a color code if they know of issues with certain apps, make them yellow or red with a blurb about issues that are known")</f>
        <v>maybe a color code if they know of issues with certain apps, make them yellow or red with a blurb about issues that are known</v>
      </c>
      <c r="C103" s="3"/>
      <c r="D103" s="3"/>
      <c r="E103" s="11"/>
      <c r="F103" s="11"/>
      <c r="G103" s="11"/>
      <c r="H103" s="11"/>
      <c r="I103" s="11"/>
      <c r="J103" s="11"/>
    </row>
    <row r="104">
      <c r="A104">
        <f>IFERROR(__xludf.DUMMYFUNCTION("""COMPUTED_VALUE"""),133.0)</f>
        <v>133</v>
      </c>
      <c r="B104" s="11" t="str">
        <f>IFERROR(__xludf.DUMMYFUNCTION("""COMPUTED_VALUE"""),"Not sure. I don' tknow enough about it currently.")</f>
        <v>Not sure. I don' tknow enough about it currently.</v>
      </c>
      <c r="C104" s="3"/>
      <c r="D104" s="3"/>
      <c r="E104" s="11"/>
      <c r="F104" s="11"/>
      <c r="G104" s="11"/>
      <c r="H104" s="11"/>
      <c r="I104" s="11"/>
      <c r="J104" s="11"/>
    </row>
    <row r="105">
      <c r="A105">
        <f>IFERROR(__xludf.DUMMYFUNCTION("""COMPUTED_VALUE"""),134.0)</f>
        <v>134</v>
      </c>
      <c r="B105" s="11" t="str">
        <f>IFERROR(__xludf.DUMMYFUNCTION("""COMPUTED_VALUE"""),"Can't think of anything")</f>
        <v>Can't think of anything</v>
      </c>
      <c r="C105" s="3"/>
      <c r="D105" s="3"/>
      <c r="E105" s="3"/>
      <c r="F105" s="3"/>
      <c r="G105" s="11"/>
      <c r="H105" s="11"/>
      <c r="I105" s="11"/>
      <c r="J105" s="11"/>
    </row>
    <row r="106">
      <c r="A106">
        <f>IFERROR(__xludf.DUMMYFUNCTION("""COMPUTED_VALUE"""),135.0)</f>
        <v>135</v>
      </c>
      <c r="B106" s="11" t="str">
        <f>IFERROR(__xludf.DUMMYFUNCTION("""COMPUTED_VALUE"""),"I would like to add an easy way to set limits on how long an app had access, and perhaps a note that shows the last time you logged into/used the service.")</f>
        <v>I would like to add an easy way to set limits on how long an app had access, and perhaps a note that shows the last time you logged into/used the service.</v>
      </c>
      <c r="C106" s="3"/>
      <c r="D106" s="3"/>
      <c r="E106" s="11"/>
      <c r="F106" s="11"/>
      <c r="G106" s="11"/>
      <c r="H106" s="11"/>
      <c r="I106" s="11"/>
      <c r="J106" s="11"/>
    </row>
    <row r="107">
      <c r="A107">
        <f>IFERROR(__xludf.DUMMYFUNCTION("""COMPUTED_VALUE"""),136.0)</f>
        <v>136</v>
      </c>
      <c r="B107" s="11" t="str">
        <f>IFERROR(__xludf.DUMMYFUNCTION("""COMPUTED_VALUE"""),"N/A")</f>
        <v>N/A</v>
      </c>
      <c r="C107" s="3"/>
      <c r="D107" s="3"/>
      <c r="E107" s="3"/>
      <c r="F107" s="3"/>
      <c r="G107" s="11"/>
      <c r="H107" s="11"/>
      <c r="I107" s="11"/>
      <c r="J107" s="11"/>
    </row>
    <row r="108">
      <c r="A108">
        <f>IFERROR(__xludf.DUMMYFUNCTION("""COMPUTED_VALUE"""),137.0)</f>
        <v>137</v>
      </c>
      <c r="B108" s="11" t="str">
        <f>IFERROR(__xludf.DUMMYFUNCTION("""COMPUTED_VALUE"""),"transparency what the apps need access for")</f>
        <v>transparency what the apps need access for</v>
      </c>
      <c r="C108" s="3"/>
      <c r="D108" s="3"/>
      <c r="E108" s="3"/>
      <c r="F108" s="11"/>
      <c r="G108" s="11"/>
      <c r="H108" s="11"/>
      <c r="I108" s="11"/>
      <c r="J108" s="11"/>
    </row>
    <row r="109">
      <c r="A109">
        <f>IFERROR(__xludf.DUMMYFUNCTION("""COMPUTED_VALUE"""),138.0)</f>
        <v>138</v>
      </c>
      <c r="B109" s="11" t="str">
        <f>IFERROR(__xludf.DUMMYFUNCTION("""COMPUTED_VALUE"""),"it is good the way it is now")</f>
        <v>it is good the way it is now</v>
      </c>
      <c r="C109" s="3"/>
      <c r="D109" s="3"/>
      <c r="E109" s="11"/>
      <c r="F109" s="11"/>
      <c r="G109" s="11"/>
      <c r="H109" s="11"/>
      <c r="I109" s="11"/>
      <c r="J109" s="11"/>
    </row>
    <row r="110">
      <c r="A110">
        <f>IFERROR(__xludf.DUMMYFUNCTION("""COMPUTED_VALUE"""),139.0)</f>
        <v>139</v>
      </c>
      <c r="B110" s="11" t="str">
        <f>IFERROR(__xludf.DUMMYFUNCTION("""COMPUTED_VALUE"""),"More security details")</f>
        <v>More security details</v>
      </c>
      <c r="C110" s="3"/>
      <c r="D110" s="3"/>
      <c r="E110" s="3"/>
      <c r="F110" s="11"/>
      <c r="G110" s="11"/>
      <c r="H110" s="11"/>
      <c r="I110" s="11"/>
      <c r="J110" s="11"/>
    </row>
    <row r="111">
      <c r="A111">
        <f>IFERROR(__xludf.DUMMYFUNCTION("""COMPUTED_VALUE"""),140.0)</f>
        <v>140</v>
      </c>
      <c r="B111" s="11" t="str">
        <f>IFERROR(__xludf.DUMMYFUNCTION("""COMPUTED_VALUE"""),"It would be nice to be reminded to check this say every 3 months or 6 months. Kind of like the password check-up.")</f>
        <v>It would be nice to be reminded to check this say every 3 months or 6 months. Kind of like the password check-up.</v>
      </c>
      <c r="C111" s="19"/>
      <c r="D111" s="3"/>
      <c r="E111" s="3"/>
      <c r="F111" s="3"/>
      <c r="G111" s="11"/>
      <c r="H111" s="11"/>
      <c r="I111" s="11"/>
      <c r="J111" s="11"/>
    </row>
    <row r="112">
      <c r="A112">
        <f>IFERROR(__xludf.DUMMYFUNCTION("""COMPUTED_VALUE"""),141.0)</f>
        <v>141</v>
      </c>
      <c r="B112" s="11" t="str">
        <f>IFERROR(__xludf.DUMMYFUNCTION("""COMPUTED_VALUE"""),"none")</f>
        <v>none</v>
      </c>
      <c r="C112" s="3"/>
      <c r="D112" s="3"/>
      <c r="E112" s="3"/>
      <c r="F112" s="11"/>
      <c r="G112" s="11"/>
      <c r="H112" s="11"/>
      <c r="I112" s="11"/>
      <c r="J112" s="11"/>
    </row>
    <row r="113">
      <c r="A113">
        <f>IFERROR(__xludf.DUMMYFUNCTION("""COMPUTED_VALUE"""),143.0)</f>
        <v>143</v>
      </c>
      <c r="B113" s="11" t="str">
        <f>IFERROR(__xludf.DUMMYFUNCTION("""COMPUTED_VALUE"""),"None")</f>
        <v>None</v>
      </c>
      <c r="C113" s="3"/>
      <c r="D113" s="3"/>
      <c r="E113" s="11"/>
      <c r="F113" s="11"/>
      <c r="G113" s="11"/>
      <c r="H113" s="11"/>
      <c r="I113" s="11"/>
      <c r="J113" s="11"/>
    </row>
    <row r="114">
      <c r="A114">
        <f>IFERROR(__xludf.DUMMYFUNCTION("""COMPUTED_VALUE"""),144.0)</f>
        <v>144</v>
      </c>
      <c r="B114" s="11" t="str">
        <f>IFERROR(__xludf.DUMMYFUNCTION("""COMPUTED_VALUE"""),"which app accesses your account the most, suggestions on deletions like how they suggest which emails to unsubscribe from in gmail")</f>
        <v>which app accesses your account the most, suggestions on deletions like how they suggest which emails to unsubscribe from in gmail</v>
      </c>
      <c r="C114" s="3"/>
      <c r="D114" s="3"/>
      <c r="E114" s="3"/>
      <c r="F114" s="3"/>
      <c r="G114" s="11"/>
      <c r="H114" s="11"/>
      <c r="I114" s="11"/>
      <c r="J114" s="11"/>
    </row>
    <row r="115">
      <c r="A115">
        <f>IFERROR(__xludf.DUMMYFUNCTION("""COMPUTED_VALUE"""),145.0)</f>
        <v>145</v>
      </c>
      <c r="B115" s="11" t="str">
        <f>IFERROR(__xludf.DUMMYFUNCTION("""COMPUTED_VALUE"""),"I'm content with the features currently available on this page.")</f>
        <v>I'm content with the features currently available on this page.</v>
      </c>
      <c r="C115" s="3"/>
      <c r="D115" s="11"/>
      <c r="E115" s="11"/>
      <c r="F115" s="11"/>
      <c r="G115" s="11"/>
      <c r="H115" s="11"/>
      <c r="I115" s="11"/>
      <c r="J115" s="11"/>
    </row>
    <row r="116">
      <c r="A116">
        <f>IFERROR(__xludf.DUMMYFUNCTION("""COMPUTED_VALUE"""),146.0)</f>
        <v>146</v>
      </c>
      <c r="B116" s="11" t="str">
        <f>IFERROR(__xludf.DUMMYFUNCTION("""COMPUTED_VALUE"""),"I can't think of anything in particular, maybe more personalization?")</f>
        <v>I can't think of anything in particular, maybe more personalization?</v>
      </c>
      <c r="C116" s="3"/>
      <c r="D116" s="3"/>
      <c r="E116" s="3"/>
      <c r="F116" s="3"/>
      <c r="G116" s="11"/>
      <c r="H116" s="11"/>
      <c r="I116" s="11"/>
      <c r="J116" s="11"/>
    </row>
    <row r="117">
      <c r="A117">
        <f>IFERROR(__xludf.DUMMYFUNCTION("""COMPUTED_VALUE"""),147.0)</f>
        <v>147</v>
      </c>
      <c r="B117" s="11" t="str">
        <f>IFERROR(__xludf.DUMMYFUNCTION("""COMPUTED_VALUE"""),"none")</f>
        <v>none</v>
      </c>
      <c r="C117" s="3"/>
      <c r="D117" s="3"/>
      <c r="E117" s="11"/>
      <c r="F117" s="11"/>
      <c r="G117" s="11"/>
      <c r="H117" s="11"/>
      <c r="I117" s="11"/>
      <c r="J117" s="11"/>
    </row>
    <row r="118">
      <c r="A118">
        <f>IFERROR(__xludf.DUMMYFUNCTION("""COMPUTED_VALUE"""),148.0)</f>
        <v>148</v>
      </c>
      <c r="B118" s="11" t="str">
        <f>IFERROR(__xludf.DUMMYFUNCTION("""COMPUTED_VALUE"""),"Nothing")</f>
        <v>Nothing</v>
      </c>
      <c r="C118" s="3"/>
      <c r="D118" s="3"/>
      <c r="E118" s="11"/>
      <c r="F118" s="11"/>
      <c r="G118" s="11"/>
      <c r="H118" s="11"/>
      <c r="I118" s="11"/>
      <c r="J118" s="11"/>
    </row>
    <row r="119">
      <c r="A119">
        <f>IFERROR(__xludf.DUMMYFUNCTION("""COMPUTED_VALUE"""),149.0)</f>
        <v>149</v>
      </c>
      <c r="B119" s="11" t="str">
        <f>IFERROR(__xludf.DUMMYFUNCTION("""COMPUTED_VALUE"""),"Button to easily delete apps from accessing account maybe, although it's not strictly needed.")</f>
        <v>Button to easily delete apps from accessing account maybe, although it's not strictly needed.</v>
      </c>
      <c r="C119" s="3"/>
      <c r="D119" s="3"/>
      <c r="E119" s="11"/>
      <c r="F119" s="11"/>
      <c r="G119" s="11"/>
      <c r="H119" s="11"/>
      <c r="I119" s="11"/>
      <c r="J119" s="11"/>
    </row>
    <row r="120">
      <c r="A120">
        <f>IFERROR(__xludf.DUMMYFUNCTION("""COMPUTED_VALUE"""),150.0)</f>
        <v>150</v>
      </c>
      <c r="B120" s="11" t="str">
        <f>IFERROR(__xludf.DUMMYFUNCTION("""COMPUTED_VALUE"""),"Description of what the app is")</f>
        <v>Description of what the app is</v>
      </c>
      <c r="C120" s="3"/>
      <c r="D120" s="11"/>
      <c r="E120" s="11"/>
      <c r="F120" s="11"/>
      <c r="G120" s="11"/>
      <c r="H120" s="11"/>
      <c r="I120" s="11"/>
      <c r="J120" s="11"/>
    </row>
    <row r="121">
      <c r="A121">
        <f>IFERROR(__xludf.DUMMYFUNCTION("""COMPUTED_VALUE"""),151.0)</f>
        <v>151</v>
      </c>
      <c r="B121" s="11" t="str">
        <f>IFERROR(__xludf.DUMMYFUNCTION("""COMPUTED_VALUE"""),"I wish it would remind me to review it periodically.")</f>
        <v>I wish it would remind me to review it periodically.</v>
      </c>
      <c r="C121" s="3"/>
      <c r="D121" s="3"/>
      <c r="E121" s="3"/>
      <c r="F121" s="3"/>
      <c r="G121" s="11"/>
      <c r="H121" s="11"/>
      <c r="I121" s="11"/>
      <c r="J121" s="11"/>
    </row>
    <row r="122">
      <c r="A122">
        <f>IFERROR(__xludf.DUMMYFUNCTION("""COMPUTED_VALUE"""),152.0)</f>
        <v>152</v>
      </c>
      <c r="B122" s="11" t="str">
        <f>IFERROR(__xludf.DUMMYFUNCTION("""COMPUTED_VALUE"""),"N/A")</f>
        <v>N/A</v>
      </c>
      <c r="C122" s="3"/>
      <c r="D122" s="3"/>
      <c r="E122" s="3"/>
      <c r="F122" s="11"/>
      <c r="G122" s="11"/>
      <c r="H122" s="11"/>
      <c r="I122" s="11"/>
      <c r="J122" s="11"/>
    </row>
    <row r="123">
      <c r="A123">
        <f>IFERROR(__xludf.DUMMYFUNCTION("""COMPUTED_VALUE"""),153.0)</f>
        <v>153</v>
      </c>
      <c r="B123" s="11" t="str">
        <f>IFERROR(__xludf.DUMMYFUNCTION("""COMPUTED_VALUE"""),"easy way to click and remove")</f>
        <v>easy way to click and remove</v>
      </c>
      <c r="C123" s="3"/>
      <c r="D123" s="3"/>
      <c r="E123" s="3"/>
      <c r="F123" s="3"/>
      <c r="G123" s="11"/>
      <c r="H123" s="11"/>
      <c r="I123" s="11"/>
      <c r="J123" s="11"/>
    </row>
    <row r="124">
      <c r="A124">
        <f>IFERROR(__xludf.DUMMYFUNCTION("""COMPUTED_VALUE"""),154.0)</f>
        <v>154</v>
      </c>
      <c r="B124" s="11" t="str">
        <f>IFERROR(__xludf.DUMMYFUNCTION("""COMPUTED_VALUE"""),"Better explanations")</f>
        <v>Better explanations</v>
      </c>
      <c r="C124" s="3"/>
      <c r="D124" s="11"/>
      <c r="E124" s="11"/>
      <c r="F124" s="11"/>
      <c r="G124" s="11"/>
      <c r="H124" s="11"/>
      <c r="I124" s="11"/>
      <c r="J124" s="11"/>
    </row>
    <row r="125">
      <c r="A125">
        <f>IFERROR(__xludf.DUMMYFUNCTION("""COMPUTED_VALUE"""),155.0)</f>
        <v>155</v>
      </c>
      <c r="B125" s="11" t="str">
        <f>IFERROR(__xludf.DUMMYFUNCTION("""COMPUTED_VALUE"""),"Perhaps a more extensive view that precisely explains what exactly a service or app can see from my account.")</f>
        <v>Perhaps a more extensive view that precisely explains what exactly a service or app can see from my account.</v>
      </c>
      <c r="C125" s="3"/>
      <c r="D125" s="3"/>
      <c r="E125" s="11"/>
      <c r="F125" s="11"/>
      <c r="G125" s="11"/>
      <c r="H125" s="11"/>
      <c r="I125" s="11"/>
      <c r="J125" s="11"/>
    </row>
    <row r="126">
      <c r="A126">
        <f>IFERROR(__xludf.DUMMYFUNCTION("""COMPUTED_VALUE"""),156.0)</f>
        <v>156</v>
      </c>
      <c r="B126" s="11" t="str">
        <f>IFERROR(__xludf.DUMMYFUNCTION("""COMPUTED_VALUE"""),"n/a")</f>
        <v>n/a</v>
      </c>
      <c r="C126" s="3"/>
      <c r="D126" s="3"/>
      <c r="E126" s="11"/>
      <c r="F126" s="11"/>
      <c r="G126" s="11"/>
      <c r="H126" s="11"/>
      <c r="I126" s="11"/>
      <c r="J126" s="11"/>
    </row>
    <row r="127">
      <c r="A127">
        <f>IFERROR(__xludf.DUMMYFUNCTION("""COMPUTED_VALUE"""),157.0)</f>
        <v>157</v>
      </c>
      <c r="B127" s="11" t="str">
        <f>IFERROR(__xludf.DUMMYFUNCTION("""COMPUTED_VALUE"""),"Maybe when the apps were last used by the user would be good.")</f>
        <v>Maybe when the apps were last used by the user would be good.</v>
      </c>
      <c r="C127" s="3"/>
      <c r="D127" s="11"/>
      <c r="E127" s="11"/>
      <c r="F127" s="11"/>
      <c r="G127" s="11"/>
      <c r="H127" s="11"/>
      <c r="I127" s="11"/>
      <c r="J127" s="11"/>
    </row>
    <row r="128">
      <c r="A128">
        <f>IFERROR(__xludf.DUMMYFUNCTION("""COMPUTED_VALUE"""),158.0)</f>
        <v>158</v>
      </c>
      <c r="B128" s="11" t="str">
        <f>IFERROR(__xludf.DUMMYFUNCTION("""COMPUTED_VALUE"""),"None. Additional features would probably make it harder to use for no benefit.")</f>
        <v>None. Additional features would probably make it harder to use for no benefit.</v>
      </c>
      <c r="C128" s="3"/>
      <c r="D128" s="3"/>
      <c r="E128" s="3"/>
      <c r="F128" s="3"/>
      <c r="G128" s="11"/>
      <c r="H128" s="11"/>
      <c r="I128" s="11"/>
      <c r="J128" s="11"/>
    </row>
    <row r="129">
      <c r="A129">
        <f>IFERROR(__xludf.DUMMYFUNCTION("""COMPUTED_VALUE"""),159.0)</f>
        <v>159</v>
      </c>
      <c r="B129" s="11" t="str">
        <f>IFERROR(__xludf.DUMMYFUNCTION("""COMPUTED_VALUE"""),"Nothing really.
 It's all pretty easy to use.")</f>
        <v>Nothing really.
 It's all pretty easy to use.</v>
      </c>
      <c r="C129" s="3"/>
      <c r="D129" s="3"/>
      <c r="E129" s="11"/>
      <c r="F129" s="11"/>
      <c r="G129" s="11"/>
      <c r="H129" s="11"/>
      <c r="I129" s="11"/>
      <c r="J129" s="11"/>
    </row>
    <row r="130">
      <c r="A130">
        <f>IFERROR(__xludf.DUMMYFUNCTION("""COMPUTED_VALUE"""),160.0)</f>
        <v>160</v>
      </c>
      <c r="B130" s="11" t="str">
        <f>IFERROR(__xludf.DUMMYFUNCTION("""COMPUTED_VALUE"""),"Maybe the ability to see when it was added next to the icon.")</f>
        <v>Maybe the ability to see when it was added next to the icon.</v>
      </c>
      <c r="C130" s="3"/>
      <c r="D130" s="3"/>
      <c r="E130" s="3"/>
      <c r="F130" s="3"/>
      <c r="G130" s="11"/>
      <c r="H130" s="11"/>
      <c r="I130" s="11"/>
      <c r="J130" s="11"/>
    </row>
    <row r="131">
      <c r="A131">
        <f>IFERROR(__xludf.DUMMYFUNCTION("""COMPUTED_VALUE"""),161.0)</f>
        <v>161</v>
      </c>
      <c r="B131" s="11" t="str">
        <f>IFERROR(__xludf.DUMMYFUNCTION("""COMPUTED_VALUE"""),"Last time the app was used. And the exact information that it is using. Not just generalization.")</f>
        <v>Last time the app was used. And the exact information that it is using. Not just generalization.</v>
      </c>
      <c r="C131" s="3"/>
      <c r="D131" s="3"/>
      <c r="E131" s="11"/>
      <c r="F131" s="11"/>
      <c r="G131" s="11"/>
      <c r="H131" s="11"/>
      <c r="I131" s="11"/>
      <c r="J131" s="11"/>
    </row>
    <row r="132">
      <c r="A132">
        <f>IFERROR(__xludf.DUMMYFUNCTION("""COMPUTED_VALUE"""),162.0)</f>
        <v>162</v>
      </c>
      <c r="B132" s="11" t="str">
        <f>IFERROR(__xludf.DUMMYFUNCTION("""COMPUTED_VALUE"""),"I can't think of any other features I'd need.")</f>
        <v>I can't think of any other features I'd need.</v>
      </c>
      <c r="C132" s="3"/>
      <c r="D132" s="3"/>
      <c r="E132" s="11"/>
      <c r="F132" s="11"/>
      <c r="G132" s="11"/>
      <c r="H132" s="11"/>
      <c r="I132" s="11"/>
      <c r="J132" s="11"/>
    </row>
    <row r="133">
      <c r="A133">
        <f>IFERROR(__xludf.DUMMYFUNCTION("""COMPUTED_VALUE"""),163.0)</f>
        <v>163</v>
      </c>
      <c r="B133" s="11" t="str">
        <f>IFERROR(__xludf.DUMMYFUNCTION("""COMPUTED_VALUE"""),"A feature to remove access for any of these apps you no longer what to have access.")</f>
        <v>A feature to remove access for any of these apps you no longer what to have access.</v>
      </c>
      <c r="C133" s="3"/>
      <c r="D133" s="3"/>
      <c r="E133" s="11"/>
      <c r="F133" s="11"/>
      <c r="G133" s="11"/>
      <c r="H133" s="11"/>
      <c r="I133" s="11"/>
      <c r="J133" s="11"/>
    </row>
    <row r="134">
      <c r="A134">
        <f>IFERROR(__xludf.DUMMYFUNCTION("""COMPUTED_VALUE"""),164.0)</f>
        <v>164</v>
      </c>
      <c r="B134" s="11" t="str">
        <f>IFERROR(__xludf.DUMMYFUNCTION("""COMPUTED_VALUE"""),"Maybe a rating on how sketchy each company is known to handle their info.")</f>
        <v>Maybe a rating on how sketchy each company is known to handle their info.</v>
      </c>
      <c r="C134" s="3"/>
      <c r="D134" s="3"/>
      <c r="E134" s="3"/>
      <c r="F134" s="11"/>
      <c r="G134" s="11"/>
      <c r="H134" s="11"/>
      <c r="I134" s="11"/>
      <c r="J134" s="11"/>
    </row>
    <row r="135">
      <c r="A135">
        <f>IFERROR(__xludf.DUMMYFUNCTION("""COMPUTED_VALUE"""),165.0)</f>
        <v>165</v>
      </c>
      <c r="B135" s="11" t="str">
        <f>IFERROR(__xludf.DUMMYFUNCTION("""COMPUTED_VALUE"""),"Maybe a list of ""how detailed is the access these apps have"" - there is a large scale of degrees of access and the access one app needs for something isn't the same as another app, but there is only one degree listed; it's binary.")</f>
        <v>Maybe a list of "how detailed is the access these apps have" - there is a large scale of degrees of access and the access one app needs for something isn't the same as another app, but there is only one degree listed; it's binary.</v>
      </c>
      <c r="C135" s="3"/>
      <c r="D135" s="3"/>
      <c r="E135" s="11"/>
      <c r="F135" s="11"/>
      <c r="G135" s="11"/>
      <c r="H135" s="11"/>
      <c r="I135" s="11"/>
      <c r="J135" s="11"/>
    </row>
    <row r="136">
      <c r="A136">
        <f>IFERROR(__xludf.DUMMYFUNCTION("""COMPUTED_VALUE"""),166.0)</f>
        <v>166</v>
      </c>
      <c r="B136" s="11" t="str">
        <f>IFERROR(__xludf.DUMMYFUNCTION("""COMPUTED_VALUE"""),"I would like a feature that allows me to easily remove certain apps from having access to my account.")</f>
        <v>I would like a feature that allows me to easily remove certain apps from having access to my account.</v>
      </c>
      <c r="C136" s="3"/>
      <c r="D136" s="3"/>
      <c r="E136" s="3"/>
      <c r="F136" s="11"/>
      <c r="G136" s="11"/>
      <c r="H136" s="11"/>
      <c r="I136" s="11"/>
      <c r="J136" s="11"/>
    </row>
    <row r="137">
      <c r="A137">
        <f>IFERROR(__xludf.DUMMYFUNCTION("""COMPUTED_VALUE"""),167.0)</f>
        <v>167</v>
      </c>
      <c r="B137" s="11" t="str">
        <f>IFERROR(__xludf.DUMMYFUNCTION("""COMPUTED_VALUE"""),"I think I would want to know exactly what kind of information those third parties have access to. Seeing that they can access all of my ""public information"" doesn't help me remember what information that includes - does it include my full name? Or birth"&amp;"day? Or photographs of me? I just feel a little uneducated about the whole situation, so I'm placing a lot of trust in something I know nothing about.")</f>
        <v>I think I would want to know exactly what kind of information those third parties have access to. Seeing that they can access all of my "public information" doesn't help me remember what information that includes - does it include my full name? Or birthday? Or photographs of me? I just feel a little uneducated about the whole situation, so I'm placing a lot of trust in something I know nothing about.</v>
      </c>
      <c r="C137" s="3"/>
      <c r="D137" s="3"/>
      <c r="E137" s="11"/>
      <c r="F137" s="11"/>
      <c r="G137" s="11"/>
      <c r="H137" s="11"/>
      <c r="I137" s="11"/>
      <c r="J137" s="11"/>
    </row>
    <row r="138">
      <c r="A138">
        <f>IFERROR(__xludf.DUMMYFUNCTION("""COMPUTED_VALUE"""),168.0)</f>
        <v>168</v>
      </c>
      <c r="B138" s="11" t="str">
        <f>IFERROR(__xludf.DUMMYFUNCTION("""COMPUTED_VALUE"""),"maybe a facts widget about privacy")</f>
        <v>maybe a facts widget about privacy</v>
      </c>
      <c r="C138" s="3"/>
      <c r="D138" s="3"/>
      <c r="E138" s="3"/>
      <c r="F138" s="11"/>
      <c r="G138" s="11"/>
      <c r="H138" s="11"/>
      <c r="I138" s="11"/>
      <c r="J138" s="11"/>
    </row>
    <row r="139">
      <c r="A139">
        <f>IFERROR(__xludf.DUMMYFUNCTION("""COMPUTED_VALUE"""),169.0)</f>
        <v>169</v>
      </c>
      <c r="B139" s="11" t="str">
        <f>IFERROR(__xludf.DUMMYFUNCTION("""COMPUTED_VALUE"""),"None")</f>
        <v>None</v>
      </c>
      <c r="C139" s="3"/>
      <c r="D139" s="3"/>
      <c r="E139" s="3"/>
      <c r="F139" s="11"/>
      <c r="G139" s="11"/>
      <c r="H139" s="11"/>
      <c r="I139" s="11"/>
      <c r="J139" s="11"/>
    </row>
    <row r="140">
      <c r="A140">
        <f>IFERROR(__xludf.DUMMYFUNCTION("""COMPUTED_VALUE"""),170.0)</f>
        <v>170</v>
      </c>
      <c r="B140" s="11" t="str">
        <f>IFERROR(__xludf.DUMMYFUNCTION("""COMPUTED_VALUE"""),"none that i can think of.")</f>
        <v>none that i can think of.</v>
      </c>
      <c r="C140" s="3"/>
      <c r="D140" s="3"/>
      <c r="E140" s="3"/>
      <c r="F140" s="3"/>
      <c r="G140" s="11"/>
      <c r="H140" s="11"/>
      <c r="I140" s="11"/>
      <c r="J140" s="11"/>
    </row>
    <row r="141">
      <c r="A141">
        <f>IFERROR(__xludf.DUMMYFUNCTION("""COMPUTED_VALUE"""),171.0)</f>
        <v>171</v>
      </c>
      <c r="B141" s="11" t="str">
        <f>IFERROR(__xludf.DUMMYFUNCTION("""COMPUTED_VALUE"""),"There are none that I can think of.")</f>
        <v>There are none that I can think of.</v>
      </c>
      <c r="C141" s="3"/>
      <c r="D141" s="3"/>
      <c r="E141" s="11"/>
      <c r="F141" s="11"/>
      <c r="G141" s="11"/>
      <c r="H141" s="11"/>
      <c r="I141" s="11"/>
      <c r="J141" s="11"/>
    </row>
    <row r="142">
      <c r="A142">
        <f>IFERROR(__xludf.DUMMYFUNCTION("""COMPUTED_VALUE"""),172.0)</f>
        <v>172</v>
      </c>
      <c r="B142" s="11" t="str">
        <f>IFERROR(__xludf.DUMMYFUNCTION("""COMPUTED_VALUE"""),"I'm not sure if it has it or not, but the ability to remove certain accesses that I don't think the app needs.")</f>
        <v>I'm not sure if it has it or not, but the ability to remove certain accesses that I don't think the app needs.</v>
      </c>
      <c r="C142" s="3"/>
      <c r="D142" s="3"/>
      <c r="E142" s="11"/>
      <c r="F142" s="11"/>
      <c r="G142" s="11"/>
      <c r="H142" s="11"/>
      <c r="I142" s="11"/>
      <c r="J142" s="11"/>
    </row>
    <row r="143">
      <c r="A143">
        <f>IFERROR(__xludf.DUMMYFUNCTION("""COMPUTED_VALUE"""),173.0)</f>
        <v>173</v>
      </c>
      <c r="B143" s="11" t="str">
        <f>IFERROR(__xludf.DUMMYFUNCTION("""COMPUTED_VALUE"""),"Approve permissions every X amount of days")</f>
        <v>Approve permissions every X amount of days</v>
      </c>
      <c r="C143" s="3"/>
      <c r="D143" s="3"/>
      <c r="E143" s="3"/>
      <c r="F143" s="11"/>
      <c r="G143" s="11"/>
      <c r="H143" s="11"/>
      <c r="I143" s="11"/>
      <c r="J143" s="11"/>
    </row>
    <row r="144">
      <c r="A144">
        <f>IFERROR(__xludf.DUMMYFUNCTION("""COMPUTED_VALUE"""),174.0)</f>
        <v>174</v>
      </c>
      <c r="B144" s="11" t="str">
        <f>IFERROR(__xludf.DUMMYFUNCTION("""COMPUTED_VALUE"""),"An easy way to remove access to my account.")</f>
        <v>An easy way to remove access to my account.</v>
      </c>
      <c r="C144" s="3"/>
      <c r="D144" s="3"/>
      <c r="E144" s="3"/>
      <c r="F144" s="3"/>
      <c r="G144" s="3"/>
      <c r="H144" s="11"/>
      <c r="I144" s="11"/>
      <c r="J144" s="11"/>
    </row>
    <row r="145">
      <c r="A145">
        <f>IFERROR(__xludf.DUMMYFUNCTION("""COMPUTED_VALUE"""),175.0)</f>
        <v>175</v>
      </c>
      <c r="B145" s="11" t="str">
        <f>IFERROR(__xludf.DUMMYFUNCTION("""COMPUTED_VALUE"""),"more information about how to tell if an app is trustworthy and why they need the personal info they collect")</f>
        <v>more information about how to tell if an app is trustworthy and why they need the personal info they collect</v>
      </c>
      <c r="C145" s="3"/>
      <c r="D145" s="3"/>
      <c r="E145" s="3"/>
      <c r="F145" s="11"/>
      <c r="G145" s="11"/>
      <c r="H145" s="11"/>
      <c r="I145" s="11"/>
      <c r="J145" s="11"/>
    </row>
    <row r="146">
      <c r="A146">
        <f>IFERROR(__xludf.DUMMYFUNCTION("""COMPUTED_VALUE"""),176.0)</f>
        <v>176</v>
      </c>
      <c r="B146" s="11" t="str">
        <f>IFERROR(__xludf.DUMMYFUNCTION("""COMPUTED_VALUE"""),"Can't think of any necessary features.")</f>
        <v>Can't think of any necessary features.</v>
      </c>
      <c r="C146" s="3"/>
      <c r="D146" s="3"/>
      <c r="E146" s="3"/>
      <c r="F146" s="11"/>
      <c r="H146" s="11"/>
      <c r="I146" s="11"/>
      <c r="J146" s="11"/>
    </row>
    <row r="147">
      <c r="A147">
        <f>IFERROR(__xludf.DUMMYFUNCTION("""COMPUTED_VALUE"""),178.0)</f>
        <v>178</v>
      </c>
      <c r="B147" s="11" t="str">
        <f>IFERROR(__xludf.DUMMYFUNCTION("""COMPUTED_VALUE"""),"n/a")</f>
        <v>n/a</v>
      </c>
      <c r="C147" s="3"/>
      <c r="D147" s="3"/>
      <c r="E147" s="3"/>
      <c r="F147" s="3"/>
      <c r="H147" s="11"/>
      <c r="I147" s="11"/>
      <c r="J147" s="11"/>
    </row>
    <row r="148">
      <c r="A148">
        <f>IFERROR(__xludf.DUMMYFUNCTION("""COMPUTED_VALUE"""),179.0)</f>
        <v>179</v>
      </c>
      <c r="B148" s="11" t="str">
        <f>IFERROR(__xludf.DUMMYFUNCTION("""COMPUTED_VALUE"""),"Nothing, I like that it's simple and not cluttered. It has everything it needs in my opinion")</f>
        <v>Nothing, I like that it's simple and not cluttered. It has everything it needs in my opinion</v>
      </c>
      <c r="C148" s="3"/>
      <c r="D148" s="3"/>
      <c r="E148" s="11"/>
      <c r="F148" s="11"/>
      <c r="H148" s="11"/>
      <c r="I148" s="11"/>
      <c r="J148" s="11"/>
    </row>
    <row r="149">
      <c r="A149">
        <f>IFERROR(__xludf.DUMMYFUNCTION("""COMPUTED_VALUE"""),180.0)</f>
        <v>180</v>
      </c>
      <c r="B149" s="11" t="str">
        <f>IFERROR(__xludf.DUMMYFUNCTION("""COMPUTED_VALUE"""),"Explanations provided by the services as to why they need the specific permissions they do.")</f>
        <v>Explanations provided by the services as to why they need the specific permissions they do.</v>
      </c>
      <c r="C149" s="3"/>
      <c r="D149" s="11"/>
      <c r="E149" s="11"/>
      <c r="F149" s="11"/>
      <c r="H149" s="11"/>
      <c r="I149" s="11"/>
      <c r="J149" s="11"/>
    </row>
    <row r="150">
      <c r="A150">
        <f>IFERROR(__xludf.DUMMYFUNCTION("""COMPUTED_VALUE"""),181.0)</f>
        <v>181</v>
      </c>
      <c r="B150" s="11" t="str">
        <f>IFERROR(__xludf.DUMMYFUNCTION("""COMPUTED_VALUE"""),"I think a history of when and what data was accessed would be nice.")</f>
        <v>I think a history of when and what data was accessed would be nice.</v>
      </c>
      <c r="C150" s="3"/>
      <c r="D150" s="3"/>
      <c r="E150" s="3"/>
      <c r="F150" s="3"/>
      <c r="H150" s="11"/>
      <c r="I150" s="11"/>
      <c r="J150" s="11"/>
    </row>
    <row r="151">
      <c r="A151">
        <f>IFERROR(__xludf.DUMMYFUNCTION("""COMPUTED_VALUE"""),182.0)</f>
        <v>182</v>
      </c>
      <c r="B151" s="11" t="str">
        <f>IFERROR(__xludf.DUMMYFUNCTION("""COMPUTED_VALUE"""),"Just saying information about what apps have access to what or whenever I last used it.")</f>
        <v>Just saying information about what apps have access to what or whenever I last used it.</v>
      </c>
      <c r="C151" s="3"/>
      <c r="D151" s="3"/>
      <c r="E151" s="3"/>
      <c r="F151" s="3"/>
      <c r="H151" s="11"/>
      <c r="I151" s="11"/>
      <c r="J151" s="11"/>
    </row>
    <row r="152">
      <c r="A152">
        <f>IFERROR(__xludf.DUMMYFUNCTION("""COMPUTED_VALUE"""),183.0)</f>
        <v>183</v>
      </c>
      <c r="B152" s="11" t="str">
        <f>IFERROR(__xludf.DUMMYFUNCTION("""COMPUTED_VALUE"""),"I would like to know when was the last time I accessed the app")</f>
        <v>I would like to know when was the last time I accessed the app</v>
      </c>
      <c r="C152" s="3"/>
      <c r="D152" s="3"/>
      <c r="E152" s="11"/>
      <c r="F152" s="11"/>
      <c r="H152" s="11"/>
      <c r="I152" s="11"/>
      <c r="J152" s="11"/>
    </row>
    <row r="153">
      <c r="A153">
        <f>IFERROR(__xludf.DUMMYFUNCTION("""COMPUTED_VALUE"""),184.0)</f>
        <v>184</v>
      </c>
      <c r="B153" s="11" t="str">
        <f>IFERROR(__xludf.DUMMYFUNCTION("""COMPUTED_VALUE"""),"The ability to remove access right from this page")</f>
        <v>The ability to remove access right from this page</v>
      </c>
      <c r="C153" s="3"/>
      <c r="D153" s="3"/>
      <c r="E153" s="11"/>
      <c r="F153" s="11"/>
      <c r="H153" s="11"/>
      <c r="I153" s="11"/>
      <c r="J153" s="11"/>
    </row>
    <row r="154">
      <c r="A154">
        <f>IFERROR(__xludf.DUMMYFUNCTION("""COMPUTED_VALUE"""),185.0)</f>
        <v>185</v>
      </c>
      <c r="B154" s="11" t="str">
        <f>IFERROR(__xludf.DUMMYFUNCTION("""COMPUTED_VALUE"""),"none")</f>
        <v>none</v>
      </c>
      <c r="C154" s="3"/>
      <c r="D154" s="3"/>
      <c r="E154" s="3"/>
      <c r="F154" s="3"/>
      <c r="H154" s="11"/>
      <c r="I154" s="11"/>
      <c r="J154" s="11"/>
    </row>
    <row r="155">
      <c r="A155">
        <f>IFERROR(__xludf.DUMMYFUNCTION("""COMPUTED_VALUE"""),186.0)</f>
        <v>186</v>
      </c>
      <c r="B155" s="11" t="str">
        <f>IFERROR(__xludf.DUMMYFUNCTION("""COMPUTED_VALUE"""),"Auto removal of apps after 3 months of no use.")</f>
        <v>Auto removal of apps after 3 months of no use.</v>
      </c>
      <c r="C155" s="11"/>
      <c r="D155" s="11"/>
      <c r="E155" s="11"/>
      <c r="F155" s="11"/>
      <c r="G155" s="11"/>
      <c r="H155" s="11"/>
      <c r="I155" s="11"/>
      <c r="J155" s="11"/>
    </row>
    <row r="156">
      <c r="A156">
        <f>IFERROR(__xludf.DUMMYFUNCTION("""COMPUTED_VALUE"""),187.0)</f>
        <v>187</v>
      </c>
      <c r="B156" s="11" t="str">
        <f>IFERROR(__xludf.DUMMYFUNCTION("""COMPUTED_VALUE"""),"None.")</f>
        <v>None.</v>
      </c>
      <c r="C156" s="11"/>
      <c r="D156" s="11"/>
      <c r="E156" s="11"/>
      <c r="F156" s="11"/>
      <c r="G156" s="11"/>
      <c r="H156" s="11"/>
      <c r="I156" s="11"/>
      <c r="J156" s="11"/>
    </row>
    <row r="157">
      <c r="A157">
        <f>IFERROR(__xludf.DUMMYFUNCTION("""COMPUTED_VALUE"""),188.0)</f>
        <v>188</v>
      </c>
      <c r="B157" s="11" t="str">
        <f>IFERROR(__xludf.DUMMYFUNCTION("""COMPUTED_VALUE"""),"nothing.")</f>
        <v>nothing.</v>
      </c>
      <c r="C157" s="11"/>
      <c r="D157" s="11"/>
      <c r="E157" s="11"/>
      <c r="F157" s="11"/>
      <c r="G157" s="11"/>
      <c r="H157" s="11"/>
      <c r="I157" s="11"/>
      <c r="J157" s="11"/>
    </row>
    <row r="158">
      <c r="A158">
        <f>IFERROR(__xludf.DUMMYFUNCTION("""COMPUTED_VALUE"""),189.0)</f>
        <v>189</v>
      </c>
      <c r="B158" s="11" t="str">
        <f>IFERROR(__xludf.DUMMYFUNCTION("""COMPUTED_VALUE"""),"not sure")</f>
        <v>not sure</v>
      </c>
      <c r="C158" s="11"/>
      <c r="D158" s="11"/>
      <c r="E158" s="11"/>
      <c r="F158" s="11"/>
      <c r="G158" s="11"/>
      <c r="H158" s="11"/>
      <c r="I158" s="11"/>
      <c r="J158" s="11"/>
    </row>
    <row r="159">
      <c r="A159">
        <f>IFERROR(__xludf.DUMMYFUNCTION("""COMPUTED_VALUE"""),190.0)</f>
        <v>190</v>
      </c>
      <c r="B159" s="11" t="str">
        <f>IFERROR(__xludf.DUMMYFUNCTION("""COMPUTED_VALUE"""),"The last time you used an app or service.")</f>
        <v>The last time you used an app or service.</v>
      </c>
      <c r="C159" s="11"/>
      <c r="D159" s="11"/>
      <c r="E159" s="11"/>
      <c r="F159" s="11"/>
      <c r="G159" s="11"/>
      <c r="H159" s="11"/>
      <c r="I159" s="11"/>
      <c r="J159" s="11"/>
    </row>
    <row r="160">
      <c r="A160">
        <f>IFERROR(__xludf.DUMMYFUNCTION("""COMPUTED_VALUE"""),191.0)</f>
        <v>191</v>
      </c>
      <c r="B160" s="11" t="str">
        <f>IFERROR(__xludf.DUMMYFUNCTION("""COMPUTED_VALUE"""),"how they use the data")</f>
        <v>how they use the data</v>
      </c>
      <c r="C160" s="11"/>
      <c r="D160" s="11"/>
      <c r="E160" s="11"/>
      <c r="F160" s="11"/>
      <c r="G160" s="11"/>
      <c r="H160" s="11"/>
      <c r="I160" s="11"/>
      <c r="J160" s="11"/>
    </row>
    <row r="161">
      <c r="A161">
        <f>IFERROR(__xludf.DUMMYFUNCTION("""COMPUTED_VALUE"""),192.0)</f>
        <v>192</v>
      </c>
      <c r="B161" s="11" t="str">
        <f>IFERROR(__xludf.DUMMYFUNCTION("""COMPUTED_VALUE"""),"none")</f>
        <v>none</v>
      </c>
      <c r="C161" s="11"/>
      <c r="D161" s="11"/>
      <c r="E161" s="11"/>
      <c r="F161" s="11"/>
      <c r="G161" s="11"/>
      <c r="H161" s="11"/>
      <c r="I161" s="11"/>
      <c r="J161" s="11"/>
    </row>
    <row r="162">
      <c r="A162">
        <f>IFERROR(__xludf.DUMMYFUNCTION("""COMPUTED_VALUE"""),193.0)</f>
        <v>193</v>
      </c>
      <c r="B162" s="11" t="str">
        <f>IFERROR(__xludf.DUMMYFUNCTION("""COMPUTED_VALUE"""),"What type of access these apps have to my account i.e. can they see my browsing history")</f>
        <v>What type of access these apps have to my account i.e. can they see my browsing history</v>
      </c>
      <c r="C162" s="11"/>
      <c r="D162" s="11"/>
      <c r="E162" s="11"/>
      <c r="F162" s="11"/>
      <c r="G162" s="11"/>
      <c r="H162" s="11"/>
      <c r="I162" s="11"/>
      <c r="J162" s="11"/>
    </row>
    <row r="163">
      <c r="A163">
        <f>IFERROR(__xludf.DUMMYFUNCTION("""COMPUTED_VALUE"""),194.0)</f>
        <v>194</v>
      </c>
      <c r="B163" s="11" t="str">
        <f>IFERROR(__xludf.DUMMYFUNCTION("""COMPUTED_VALUE"""),"I want to see descriptions of what it does on my gmail account")</f>
        <v>I want to see descriptions of what it does on my gmail account</v>
      </c>
      <c r="C163" s="11"/>
      <c r="D163" s="11"/>
      <c r="E163" s="11"/>
      <c r="F163" s="11"/>
      <c r="G163" s="11"/>
      <c r="H163" s="11"/>
      <c r="I163" s="11"/>
      <c r="J163" s="11"/>
    </row>
    <row r="164">
      <c r="A164">
        <f>IFERROR(__xludf.DUMMYFUNCTION("""COMPUTED_VALUE"""),195.0)</f>
        <v>195</v>
      </c>
      <c r="B164" s="11" t="str">
        <f>IFERROR(__xludf.DUMMYFUNCTION("""COMPUTED_VALUE"""),"Maybe a brief justification for the permissions each service uses.")</f>
        <v>Maybe a brief justification for the permissions each service uses.</v>
      </c>
      <c r="C164" s="11"/>
      <c r="D164" s="11"/>
      <c r="E164" s="11"/>
      <c r="F164" s="11"/>
      <c r="G164" s="11"/>
      <c r="H164" s="11"/>
      <c r="I164" s="11"/>
      <c r="J164" s="11"/>
    </row>
    <row r="165">
      <c r="A165">
        <f>IFERROR(__xludf.DUMMYFUNCTION("""COMPUTED_VALUE"""),196.0)</f>
        <v>196</v>
      </c>
      <c r="B165" s="11" t="str">
        <f>IFERROR(__xludf.DUMMYFUNCTION("""COMPUTED_VALUE"""),"I would like to see an easy button for removal of some of these apps if I do not wish for them to be associated with my account anymore.")</f>
        <v>I would like to see an easy button for removal of some of these apps if I do not wish for them to be associated with my account anymore.</v>
      </c>
      <c r="C165" s="11"/>
      <c r="D165" s="11"/>
      <c r="E165" s="11"/>
      <c r="F165" s="11"/>
      <c r="G165" s="11"/>
      <c r="H165" s="11"/>
      <c r="I165" s="11"/>
      <c r="J165" s="11"/>
    </row>
    <row r="166">
      <c r="A166">
        <f>IFERROR(__xludf.DUMMYFUNCTION("""COMPUTED_VALUE"""),197.0)</f>
        <v>197</v>
      </c>
      <c r="B166" s="11" t="str">
        <f>IFERROR(__xludf.DUMMYFUNCTION("""COMPUTED_VALUE"""),"none")</f>
        <v>none</v>
      </c>
      <c r="C166" s="11"/>
      <c r="D166" s="11"/>
      <c r="E166" s="11"/>
      <c r="F166" s="11"/>
      <c r="G166" s="11"/>
      <c r="H166" s="11"/>
      <c r="I166" s="11"/>
      <c r="J166" s="11"/>
    </row>
    <row r="167">
      <c r="A167">
        <f>IFERROR(__xludf.DUMMYFUNCTION("""COMPUTED_VALUE"""),198.0)</f>
        <v>198</v>
      </c>
      <c r="B167" s="11" t="str">
        <f>IFERROR(__xludf.DUMMYFUNCTION("""COMPUTED_VALUE"""),"Maybe a last used date when you last used the app and a little notification that it hasnt been used in 1-5 months and that it's probably time to delete it.")</f>
        <v>Maybe a last used date when you last used the app and a little notification that it hasnt been used in 1-5 months and that it's probably time to delete it.</v>
      </c>
      <c r="C167" s="11"/>
      <c r="D167" s="11"/>
      <c r="E167" s="11"/>
      <c r="F167" s="11"/>
      <c r="G167" s="11"/>
      <c r="H167" s="11"/>
      <c r="I167" s="11"/>
      <c r="J167" s="11"/>
    </row>
    <row r="168">
      <c r="A168">
        <f>IFERROR(__xludf.DUMMYFUNCTION("""COMPUTED_VALUE"""),199.0)</f>
        <v>199</v>
      </c>
      <c r="B168" s="11" t="str">
        <f>IFERROR(__xludf.DUMMYFUNCTION("""COMPUTED_VALUE"""),"N/A")</f>
        <v>N/A</v>
      </c>
      <c r="C168" s="11"/>
      <c r="D168" s="11"/>
      <c r="E168" s="11"/>
      <c r="F168" s="11"/>
      <c r="G168" s="11"/>
      <c r="H168" s="11"/>
      <c r="I168" s="11"/>
      <c r="J168" s="11"/>
    </row>
    <row r="169">
      <c r="A169">
        <f>IFERROR(__xludf.DUMMYFUNCTION("""COMPUTED_VALUE"""),200.0)</f>
        <v>200</v>
      </c>
      <c r="B169" s="11" t="str">
        <f>IFERROR(__xludf.DUMMYFUNCTION("""COMPUTED_VALUE"""),"I would like it if the details about which permissions are granted for access were readily viewable and more extensively insightful, rather than viewable only when clicked.")</f>
        <v>I would like it if the details about which permissions are granted for access were readily viewable and more extensively insightful, rather than viewable only when clicked.</v>
      </c>
      <c r="C169" s="11"/>
      <c r="D169" s="11"/>
      <c r="E169" s="11"/>
      <c r="F169" s="11"/>
      <c r="G169" s="11"/>
      <c r="H169" s="11"/>
      <c r="I169" s="11"/>
      <c r="J169" s="11"/>
    </row>
    <row r="170">
      <c r="A170">
        <f>IFERROR(__xludf.DUMMYFUNCTION("""COMPUTED_VALUE"""),201.0)</f>
        <v>201</v>
      </c>
      <c r="B170" s="11" t="str">
        <f>IFERROR(__xludf.DUMMYFUNCTION("""COMPUTED_VALUE"""),"none")</f>
        <v>none</v>
      </c>
      <c r="C170" s="11"/>
      <c r="D170" s="11"/>
      <c r="E170" s="11"/>
      <c r="F170" s="11"/>
      <c r="G170" s="11"/>
      <c r="H170" s="11"/>
      <c r="I170" s="11"/>
      <c r="J170" s="11"/>
    </row>
    <row r="171">
      <c r="A171">
        <f>IFERROR(__xludf.DUMMYFUNCTION("""COMPUTED_VALUE"""),202.0)</f>
        <v>202</v>
      </c>
      <c r="B171" s="11" t="str">
        <f>IFERROR(__xludf.DUMMYFUNCTION("""COMPUTED_VALUE"""),"I cannot think of any.")</f>
        <v>I cannot think of any.</v>
      </c>
      <c r="C171" s="11"/>
      <c r="D171" s="11"/>
      <c r="E171" s="11"/>
      <c r="F171" s="11"/>
      <c r="G171" s="11"/>
      <c r="H171" s="11"/>
      <c r="I171" s="11"/>
      <c r="J171" s="11"/>
    </row>
    <row r="172">
      <c r="A172">
        <f>IFERROR(__xludf.DUMMYFUNCTION("""COMPUTED_VALUE"""),203.0)</f>
        <v>203</v>
      </c>
      <c r="B172" s="11" t="str">
        <f>IFERROR(__xludf.DUMMYFUNCTION("""COMPUTED_VALUE"""),"None")</f>
        <v>None</v>
      </c>
      <c r="C172" s="11"/>
      <c r="D172" s="11"/>
      <c r="E172" s="11"/>
      <c r="F172" s="11"/>
      <c r="G172" s="11"/>
      <c r="H172" s="11"/>
      <c r="I172" s="11"/>
      <c r="J172" s="11"/>
    </row>
    <row r="173">
      <c r="A173">
        <f>IFERROR(__xludf.DUMMYFUNCTION("""COMPUTED_VALUE"""),204.0)</f>
        <v>204</v>
      </c>
      <c r="B173" s="11" t="str">
        <f>IFERROR(__xludf.DUMMYFUNCTION("""COMPUTED_VALUE"""),"I do not want any new features.")</f>
        <v>I do not want any new features.</v>
      </c>
      <c r="C173" s="11"/>
      <c r="D173" s="11"/>
      <c r="E173" s="11"/>
      <c r="F173" s="11"/>
      <c r="G173" s="11"/>
      <c r="H173" s="11"/>
      <c r="I173" s="11"/>
      <c r="J173" s="11"/>
    </row>
    <row r="174">
      <c r="A174">
        <f>IFERROR(__xludf.DUMMYFUNCTION("""COMPUTED_VALUE"""),205.0)</f>
        <v>205</v>
      </c>
      <c r="B174" s="11" t="str">
        <f>IFERROR(__xludf.DUMMYFUNCTION("""COMPUTED_VALUE"""),"DETAILED information about what is available to third party apps. not just ""access to your personal information"" but ""access to: your full name, age, date of birth, street address, ""...etc")</f>
        <v>DETAILED information about what is available to third party apps. not just "access to your personal information" but "access to: your full name, age, date of birth, street address, "...etc</v>
      </c>
      <c r="C174" s="11"/>
      <c r="D174" s="11"/>
      <c r="E174" s="11"/>
      <c r="F174" s="11"/>
      <c r="G174" s="11"/>
      <c r="H174" s="11"/>
      <c r="I174" s="11"/>
      <c r="J174" s="11"/>
    </row>
    <row r="175">
      <c r="A175">
        <f>IFERROR(__xludf.DUMMYFUNCTION("""COMPUTED_VALUE"""),206.0)</f>
        <v>206</v>
      </c>
      <c r="B175" s="11" t="str">
        <f>IFERROR(__xludf.DUMMYFUNCTION("""COMPUTED_VALUE"""),"itt might be nice to know the date when permission was given")</f>
        <v>itt might be nice to know the date when permission was given</v>
      </c>
      <c r="C175" s="11"/>
      <c r="D175" s="11"/>
      <c r="E175" s="11"/>
      <c r="F175" s="11"/>
      <c r="G175" s="11"/>
      <c r="H175" s="11"/>
      <c r="I175" s="11"/>
      <c r="J175" s="11"/>
    </row>
    <row r="176">
      <c r="A176">
        <f>IFERROR(__xludf.DUMMYFUNCTION("""COMPUTED_VALUE"""),207.0)</f>
        <v>207</v>
      </c>
      <c r="B176" s="11" t="str">
        <f>IFERROR(__xludf.DUMMYFUNCTION("""COMPUTED_VALUE"""),"A button to automatically deny access to apps.")</f>
        <v>A button to automatically deny access to apps.</v>
      </c>
      <c r="C176" s="11"/>
      <c r="D176" s="11"/>
      <c r="E176" s="11"/>
      <c r="F176" s="11"/>
      <c r="G176" s="11"/>
      <c r="H176" s="11"/>
      <c r="I176" s="11"/>
      <c r="J176" s="11"/>
    </row>
    <row r="177">
      <c r="A177">
        <f>IFERROR(__xludf.DUMMYFUNCTION("""COMPUTED_VALUE"""),208.0)</f>
        <v>208</v>
      </c>
      <c r="B177" s="11" t="str">
        <f>IFERROR(__xludf.DUMMYFUNCTION("""COMPUTED_VALUE"""),"Not sure if it's there but it would be beneficial for a way to remove them; have yearly certifications required for these apps to remain there.")</f>
        <v>Not sure if it's there but it would be beneficial for a way to remove them; have yearly certifications required for these apps to remain there.</v>
      </c>
      <c r="C177" s="11"/>
      <c r="D177" s="11"/>
      <c r="E177" s="11"/>
      <c r="F177" s="11"/>
      <c r="G177" s="11"/>
      <c r="H177" s="11"/>
      <c r="I177" s="11"/>
      <c r="J177" s="11"/>
    </row>
    <row r="178">
      <c r="A178">
        <f>IFERROR(__xludf.DUMMYFUNCTION("""COMPUTED_VALUE"""),209.0)</f>
        <v>209</v>
      </c>
      <c r="B178" s="11" t="str">
        <f>IFERROR(__xludf.DUMMYFUNCTION("""COMPUTED_VALUE"""),"None")</f>
        <v>None</v>
      </c>
      <c r="C178" s="11"/>
      <c r="D178" s="11"/>
      <c r="E178" s="11"/>
      <c r="F178" s="11"/>
      <c r="G178" s="11"/>
      <c r="H178" s="11"/>
      <c r="I178" s="11"/>
      <c r="J178" s="11"/>
    </row>
    <row r="179">
      <c r="A179">
        <f>IFERROR(__xludf.DUMMYFUNCTION("""COMPUTED_VALUE"""),210.0)</f>
        <v>210</v>
      </c>
      <c r="B179" s="11" t="str">
        <f>IFERROR(__xludf.DUMMYFUNCTION("""COMPUTED_VALUE"""),"maybe how often that app has been used to see if it's really necessary for them to have my info. if i use them requently then fine but wayfair i only ever used once and forgot about it. same with kinedu")</f>
        <v>maybe how often that app has been used to see if it's really necessary for them to have my info. if i use them requently then fine but wayfair i only ever used once and forgot about it. same with kinedu</v>
      </c>
      <c r="C179" s="11"/>
      <c r="D179" s="11"/>
      <c r="E179" s="11"/>
      <c r="F179" s="11"/>
      <c r="G179" s="11"/>
      <c r="H179" s="11"/>
      <c r="I179" s="11"/>
      <c r="J179" s="11"/>
    </row>
    <row r="180">
      <c r="A180">
        <f>IFERROR(__xludf.DUMMYFUNCTION("""COMPUTED_VALUE"""),211.0)</f>
        <v>211</v>
      </c>
      <c r="B180" s="11" t="str">
        <f>IFERROR(__xludf.DUMMYFUNCTION("""COMPUTED_VALUE"""),"Maybe slightly clarify the readability for those who aren't computer savvy. Mostly, I'd like to see a button on my gmail specifically that I could click to take me directly to the review page, so I could review periodically. (I forget that there are place"&amp;"s I need to go in settings to find stuff.)")</f>
        <v>Maybe slightly clarify the readability for those who aren't computer savvy. Mostly, I'd like to see a button on my gmail specifically that I could click to take me directly to the review page, so I could review periodically. (I forget that there are places I need to go in settings to find stuff.)</v>
      </c>
      <c r="C180" s="11"/>
      <c r="D180" s="11"/>
      <c r="E180" s="11"/>
      <c r="F180" s="11"/>
      <c r="G180" s="11"/>
      <c r="H180" s="11"/>
      <c r="I180" s="11"/>
      <c r="J180" s="11"/>
    </row>
    <row r="181">
      <c r="A181">
        <f>IFERROR(__xludf.DUMMYFUNCTION("""COMPUTED_VALUE"""),212.0)</f>
        <v>212</v>
      </c>
      <c r="B181" s="11" t="str">
        <f>IFERROR(__xludf.DUMMYFUNCTION("""COMPUTED_VALUE"""),"Being able to sort by the type of access so if I wanted to change certain access across multiple apps, it would be easier.")</f>
        <v>Being able to sort by the type of access so if I wanted to change certain access across multiple apps, it would be easier.</v>
      </c>
      <c r="C181" s="11"/>
      <c r="D181" s="11"/>
      <c r="E181" s="11"/>
      <c r="F181" s="11"/>
      <c r="G181" s="11"/>
      <c r="H181" s="11"/>
      <c r="I181" s="11"/>
      <c r="J181" s="11"/>
    </row>
    <row r="182">
      <c r="A182">
        <f>IFERROR(__xludf.DUMMYFUNCTION("""COMPUTED_VALUE"""),213.0)</f>
        <v>213</v>
      </c>
      <c r="B182" s="11" t="str">
        <f>IFERROR(__xludf.DUMMYFUNCTION("""COMPUTED_VALUE"""),"none.")</f>
        <v>none.</v>
      </c>
      <c r="C182" s="11"/>
      <c r="D182" s="11"/>
      <c r="E182" s="11"/>
      <c r="F182" s="11"/>
      <c r="G182" s="11"/>
      <c r="H182" s="11"/>
      <c r="I182" s="11"/>
      <c r="J182" s="11"/>
    </row>
    <row r="183">
      <c r="A183">
        <f>IFERROR(__xludf.DUMMYFUNCTION("""COMPUTED_VALUE"""),214.0)</f>
        <v>214</v>
      </c>
      <c r="B183" s="11" t="str">
        <f>IFERROR(__xludf.DUMMYFUNCTION("""COMPUTED_VALUE"""),"I can't think of anything to add")</f>
        <v>I can't think of anything to add</v>
      </c>
      <c r="C183" s="11"/>
      <c r="D183" s="11"/>
      <c r="E183" s="11"/>
      <c r="F183" s="11"/>
      <c r="G183" s="11"/>
      <c r="H183" s="11"/>
      <c r="I183" s="11"/>
      <c r="J183" s="11"/>
    </row>
    <row r="184">
      <c r="A184">
        <f>IFERROR(__xludf.DUMMYFUNCTION("""COMPUTED_VALUE"""),216.0)</f>
        <v>216</v>
      </c>
      <c r="B184" s="11" t="str">
        <f>IFERROR(__xludf.DUMMYFUNCTION("""COMPUTED_VALUE"""),"I would like a button that limits apps to just the minimal use necessary to run the app.")</f>
        <v>I would like a button that limits apps to just the minimal use necessary to run the app.</v>
      </c>
      <c r="C184" s="11"/>
      <c r="D184" s="11"/>
      <c r="E184" s="11"/>
      <c r="F184" s="11"/>
      <c r="G184" s="11"/>
      <c r="H184" s="11"/>
      <c r="I184" s="11"/>
      <c r="J184" s="11"/>
    </row>
    <row r="185">
      <c r="A185">
        <f>IFERROR(__xludf.DUMMYFUNCTION("""COMPUTED_VALUE"""),218.0)</f>
        <v>218</v>
      </c>
      <c r="B185" s="11" t="str">
        <f>IFERROR(__xludf.DUMMYFUNCTION("""COMPUTED_VALUE"""),"Not sure")</f>
        <v>Not sure</v>
      </c>
      <c r="C185" s="11"/>
      <c r="D185" s="11"/>
      <c r="E185" s="11"/>
      <c r="F185" s="11"/>
      <c r="G185" s="11"/>
      <c r="H185" s="11"/>
      <c r="I185" s="11"/>
      <c r="J185" s="11"/>
    </row>
    <row r="186">
      <c r="A186">
        <f>IFERROR(__xludf.DUMMYFUNCTION("""COMPUTED_VALUE"""),219.0)</f>
        <v>219</v>
      </c>
      <c r="B186" s="11" t="str">
        <f>IFERROR(__xludf.DUMMYFUNCTION("""COMPUTED_VALUE"""),"I wish that it knew that these things had been uninstalled from my phone and that it stated that somewhere. I wish it reminded me to remove their access when I uninstalled too.")</f>
        <v>I wish that it knew that these things had been uninstalled from my phone and that it stated that somewhere. I wish it reminded me to remove their access when I uninstalled too.</v>
      </c>
      <c r="C186" s="11"/>
      <c r="D186" s="11"/>
      <c r="E186" s="11"/>
      <c r="F186" s="11"/>
      <c r="G186" s="11"/>
      <c r="H186" s="11"/>
      <c r="I186" s="11"/>
      <c r="J186" s="11"/>
    </row>
    <row r="187">
      <c r="A187">
        <f>IFERROR(__xludf.DUMMYFUNCTION("""COMPUTED_VALUE"""),220.0)</f>
        <v>220</v>
      </c>
      <c r="B187" s="11" t="str">
        <f>IFERROR(__xludf.DUMMYFUNCTION("""COMPUTED_VALUE"""),"It would be helpful to see when each application was downloaded")</f>
        <v>It would be helpful to see when each application was downloaded</v>
      </c>
      <c r="C187" s="11"/>
      <c r="D187" s="11"/>
      <c r="E187" s="11"/>
      <c r="F187" s="11"/>
      <c r="G187" s="11"/>
      <c r="H187" s="11"/>
      <c r="I187" s="11"/>
      <c r="J187" s="11"/>
    </row>
    <row r="188">
      <c r="A188">
        <f>IFERROR(__xludf.DUMMYFUNCTION("""COMPUTED_VALUE"""),221.0)</f>
        <v>221</v>
      </c>
      <c r="B188" s="11" t="str">
        <f>IFERROR(__xludf.DUMMYFUNCTION("""COMPUTED_VALUE"""),"none")</f>
        <v>none</v>
      </c>
      <c r="C188" s="11"/>
      <c r="D188" s="11"/>
      <c r="E188" s="11"/>
      <c r="F188" s="11"/>
      <c r="G188" s="11"/>
      <c r="H188" s="11"/>
      <c r="I188" s="11"/>
      <c r="J188" s="11"/>
    </row>
    <row r="189">
      <c r="A189">
        <f>IFERROR(__xludf.DUMMYFUNCTION("""COMPUTED_VALUE"""),222.0)</f>
        <v>222</v>
      </c>
      <c r="B189" s="11" t="str">
        <f>IFERROR(__xludf.DUMMYFUNCTION("""COMPUTED_VALUE"""),"Honestly everything about this feature seems fine to me, I cannot really think of any added features to benefit users.")</f>
        <v>Honestly everything about this feature seems fine to me, I cannot really think of any added features to benefit users.</v>
      </c>
      <c r="C189" s="11"/>
      <c r="D189" s="11"/>
      <c r="E189" s="11"/>
      <c r="F189" s="11"/>
      <c r="G189" s="11"/>
      <c r="H189" s="11"/>
      <c r="I189" s="11"/>
      <c r="J189" s="11"/>
    </row>
    <row r="190">
      <c r="A190">
        <f>IFERROR(__xludf.DUMMYFUNCTION("""COMPUTED_VALUE"""),223.0)</f>
        <v>223</v>
      </c>
      <c r="B190" s="11" t="str">
        <f>IFERROR(__xludf.DUMMYFUNCTION("""COMPUTED_VALUE"""),"n/a")</f>
        <v>n/a</v>
      </c>
      <c r="C190" s="11"/>
      <c r="D190" s="11"/>
      <c r="E190" s="11"/>
      <c r="F190" s="11"/>
      <c r="G190" s="11"/>
      <c r="H190" s="11"/>
      <c r="I190" s="11"/>
      <c r="J190" s="11"/>
    </row>
    <row r="191">
      <c r="A191">
        <f>IFERROR(__xludf.DUMMYFUNCTION("""COMPUTED_VALUE"""),224.0)</f>
        <v>224</v>
      </c>
      <c r="B191" s="11" t="str">
        <f>IFERROR(__xludf.DUMMYFUNCTION("""COMPUTED_VALUE"""),"A more detailed description of how these apps are going to use the permissions I have granted.")</f>
        <v>A more detailed description of how these apps are going to use the permissions I have granted.</v>
      </c>
      <c r="C191" s="11"/>
      <c r="D191" s="11"/>
      <c r="E191" s="11"/>
      <c r="F191" s="11"/>
      <c r="G191" s="11"/>
      <c r="H191" s="11"/>
      <c r="I191" s="11"/>
      <c r="J191" s="11"/>
    </row>
    <row r="192">
      <c r="A192">
        <f>IFERROR(__xludf.DUMMYFUNCTION("""COMPUTED_VALUE"""),225.0)</f>
        <v>225</v>
      </c>
      <c r="B192" s="11" t="str">
        <f>IFERROR(__xludf.DUMMYFUNCTION("""COMPUTED_VALUE"""),"An easier way to access this information within my Google settings.")</f>
        <v>An easier way to access this information within my Google settings.</v>
      </c>
      <c r="C192" s="11"/>
      <c r="D192" s="11"/>
      <c r="E192" s="11"/>
      <c r="F192" s="11"/>
      <c r="G192" s="11"/>
      <c r="H192" s="11"/>
      <c r="I192" s="11"/>
      <c r="J192" s="11"/>
    </row>
    <row r="193">
      <c r="A193">
        <f>IFERROR(__xludf.DUMMYFUNCTION("""COMPUTED_VALUE"""),226.0)</f>
        <v>226</v>
      </c>
      <c r="B193" s="11" t="str">
        <f>IFERROR(__xludf.DUMMYFUNCTION("""COMPUTED_VALUE"""),"I'm not sure at the moment.")</f>
        <v>I'm not sure at the moment.</v>
      </c>
      <c r="C193" s="11"/>
      <c r="D193" s="11"/>
      <c r="E193" s="11"/>
      <c r="F193" s="11"/>
      <c r="G193" s="11"/>
      <c r="H193" s="11"/>
      <c r="I193" s="11"/>
      <c r="J193" s="11"/>
    </row>
    <row r="194">
      <c r="A194">
        <f>IFERROR(__xludf.DUMMYFUNCTION("""COMPUTED_VALUE"""),227.0)</f>
        <v>227</v>
      </c>
      <c r="B194" s="11" t="str">
        <f>IFERROR(__xludf.DUMMYFUNCTION("""COMPUTED_VALUE"""),"I would like them to share any news/data breaches within the apps as well and notify me if my account has been affected.")</f>
        <v>I would like them to share any news/data breaches within the apps as well and notify me if my account has been affected.</v>
      </c>
      <c r="C194" s="11"/>
      <c r="D194" s="11"/>
      <c r="E194" s="11"/>
      <c r="F194" s="11"/>
      <c r="G194" s="11"/>
      <c r="H194" s="11"/>
      <c r="I194" s="11"/>
      <c r="J194" s="11"/>
    </row>
    <row r="195">
      <c r="A195">
        <f>IFERROR(__xludf.DUMMYFUNCTION("""COMPUTED_VALUE"""),228.0)</f>
        <v>228</v>
      </c>
      <c r="B195" s="11" t="str">
        <f>IFERROR(__xludf.DUMMYFUNCTION("""COMPUTED_VALUE"""),"None")</f>
        <v>None</v>
      </c>
      <c r="C195" s="11"/>
      <c r="D195" s="11"/>
      <c r="E195" s="11"/>
      <c r="F195" s="11"/>
      <c r="G195" s="11"/>
      <c r="H195" s="11"/>
      <c r="I195" s="11"/>
      <c r="J195" s="11"/>
    </row>
    <row r="196">
      <c r="A196">
        <f>IFERROR(__xludf.DUMMYFUNCTION("""COMPUTED_VALUE"""),229.0)</f>
        <v>229</v>
      </c>
      <c r="B196" s="11" t="str">
        <f>IFERROR(__xludf.DUMMYFUNCTION("""COMPUTED_VALUE"""),"None that I can think of")</f>
        <v>None that I can think of</v>
      </c>
      <c r="C196" s="11"/>
      <c r="D196" s="11"/>
      <c r="E196" s="11"/>
      <c r="F196" s="11"/>
      <c r="G196" s="11"/>
      <c r="H196" s="11"/>
      <c r="I196" s="11"/>
      <c r="J196" s="11"/>
    </row>
    <row r="197">
      <c r="A197">
        <f>IFERROR(__xludf.DUMMYFUNCTION("""COMPUTED_VALUE"""),230.0)</f>
        <v>230</v>
      </c>
      <c r="B197" s="11" t="str">
        <f>IFERROR(__xludf.DUMMYFUNCTION("""COMPUTED_VALUE"""),"I'm actually pretty satisfied with the information available on this page.")</f>
        <v>I'm actually pretty satisfied with the information available on this page.</v>
      </c>
      <c r="C197" s="11"/>
      <c r="D197" s="11"/>
      <c r="E197" s="11"/>
      <c r="F197" s="11"/>
      <c r="G197" s="11"/>
      <c r="H197" s="11"/>
      <c r="I197" s="11"/>
      <c r="J197" s="11"/>
    </row>
    <row r="198">
      <c r="A198">
        <f>IFERROR(__xludf.DUMMYFUNCTION("""COMPUTED_VALUE"""),231.0)</f>
        <v>231</v>
      </c>
      <c r="B198" s="11" t="str">
        <f>IFERROR(__xludf.DUMMYFUNCTION("""COMPUTED_VALUE"""),"A direct, easy way to adjust what information is shared.")</f>
        <v>A direct, easy way to adjust what information is shared.</v>
      </c>
      <c r="C198" s="11"/>
      <c r="D198" s="11"/>
      <c r="E198" s="11"/>
      <c r="F198" s="11"/>
      <c r="G198" s="11"/>
      <c r="H198" s="11"/>
      <c r="I198" s="11"/>
      <c r="J198" s="11"/>
    </row>
    <row r="199">
      <c r="A199">
        <f>IFERROR(__xludf.DUMMYFUNCTION("""COMPUTED_VALUE"""),232.0)</f>
        <v>232</v>
      </c>
      <c r="B199" s="11" t="str">
        <f>IFERROR(__xludf.DUMMYFUNCTION("""COMPUTED_VALUE"""),"n/a")</f>
        <v>n/a</v>
      </c>
      <c r="C199" s="11"/>
      <c r="D199" s="11"/>
      <c r="E199" s="11"/>
      <c r="F199" s="11"/>
      <c r="G199" s="11"/>
      <c r="H199" s="11"/>
      <c r="I199" s="11"/>
      <c r="J199" s="11"/>
    </row>
    <row r="200">
      <c r="A200">
        <f>IFERROR(__xludf.DUMMYFUNCTION("""COMPUTED_VALUE"""),233.0)</f>
        <v>233</v>
      </c>
      <c r="B200" s="11" t="str">
        <f>IFERROR(__xludf.DUMMYFUNCTION("""COMPUTED_VALUE"""),"None")</f>
        <v>None</v>
      </c>
      <c r="C200" s="11"/>
      <c r="D200" s="11"/>
      <c r="E200" s="11"/>
      <c r="F200" s="11"/>
      <c r="G200" s="11"/>
      <c r="H200" s="11"/>
      <c r="I200" s="11"/>
      <c r="J200" s="11"/>
    </row>
    <row r="201">
      <c r="A201">
        <f>IFERROR(__xludf.DUMMYFUNCTION("""COMPUTED_VALUE"""),234.0)</f>
        <v>234</v>
      </c>
      <c r="B201" s="11" t="str">
        <f>IFERROR(__xludf.DUMMYFUNCTION("""COMPUTED_VALUE"""),"Not sure")</f>
        <v>Not sure</v>
      </c>
      <c r="C201" s="11"/>
      <c r="D201" s="11"/>
      <c r="E201" s="11"/>
      <c r="F201" s="11"/>
      <c r="G201" s="11"/>
      <c r="H201" s="11"/>
      <c r="I201" s="11"/>
      <c r="J201" s="11"/>
    </row>
    <row r="202">
      <c r="A202">
        <f>IFERROR(__xludf.DUMMYFUNCTION("""COMPUTED_VALUE"""),235.0)</f>
        <v>235</v>
      </c>
      <c r="B202" s="11" t="str">
        <f>IFERROR(__xludf.DUMMYFUNCTION("""COMPUTED_VALUE"""),"Maybe this is a feature and I missed it but, I would like to revoke specific access like not allowing drive but allowing google play.")</f>
        <v>Maybe this is a feature and I missed it but, I would like to revoke specific access like not allowing drive but allowing google play.</v>
      </c>
      <c r="C202" s="11"/>
      <c r="D202" s="11"/>
      <c r="E202" s="11"/>
      <c r="F202" s="11"/>
      <c r="G202" s="11"/>
      <c r="H202" s="11"/>
      <c r="I202" s="11"/>
      <c r="J202" s="11"/>
    </row>
    <row r="203">
      <c r="A203">
        <f>IFERROR(__xludf.DUMMYFUNCTION("""COMPUTED_VALUE"""),236.0)</f>
        <v>236</v>
      </c>
      <c r="B203" s="11" t="str">
        <f>IFERROR(__xludf.DUMMYFUNCTION("""COMPUTED_VALUE"""),"Paid site information, verify my information is safe")</f>
        <v>Paid site information, verify my information is safe</v>
      </c>
      <c r="C203" s="11"/>
      <c r="D203" s="11"/>
      <c r="E203" s="11"/>
      <c r="F203" s="11"/>
      <c r="G203" s="11"/>
      <c r="H203" s="11"/>
      <c r="I203" s="11"/>
      <c r="J203" s="11"/>
    </row>
    <row r="204">
      <c r="A204">
        <f>IFERROR(__xludf.DUMMYFUNCTION("""COMPUTED_VALUE"""),237.0)</f>
        <v>237</v>
      </c>
      <c r="B204" s="11" t="str">
        <f>IFERROR(__xludf.DUMMYFUNCTION("""COMPUTED_VALUE"""),"How to remove my information from said apps.")</f>
        <v>How to remove my information from said apps.</v>
      </c>
      <c r="C204" s="11"/>
      <c r="D204" s="11"/>
      <c r="E204" s="11"/>
      <c r="F204" s="11"/>
      <c r="G204" s="11"/>
      <c r="H204" s="11"/>
      <c r="I204" s="11"/>
      <c r="J204" s="11"/>
    </row>
    <row r="205">
      <c r="A205">
        <f>IFERROR(__xludf.DUMMYFUNCTION("""COMPUTED_VALUE"""),238.0)</f>
        <v>238</v>
      </c>
      <c r="B205" s="11" t="str">
        <f>IFERROR(__xludf.DUMMYFUNCTION("""COMPUTED_VALUE"""),"None.")</f>
        <v>None.</v>
      </c>
      <c r="C205" s="11"/>
      <c r="D205" s="11"/>
      <c r="E205" s="11"/>
      <c r="F205" s="11"/>
      <c r="G205" s="11"/>
      <c r="H205" s="11"/>
      <c r="I205" s="11"/>
      <c r="J205" s="11"/>
    </row>
    <row r="206">
      <c r="A206">
        <f>IFERROR(__xludf.DUMMYFUNCTION("""COMPUTED_VALUE"""),239.0)</f>
        <v>239</v>
      </c>
      <c r="B206" s="11" t="str">
        <f>IFERROR(__xludf.DUMMYFUNCTION("""COMPUTED_VALUE"""),"Nothing.")</f>
        <v>Nothing.</v>
      </c>
      <c r="C206" s="11"/>
      <c r="D206" s="11"/>
      <c r="E206" s="11"/>
      <c r="F206" s="11"/>
      <c r="G206" s="11"/>
      <c r="H206" s="11"/>
      <c r="I206" s="11"/>
      <c r="J206" s="11"/>
    </row>
    <row r="207">
      <c r="A207">
        <f>IFERROR(__xludf.DUMMYFUNCTION("""COMPUTED_VALUE"""),240.0)</f>
        <v>240</v>
      </c>
      <c r="B207" s="11" t="str">
        <f>IFERROR(__xludf.DUMMYFUNCTION("""COMPUTED_VALUE"""),"not sure")</f>
        <v>not sure</v>
      </c>
      <c r="C207" s="11"/>
      <c r="D207" s="11"/>
      <c r="E207" s="11"/>
      <c r="F207" s="11"/>
      <c r="G207" s="11"/>
      <c r="H207" s="11"/>
      <c r="I207" s="11"/>
      <c r="J207" s="11"/>
    </row>
    <row r="208">
      <c r="A208">
        <f>IFERROR(__xludf.DUMMYFUNCTION("""COMPUTED_VALUE"""),241.0)</f>
        <v>241</v>
      </c>
      <c r="B208" s="11" t="str">
        <f>IFERROR(__xludf.DUMMYFUNCTION("""COMPUTED_VALUE"""),"An easy way to remove access. Kind of like a kill-switch.")</f>
        <v>An easy way to remove access. Kind of like a kill-switch.</v>
      </c>
      <c r="C208" s="11"/>
      <c r="D208" s="11"/>
      <c r="E208" s="11"/>
      <c r="F208" s="11"/>
      <c r="G208" s="11"/>
      <c r="H208" s="11"/>
      <c r="I208" s="11"/>
      <c r="J208" s="11"/>
    </row>
    <row r="209">
      <c r="A209">
        <f>IFERROR(__xludf.DUMMYFUNCTION("""COMPUTED_VALUE"""),242.0)</f>
        <v>242</v>
      </c>
      <c r="B209" s="11" t="str">
        <f>IFERROR(__xludf.DUMMYFUNCTION("""COMPUTED_VALUE"""),"It would be cool if you could just give access to certain things and not others. Like turn off contacts and leave email on.")</f>
        <v>It would be cool if you could just give access to certain things and not others. Like turn off contacts and leave email on.</v>
      </c>
      <c r="C209" s="11"/>
      <c r="D209" s="11"/>
      <c r="E209" s="11"/>
      <c r="F209" s="11"/>
      <c r="G209" s="11"/>
      <c r="H209" s="11"/>
      <c r="I209" s="11"/>
      <c r="J209" s="11"/>
    </row>
    <row r="210">
      <c r="A210">
        <f>IFERROR(__xludf.DUMMYFUNCTION("""COMPUTED_VALUE"""),243.0)</f>
        <v>243</v>
      </c>
      <c r="B210" s="11" t="str">
        <f>IFERROR(__xludf.DUMMYFUNCTION("""COMPUTED_VALUE"""),"I cannot think of any")</f>
        <v>I cannot think of any</v>
      </c>
      <c r="C210" s="11"/>
      <c r="D210" s="11"/>
      <c r="E210" s="11"/>
      <c r="F210" s="11"/>
      <c r="G210" s="11"/>
      <c r="H210" s="11"/>
      <c r="I210" s="11"/>
      <c r="J210" s="11"/>
    </row>
    <row r="211">
      <c r="A211">
        <f>IFERROR(__xludf.DUMMYFUNCTION("""COMPUTED_VALUE"""),244.0)</f>
        <v>244</v>
      </c>
      <c r="B211" s="11" t="str">
        <f>IFERROR(__xludf.DUMMYFUNCTION("""COMPUTED_VALUE"""),"Maybe a time/date that they were given access.")</f>
        <v>Maybe a time/date that they were given access.</v>
      </c>
      <c r="C211" s="11"/>
      <c r="D211" s="11"/>
      <c r="E211" s="11"/>
      <c r="F211" s="11"/>
      <c r="G211" s="11"/>
      <c r="H211" s="11"/>
      <c r="I211" s="11"/>
      <c r="J211" s="11"/>
    </row>
    <row r="212">
      <c r="A212">
        <f>IFERROR(__xludf.DUMMYFUNCTION("""COMPUTED_VALUE"""),245.0)</f>
        <v>245</v>
      </c>
      <c r="B212" s="11" t="str">
        <f>IFERROR(__xludf.DUMMYFUNCTION("""COMPUTED_VALUE"""),"alerts")</f>
        <v>alerts</v>
      </c>
      <c r="C212" s="11"/>
      <c r="D212" s="11"/>
      <c r="E212" s="11"/>
      <c r="F212" s="11"/>
      <c r="G212" s="11"/>
      <c r="H212" s="11"/>
      <c r="I212" s="11"/>
      <c r="J212" s="11"/>
    </row>
    <row r="213">
      <c r="A213">
        <f>IFERROR(__xludf.DUMMYFUNCTION("""COMPUTED_VALUE"""),246.0)</f>
        <v>246</v>
      </c>
      <c r="B213" s="11" t="str">
        <f>IFERROR(__xludf.DUMMYFUNCTION("""COMPUTED_VALUE"""),"dont care about this")</f>
        <v>dont care about this</v>
      </c>
      <c r="C213" s="11"/>
      <c r="D213" s="11"/>
      <c r="E213" s="11"/>
      <c r="F213" s="11"/>
      <c r="G213" s="11"/>
      <c r="H213" s="11"/>
      <c r="I213" s="11"/>
      <c r="J213" s="11"/>
    </row>
    <row r="214">
      <c r="A214">
        <f>IFERROR(__xludf.DUMMYFUNCTION("""COMPUTED_VALUE"""),247.0)</f>
        <v>247</v>
      </c>
      <c r="B214" s="11" t="str">
        <f>IFERROR(__xludf.DUMMYFUNCTION("""COMPUTED_VALUE"""),"Comments from other users if they have concerns about how the app is using their information")</f>
        <v>Comments from other users if they have concerns about how the app is using their information</v>
      </c>
      <c r="C214" s="11"/>
      <c r="D214" s="11"/>
      <c r="E214" s="11"/>
      <c r="F214" s="11"/>
      <c r="G214" s="11"/>
      <c r="H214" s="11"/>
      <c r="I214" s="11"/>
      <c r="J214" s="11"/>
    </row>
    <row r="215">
      <c r="A215">
        <f>IFERROR(__xludf.DUMMYFUNCTION("""COMPUTED_VALUE"""),248.0)</f>
        <v>248</v>
      </c>
      <c r="B215" s="11" t="str">
        <f>IFERROR(__xludf.DUMMYFUNCTION("""COMPUTED_VALUE"""),"Explanations of the more vague permissions")</f>
        <v>Explanations of the more vague permissions</v>
      </c>
      <c r="C215" s="11"/>
      <c r="D215" s="11"/>
      <c r="E215" s="11"/>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30.86"/>
  </cols>
  <sheetData>
    <row r="1">
      <c r="A1" s="15" t="s">
        <v>785</v>
      </c>
      <c r="B1" s="28"/>
      <c r="C1" s="28"/>
      <c r="D1" s="28"/>
      <c r="E1" s="15" t="s">
        <v>786</v>
      </c>
      <c r="F1" s="28"/>
    </row>
    <row r="2">
      <c r="A2" s="28" t="str">
        <f>IFERROR(__xludf.DUMMYFUNCTION("QUERY({'Q21 (secondary)'!C2:C1000;'Q21 (secondary)'!D2:D1000;'Q21 (secondary)'!E2:E1000;'Q21 (secondary)'!F2:F1000;'Q21 (secondary)'!G2:G1000;'Q21 (secondary)'!H2:H1000;'Q21 (secondary)'!I2:I1000;'Q21 (secondary)'!J2:J1000;'Q21 (secondary)'!K2:K1000}, ""s"&amp;"elect Col1, count(Col1) where Col1 is not null group by Col1 order by Col1 asc"")"),"")</f>
        <v/>
      </c>
      <c r="B2" s="28" t="str">
        <f>IFERROR(__xludf.DUMMYFUNCTION("""COMPUTED_VALUE"""),"count ")</f>
        <v>count </v>
      </c>
      <c r="C2" s="28"/>
      <c r="D2" s="28"/>
      <c r="E2" s="28" t="str">
        <f>IFERROR(__xludf.DUMMYFUNCTION("QUERY({'Q21 (primary)'!C2:C1000;'Q21 (primary)'!D2:D1000;'Q21 (primary)'!E2:E1000;'Q21 (primary)'!F2:F1000;'Q21 (primary)'!G2:G1000;'Q21 (primary)'!H2:H1000;'Q21 (primary)'!I2:I1000;'Q21 (primary)'!J2:J1000;'Q21 (primary)'!K2:K1000}, ""select Col1, count("&amp;"Col1) where Col1 is not null and not Col1 contains '-&gt;' group by Col1 order by count(Col1) asc"")"),"")</f>
        <v/>
      </c>
      <c r="F2" s="28" t="str">
        <f>IFERROR(__xludf.DUMMYFUNCTION("""COMPUTED_VALUE"""),"count ")</f>
        <v>count </v>
      </c>
    </row>
    <row r="3">
      <c r="A3" t="str">
        <f>IFERROR(__xludf.DUMMYFUNCTION("""COMPUTED_VALUE"""),"ability_to_limit_access")</f>
        <v>ability_to_limit_access</v>
      </c>
      <c r="B3">
        <f>IFERROR(__xludf.DUMMYFUNCTION("""COMPUTED_VALUE"""),6.0)</f>
        <v>6</v>
      </c>
      <c r="E3" t="str">
        <f>IFERROR(__xludf.DUMMYFUNCTION("""COMPUTED_VALUE"""),"user_reviews")</f>
        <v>user_reviews</v>
      </c>
      <c r="F3">
        <f>IFERROR(__xludf.DUMMYFUNCTION("""COMPUTED_VALUE"""),1.0)</f>
        <v>1</v>
      </c>
    </row>
    <row r="4">
      <c r="A4" t="str">
        <f>IFERROR(__xludf.DUMMYFUNCTION("""COMPUTED_VALUE"""),"ability_to_limit_access-&gt;remove_access_if_not_used")</f>
        <v>ability_to_limit_access-&gt;remove_access_if_not_used</v>
      </c>
      <c r="B4">
        <f>IFERROR(__xludf.DUMMYFUNCTION("""COMPUTED_VALUE"""),2.0)</f>
        <v>2</v>
      </c>
      <c r="E4" t="str">
        <f>IFERROR(__xludf.DUMMYFUNCTION("""COMPUTED_VALUE"""),"ability_to_secure_data")</f>
        <v>ability_to_secure_data</v>
      </c>
      <c r="F4">
        <f>IFERROR(__xludf.DUMMYFUNCTION("""COMPUTED_VALUE"""),3.0)</f>
        <v>3</v>
      </c>
    </row>
    <row r="5">
      <c r="A5" t="str">
        <f>IFERROR(__xludf.DUMMYFUNCTION("""COMPUTED_VALUE"""),"ability_to_limit_access-&gt;temporarily_block_app_access")</f>
        <v>ability_to_limit_access-&gt;temporarily_block_app_access</v>
      </c>
      <c r="B5">
        <f>IFERROR(__xludf.DUMMYFUNCTION("""COMPUTED_VALUE"""),1.0)</f>
        <v>1</v>
      </c>
      <c r="E5" t="str">
        <f>IFERROR(__xludf.DUMMYFUNCTION("""COMPUTED_VALUE"""),"require_reauthorization")</f>
        <v>require_reauthorization</v>
      </c>
      <c r="F5">
        <f>IFERROR(__xludf.DUMMYFUNCTION("""COMPUTED_VALUE"""),3.0)</f>
        <v>3</v>
      </c>
    </row>
    <row r="6">
      <c r="A6" t="str">
        <f>IFERROR(__xludf.DUMMYFUNCTION("""COMPUTED_VALUE"""),"ability_to_limit_access-&gt;time_limits")</f>
        <v>ability_to_limit_access-&gt;time_limits</v>
      </c>
      <c r="B6">
        <f>IFERROR(__xludf.DUMMYFUNCTION("""COMPUTED_VALUE"""),1.0)</f>
        <v>1</v>
      </c>
      <c r="E6" t="str">
        <f>IFERROR(__xludf.DUMMYFUNCTION("""COMPUTED_VALUE"""),"unsure")</f>
        <v>unsure</v>
      </c>
      <c r="F6">
        <f>IFERROR(__xludf.DUMMYFUNCTION("""COMPUTED_VALUE"""),6.0)</f>
        <v>6</v>
      </c>
    </row>
    <row r="7">
      <c r="A7" t="str">
        <f>IFERROR(__xludf.DUMMYFUNCTION("""COMPUTED_VALUE"""),"ability_to_secure_data")</f>
        <v>ability_to_secure_data</v>
      </c>
      <c r="B7">
        <f>IFERROR(__xludf.DUMMYFUNCTION("""COMPUTED_VALUE"""),1.0)</f>
        <v>1</v>
      </c>
      <c r="E7" t="str">
        <f>IFERROR(__xludf.DUMMYFUNCTION("""COMPUTED_VALUE"""),"ability_to_limit_access")</f>
        <v>ability_to_limit_access</v>
      </c>
      <c r="F7">
        <f>IFERROR(__xludf.DUMMYFUNCTION("""COMPUTED_VALUE"""),7.0)</f>
        <v>7</v>
      </c>
    </row>
    <row r="8">
      <c r="A8" t="str">
        <f>IFERROR(__xludf.DUMMYFUNCTION("""COMPUTED_VALUE"""),"easier_access_removal")</f>
        <v>easier_access_removal</v>
      </c>
      <c r="B8">
        <f>IFERROR(__xludf.DUMMYFUNCTION("""COMPUTED_VALUE"""),3.0)</f>
        <v>3</v>
      </c>
      <c r="E8" t="str">
        <f>IFERROR(__xludf.DUMMYFUNCTION("""COMPUTED_VALUE"""),"permission_level_control")</f>
        <v>permission_level_control</v>
      </c>
      <c r="F8">
        <f>IFERROR(__xludf.DUMMYFUNCTION("""COMPUTED_VALUE"""),9.0)</f>
        <v>9</v>
      </c>
    </row>
    <row r="9">
      <c r="A9" t="str">
        <f>IFERROR(__xludf.DUMMYFUNCTION("""COMPUTED_VALUE"""),"improved_user_interface")</f>
        <v>improved_user_interface</v>
      </c>
      <c r="B9">
        <f>IFERROR(__xludf.DUMMYFUNCTION("""COMPUTED_VALUE"""),5.0)</f>
        <v>5</v>
      </c>
      <c r="E9" t="str">
        <f>IFERROR(__xludf.DUMMYFUNCTION("""COMPUTED_VALUE"""),"notifications")</f>
        <v>notifications</v>
      </c>
      <c r="F9">
        <f>IFERROR(__xludf.DUMMYFUNCTION("""COMPUTED_VALUE"""),14.0)</f>
        <v>14</v>
      </c>
    </row>
    <row r="10">
      <c r="A10" t="str">
        <f>IFERROR(__xludf.DUMMYFUNCTION("""COMPUTED_VALUE"""),"improved_user_interface-&gt;easier_to_access_page")</f>
        <v>improved_user_interface-&gt;easier_to_access_page</v>
      </c>
      <c r="B10">
        <f>IFERROR(__xludf.DUMMYFUNCTION("""COMPUTED_VALUE"""),2.0)</f>
        <v>2</v>
      </c>
      <c r="E10" t="str">
        <f>IFERROR(__xludf.DUMMYFUNCTION("""COMPUTED_VALUE"""),"easier_access_removal")</f>
        <v>easier_access_removal</v>
      </c>
      <c r="F10">
        <f>IFERROR(__xludf.DUMMYFUNCTION("""COMPUTED_VALUE"""),17.0)</f>
        <v>17</v>
      </c>
    </row>
    <row r="11">
      <c r="A11" t="str">
        <f>IFERROR(__xludf.DUMMYFUNCTION("""COMPUTED_VALUE"""),"improved_user_interface-&gt;filter_by_authorization_date")</f>
        <v>improved_user_interface-&gt;filter_by_authorization_date</v>
      </c>
      <c r="B11">
        <f>IFERROR(__xludf.DUMMYFUNCTION("""COMPUTED_VALUE"""),1.0)</f>
        <v>1</v>
      </c>
      <c r="E11" t="str">
        <f>IFERROR(__xludf.DUMMYFUNCTION("""COMPUTED_VALUE"""),"improved_user_interface")</f>
        <v>improved_user_interface</v>
      </c>
      <c r="F11">
        <f>IFERROR(__xludf.DUMMYFUNCTION("""COMPUTED_VALUE"""),17.0)</f>
        <v>17</v>
      </c>
    </row>
    <row r="12">
      <c r="A12" t="str">
        <f>IFERROR(__xludf.DUMMYFUNCTION("""COMPUTED_VALUE"""),"improved_user_interface-&gt;sort_apps_by_permission_type")</f>
        <v>improved_user_interface-&gt;sort_apps_by_permission_type</v>
      </c>
      <c r="B12">
        <f>IFERROR(__xludf.DUMMYFUNCTION("""COMPUTED_VALUE"""),1.0)</f>
        <v>1</v>
      </c>
      <c r="E12" t="str">
        <f>IFERROR(__xludf.DUMMYFUNCTION("""COMPUTED_VALUE"""),"more_transparency")</f>
        <v>more_transparency</v>
      </c>
      <c r="F12">
        <f>IFERROR(__xludf.DUMMYFUNCTION("""COMPUTED_VALUE"""),61.0)</f>
        <v>61</v>
      </c>
    </row>
    <row r="13">
      <c r="A13" t="str">
        <f>IFERROR(__xludf.DUMMYFUNCTION("""COMPUTED_VALUE"""),"improved_user_interface-&gt;specific_icons")</f>
        <v>improved_user_interface-&gt;specific_icons</v>
      </c>
      <c r="B13">
        <f>IFERROR(__xludf.DUMMYFUNCTION("""COMPUTED_VALUE"""),1.0)</f>
        <v>1</v>
      </c>
      <c r="E13" t="str">
        <f>IFERROR(__xludf.DUMMYFUNCTION("""COMPUTED_VALUE"""),"none")</f>
        <v>none</v>
      </c>
      <c r="F13">
        <f>IFERROR(__xludf.DUMMYFUNCTION("""COMPUTED_VALUE"""),86.0)</f>
        <v>86</v>
      </c>
    </row>
    <row r="14">
      <c r="A14" t="str">
        <f>IFERROR(__xludf.DUMMYFUNCTION("""COMPUTED_VALUE"""),"more_transparency")</f>
        <v>more_transparency</v>
      </c>
      <c r="B14">
        <f>IFERROR(__xludf.DUMMYFUNCTION("""COMPUTED_VALUE"""),12.0)</f>
        <v>12</v>
      </c>
    </row>
    <row r="15">
      <c r="A15" t="str">
        <f>IFERROR(__xludf.DUMMYFUNCTION("""COMPUTED_VALUE"""),"more_transparency-&gt;data_access_logs")</f>
        <v>more_transparency-&gt;data_access_logs</v>
      </c>
      <c r="B15">
        <f>IFERROR(__xludf.DUMMYFUNCTION("""COMPUTED_VALUE"""),1.0)</f>
        <v>1</v>
      </c>
    </row>
    <row r="16">
      <c r="A16" t="str">
        <f>IFERROR(__xludf.DUMMYFUNCTION("""COMPUTED_VALUE"""),"more_transparency-&gt;how_data_used")</f>
        <v>more_transparency-&gt;how_data_used</v>
      </c>
      <c r="B16">
        <f>IFERROR(__xludf.DUMMYFUNCTION("""COMPUTED_VALUE"""),1.0)</f>
        <v>1</v>
      </c>
    </row>
    <row r="17">
      <c r="A17" t="str">
        <f>IFERROR(__xludf.DUMMYFUNCTION("""COMPUTED_VALUE"""),"more_transparency-&gt;how_to_remove_information")</f>
        <v>more_transparency-&gt;how_to_remove_information</v>
      </c>
      <c r="B17">
        <f>IFERROR(__xludf.DUMMYFUNCTION("""COMPUTED_VALUE"""),1.0)</f>
        <v>1</v>
      </c>
    </row>
    <row r="18">
      <c r="A18" t="str">
        <f>IFERROR(__xludf.DUMMYFUNCTION("""COMPUTED_VALUE"""),"more_transparency-&gt;listing_of_sites_indirectly_accessing")</f>
        <v>more_transparency-&gt;listing_of_sites_indirectly_accessing</v>
      </c>
      <c r="B18">
        <f>IFERROR(__xludf.DUMMYFUNCTION("""COMPUTED_VALUE"""),1.0)</f>
        <v>1</v>
      </c>
    </row>
    <row r="19">
      <c r="A19" t="str">
        <f>IFERROR(__xludf.DUMMYFUNCTION("""COMPUTED_VALUE"""),"more_transparency-&gt;location_of_app_access")</f>
        <v>more_transparency-&gt;location_of_app_access</v>
      </c>
      <c r="B19">
        <f>IFERROR(__xludf.DUMMYFUNCTION("""COMPUTED_VALUE"""),1.0)</f>
        <v>1</v>
      </c>
    </row>
    <row r="20">
      <c r="A20" t="str">
        <f>IFERROR(__xludf.DUMMYFUNCTION("""COMPUTED_VALUE"""),"more_transparency-&gt;misuse_reports")</f>
        <v>more_transparency-&gt;misuse_reports</v>
      </c>
      <c r="B20">
        <f>IFERROR(__xludf.DUMMYFUNCTION("""COMPUTED_VALUE"""),1.0)</f>
        <v>1</v>
      </c>
    </row>
    <row r="21">
      <c r="A21" t="str">
        <f>IFERROR(__xludf.DUMMYFUNCTION("""COMPUTED_VALUE"""),"more_transparency-&gt;what_data_accessible")</f>
        <v>more_transparency-&gt;what_data_accessible</v>
      </c>
      <c r="B21">
        <f>IFERROR(__xludf.DUMMYFUNCTION("""COMPUTED_VALUE"""),2.0)</f>
        <v>2</v>
      </c>
    </row>
    <row r="22">
      <c r="A22" t="str">
        <f>IFERROR(__xludf.DUMMYFUNCTION("""COMPUTED_VALUE"""),"more_transparency-&gt;when_access_authorized")</f>
        <v>more_transparency-&gt;when_access_authorized</v>
      </c>
      <c r="B22">
        <f>IFERROR(__xludf.DUMMYFUNCTION("""COMPUTED_VALUE"""),1.0)</f>
        <v>1</v>
      </c>
    </row>
    <row r="23">
      <c r="A23" t="str">
        <f>IFERROR(__xludf.DUMMYFUNCTION("""COMPUTED_VALUE"""),"none")</f>
        <v>none</v>
      </c>
      <c r="B23">
        <f>IFERROR(__xludf.DUMMYFUNCTION("""COMPUTED_VALUE"""),12.0)</f>
        <v>12</v>
      </c>
    </row>
    <row r="24">
      <c r="A24" t="str">
        <f>IFERROR(__xludf.DUMMYFUNCTION("""COMPUTED_VALUE"""),"notifications")</f>
        <v>notifications</v>
      </c>
      <c r="B24">
        <f>IFERROR(__xludf.DUMMYFUNCTION("""COMPUTED_VALUE"""),4.0)</f>
        <v>4</v>
      </c>
    </row>
    <row r="25">
      <c r="A25" t="str">
        <f>IFERROR(__xludf.DUMMYFUNCTION("""COMPUTED_VALUE"""),"notifications-&gt;reminders-&gt;by_date")</f>
        <v>notifications-&gt;reminders-&gt;by_date</v>
      </c>
      <c r="B25">
        <f>IFERROR(__xludf.DUMMYFUNCTION("""COMPUTED_VALUE"""),2.0)</f>
        <v>2</v>
      </c>
    </row>
    <row r="26">
      <c r="A26" t="str">
        <f>IFERROR(__xludf.DUMMYFUNCTION("""COMPUTED_VALUE"""),"notifications-&gt;reminders-&gt;monthly")</f>
        <v>notifications-&gt;reminders-&gt;monthly</v>
      </c>
      <c r="B26">
        <f>IFERROR(__xludf.DUMMYFUNCTION("""COMPUTED_VALUE"""),1.0)</f>
        <v>1</v>
      </c>
    </row>
    <row r="27">
      <c r="A27" t="str">
        <f>IFERROR(__xludf.DUMMYFUNCTION("""COMPUTED_VALUE"""),"notifications-&gt;when_account_accessed")</f>
        <v>notifications-&gt;when_account_accessed</v>
      </c>
      <c r="B27">
        <f>IFERROR(__xludf.DUMMYFUNCTION("""COMPUTED_VALUE"""),1.0)</f>
        <v>1</v>
      </c>
    </row>
    <row r="28">
      <c r="A28" t="str">
        <f>IFERROR(__xludf.DUMMYFUNCTION("""COMPUTED_VALUE"""),"permission_level_control")</f>
        <v>permission_level_control</v>
      </c>
      <c r="B28">
        <f>IFERROR(__xludf.DUMMYFUNCTION("""COMPUTED_VALUE"""),1.0)</f>
        <v>1</v>
      </c>
    </row>
    <row r="29">
      <c r="A29" t="str">
        <f>IFERROR(__xludf.DUMMYFUNCTION("""COMPUTED_VALUE"""),"permission_level_control-&gt;set_some_permissions_never_use")</f>
        <v>permission_level_control-&gt;set_some_permissions_never_use</v>
      </c>
      <c r="B29">
        <f>IFERROR(__xludf.DUMMYFUNCTION("""COMPUTED_VALUE"""),1.0)</f>
        <v>1</v>
      </c>
    </row>
    <row r="30">
      <c r="A30" t="str">
        <f>IFERROR(__xludf.DUMMYFUNCTION("""COMPUTED_VALUE"""),"unsure")</f>
        <v>unsure</v>
      </c>
      <c r="B30">
        <f>IFERROR(__xludf.DUMMYFUNCTION("""COMPUTED_VALUE"""),3.0)</f>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30.86"/>
  </cols>
  <sheetData>
    <row r="1">
      <c r="A1" s="15" t="s">
        <v>785</v>
      </c>
      <c r="B1" s="28"/>
      <c r="C1" s="28"/>
      <c r="D1" s="28"/>
      <c r="E1" s="15" t="s">
        <v>786</v>
      </c>
      <c r="F1" s="28"/>
    </row>
    <row r="2">
      <c r="A2" s="28" t="str">
        <f>IFERROR(__xludf.DUMMYFUNCTION("QUERY({'Q14-new (primary)'!C2:C1000;'Q14-new (primary)'!D2:D1000;'Q14-new (primary)'!E2:E1000;'Q14-new (primary)'!F2:F1000;'Q14-new (primary)'!G2:G1000;'Q14-new (primary)'!H2:H1000;'Q14-new (primary)'!I2:I1000;'Q14-new (primary)'!J2:J1000;'Q14-new (primar"&amp;"y)'!K2:K1000}, ""select Col1, count(Col1) where Col1 is not null group by Col1 order by Col1 asc"")"),"")</f>
        <v/>
      </c>
      <c r="B2" s="28" t="str">
        <f>IFERROR(__xludf.DUMMYFUNCTION("""COMPUTED_VALUE"""),"count ")</f>
        <v>count </v>
      </c>
      <c r="C2" s="28"/>
      <c r="D2" s="28"/>
      <c r="E2" s="28" t="str">
        <f>IFERROR(__xludf.DUMMYFUNCTION("QUERY({'Q14-new (primary)'!C2:C1000;'Q14-new (primary)'!D2:D1000;'Q14-new (primary)'!E2:E1000;'Q14-new (primary)'!F2:F1000;'Q14-new (primary)'!G2:G1000;'Q14-new (primary)'!H2:H1000;'Q14-new (primary)'!I2:I1000;'Q14-new (primary)'!J2:J1000;'Q14-new (primar"&amp;"y)'!K2:K1000}, ""select Col1, count(Col1) where Col1 is not null and not Col1 contains '-&gt;' group by Col1 order by count(Col1) desc"")"),"")</f>
        <v/>
      </c>
      <c r="F2" s="28" t="str">
        <f>IFERROR(__xludf.DUMMYFUNCTION("""COMPUTED_VALUE"""),"count ")</f>
        <v>count </v>
      </c>
    </row>
    <row r="3">
      <c r="A3" t="str">
        <f>IFERROR(__xludf.DUMMYFUNCTION("""COMPUTED_VALUE"""),"app_beneficial")</f>
        <v>app_beneficial</v>
      </c>
      <c r="B3">
        <f>IFERROR(__xludf.DUMMYFUNCTION("""COMPUTED_VALUE"""),6.0)</f>
        <v>6</v>
      </c>
      <c r="E3" t="str">
        <f>IFERROR(__xludf.DUMMYFUNCTION("""COMPUTED_VALUE"""),"unconcerned")</f>
        <v>unconcerned</v>
      </c>
      <c r="F3">
        <f>IFERROR(__xludf.DUMMYFUNCTION("""COMPUTED_VALUE"""),62.0)</f>
        <v>62</v>
      </c>
    </row>
    <row r="4">
      <c r="A4" t="str">
        <f>IFERROR(__xludf.DUMMYFUNCTION("""COMPUTED_VALUE"""),"concerned")</f>
        <v>concerned</v>
      </c>
      <c r="B4">
        <f>IFERROR(__xludf.DUMMYFUNCTION("""COMPUTED_VALUE"""),46.0)</f>
        <v>46</v>
      </c>
      <c r="E4" t="str">
        <f>IFERROR(__xludf.DUMMYFUNCTION("""COMPUTED_VALUE"""),"concerned")</f>
        <v>concerned</v>
      </c>
      <c r="F4">
        <f>IFERROR(__xludf.DUMMYFUNCTION("""COMPUTED_VALUE"""),46.0)</f>
        <v>46</v>
      </c>
    </row>
    <row r="5">
      <c r="A5" t="str">
        <f>IFERROR(__xludf.DUMMYFUNCTION("""COMPUTED_VALUE"""),"concerned-&gt;data_leak")</f>
        <v>concerned-&gt;data_leak</v>
      </c>
      <c r="B5">
        <f>IFERROR(__xludf.DUMMYFUNCTION("""COMPUTED_VALUE"""),1.0)</f>
        <v>1</v>
      </c>
      <c r="E5" t="str">
        <f>IFERROR(__xludf.DUMMYFUNCTION("""COMPUTED_VALUE"""),"trust_app")</f>
        <v>trust_app</v>
      </c>
      <c r="F5">
        <f>IFERROR(__xludf.DUMMYFUNCTION("""COMPUTED_VALUE"""),11.0)</f>
        <v>11</v>
      </c>
    </row>
    <row r="6">
      <c r="A6" t="str">
        <f>IFERROR(__xludf.DUMMYFUNCTION("""COMPUTED_VALUE"""),"concerned-&gt;misuse")</f>
        <v>concerned-&gt;misuse</v>
      </c>
      <c r="B6">
        <f>IFERROR(__xludf.DUMMYFUNCTION("""COMPUTED_VALUE"""),4.0)</f>
        <v>4</v>
      </c>
      <c r="E6" t="str">
        <f>IFERROR(__xludf.DUMMYFUNCTION("""COMPUTED_VALUE"""),"infrequent_use")</f>
        <v>infrequent_use</v>
      </c>
      <c r="F6">
        <f>IFERROR(__xludf.DUMMYFUNCTION("""COMPUTED_VALUE"""),8.0)</f>
        <v>8</v>
      </c>
    </row>
    <row r="7">
      <c r="A7" t="str">
        <f>IFERROR(__xludf.DUMMYFUNCTION("""COMPUTED_VALUE"""),"concerned-&gt;permissions")</f>
        <v>concerned-&gt;permissions</v>
      </c>
      <c r="B7">
        <f>IFERROR(__xludf.DUMMYFUNCTION("""COMPUTED_VALUE"""),9.0)</f>
        <v>9</v>
      </c>
      <c r="E7" t="str">
        <f>IFERROR(__xludf.DUMMYFUNCTION("""COMPUTED_VALUE"""),"app_beneficial")</f>
        <v>app_beneficial</v>
      </c>
      <c r="F7">
        <f>IFERROR(__xludf.DUMMYFUNCTION("""COMPUTED_VALUE"""),6.0)</f>
        <v>6</v>
      </c>
    </row>
    <row r="8">
      <c r="A8" t="str">
        <f>IFERROR(__xludf.DUMMYFUNCTION("""COMPUTED_VALUE"""),"concerned-&gt;permissions-&gt;delete")</f>
        <v>concerned-&gt;permissions-&gt;delete</v>
      </c>
      <c r="B8">
        <f>IFERROR(__xludf.DUMMYFUNCTION("""COMPUTED_VALUE"""),3.0)</f>
        <v>3</v>
      </c>
      <c r="E8" t="str">
        <f>IFERROR(__xludf.DUMMYFUNCTION("""COMPUTED_VALUE"""),"do_not_recall_authorizing")</f>
        <v>do_not_recall_authorizing</v>
      </c>
      <c r="F8">
        <f>IFERROR(__xludf.DUMMYFUNCTION("""COMPUTED_VALUE"""),5.0)</f>
        <v>5</v>
      </c>
    </row>
    <row r="9">
      <c r="A9" t="str">
        <f>IFERROR(__xludf.DUMMYFUNCTION("""COMPUTED_VALUE"""),"concerned-&gt;permissions-&gt;email")</f>
        <v>concerned-&gt;permissions-&gt;email</v>
      </c>
      <c r="B9">
        <f>IFERROR(__xludf.DUMMYFUNCTION("""COMPUTED_VALUE"""),5.0)</f>
        <v>5</v>
      </c>
      <c r="E9" t="str">
        <f>IFERROR(__xludf.DUMMYFUNCTION("""COMPUTED_VALUE"""),"will_remove_app_access")</f>
        <v>will_remove_app_access</v>
      </c>
      <c r="F9">
        <f>IFERROR(__xludf.DUMMYFUNCTION("""COMPUTED_VALUE"""),3.0)</f>
        <v>3</v>
      </c>
    </row>
    <row r="10">
      <c r="A10" t="str">
        <f>IFERROR(__xludf.DUMMYFUNCTION("""COMPUTED_VALUE"""),"concerned-&gt;permissions-&gt;google_drive")</f>
        <v>concerned-&gt;permissions-&gt;google_drive</v>
      </c>
      <c r="B10">
        <f>IFERROR(__xludf.DUMMYFUNCTION("""COMPUTED_VALUE"""),2.0)</f>
        <v>2</v>
      </c>
      <c r="E10" t="str">
        <f>IFERROR(__xludf.DUMMYFUNCTION("""COMPUTED_VALUE"""),"resigned")</f>
        <v>resigned</v>
      </c>
      <c r="F10">
        <f>IFERROR(__xludf.DUMMYFUNCTION("""COMPUTED_VALUE"""),1.0)</f>
        <v>1</v>
      </c>
    </row>
    <row r="11">
      <c r="A11" t="str">
        <f>IFERROR(__xludf.DUMMYFUNCTION("""COMPUTED_VALUE"""),"concerned-&gt;permissions-&gt;send_messages")</f>
        <v>concerned-&gt;permissions-&gt;send_messages</v>
      </c>
      <c r="B11">
        <f>IFERROR(__xludf.DUMMYFUNCTION("""COMPUTED_VALUE"""),1.0)</f>
        <v>1</v>
      </c>
      <c r="E11" t="str">
        <f>IFERROR(__xludf.DUMMYFUNCTION("""COMPUTED_VALUE"""),"will_review_app_access")</f>
        <v>will_review_app_access</v>
      </c>
      <c r="F11">
        <f>IFERROR(__xludf.DUMMYFUNCTION("""COMPUTED_VALUE"""),1.0)</f>
        <v>1</v>
      </c>
    </row>
    <row r="12">
      <c r="A12" t="str">
        <f>IFERROR(__xludf.DUMMYFUNCTION("""COMPUTED_VALUE"""),"concerned-&gt;permissions_after_deleted_app")</f>
        <v>concerned-&gt;permissions_after_deleted_app</v>
      </c>
      <c r="B12">
        <f>IFERROR(__xludf.DUMMYFUNCTION("""COMPUTED_VALUE"""),2.0)</f>
        <v>2</v>
      </c>
    </row>
    <row r="13">
      <c r="A13" t="str">
        <f>IFERROR(__xludf.DUMMYFUNCTION("""COMPUTED_VALUE"""),"concerned-&gt;personal_data")</f>
        <v>concerned-&gt;personal_data</v>
      </c>
      <c r="B13">
        <f>IFERROR(__xludf.DUMMYFUNCTION("""COMPUTED_VALUE"""),19.0)</f>
        <v>19</v>
      </c>
    </row>
    <row r="14">
      <c r="A14" t="str">
        <f>IFERROR(__xludf.DUMMYFUNCTION("""COMPUTED_VALUE"""),"concerned-&gt;personal_data-&gt;photos")</f>
        <v>concerned-&gt;personal_data-&gt;photos</v>
      </c>
      <c r="B14">
        <f>IFERROR(__xludf.DUMMYFUNCTION("""COMPUTED_VALUE"""),1.0)</f>
        <v>1</v>
      </c>
    </row>
    <row r="15">
      <c r="A15" t="str">
        <f>IFERROR(__xludf.DUMMYFUNCTION("""COMPUTED_VALUE"""),"concerned-&gt;personal_data-&gt;selling_data")</f>
        <v>concerned-&gt;personal_data-&gt;selling_data</v>
      </c>
      <c r="B15">
        <f>IFERROR(__xludf.DUMMYFUNCTION("""COMPUTED_VALUE"""),3.0)</f>
        <v>3</v>
      </c>
    </row>
    <row r="16">
      <c r="A16" t="str">
        <f>IFERROR(__xludf.DUMMYFUNCTION("""COMPUTED_VALUE"""),"concerned-&gt;personal_data-&gt;sensitive")</f>
        <v>concerned-&gt;personal_data-&gt;sensitive</v>
      </c>
      <c r="B16">
        <f>IFERROR(__xludf.DUMMYFUNCTION("""COMPUTED_VALUE"""),1.0)</f>
        <v>1</v>
      </c>
    </row>
    <row r="17">
      <c r="A17" t="str">
        <f>IFERROR(__xludf.DUMMYFUNCTION("""COMPUTED_VALUE"""),"concerned-&gt;privacy")</f>
        <v>concerned-&gt;privacy</v>
      </c>
      <c r="B17">
        <f>IFERROR(__xludf.DUMMYFUNCTION("""COMPUTED_VALUE"""),1.0)</f>
        <v>1</v>
      </c>
    </row>
    <row r="18">
      <c r="A18" t="str">
        <f>IFERROR(__xludf.DUMMYFUNCTION("""COMPUTED_VALUE"""),"concerned-&gt;tracking")</f>
        <v>concerned-&gt;tracking</v>
      </c>
      <c r="B18">
        <f>IFERROR(__xludf.DUMMYFUNCTION("""COMPUTED_VALUE"""),1.0)</f>
        <v>1</v>
      </c>
    </row>
    <row r="19">
      <c r="A19" t="str">
        <f>IFERROR(__xludf.DUMMYFUNCTION("""COMPUTED_VALUE"""),"concerned-&gt;unecessary_access_to_data")</f>
        <v>concerned-&gt;unecessary_access_to_data</v>
      </c>
      <c r="B19">
        <f>IFERROR(__xludf.DUMMYFUNCTION("""COMPUTED_VALUE"""),14.0)</f>
        <v>14</v>
      </c>
    </row>
    <row r="20">
      <c r="A20" t="str">
        <f>IFERROR(__xludf.DUMMYFUNCTION("""COMPUTED_VALUE"""),"do_not_recall_authorizing")</f>
        <v>do_not_recall_authorizing</v>
      </c>
      <c r="B20">
        <f>IFERROR(__xludf.DUMMYFUNCTION("""COMPUTED_VALUE"""),5.0)</f>
        <v>5</v>
      </c>
    </row>
    <row r="21">
      <c r="A21" t="str">
        <f>IFERROR(__xludf.DUMMYFUNCTION("""COMPUTED_VALUE"""),"do_not_recall_authorizing-&gt;app")</f>
        <v>do_not_recall_authorizing-&gt;app</v>
      </c>
      <c r="B21">
        <f>IFERROR(__xludf.DUMMYFUNCTION("""COMPUTED_VALUE"""),3.0)</f>
        <v>3</v>
      </c>
    </row>
    <row r="22">
      <c r="A22" t="str">
        <f>IFERROR(__xludf.DUMMYFUNCTION("""COMPUTED_VALUE"""),"do_not_recall_authorizing-&gt;permission")</f>
        <v>do_not_recall_authorizing-&gt;permission</v>
      </c>
      <c r="B22">
        <f>IFERROR(__xludf.DUMMYFUNCTION("""COMPUTED_VALUE"""),1.0)</f>
        <v>1</v>
      </c>
    </row>
    <row r="23">
      <c r="A23" t="str">
        <f>IFERROR(__xludf.DUMMYFUNCTION("""COMPUTED_VALUE"""),"infrequent_use")</f>
        <v>infrequent_use</v>
      </c>
      <c r="B23">
        <f>IFERROR(__xludf.DUMMYFUNCTION("""COMPUTED_VALUE"""),8.0)</f>
        <v>8</v>
      </c>
    </row>
    <row r="24">
      <c r="A24" t="str">
        <f>IFERROR(__xludf.DUMMYFUNCTION("""COMPUTED_VALUE"""),"resigned")</f>
        <v>resigned</v>
      </c>
      <c r="B24">
        <f>IFERROR(__xludf.DUMMYFUNCTION("""COMPUTED_VALUE"""),1.0)</f>
        <v>1</v>
      </c>
    </row>
    <row r="25">
      <c r="A25" t="str">
        <f>IFERROR(__xludf.DUMMYFUNCTION("""COMPUTED_VALUE"""),"trust_app")</f>
        <v>trust_app</v>
      </c>
      <c r="B25">
        <f>IFERROR(__xludf.DUMMYFUNCTION("""COMPUTED_VALUE"""),11.0)</f>
        <v>11</v>
      </c>
    </row>
    <row r="26">
      <c r="A26" t="str">
        <f>IFERROR(__xludf.DUMMYFUNCTION("""COMPUTED_VALUE"""),"unconcerned")</f>
        <v>unconcerned</v>
      </c>
      <c r="B26">
        <f>IFERROR(__xludf.DUMMYFUNCTION("""COMPUTED_VALUE"""),62.0)</f>
        <v>62</v>
      </c>
    </row>
    <row r="27">
      <c r="A27" t="str">
        <f>IFERROR(__xludf.DUMMYFUNCTION("""COMPUTED_VALUE"""),"unconcerned-&gt;low_permission_level")</f>
        <v>unconcerned-&gt;low_permission_level</v>
      </c>
      <c r="B27">
        <f>IFERROR(__xludf.DUMMYFUNCTION("""COMPUTED_VALUE"""),1.0)</f>
        <v>1</v>
      </c>
    </row>
    <row r="28">
      <c r="A28" t="str">
        <f>IFERROR(__xludf.DUMMYFUNCTION("""COMPUTED_VALUE"""),"will_remove_app_access")</f>
        <v>will_remove_app_access</v>
      </c>
      <c r="B28">
        <f>IFERROR(__xludf.DUMMYFUNCTION("""COMPUTED_VALUE"""),3.0)</f>
        <v>3</v>
      </c>
    </row>
    <row r="29">
      <c r="A29" t="str">
        <f>IFERROR(__xludf.DUMMYFUNCTION("""COMPUTED_VALUE"""),"will_review_app_access")</f>
        <v>will_review_app_access</v>
      </c>
      <c r="B29">
        <f>IFERROR(__xludf.DUMMYFUNCTION("""COMPUTED_VALUE"""),1.0)</f>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5.43"/>
    <col customWidth="1" min="2" max="2" width="48.14"/>
    <col customWidth="1" min="3" max="10" width="30.29"/>
  </cols>
  <sheetData>
    <row r="1">
      <c r="A1" s="15" t="str">
        <f>IFERROR(__xludf.DUMMYFUNCTION("QUERY('All Responses'!2:1001,""select A,B"")"),"Response ID")</f>
        <v>Response ID</v>
      </c>
      <c r="B1" s="16" t="str">
        <f>IFERROR(__xludf.DUMMYFUNCTION("""COMPUTED_VALUE"""),"describe_concern_newest_app")</f>
        <v>describe_concern_newest_app</v>
      </c>
      <c r="C1" s="16" t="s">
        <v>750</v>
      </c>
      <c r="D1" s="16" t="s">
        <v>751</v>
      </c>
      <c r="E1" s="16" t="s">
        <v>752</v>
      </c>
      <c r="F1" s="16" t="s">
        <v>753</v>
      </c>
      <c r="G1" s="16" t="s">
        <v>754</v>
      </c>
      <c r="H1" s="16" t="s">
        <v>755</v>
      </c>
      <c r="I1" s="16" t="s">
        <v>756</v>
      </c>
      <c r="J1" s="16" t="s">
        <v>757</v>
      </c>
    </row>
    <row r="2">
      <c r="A2">
        <f>IFERROR(__xludf.DUMMYFUNCTION("""COMPUTED_VALUE"""),27.0)</f>
        <v>27</v>
      </c>
      <c r="B2" s="11" t="str">
        <f>IFERROR(__xludf.DUMMYFUNCTION("""COMPUTED_VALUE"""),"i like earning cash back so i am not that concerned")</f>
        <v>i like earning cash back so i am not that concerned</v>
      </c>
      <c r="C2" s="3" t="s">
        <v>758</v>
      </c>
      <c r="D2" s="3" t="s">
        <v>759</v>
      </c>
      <c r="E2" s="11"/>
      <c r="F2" s="11"/>
      <c r="G2" s="11"/>
      <c r="H2" s="11"/>
      <c r="I2" s="11"/>
      <c r="J2" s="11"/>
    </row>
    <row r="3">
      <c r="A3">
        <f>IFERROR(__xludf.DUMMYFUNCTION("""COMPUTED_VALUE"""),29.0)</f>
        <v>29</v>
      </c>
      <c r="B3" s="11" t="str">
        <f>IFERROR(__xludf.DUMMYFUNCTION("""COMPUTED_VALUE"""),"none")</f>
        <v>none</v>
      </c>
      <c r="C3" s="3"/>
      <c r="D3" s="29"/>
      <c r="E3" s="3"/>
      <c r="F3" s="3"/>
      <c r="G3" s="11"/>
      <c r="H3" s="11"/>
      <c r="I3" s="11"/>
      <c r="J3" s="11"/>
    </row>
    <row r="4">
      <c r="A4">
        <f>IFERROR(__xludf.DUMMYFUNCTION("""COMPUTED_VALUE"""),30.0)</f>
        <v>30</v>
      </c>
      <c r="B4" s="11"/>
      <c r="C4" s="29"/>
      <c r="D4" s="29"/>
      <c r="E4" s="3"/>
      <c r="F4" s="3"/>
      <c r="G4" s="11"/>
      <c r="H4" s="11"/>
      <c r="I4" s="11"/>
      <c r="J4" s="11"/>
    </row>
    <row r="5">
      <c r="A5">
        <f>IFERROR(__xludf.DUMMYFUNCTION("""COMPUTED_VALUE"""),31.0)</f>
        <v>31</v>
      </c>
      <c r="B5" s="11" t="str">
        <f>IFERROR(__xludf.DUMMYFUNCTION("""COMPUTED_VALUE"""),"I don't have any")</f>
        <v>I don't have any</v>
      </c>
      <c r="C5" s="3" t="s">
        <v>758</v>
      </c>
      <c r="D5" s="3"/>
      <c r="E5" s="3"/>
      <c r="F5" s="3"/>
      <c r="G5" s="3"/>
      <c r="H5" s="11"/>
      <c r="I5" s="11"/>
      <c r="J5" s="11"/>
    </row>
    <row r="6">
      <c r="A6">
        <f>IFERROR(__xludf.DUMMYFUNCTION("""COMPUTED_VALUE"""),32.0)</f>
        <v>32</v>
      </c>
      <c r="B6" s="11" t="str">
        <f>IFERROR(__xludf.DUMMYFUNCTION("""COMPUTED_VALUE"""),"i for sure have no concerns with samsung")</f>
        <v>i for sure have no concerns with samsung</v>
      </c>
      <c r="C6" s="3" t="s">
        <v>758</v>
      </c>
      <c r="D6" s="3"/>
      <c r="E6" s="3"/>
      <c r="F6" s="11"/>
      <c r="G6" s="11"/>
      <c r="H6" s="11"/>
      <c r="I6" s="11"/>
      <c r="J6" s="11"/>
    </row>
    <row r="7">
      <c r="A7">
        <f>IFERROR(__xludf.DUMMYFUNCTION("""COMPUTED_VALUE"""),34.0)</f>
        <v>34</v>
      </c>
      <c r="B7" s="11"/>
      <c r="C7" s="3"/>
      <c r="D7" s="3"/>
      <c r="E7" s="3"/>
      <c r="F7" s="3"/>
      <c r="G7" s="3"/>
      <c r="H7" s="3"/>
      <c r="I7" s="11"/>
      <c r="J7" s="11"/>
    </row>
    <row r="8">
      <c r="A8">
        <f>IFERROR(__xludf.DUMMYFUNCTION("""COMPUTED_VALUE"""),35.0)</f>
        <v>35</v>
      </c>
      <c r="B8" s="11" t="str">
        <f>IFERROR(__xludf.DUMMYFUNCTION("""COMPUTED_VALUE"""),"I don't use Samsung Experience Service frequently enough. In fact, I only remember it being a nuisance. I don't think any of this data is necessary for them to know because it doesn't improve my user experience to my knowledge.")</f>
        <v>I don't use Samsung Experience Service frequently enough. In fact, I only remember it being a nuisance. I don't think any of this data is necessary for them to know because it doesn't improve my user experience to my knowledge.</v>
      </c>
      <c r="C8" s="3" t="s">
        <v>760</v>
      </c>
      <c r="D8" t="s">
        <v>762</v>
      </c>
      <c r="E8" t="s">
        <v>761</v>
      </c>
      <c r="F8" s="11"/>
      <c r="G8" s="11"/>
      <c r="H8" s="11"/>
      <c r="I8" s="11"/>
      <c r="J8" s="11"/>
    </row>
    <row r="9">
      <c r="A9">
        <f>IFERROR(__xludf.DUMMYFUNCTION("""COMPUTED_VALUE"""),36.0)</f>
        <v>36</v>
      </c>
      <c r="B9" s="11" t="str">
        <f>IFERROR(__xludf.DUMMYFUNCTION("""COMPUTED_VALUE"""),"I don't remember authorizing this app to have access to my google account. I am worried they might use my information for nefarious things..")</f>
        <v>I don't remember authorizing this app to have access to my google account. I am worried they might use my information for nefarious things..</v>
      </c>
      <c r="C9" t="s">
        <v>764</v>
      </c>
      <c r="D9" t="s">
        <v>763</v>
      </c>
      <c r="E9" s="30" t="s">
        <v>761</v>
      </c>
      <c r="F9" s="3"/>
      <c r="G9" s="3"/>
      <c r="H9" s="11"/>
      <c r="I9" s="11"/>
      <c r="J9" s="11"/>
    </row>
    <row r="10">
      <c r="A10">
        <f>IFERROR(__xludf.DUMMYFUNCTION("""COMPUTED_VALUE"""),37.0)</f>
        <v>37</v>
      </c>
      <c r="B10" s="11"/>
      <c r="C10" s="3"/>
      <c r="D10" s="3"/>
      <c r="E10" s="3"/>
      <c r="G10" s="11"/>
      <c r="H10" s="11"/>
      <c r="I10" s="11"/>
      <c r="J10" s="11"/>
    </row>
    <row r="11">
      <c r="A11">
        <f>IFERROR(__xludf.DUMMYFUNCTION("""COMPUTED_VALUE"""),38.0)</f>
        <v>38</v>
      </c>
      <c r="B11" s="11" t="str">
        <f>IFERROR(__xludf.DUMMYFUNCTION("""COMPUTED_VALUE"""),"I dont really have that many concerns. I use my mac and my iPhone everyday for work, so it is necessary for them to have access to my google account. Plus, I am the only one to have access to these devices.")</f>
        <v>I dont really have that many concerns. I use my mac and my iPhone everyday for work, so it is necessary for them to have access to my google account. Plus, I am the only one to have access to these devices.</v>
      </c>
      <c r="C11" t="s">
        <v>758</v>
      </c>
      <c r="D11" s="21"/>
      <c r="E11" s="21"/>
      <c r="F11" s="21"/>
      <c r="G11" s="21"/>
      <c r="H11" s="21"/>
      <c r="I11" s="21"/>
      <c r="J11" s="11"/>
    </row>
    <row r="12">
      <c r="A12">
        <f>IFERROR(__xludf.DUMMYFUNCTION("""COMPUTED_VALUE"""),39.0)</f>
        <v>39</v>
      </c>
      <c r="B12" s="11"/>
      <c r="C12" s="3"/>
      <c r="D12" s="3"/>
      <c r="E12" s="3"/>
      <c r="F12" s="11"/>
      <c r="G12" s="11"/>
      <c r="H12" s="11"/>
      <c r="I12" s="11"/>
      <c r="J12" s="11"/>
    </row>
    <row r="13">
      <c r="A13">
        <f>IFERROR(__xludf.DUMMYFUNCTION("""COMPUTED_VALUE"""),40.0)</f>
        <v>40</v>
      </c>
      <c r="B13" s="11" t="str">
        <f>IFERROR(__xludf.DUMMYFUNCTION("""COMPUTED_VALUE"""),"I don't have a RingCentral so I don't like this.")</f>
        <v>I don't have a RingCentral so I don't like this.</v>
      </c>
      <c r="C13" t="s">
        <v>761</v>
      </c>
      <c r="D13" s="3"/>
      <c r="E13" s="3"/>
      <c r="F13" s="11"/>
      <c r="G13" s="11"/>
      <c r="H13" s="11"/>
      <c r="I13" s="11"/>
      <c r="J13" s="11"/>
    </row>
    <row r="14">
      <c r="A14">
        <f>IFERROR(__xludf.DUMMYFUNCTION("""COMPUTED_VALUE"""),41.0)</f>
        <v>41</v>
      </c>
      <c r="B14" s="11"/>
      <c r="C14" s="3"/>
      <c r="D14" s="3"/>
      <c r="E14" s="3"/>
      <c r="F14" s="11"/>
      <c r="G14" s="11"/>
      <c r="H14" s="11"/>
      <c r="I14" s="11"/>
      <c r="J14" s="11"/>
    </row>
    <row r="15">
      <c r="A15">
        <f>IFERROR(__xludf.DUMMYFUNCTION("""COMPUTED_VALUE"""),42.0)</f>
        <v>42</v>
      </c>
      <c r="B15" s="11" t="str">
        <f>IFERROR(__xludf.DUMMYFUNCTION("""COMPUTED_VALUE"""),"I don't remember granting access and they have access to my photos.")</f>
        <v>I don't remember granting access and they have access to my photos.</v>
      </c>
      <c r="C15" t="s">
        <v>782</v>
      </c>
      <c r="D15" s="19" t="s">
        <v>764</v>
      </c>
      <c r="E15" s="3"/>
      <c r="F15" s="3"/>
      <c r="G15" s="11"/>
      <c r="H15" s="11"/>
      <c r="I15" s="11"/>
      <c r="J15" s="11"/>
    </row>
    <row r="16">
      <c r="A16">
        <f>IFERROR(__xludf.DUMMYFUNCTION("""COMPUTED_VALUE"""),43.0)</f>
        <v>43</v>
      </c>
      <c r="B16" s="11"/>
      <c r="C16" s="3"/>
      <c r="D16" s="3"/>
      <c r="E16" s="3"/>
      <c r="F16" s="11"/>
      <c r="G16" s="11"/>
      <c r="H16" s="11"/>
      <c r="I16" s="11"/>
      <c r="J16" s="11"/>
    </row>
    <row r="17">
      <c r="A17">
        <f>IFERROR(__xludf.DUMMYFUNCTION("""COMPUTED_VALUE"""),44.0)</f>
        <v>44</v>
      </c>
      <c r="B17" s="11" t="str">
        <f>IFERROR(__xludf.DUMMYFUNCTION("""COMPUTED_VALUE"""),"I might would like to dial down the ""personal info"" but everything else is standard.")</f>
        <v>I might would like to dial down the "personal info" but everything else is standard.</v>
      </c>
      <c r="C17" t="s">
        <v>772</v>
      </c>
      <c r="D17" s="19"/>
      <c r="E17" s="19"/>
      <c r="F17" s="11"/>
      <c r="G17" s="11"/>
      <c r="H17" s="11"/>
      <c r="I17" s="11"/>
      <c r="J17" s="11"/>
    </row>
    <row r="18">
      <c r="A18">
        <f>IFERROR(__xludf.DUMMYFUNCTION("""COMPUTED_VALUE"""),45.0)</f>
        <v>45</v>
      </c>
      <c r="B18" s="11" t="str">
        <f>IFERROR(__xludf.DUMMYFUNCTION("""COMPUTED_VALUE"""),"I don't have any concerns.")</f>
        <v>I don't have any concerns.</v>
      </c>
      <c r="C18" t="s">
        <v>758</v>
      </c>
      <c r="D18" s="3"/>
      <c r="E18" s="3"/>
      <c r="F18" s="11"/>
      <c r="G18" s="11"/>
      <c r="H18" s="11"/>
      <c r="I18" s="11"/>
      <c r="J18" s="11"/>
    </row>
    <row r="19">
      <c r="A19">
        <f>IFERROR(__xludf.DUMMYFUNCTION("""COMPUTED_VALUE"""),46.0)</f>
        <v>46</v>
      </c>
      <c r="B19" s="11"/>
      <c r="C19" s="3"/>
      <c r="D19" s="3"/>
      <c r="E19" s="3"/>
      <c r="F19" s="3"/>
      <c r="G19" s="11"/>
      <c r="H19" s="11"/>
      <c r="I19" s="11"/>
      <c r="J19" s="11"/>
    </row>
    <row r="20">
      <c r="A20">
        <f>IFERROR(__xludf.DUMMYFUNCTION("""COMPUTED_VALUE"""),47.0)</f>
        <v>47</v>
      </c>
      <c r="B20" s="11"/>
      <c r="C20" s="3"/>
      <c r="D20" s="3"/>
      <c r="E20" s="3"/>
      <c r="F20" s="11"/>
      <c r="G20" s="11"/>
      <c r="H20" s="11"/>
      <c r="I20" s="11"/>
      <c r="J20" s="11"/>
    </row>
    <row r="21">
      <c r="A21">
        <f>IFERROR(__xludf.DUMMYFUNCTION("""COMPUTED_VALUE"""),48.0)</f>
        <v>48</v>
      </c>
      <c r="B21" s="11"/>
      <c r="C21" s="3"/>
      <c r="D21" s="3"/>
      <c r="E21" s="11"/>
      <c r="F21" s="11"/>
      <c r="G21" s="11"/>
      <c r="H21" s="11"/>
      <c r="I21" s="11"/>
      <c r="J21" s="11"/>
    </row>
    <row r="22">
      <c r="A22">
        <f>IFERROR(__xludf.DUMMYFUNCTION("""COMPUTED_VALUE"""),49.0)</f>
        <v>49</v>
      </c>
      <c r="B22" s="11" t="str">
        <f>IFERROR(__xludf.DUMMYFUNCTION("""COMPUTED_VALUE"""),"This is a keyboard that I use for my phone so it makes sense that it knows my email. I am concerned that the app can see information that it doesn't need to see.")</f>
        <v>This is a keyboard that I use for my phone so it makes sense that it knows my email. I am concerned that the app can see information that it doesn't need to see.</v>
      </c>
      <c r="C22" t="s">
        <v>762</v>
      </c>
      <c r="D22" s="30" t="s">
        <v>761</v>
      </c>
      <c r="E22" s="3"/>
      <c r="F22" s="3"/>
      <c r="G22" s="11"/>
      <c r="H22" s="11"/>
      <c r="I22" s="11"/>
      <c r="J22" s="11"/>
    </row>
    <row r="23">
      <c r="A23">
        <f>IFERROR(__xludf.DUMMYFUNCTION("""COMPUTED_VALUE"""),50.0)</f>
        <v>50</v>
      </c>
      <c r="B23" s="11"/>
      <c r="C23" s="3"/>
      <c r="D23" s="3"/>
      <c r="E23" s="3"/>
      <c r="F23" s="11"/>
      <c r="G23" s="11"/>
      <c r="H23" s="11"/>
      <c r="I23" s="11"/>
      <c r="J23" s="11"/>
    </row>
    <row r="24">
      <c r="A24">
        <f>IFERROR(__xludf.DUMMYFUNCTION("""COMPUTED_VALUE"""),51.0)</f>
        <v>51</v>
      </c>
      <c r="B24" s="11"/>
      <c r="C24" s="3"/>
      <c r="D24" s="3"/>
      <c r="E24" s="11"/>
      <c r="F24" s="11"/>
      <c r="G24" s="11"/>
      <c r="H24" s="11"/>
      <c r="I24" s="11"/>
      <c r="J24" s="11"/>
    </row>
    <row r="25">
      <c r="A25">
        <f>IFERROR(__xludf.DUMMYFUNCTION("""COMPUTED_VALUE"""),52.0)</f>
        <v>52</v>
      </c>
      <c r="B25" s="11" t="str">
        <f>IFERROR(__xludf.DUMMYFUNCTION("""COMPUTED_VALUE"""),"I was unaware these permissions were still on the app as I've deleted the app. I wonder how common that is? That's my concern here.")</f>
        <v>I was unaware these permissions were still on the app as I've deleted the app. I wonder how common that is? That's my concern here.</v>
      </c>
      <c r="C25" t="s">
        <v>781</v>
      </c>
      <c r="D25" s="30" t="s">
        <v>761</v>
      </c>
      <c r="E25" s="3"/>
      <c r="F25" s="11"/>
      <c r="G25" s="11"/>
      <c r="H25" s="11"/>
      <c r="I25" s="11"/>
      <c r="J25" s="11"/>
    </row>
    <row r="26">
      <c r="A26">
        <f>IFERROR(__xludf.DUMMYFUNCTION("""COMPUTED_VALUE"""),53.0)</f>
        <v>53</v>
      </c>
      <c r="B26" s="11"/>
      <c r="C26" s="19"/>
      <c r="D26" s="3"/>
      <c r="E26" s="3"/>
      <c r="F26" s="11"/>
      <c r="G26" s="11"/>
      <c r="H26" s="11"/>
      <c r="I26" s="11"/>
      <c r="J26" s="11"/>
    </row>
    <row r="27">
      <c r="A27">
        <f>IFERROR(__xludf.DUMMYFUNCTION("""COMPUTED_VALUE"""),54.0)</f>
        <v>54</v>
      </c>
      <c r="B27" s="11"/>
      <c r="C27" s="3"/>
      <c r="D27" s="3"/>
      <c r="E27" s="11"/>
      <c r="F27" s="11"/>
      <c r="G27" s="11"/>
      <c r="H27" s="11"/>
      <c r="I27" s="11"/>
      <c r="J27" s="11"/>
    </row>
    <row r="28">
      <c r="A28">
        <f>IFERROR(__xludf.DUMMYFUNCTION("""COMPUTED_VALUE"""),55.0)</f>
        <v>55</v>
      </c>
      <c r="B28" s="11"/>
      <c r="C28" s="3"/>
      <c r="D28" s="3"/>
      <c r="E28" s="19"/>
      <c r="F28" s="19"/>
      <c r="G28" s="11"/>
      <c r="H28" s="11"/>
      <c r="I28" s="11"/>
      <c r="J28" s="11"/>
    </row>
    <row r="29">
      <c r="A29">
        <f>IFERROR(__xludf.DUMMYFUNCTION("""COMPUTED_VALUE"""),56.0)</f>
        <v>56</v>
      </c>
      <c r="B29" s="11"/>
      <c r="C29" s="3"/>
      <c r="D29" s="3"/>
      <c r="E29" s="19"/>
      <c r="F29" s="19"/>
      <c r="G29" s="11"/>
      <c r="H29" s="11"/>
      <c r="I29" s="11"/>
      <c r="J29" s="11"/>
    </row>
    <row r="30">
      <c r="A30">
        <f>IFERROR(__xludf.DUMMYFUNCTION("""COMPUTED_VALUE"""),57.0)</f>
        <v>57</v>
      </c>
      <c r="B30" s="11" t="str">
        <f>IFERROR(__xludf.DUMMYFUNCTION("""COMPUTED_VALUE"""),"Google is sketchy, but I need this to do programming stuff.")</f>
        <v>Google is sketchy, but I need this to do programming stuff.</v>
      </c>
      <c r="C30" t="s">
        <v>759</v>
      </c>
      <c r="D30" s="3"/>
      <c r="E30" s="3"/>
      <c r="F30" s="11"/>
      <c r="G30" s="11"/>
      <c r="H30" s="11"/>
      <c r="I30" s="11"/>
      <c r="J30" s="11"/>
    </row>
    <row r="31">
      <c r="A31">
        <f>IFERROR(__xludf.DUMMYFUNCTION("""COMPUTED_VALUE"""),58.0)</f>
        <v>58</v>
      </c>
      <c r="B31" s="11" t="str">
        <f>IFERROR(__xludf.DUMMYFUNCTION("""COMPUTED_VALUE"""),"My data and digital footsteps can be viewed.")</f>
        <v>My data and digital footsteps can be viewed.</v>
      </c>
      <c r="C31" t="s">
        <v>766</v>
      </c>
      <c r="D31" s="30" t="s">
        <v>761</v>
      </c>
      <c r="E31" s="11"/>
      <c r="F31" s="11"/>
      <c r="G31" s="11"/>
      <c r="H31" s="11"/>
      <c r="I31" s="11"/>
      <c r="J31" s="11"/>
    </row>
    <row r="32">
      <c r="A32">
        <f>IFERROR(__xludf.DUMMYFUNCTION("""COMPUTED_VALUE"""),59.0)</f>
        <v>59</v>
      </c>
      <c r="B32" s="11"/>
      <c r="C32" s="3"/>
      <c r="D32" s="3"/>
      <c r="E32" s="11"/>
      <c r="F32" s="11"/>
      <c r="G32" s="11"/>
      <c r="H32" s="11"/>
      <c r="I32" s="11"/>
      <c r="J32" s="11"/>
    </row>
    <row r="33">
      <c r="A33">
        <f>IFERROR(__xludf.DUMMYFUNCTION("""COMPUTED_VALUE"""),60.0)</f>
        <v>60</v>
      </c>
      <c r="B33" s="11"/>
      <c r="C33" s="3"/>
      <c r="D33" s="3"/>
      <c r="E33" s="11"/>
      <c r="F33" s="11"/>
      <c r="G33" s="11"/>
      <c r="H33" s="11"/>
      <c r="I33" s="11"/>
      <c r="J33" s="11"/>
    </row>
    <row r="34">
      <c r="A34">
        <f>IFERROR(__xludf.DUMMYFUNCTION("""COMPUTED_VALUE"""),61.0)</f>
        <v>61</v>
      </c>
      <c r="B34" s="11" t="str">
        <f>IFERROR(__xludf.DUMMYFUNCTION("""COMPUTED_VALUE"""),"Not sure, daughter downloads games on shared tablet.")</f>
        <v>Not sure, daughter downloads games on shared tablet.</v>
      </c>
      <c r="C34" t="s">
        <v>758</v>
      </c>
      <c r="D34" s="3"/>
      <c r="E34" s="11"/>
      <c r="F34" s="11"/>
      <c r="G34" s="11"/>
      <c r="H34" s="11"/>
      <c r="I34" s="11"/>
      <c r="J34" s="11"/>
    </row>
    <row r="35">
      <c r="A35">
        <f>IFERROR(__xludf.DUMMYFUNCTION("""COMPUTED_VALUE"""),62.0)</f>
        <v>62</v>
      </c>
      <c r="B35" s="11" t="str">
        <f>IFERROR(__xludf.DUMMYFUNCTION("""COMPUTED_VALUE"""),"I didn't think I ever installed anything from similarweb.")</f>
        <v>I didn't think I ever installed anything from similarweb.</v>
      </c>
      <c r="C35" t="s">
        <v>765</v>
      </c>
      <c r="D35" s="19" t="s">
        <v>764</v>
      </c>
      <c r="E35" s="11"/>
      <c r="F35" s="11"/>
      <c r="G35" s="11"/>
      <c r="H35" s="11"/>
      <c r="I35" s="11"/>
      <c r="J35" s="11"/>
    </row>
    <row r="36">
      <c r="A36">
        <f>IFERROR(__xludf.DUMMYFUNCTION("""COMPUTED_VALUE"""),63.0)</f>
        <v>63</v>
      </c>
      <c r="B36" s="11"/>
      <c r="C36" s="3"/>
      <c r="D36" s="3"/>
      <c r="E36" s="11"/>
      <c r="F36" s="11"/>
      <c r="G36" s="11"/>
      <c r="H36" s="11"/>
      <c r="I36" s="11"/>
      <c r="J36" s="11"/>
    </row>
    <row r="37">
      <c r="A37">
        <f>IFERROR(__xludf.DUMMYFUNCTION("""COMPUTED_VALUE"""),64.0)</f>
        <v>64</v>
      </c>
      <c r="B37" s="11" t="str">
        <f>IFERROR(__xludf.DUMMYFUNCTION("""COMPUTED_VALUE"""),"This is some junk game that was downloaded with Cashmagnet.")</f>
        <v>This is some junk game that was downloaded with Cashmagnet.</v>
      </c>
      <c r="C37" t="s">
        <v>787</v>
      </c>
      <c r="D37" s="3"/>
      <c r="E37" s="3"/>
      <c r="F37" s="3"/>
      <c r="G37" s="3"/>
      <c r="H37" s="11"/>
      <c r="I37" s="11"/>
      <c r="J37" s="11"/>
    </row>
    <row r="38">
      <c r="A38">
        <f>IFERROR(__xludf.DUMMYFUNCTION("""COMPUTED_VALUE"""),65.0)</f>
        <v>65</v>
      </c>
      <c r="B38" s="11" t="str">
        <f>IFERROR(__xludf.DUMMYFUNCTION("""COMPUTED_VALUE"""),"I have no concerns about Clash Royale.")</f>
        <v>I have no concerns about Clash Royale.</v>
      </c>
      <c r="C38" t="s">
        <v>758</v>
      </c>
      <c r="D38" s="11"/>
      <c r="E38" s="11"/>
      <c r="F38" s="11"/>
      <c r="G38" s="11"/>
      <c r="H38" s="11"/>
      <c r="I38" s="11"/>
      <c r="J38" s="11"/>
    </row>
    <row r="39">
      <c r="A39">
        <f>IFERROR(__xludf.DUMMYFUNCTION("""COMPUTED_VALUE"""),66.0)</f>
        <v>66</v>
      </c>
      <c r="B39" s="11"/>
      <c r="C39" s="3"/>
      <c r="D39" s="19"/>
      <c r="E39" s="11"/>
      <c r="F39" s="11"/>
      <c r="G39" s="11"/>
      <c r="H39" s="11"/>
      <c r="I39" s="11"/>
      <c r="J39" s="11"/>
    </row>
    <row r="40">
      <c r="A40">
        <f>IFERROR(__xludf.DUMMYFUNCTION("""COMPUTED_VALUE"""),67.0)</f>
        <v>67</v>
      </c>
      <c r="B40" s="11" t="str">
        <f>IFERROR(__xludf.DUMMYFUNCTION("""COMPUTED_VALUE"""),"I have none, it was just for signing leases in Austin.")</f>
        <v>I have none, it was just for signing leases in Austin.</v>
      </c>
      <c r="C40" t="s">
        <v>758</v>
      </c>
      <c r="D40" s="3"/>
      <c r="E40" s="3"/>
      <c r="F40" s="11"/>
      <c r="G40" s="11"/>
      <c r="H40" s="11"/>
      <c r="I40" s="11"/>
      <c r="J40" s="11"/>
    </row>
    <row r="41">
      <c r="A41">
        <f>IFERROR(__xludf.DUMMYFUNCTION("""COMPUTED_VALUE"""),68.0)</f>
        <v>68</v>
      </c>
      <c r="B41" s="11"/>
      <c r="C41" s="19"/>
      <c r="D41" s="3"/>
      <c r="E41" s="11"/>
      <c r="F41" s="11"/>
      <c r="G41" s="11"/>
      <c r="H41" s="11"/>
      <c r="I41" s="11"/>
      <c r="J41" s="11"/>
    </row>
    <row r="42">
      <c r="A42">
        <f>IFERROR(__xludf.DUMMYFUNCTION("""COMPUTED_VALUE"""),69.0)</f>
        <v>69</v>
      </c>
      <c r="B42" s="11" t="str">
        <f>IFERROR(__xludf.DUMMYFUNCTION("""COMPUTED_VALUE"""),"My concerns are no more, really, than what I feel for other apps that (presumably) hold, at least, millions of dollars of consumer money.
 Even if I don't like this particular app itself, I'm going to try not to conflate my feelings for it, to being state"&amp;"ments-of-fact of its overall operations.
 Even if I did.. ..what can I—a plebeian—, by myself, do against that which is backed by so much money and, likely, by so many people who, from what I gather, value profit over people?")</f>
        <v>My concerns are no more, really, than what I feel for other apps that (presumably) hold, at least, millions of dollars of consumer money.
 Even if I don't like this particular app itself, I'm going to try not to conflate my feelings for it, to being statements-of-fact of its overall operations.
 Even if I did.. ..what can I—a plebeian—, by myself, do against that which is backed by so much money and, likely, by so many people who, from what I gather, value profit over people?</v>
      </c>
      <c r="C42" t="s">
        <v>758</v>
      </c>
      <c r="D42" t="s">
        <v>769</v>
      </c>
      <c r="E42" s="11"/>
      <c r="F42" s="11"/>
      <c r="G42" s="11"/>
      <c r="H42" s="11"/>
      <c r="I42" s="11"/>
      <c r="J42" s="11"/>
    </row>
    <row r="43">
      <c r="A43">
        <f>IFERROR(__xludf.DUMMYFUNCTION("""COMPUTED_VALUE"""),70.0)</f>
        <v>70</v>
      </c>
      <c r="B43" s="11"/>
      <c r="C43" s="3"/>
      <c r="D43" s="3"/>
      <c r="F43" s="3"/>
      <c r="G43" s="3"/>
      <c r="H43" s="3"/>
      <c r="I43" s="11"/>
      <c r="J43" s="11"/>
    </row>
    <row r="44">
      <c r="A44">
        <f>IFERROR(__xludf.DUMMYFUNCTION("""COMPUTED_VALUE"""),71.0)</f>
        <v>71</v>
      </c>
      <c r="B44" s="11"/>
      <c r="C44" s="3"/>
      <c r="D44" s="3"/>
      <c r="E44" s="11"/>
      <c r="F44" s="11"/>
      <c r="G44" s="11"/>
      <c r="H44" s="11"/>
      <c r="I44" s="11"/>
      <c r="J44" s="11"/>
    </row>
    <row r="45">
      <c r="A45">
        <f>IFERROR(__xludf.DUMMYFUNCTION("""COMPUTED_VALUE"""),72.0)</f>
        <v>72</v>
      </c>
      <c r="B45" s="11" t="str">
        <f>IFERROR(__xludf.DUMMYFUNCTION("""COMPUTED_VALUE"""),"I don't have any concerns with Coin Dozer - Free Prizes having this permission.")</f>
        <v>I don't have any concerns with Coin Dozer - Free Prizes having this permission.</v>
      </c>
      <c r="C45" t="s">
        <v>758</v>
      </c>
      <c r="D45" s="3"/>
      <c r="E45" s="11"/>
      <c r="F45" s="11"/>
      <c r="G45" s="11"/>
      <c r="H45" s="11"/>
      <c r="I45" s="11"/>
      <c r="J45" s="11"/>
    </row>
    <row r="46">
      <c r="A46">
        <f>IFERROR(__xludf.DUMMYFUNCTION("""COMPUTED_VALUE"""),73.0)</f>
        <v>73</v>
      </c>
      <c r="B46" s="11" t="str">
        <f>IFERROR(__xludf.DUMMYFUNCTION("""COMPUTED_VALUE"""),"No concerns")</f>
        <v>No concerns</v>
      </c>
      <c r="C46" s="3"/>
      <c r="D46" s="3"/>
      <c r="E46" s="11"/>
      <c r="F46" s="11"/>
      <c r="G46" s="11"/>
      <c r="H46" s="11"/>
      <c r="I46" s="11"/>
      <c r="J46" s="11"/>
    </row>
    <row r="47">
      <c r="A47">
        <f>IFERROR(__xludf.DUMMYFUNCTION("""COMPUTED_VALUE"""),74.0)</f>
        <v>74</v>
      </c>
      <c r="B47" s="11"/>
      <c r="C47" s="3"/>
      <c r="D47" s="3"/>
      <c r="E47" s="3"/>
      <c r="F47" s="11"/>
      <c r="G47" s="11"/>
      <c r="H47" s="11"/>
      <c r="I47" s="11"/>
      <c r="J47" s="11"/>
    </row>
    <row r="48">
      <c r="A48">
        <f>IFERROR(__xludf.DUMMYFUNCTION("""COMPUTED_VALUE"""),75.0)</f>
        <v>75</v>
      </c>
      <c r="B48" s="11"/>
      <c r="C48" s="3"/>
      <c r="D48" s="3"/>
      <c r="E48" s="11"/>
      <c r="F48" s="11"/>
      <c r="G48" s="11"/>
      <c r="H48" s="11"/>
      <c r="I48" s="11"/>
      <c r="J48" s="11"/>
    </row>
    <row r="49">
      <c r="A49">
        <f>IFERROR(__xludf.DUMMYFUNCTION("""COMPUTED_VALUE"""),76.0)</f>
        <v>76</v>
      </c>
      <c r="B49" s="11" t="str">
        <f>IFERROR(__xludf.DUMMYFUNCTION("""COMPUTED_VALUE"""),"I don't want Lumin app because I don't use it.")</f>
        <v>I don't want Lumin app because I don't use it.</v>
      </c>
      <c r="C49" t="s">
        <v>760</v>
      </c>
      <c r="D49" s="3"/>
      <c r="E49" s="11"/>
      <c r="F49" s="11"/>
      <c r="G49" s="11"/>
      <c r="H49" s="11"/>
      <c r="I49" s="11"/>
      <c r="J49" s="11"/>
    </row>
    <row r="50">
      <c r="A50">
        <f>IFERROR(__xludf.DUMMYFUNCTION("""COMPUTED_VALUE"""),77.0)</f>
        <v>77</v>
      </c>
      <c r="B50" s="11"/>
      <c r="C50" s="3"/>
      <c r="D50" s="11"/>
      <c r="E50" s="11"/>
      <c r="F50" s="11"/>
      <c r="G50" s="11"/>
      <c r="H50" s="11"/>
      <c r="I50" s="11"/>
      <c r="J50" s="11"/>
    </row>
    <row r="51">
      <c r="A51">
        <f>IFERROR(__xludf.DUMMYFUNCTION("""COMPUTED_VALUE"""),78.0)</f>
        <v>78</v>
      </c>
      <c r="B51" s="11" t="str">
        <f>IFERROR(__xludf.DUMMYFUNCTION("""COMPUTED_VALUE"""),"None")</f>
        <v>None</v>
      </c>
      <c r="C51" t="s">
        <v>758</v>
      </c>
      <c r="D51" s="3"/>
      <c r="E51" s="3"/>
      <c r="F51" s="11"/>
      <c r="G51" s="11"/>
      <c r="H51" s="11"/>
      <c r="I51" s="11"/>
      <c r="J51" s="11"/>
    </row>
    <row r="52">
      <c r="A52">
        <f>IFERROR(__xludf.DUMMYFUNCTION("""COMPUTED_VALUE"""),79.0)</f>
        <v>79</v>
      </c>
      <c r="B52" s="11" t="str">
        <f>IFERROR(__xludf.DUMMYFUNCTION("""COMPUTED_VALUE"""),"I dont want them having access to my personal information.")</f>
        <v>I dont want them having access to my personal information.</v>
      </c>
      <c r="C52" t="s">
        <v>766</v>
      </c>
      <c r="D52" s="30" t="s">
        <v>761</v>
      </c>
      <c r="E52" s="11"/>
      <c r="F52" s="11"/>
      <c r="G52" s="11"/>
      <c r="H52" s="11"/>
      <c r="I52" s="11"/>
      <c r="J52" s="11"/>
    </row>
    <row r="53">
      <c r="A53">
        <f>IFERROR(__xludf.DUMMYFUNCTION("""COMPUTED_VALUE"""),80.0)</f>
        <v>80</v>
      </c>
      <c r="B53" s="11" t="str">
        <f>IFERROR(__xludf.DUMMYFUNCTION("""COMPUTED_VALUE"""),"No concerns")</f>
        <v>No concerns</v>
      </c>
      <c r="C53" s="3"/>
      <c r="D53" s="3"/>
      <c r="E53" s="3"/>
      <c r="F53" s="3"/>
      <c r="G53" s="11"/>
      <c r="H53" s="11"/>
      <c r="I53" s="11"/>
      <c r="J53" s="11"/>
    </row>
    <row r="54">
      <c r="A54">
        <f>IFERROR(__xludf.DUMMYFUNCTION("""COMPUTED_VALUE"""),81.0)</f>
        <v>81</v>
      </c>
      <c r="B54" s="11"/>
      <c r="C54" s="3"/>
      <c r="D54" s="3"/>
      <c r="E54" s="11"/>
      <c r="F54" s="11"/>
      <c r="G54" s="11"/>
      <c r="H54" s="11"/>
      <c r="I54" s="11"/>
      <c r="J54" s="11"/>
    </row>
    <row r="55">
      <c r="A55">
        <f>IFERROR(__xludf.DUMMYFUNCTION("""COMPUTED_VALUE"""),82.0)</f>
        <v>82</v>
      </c>
      <c r="B55" s="11" t="str">
        <f>IFERROR(__xludf.DUMMYFUNCTION("""COMPUTED_VALUE"""),"I'm mostly concerned about Rakuten reading emails that aren't relevant to what the app is trying to do.")</f>
        <v>I'm mostly concerned about Rakuten reading emails that aren't relevant to what the app is trying to do.</v>
      </c>
      <c r="C55" s="3"/>
      <c r="D55" s="3"/>
      <c r="E55" s="11"/>
      <c r="F55" s="11"/>
      <c r="G55" s="11"/>
      <c r="H55" s="11"/>
      <c r="I55" s="11"/>
      <c r="J55" s="11"/>
    </row>
    <row r="56">
      <c r="A56">
        <f>IFERROR(__xludf.DUMMYFUNCTION("""COMPUTED_VALUE"""),83.0)</f>
        <v>83</v>
      </c>
      <c r="B56" s="11" t="str">
        <f>IFERROR(__xludf.DUMMYFUNCTION("""COMPUTED_VALUE"""),"N/A")</f>
        <v>N/A</v>
      </c>
      <c r="C56" s="3"/>
      <c r="D56" s="11"/>
      <c r="E56" s="11"/>
      <c r="F56" s="11"/>
      <c r="G56" s="11"/>
      <c r="H56" s="11"/>
      <c r="I56" s="11"/>
      <c r="J56" s="11"/>
    </row>
    <row r="57">
      <c r="A57">
        <f>IFERROR(__xludf.DUMMYFUNCTION("""COMPUTED_VALUE"""),84.0)</f>
        <v>84</v>
      </c>
      <c r="B57" s="11"/>
      <c r="C57" s="3"/>
      <c r="D57" s="3"/>
      <c r="E57" s="11"/>
      <c r="F57" s="11"/>
      <c r="G57" s="11"/>
      <c r="H57" s="11"/>
      <c r="I57" s="11"/>
      <c r="J57" s="11"/>
    </row>
    <row r="58">
      <c r="A58">
        <f>IFERROR(__xludf.DUMMYFUNCTION("""COMPUTED_VALUE"""),85.0)</f>
        <v>85</v>
      </c>
      <c r="B58" s="11"/>
      <c r="C58" s="3"/>
      <c r="D58" s="3"/>
      <c r="E58" s="3"/>
      <c r="F58" s="11"/>
      <c r="G58" s="11"/>
      <c r="H58" s="11"/>
      <c r="I58" s="11"/>
      <c r="J58" s="11"/>
    </row>
    <row r="59">
      <c r="A59">
        <f>IFERROR(__xludf.DUMMYFUNCTION("""COMPUTED_VALUE"""),86.0)</f>
        <v>86</v>
      </c>
      <c r="B59" s="11" t="str">
        <f>IFERROR(__xludf.DUMMYFUNCTION("""COMPUTED_VALUE"""),"Why does WiseStamp need to know my information? This does not make sense for what the extension is for.")</f>
        <v>Why does WiseStamp need to know my information? This does not make sense for what the extension is for.</v>
      </c>
      <c r="C59" s="3"/>
      <c r="D59" s="3"/>
      <c r="E59" s="11"/>
      <c r="F59" s="11"/>
      <c r="G59" s="11"/>
      <c r="H59" s="11"/>
      <c r="I59" s="11"/>
      <c r="J59" s="11"/>
    </row>
    <row r="60">
      <c r="A60">
        <f>IFERROR(__xludf.DUMMYFUNCTION("""COMPUTED_VALUE"""),87.0)</f>
        <v>87</v>
      </c>
      <c r="B60" s="11" t="str">
        <f>IFERROR(__xludf.DUMMYFUNCTION("""COMPUTED_VALUE"""),"I'm slightly concerned that they could read some of my emails which might have confidential info.")</f>
        <v>I'm slightly concerned that they could read some of my emails which might have confidential info.</v>
      </c>
      <c r="C60" s="3"/>
      <c r="D60" s="3"/>
      <c r="E60" s="3"/>
      <c r="F60" s="3"/>
      <c r="G60" s="3"/>
      <c r="H60" s="11"/>
      <c r="I60" s="11"/>
      <c r="J60" s="11"/>
    </row>
    <row r="61">
      <c r="A61">
        <f>IFERROR(__xludf.DUMMYFUNCTION("""COMPUTED_VALUE"""),88.0)</f>
        <v>88</v>
      </c>
      <c r="B61" s="11"/>
      <c r="C61" s="19"/>
      <c r="D61" s="11"/>
      <c r="E61" s="11"/>
      <c r="F61" s="11"/>
      <c r="G61" s="11"/>
      <c r="H61" s="11"/>
      <c r="I61" s="11"/>
      <c r="J61" s="11"/>
    </row>
    <row r="62">
      <c r="A62">
        <f>IFERROR(__xludf.DUMMYFUNCTION("""COMPUTED_VALUE"""),89.0)</f>
        <v>89</v>
      </c>
      <c r="B62" s="11" t="str">
        <f>IFERROR(__xludf.DUMMYFUNCTION("""COMPUTED_VALUE"""),"Truly, I do not remember installing Gleam. I usually check back to make sure nothing has been installed / been given permission for my Google accounts every so often, and it seems this one got in between the last time I checked. After this, I'm likely goi"&amp;"ng to check out Gleam to see what it's purpose is, to either jog my memory or to delete permanently.")</f>
        <v>Truly, I do not remember installing Gleam. I usually check back to make sure nothing has been installed / been given permission for my Google accounts every so often, and it seems this one got in between the last time I checked. After this, I'm likely going to check out Gleam to see what it's purpose is, to either jog my memory or to delete permanently.</v>
      </c>
      <c r="C62" s="3"/>
      <c r="D62" s="3"/>
      <c r="E62" s="11"/>
      <c r="F62" s="11"/>
      <c r="G62" s="11"/>
      <c r="H62" s="11"/>
      <c r="I62" s="11"/>
      <c r="J62" s="11"/>
    </row>
    <row r="63">
      <c r="A63">
        <f>IFERROR(__xludf.DUMMYFUNCTION("""COMPUTED_VALUE"""),90.0)</f>
        <v>90</v>
      </c>
      <c r="B63" s="11" t="str">
        <f>IFERROR(__xludf.DUMMYFUNCTION("""COMPUTED_VALUE"""),"I doesn't need to see anything from my Google account")</f>
        <v>I doesn't need to see anything from my Google account</v>
      </c>
      <c r="C63" s="3"/>
      <c r="D63" s="3"/>
      <c r="F63" s="3"/>
      <c r="G63" s="3"/>
      <c r="H63" s="11"/>
      <c r="I63" s="11"/>
      <c r="J63" s="11"/>
    </row>
    <row r="64">
      <c r="A64">
        <f>IFERROR(__xludf.DUMMYFUNCTION("""COMPUTED_VALUE"""),91.0)</f>
        <v>91</v>
      </c>
      <c r="B64" s="11"/>
      <c r="C64" s="3"/>
      <c r="D64" s="3"/>
      <c r="E64" s="11"/>
      <c r="F64" s="11"/>
      <c r="G64" s="11"/>
      <c r="H64" s="11"/>
      <c r="I64" s="11"/>
      <c r="J64" s="11"/>
    </row>
    <row r="65">
      <c r="A65">
        <f>IFERROR(__xludf.DUMMYFUNCTION("""COMPUTED_VALUE"""),92.0)</f>
        <v>92</v>
      </c>
      <c r="B65" s="11" t="str">
        <f>IFERROR(__xludf.DUMMYFUNCTION("""COMPUTED_VALUE"""),"I don't think that Lumin PDF needs to see my data, given that the program is only used for editing PDF files. I'm not very concerned overall about the data it has access to, but I do feel as though it shouldn't need some of the data it has.")</f>
        <v>I don't think that Lumin PDF needs to see my data, given that the program is only used for editing PDF files. I'm not very concerned overall about the data it has access to, but I do feel as though it shouldn't need some of the data it has.</v>
      </c>
      <c r="C65" s="3"/>
      <c r="D65" s="3"/>
      <c r="E65" s="3"/>
      <c r="F65" s="3"/>
      <c r="G65" s="19"/>
      <c r="H65" s="11"/>
      <c r="I65" s="11"/>
      <c r="J65" s="11"/>
    </row>
    <row r="66">
      <c r="A66">
        <f>IFERROR(__xludf.DUMMYFUNCTION("""COMPUTED_VALUE"""),93.0)</f>
        <v>93</v>
      </c>
      <c r="B66" s="11" t="str">
        <f>IFERROR(__xludf.DUMMYFUNCTION("""COMPUTED_VALUE"""),"none")</f>
        <v>none</v>
      </c>
      <c r="C66" s="3"/>
      <c r="D66" s="3"/>
      <c r="F66" s="11"/>
      <c r="G66" s="11"/>
      <c r="H66" s="11"/>
      <c r="I66" s="11"/>
      <c r="J66" s="11"/>
    </row>
    <row r="67">
      <c r="A67">
        <f>IFERROR(__xludf.DUMMYFUNCTION("""COMPUTED_VALUE"""),94.0)</f>
        <v>94</v>
      </c>
      <c r="B67" s="11"/>
      <c r="C67" s="3"/>
      <c r="D67" s="3"/>
      <c r="E67" s="19"/>
      <c r="F67" s="19"/>
      <c r="G67" s="3"/>
      <c r="H67" s="3"/>
      <c r="J67" s="11"/>
    </row>
    <row r="68">
      <c r="A68">
        <f>IFERROR(__xludf.DUMMYFUNCTION("""COMPUTED_VALUE"""),95.0)</f>
        <v>95</v>
      </c>
      <c r="B68" s="11" t="str">
        <f>IFERROR(__xludf.DUMMYFUNCTION("""COMPUTED_VALUE"""),"not really. I realized after answering questions about it, what it was.")</f>
        <v>not really. I realized after answering questions about it, what it was.</v>
      </c>
      <c r="C68" s="3"/>
      <c r="D68" s="3"/>
      <c r="E68" s="11"/>
      <c r="F68" s="11"/>
      <c r="G68" s="11"/>
      <c r="J68" s="11"/>
    </row>
    <row r="69">
      <c r="A69">
        <f>IFERROR(__xludf.DUMMYFUNCTION("""COMPUTED_VALUE"""),96.0)</f>
        <v>96</v>
      </c>
      <c r="B69" s="11" t="str">
        <f>IFERROR(__xludf.DUMMYFUNCTION("""COMPUTED_VALUE"""),"I don't see why it would need those permissions.")</f>
        <v>I don't see why it would need those permissions.</v>
      </c>
      <c r="C69" s="3"/>
      <c r="D69" s="3"/>
      <c r="E69" s="3"/>
      <c r="F69" s="3"/>
      <c r="G69" s="3"/>
      <c r="J69" s="11"/>
    </row>
    <row r="70">
      <c r="A70">
        <f>IFERROR(__xludf.DUMMYFUNCTION("""COMPUTED_VALUE"""),97.0)</f>
        <v>97</v>
      </c>
      <c r="B70" s="11"/>
      <c r="C70" s="3"/>
      <c r="D70" s="3"/>
      <c r="E70" s="3"/>
      <c r="F70" s="3"/>
      <c r="G70" s="3"/>
      <c r="H70" s="11"/>
      <c r="I70" s="11"/>
      <c r="J70" s="11"/>
    </row>
    <row r="71">
      <c r="A71">
        <f>IFERROR(__xludf.DUMMYFUNCTION("""COMPUTED_VALUE"""),98.0)</f>
        <v>98</v>
      </c>
      <c r="B71" s="11"/>
      <c r="C71" s="3"/>
      <c r="D71" s="3"/>
      <c r="E71" s="3"/>
      <c r="F71" s="3"/>
      <c r="G71" s="3"/>
      <c r="H71" s="3"/>
      <c r="I71" s="3"/>
      <c r="J71" s="11"/>
    </row>
    <row r="72">
      <c r="A72">
        <f>IFERROR(__xludf.DUMMYFUNCTION("""COMPUTED_VALUE"""),99.0)</f>
        <v>99</v>
      </c>
      <c r="B72" s="11" t="str">
        <f>IFERROR(__xludf.DUMMYFUNCTION("""COMPUTED_VALUE"""),"I have none, but I don't need it anymore as I've done what I needed to do with it.")</f>
        <v>I have none, but I don't need it anymore as I've done what I needed to do with it.</v>
      </c>
      <c r="C72" s="3"/>
      <c r="D72" s="3"/>
      <c r="E72" s="11"/>
      <c r="F72" s="11"/>
      <c r="G72" s="11"/>
      <c r="H72" s="11"/>
      <c r="I72" s="11"/>
      <c r="J72" s="11"/>
    </row>
    <row r="73">
      <c r="A73">
        <f>IFERROR(__xludf.DUMMYFUNCTION("""COMPUTED_VALUE"""),100.0)</f>
        <v>100</v>
      </c>
      <c r="B73" s="11"/>
      <c r="C73" s="3"/>
      <c r="D73" s="3"/>
      <c r="E73" s="3"/>
      <c r="F73" s="3"/>
      <c r="G73" s="3"/>
      <c r="H73" s="3"/>
      <c r="I73" s="11"/>
      <c r="J73" s="11"/>
    </row>
    <row r="74">
      <c r="A74">
        <f>IFERROR(__xludf.DUMMYFUNCTION("""COMPUTED_VALUE"""),101.0)</f>
        <v>101</v>
      </c>
      <c r="B74" s="11" t="str">
        <f>IFERROR(__xludf.DUMMYFUNCTION("""COMPUTED_VALUE"""),"It's a google product using my google account. My concern is low for the app needing this level of permission.")</f>
        <v>It's a google product using my google account. My concern is low for the app needing this level of permission.</v>
      </c>
      <c r="C74" s="3"/>
      <c r="D74" s="3"/>
      <c r="E74" s="3"/>
      <c r="F74" s="11"/>
      <c r="G74" s="11"/>
      <c r="H74" s="11"/>
      <c r="I74" s="11"/>
      <c r="J74" s="11"/>
    </row>
    <row r="75">
      <c r="A75">
        <f>IFERROR(__xludf.DUMMYFUNCTION("""COMPUTED_VALUE"""),102.0)</f>
        <v>102</v>
      </c>
      <c r="B75" s="11" t="str">
        <f>IFERROR(__xludf.DUMMYFUNCTION("""COMPUTED_VALUE"""),"Its a google company so...")</f>
        <v>Its a google company so...</v>
      </c>
      <c r="C75" s="3"/>
      <c r="D75" s="3"/>
      <c r="E75" s="3"/>
      <c r="F75" s="11"/>
      <c r="G75" s="11"/>
      <c r="H75" s="11"/>
      <c r="I75" s="11"/>
      <c r="J75" s="11"/>
    </row>
    <row r="76">
      <c r="A76">
        <f>IFERROR(__xludf.DUMMYFUNCTION("""COMPUTED_VALUE"""),103.0)</f>
        <v>103</v>
      </c>
      <c r="B76" s="11"/>
      <c r="C76" s="3"/>
      <c r="D76" s="3"/>
      <c r="E76" s="3"/>
      <c r="F76" s="11"/>
      <c r="G76" s="11"/>
      <c r="H76" s="11"/>
      <c r="I76" s="11"/>
      <c r="J76" s="11"/>
    </row>
    <row r="77">
      <c r="A77">
        <f>IFERROR(__xludf.DUMMYFUNCTION("""COMPUTED_VALUE"""),104.0)</f>
        <v>104</v>
      </c>
      <c r="B77" s="11"/>
      <c r="C77" s="3"/>
      <c r="D77" s="3"/>
      <c r="E77" s="3"/>
      <c r="F77" s="11"/>
      <c r="G77" s="11"/>
      <c r="H77" s="11"/>
      <c r="I77" s="11"/>
      <c r="J77" s="11"/>
    </row>
    <row r="78">
      <c r="A78">
        <f>IFERROR(__xludf.DUMMYFUNCTION("""COMPUTED_VALUE"""),105.0)</f>
        <v>105</v>
      </c>
      <c r="B78" s="11"/>
      <c r="C78" s="3"/>
      <c r="D78" s="3"/>
      <c r="E78" s="11"/>
      <c r="F78" s="11"/>
      <c r="G78" s="11"/>
      <c r="H78" s="11"/>
      <c r="I78" s="11"/>
      <c r="J78" s="11"/>
    </row>
    <row r="79">
      <c r="A79">
        <f>IFERROR(__xludf.DUMMYFUNCTION("""COMPUTED_VALUE"""),106.0)</f>
        <v>106</v>
      </c>
      <c r="B79" s="11" t="str">
        <f>IFERROR(__xludf.DUMMYFUNCTION("""COMPUTED_VALUE"""),"dont use this so i dont need this")</f>
        <v>dont use this so i dont need this</v>
      </c>
      <c r="C79" s="3"/>
      <c r="D79" s="3"/>
      <c r="E79" s="11"/>
      <c r="F79" s="11"/>
      <c r="G79" s="11"/>
      <c r="H79" s="11"/>
      <c r="I79" s="11"/>
      <c r="J79" s="11"/>
    </row>
    <row r="80">
      <c r="A80">
        <f>IFERROR(__xludf.DUMMYFUNCTION("""COMPUTED_VALUE"""),107.0)</f>
        <v>107</v>
      </c>
      <c r="B80" s="11" t="str">
        <f>IFERROR(__xludf.DUMMYFUNCTION("""COMPUTED_VALUE"""),"I have no concerns, the app just isn't relevant to my life any longer so I plan to remove it.")</f>
        <v>I have no concerns, the app just isn't relevant to my life any longer so I plan to remove it.</v>
      </c>
      <c r="C80" s="3"/>
      <c r="D80" s="3"/>
      <c r="E80" s="3"/>
      <c r="F80" s="11"/>
      <c r="G80" s="11"/>
      <c r="H80" s="11"/>
      <c r="I80" s="11"/>
      <c r="J80" s="11"/>
    </row>
    <row r="81">
      <c r="A81">
        <f>IFERROR(__xludf.DUMMYFUNCTION("""COMPUTED_VALUE"""),108.0)</f>
        <v>108</v>
      </c>
      <c r="B81" s="11"/>
      <c r="C81" s="3"/>
      <c r="D81" s="3"/>
      <c r="E81" s="3"/>
      <c r="F81" s="3"/>
      <c r="G81" s="11"/>
      <c r="H81" s="11"/>
      <c r="I81" s="11"/>
      <c r="J81" s="11"/>
    </row>
    <row r="82">
      <c r="A82">
        <f>IFERROR(__xludf.DUMMYFUNCTION("""COMPUTED_VALUE"""),109.0)</f>
        <v>109</v>
      </c>
      <c r="B82" s="11"/>
      <c r="C82" s="3"/>
      <c r="D82" s="3"/>
      <c r="E82" s="11"/>
      <c r="F82" s="11"/>
      <c r="G82" s="11"/>
      <c r="H82" s="11"/>
      <c r="I82" s="11"/>
      <c r="J82" s="11"/>
    </row>
    <row r="83">
      <c r="A83">
        <f>IFERROR(__xludf.DUMMYFUNCTION("""COMPUTED_VALUE"""),110.0)</f>
        <v>110</v>
      </c>
      <c r="B83" s="11"/>
      <c r="C83" s="3"/>
      <c r="D83" s="3"/>
      <c r="E83" s="3"/>
      <c r="F83" s="3"/>
      <c r="G83" s="11"/>
      <c r="H83" s="11"/>
      <c r="I83" s="11"/>
      <c r="J83" s="11"/>
    </row>
    <row r="84">
      <c r="A84">
        <f>IFERROR(__xludf.DUMMYFUNCTION("""COMPUTED_VALUE"""),112.0)</f>
        <v>112</v>
      </c>
      <c r="B84" s="11"/>
      <c r="C84" s="3"/>
      <c r="D84" s="3"/>
      <c r="E84" s="3"/>
      <c r="F84" s="3"/>
      <c r="G84" s="3"/>
      <c r="H84" s="11"/>
      <c r="I84" s="11"/>
      <c r="J84" s="11"/>
    </row>
    <row r="85">
      <c r="A85">
        <f>IFERROR(__xludf.DUMMYFUNCTION("""COMPUTED_VALUE"""),113.0)</f>
        <v>113</v>
      </c>
      <c r="B85" s="11"/>
      <c r="C85" s="3"/>
      <c r="D85" s="3"/>
      <c r="E85" s="3"/>
      <c r="F85" s="11"/>
      <c r="G85" s="11"/>
      <c r="H85" s="11"/>
      <c r="I85" s="11"/>
      <c r="J85" s="11"/>
    </row>
    <row r="86">
      <c r="A86">
        <f>IFERROR(__xludf.DUMMYFUNCTION("""COMPUTED_VALUE"""),114.0)</f>
        <v>114</v>
      </c>
      <c r="B86" s="11"/>
      <c r="C86" s="3"/>
      <c r="D86" s="3"/>
      <c r="E86" s="3"/>
      <c r="F86" s="3"/>
      <c r="G86" s="3"/>
      <c r="H86" s="11"/>
      <c r="I86" s="11"/>
      <c r="J86" s="11"/>
    </row>
    <row r="87">
      <c r="A87">
        <f>IFERROR(__xludf.DUMMYFUNCTION("""COMPUTED_VALUE"""),115.0)</f>
        <v>115</v>
      </c>
      <c r="B87" s="11" t="str">
        <f>IFERROR(__xludf.DUMMYFUNCTION("""COMPUTED_VALUE"""),"No concerns")</f>
        <v>No concerns</v>
      </c>
      <c r="C87" s="3"/>
      <c r="D87" s="11"/>
      <c r="E87" s="11"/>
      <c r="F87" s="11"/>
      <c r="G87" s="11"/>
      <c r="H87" s="11"/>
      <c r="I87" s="11"/>
      <c r="J87" s="11"/>
    </row>
    <row r="88">
      <c r="A88">
        <f>IFERROR(__xludf.DUMMYFUNCTION("""COMPUTED_VALUE"""),116.0)</f>
        <v>116</v>
      </c>
      <c r="B88" s="11"/>
      <c r="C88" s="3"/>
      <c r="D88" s="3"/>
      <c r="E88" s="11"/>
      <c r="F88" s="11"/>
      <c r="G88" s="11"/>
      <c r="H88" s="11"/>
      <c r="I88" s="11"/>
      <c r="J88" s="11"/>
    </row>
    <row r="89">
      <c r="A89">
        <f>IFERROR(__xludf.DUMMYFUNCTION("""COMPUTED_VALUE"""),117.0)</f>
        <v>117</v>
      </c>
      <c r="B89" s="11"/>
      <c r="C89" s="3"/>
      <c r="D89" s="3"/>
      <c r="E89" s="3"/>
      <c r="F89" s="3"/>
      <c r="G89" s="11"/>
      <c r="H89" s="11"/>
      <c r="I89" s="11"/>
      <c r="J89" s="11"/>
    </row>
    <row r="90">
      <c r="A90">
        <f>IFERROR(__xludf.DUMMYFUNCTION("""COMPUTED_VALUE"""),118.0)</f>
        <v>118</v>
      </c>
      <c r="B90" s="11" t="str">
        <f>IFERROR(__xludf.DUMMYFUNCTION("""COMPUTED_VALUE"""),"I don't have any other concerns about TpT accessing my account. It's very trustworthy.")</f>
        <v>I don't have any other concerns about TpT accessing my account. It's very trustworthy.</v>
      </c>
      <c r="C90" s="3"/>
      <c r="D90" s="3"/>
      <c r="E90" s="11"/>
      <c r="F90" s="11"/>
      <c r="G90" s="11"/>
      <c r="H90" s="11"/>
      <c r="I90" s="11"/>
      <c r="J90" s="11"/>
    </row>
    <row r="91">
      <c r="A91">
        <f>IFERROR(__xludf.DUMMYFUNCTION("""COMPUTED_VALUE"""),120.0)</f>
        <v>120</v>
      </c>
      <c r="B91" s="11" t="str">
        <f>IFERROR(__xludf.DUMMYFUNCTION("""COMPUTED_VALUE"""),"Seems logical and makes sense")</f>
        <v>Seems logical and makes sense</v>
      </c>
      <c r="C91" s="3"/>
      <c r="D91" s="3"/>
      <c r="E91" s="3"/>
      <c r="F91" s="11"/>
      <c r="G91" s="11"/>
      <c r="H91" s="11"/>
      <c r="I91" s="11"/>
      <c r="J91" s="11"/>
    </row>
    <row r="92">
      <c r="A92">
        <f>IFERROR(__xludf.DUMMYFUNCTION("""COMPUTED_VALUE"""),121.0)</f>
        <v>121</v>
      </c>
      <c r="B92" s="11" t="str">
        <f>IFERROR(__xludf.DUMMYFUNCTION("""COMPUTED_VALUE"""),"It's a game, I don't have any major concerns.")</f>
        <v>It's a game, I don't have any major concerns.</v>
      </c>
      <c r="C92" s="3"/>
      <c r="D92" s="3"/>
      <c r="E92" s="3"/>
      <c r="F92" s="11"/>
      <c r="G92" s="11"/>
      <c r="H92" s="11"/>
      <c r="I92" s="11"/>
      <c r="J92" s="11"/>
    </row>
    <row r="93">
      <c r="A93">
        <f>IFERROR(__xludf.DUMMYFUNCTION("""COMPUTED_VALUE"""),122.0)</f>
        <v>122</v>
      </c>
      <c r="B93" s="11" t="str">
        <f>IFERROR(__xludf.DUMMYFUNCTION("""COMPUTED_VALUE"""),"No Concerns")</f>
        <v>No Concerns</v>
      </c>
      <c r="C93" s="3"/>
      <c r="D93" s="3"/>
      <c r="E93" s="11"/>
      <c r="F93" s="11"/>
      <c r="G93" s="11"/>
      <c r="H93" s="11"/>
      <c r="I93" s="11"/>
      <c r="J93" s="11"/>
    </row>
    <row r="94">
      <c r="A94">
        <f>IFERROR(__xludf.DUMMYFUNCTION("""COMPUTED_VALUE"""),123.0)</f>
        <v>123</v>
      </c>
      <c r="B94" s="11"/>
      <c r="C94" s="3"/>
      <c r="D94" s="3"/>
      <c r="E94" s="11"/>
      <c r="F94" s="11"/>
      <c r="G94" s="11"/>
      <c r="H94" s="11"/>
      <c r="I94" s="11"/>
      <c r="J94" s="11"/>
    </row>
    <row r="95">
      <c r="A95">
        <f>IFERROR(__xludf.DUMMYFUNCTION("""COMPUTED_VALUE"""),124.0)</f>
        <v>124</v>
      </c>
      <c r="B95" s="11"/>
      <c r="C95" s="3"/>
      <c r="D95" s="3"/>
      <c r="E95" s="11"/>
      <c r="F95" s="11"/>
      <c r="G95" s="11"/>
      <c r="H95" s="11"/>
      <c r="I95" s="11"/>
      <c r="J95" s="11"/>
    </row>
    <row r="96">
      <c r="A96">
        <f>IFERROR(__xludf.DUMMYFUNCTION("""COMPUTED_VALUE"""),125.0)</f>
        <v>125</v>
      </c>
      <c r="B96" s="11"/>
      <c r="C96" s="3"/>
      <c r="D96" s="3"/>
      <c r="E96" s="3"/>
      <c r="F96" s="11"/>
      <c r="G96" s="11"/>
      <c r="H96" s="11"/>
      <c r="I96" s="11"/>
      <c r="J96" s="11"/>
    </row>
    <row r="97">
      <c r="A97">
        <f>IFERROR(__xludf.DUMMYFUNCTION("""COMPUTED_VALUE"""),126.0)</f>
        <v>126</v>
      </c>
      <c r="B97" s="11"/>
      <c r="C97" s="3"/>
      <c r="D97" s="3"/>
      <c r="E97" s="11"/>
      <c r="F97" s="11"/>
      <c r="G97" s="11"/>
      <c r="H97" s="11"/>
      <c r="I97" s="11"/>
      <c r="J97" s="11"/>
    </row>
    <row r="98">
      <c r="A98">
        <f>IFERROR(__xludf.DUMMYFUNCTION("""COMPUTED_VALUE"""),127.0)</f>
        <v>127</v>
      </c>
      <c r="B98" s="11" t="str">
        <f>IFERROR(__xludf.DUMMYFUNCTION("""COMPUTED_VALUE"""),"I have this app as a convenience and luxury. This app would seem to lend itself to more marketing and tracking my behavior.")</f>
        <v>I have this app as a convenience and luxury. This app would seem to lend itself to more marketing and tracking my behavior.</v>
      </c>
      <c r="C98" s="3"/>
      <c r="D98" s="3"/>
      <c r="E98" s="3"/>
      <c r="F98" s="3"/>
      <c r="G98" s="11"/>
      <c r="H98" s="11"/>
      <c r="I98" s="11"/>
      <c r="J98" s="11"/>
    </row>
    <row r="99">
      <c r="A99">
        <f>IFERROR(__xludf.DUMMYFUNCTION("""COMPUTED_VALUE"""),128.0)</f>
        <v>128</v>
      </c>
      <c r="B99" s="11" t="str">
        <f>IFERROR(__xludf.DUMMYFUNCTION("""COMPUTED_VALUE"""),"I don't want them selling my data.")</f>
        <v>I don't want them selling my data.</v>
      </c>
      <c r="C99" s="3"/>
      <c r="D99" s="11"/>
      <c r="E99" s="11"/>
      <c r="F99" s="11"/>
      <c r="G99" s="11"/>
      <c r="H99" s="11"/>
      <c r="I99" s="11"/>
      <c r="J99" s="11"/>
    </row>
    <row r="100">
      <c r="A100">
        <f>IFERROR(__xludf.DUMMYFUNCTION("""COMPUTED_VALUE"""),129.0)</f>
        <v>129</v>
      </c>
      <c r="B100" s="11"/>
      <c r="C100" s="3"/>
      <c r="D100" s="11"/>
      <c r="E100" s="11"/>
      <c r="F100" s="11"/>
      <c r="G100" s="11"/>
      <c r="H100" s="11"/>
      <c r="I100" s="11"/>
      <c r="J100" s="11"/>
    </row>
    <row r="101">
      <c r="A101">
        <f>IFERROR(__xludf.DUMMYFUNCTION("""COMPUTED_VALUE"""),130.0)</f>
        <v>130</v>
      </c>
      <c r="B101" s="11"/>
      <c r="C101" s="3"/>
      <c r="D101" s="3"/>
      <c r="E101" s="3"/>
      <c r="F101" s="11"/>
      <c r="G101" s="11"/>
      <c r="H101" s="11"/>
      <c r="I101" s="11"/>
      <c r="J101" s="11"/>
    </row>
    <row r="102">
      <c r="A102">
        <f>IFERROR(__xludf.DUMMYFUNCTION("""COMPUTED_VALUE"""),131.0)</f>
        <v>131</v>
      </c>
      <c r="B102" s="11" t="str">
        <f>IFERROR(__xludf.DUMMYFUNCTION("""COMPUTED_VALUE"""),"I use this app to print my pictures so I guess they have to have access to my computer. I trust this site and don't worry to much about it. I just hope they don't sell my information.")</f>
        <v>I use this app to print my pictures so I guess they have to have access to my computer. I trust this site and don't worry to much about it. I just hope they don't sell my information.</v>
      </c>
      <c r="C102" s="3"/>
      <c r="D102" s="3"/>
      <c r="E102" s="3"/>
      <c r="F102" s="11"/>
      <c r="G102" s="11"/>
      <c r="H102" s="11"/>
      <c r="I102" s="11"/>
      <c r="J102" s="11"/>
    </row>
    <row r="103">
      <c r="A103">
        <f>IFERROR(__xludf.DUMMYFUNCTION("""COMPUTED_VALUE"""),132.0)</f>
        <v>132</v>
      </c>
      <c r="B103" s="11" t="str">
        <f>IFERROR(__xludf.DUMMYFUNCTION("""COMPUTED_VALUE"""),"im not as concerned since i chose to put dropbox on and know i did.")</f>
        <v>im not as concerned since i chose to put dropbox on and know i did.</v>
      </c>
      <c r="C103" s="3"/>
      <c r="D103" s="3"/>
      <c r="E103" s="11"/>
      <c r="F103" s="11"/>
      <c r="G103" s="11"/>
      <c r="H103" s="11"/>
      <c r="I103" s="11"/>
      <c r="J103" s="11"/>
    </row>
    <row r="104">
      <c r="A104">
        <f>IFERROR(__xludf.DUMMYFUNCTION("""COMPUTED_VALUE"""),133.0)</f>
        <v>133</v>
      </c>
      <c r="B104" s="11" t="str">
        <f>IFERROR(__xludf.DUMMYFUNCTION("""COMPUTED_VALUE"""),"Since I don't play the game any longer, I don't want Family Island to have access.")</f>
        <v>Since I don't play the game any longer, I don't want Family Island to have access.</v>
      </c>
      <c r="C104" s="3"/>
      <c r="D104" s="3"/>
      <c r="E104" s="11"/>
      <c r="F104" s="11"/>
      <c r="G104" s="11"/>
      <c r="H104" s="11"/>
      <c r="I104" s="11"/>
      <c r="J104" s="11"/>
    </row>
    <row r="105">
      <c r="A105">
        <f>IFERROR(__xludf.DUMMYFUNCTION("""COMPUTED_VALUE"""),134.0)</f>
        <v>134</v>
      </c>
      <c r="B105" s="11" t="str">
        <f>IFERROR(__xludf.DUMMYFUNCTION("""COMPUTED_VALUE"""),"Dont really have any")</f>
        <v>Dont really have any</v>
      </c>
      <c r="C105" s="3"/>
      <c r="D105" s="3"/>
      <c r="E105" s="3"/>
      <c r="F105" s="3"/>
      <c r="G105" s="11"/>
      <c r="H105" s="11"/>
      <c r="I105" s="11"/>
      <c r="J105" s="11"/>
    </row>
    <row r="106">
      <c r="A106">
        <f>IFERROR(__xludf.DUMMYFUNCTION("""COMPUTED_VALUE"""),135.0)</f>
        <v>135</v>
      </c>
      <c r="B106" s="11" t="str">
        <f>IFERROR(__xludf.DUMMYFUNCTION("""COMPUTED_VALUE"""),"I am concerned because I am not quite sure Paribus wants the authority to send emails on my behalf, especially since I believe it is not necessary for the service they provide. The viewing email messages/settings also is concerning because this third part"&amp;"y only has some relevant emails, and I am not sure if they can see unrelated emails.")</f>
        <v>I am concerned because I am not quite sure Paribus wants the authority to send emails on my behalf, especially since I believe it is not necessary for the service they provide. The viewing email messages/settings also is concerning because this third party only has some relevant emails, and I am not sure if they can see unrelated emails.</v>
      </c>
      <c r="C106" s="3"/>
      <c r="D106" s="3"/>
      <c r="E106" s="11"/>
      <c r="F106" s="11"/>
      <c r="G106" s="11"/>
      <c r="H106" s="11"/>
      <c r="I106" s="11"/>
      <c r="J106" s="11"/>
    </row>
    <row r="107">
      <c r="A107">
        <f>IFERROR(__xludf.DUMMYFUNCTION("""COMPUTED_VALUE"""),136.0)</f>
        <v>136</v>
      </c>
      <c r="B107" s="11"/>
      <c r="C107" s="3"/>
      <c r="D107" s="3"/>
      <c r="E107" s="3"/>
      <c r="F107" s="3"/>
      <c r="G107" s="11"/>
      <c r="H107" s="11"/>
      <c r="I107" s="11"/>
      <c r="J107" s="11"/>
    </row>
    <row r="108">
      <c r="A108">
        <f>IFERROR(__xludf.DUMMYFUNCTION("""COMPUTED_VALUE"""),137.0)</f>
        <v>137</v>
      </c>
      <c r="B108" s="11"/>
      <c r="C108" s="3"/>
      <c r="D108" s="3"/>
      <c r="E108" s="3"/>
      <c r="F108" s="11"/>
      <c r="G108" s="11"/>
      <c r="H108" s="11"/>
      <c r="I108" s="11"/>
      <c r="J108" s="11"/>
    </row>
    <row r="109">
      <c r="A109">
        <f>IFERROR(__xludf.DUMMYFUNCTION("""COMPUTED_VALUE"""),138.0)</f>
        <v>138</v>
      </c>
      <c r="B109" s="11" t="str">
        <f>IFERROR(__xludf.DUMMYFUNCTION("""COMPUTED_VALUE"""),"none")</f>
        <v>none</v>
      </c>
      <c r="C109" s="3"/>
      <c r="D109" s="3"/>
      <c r="E109" s="11"/>
      <c r="F109" s="11"/>
      <c r="G109" s="11"/>
      <c r="H109" s="11"/>
      <c r="I109" s="11"/>
      <c r="J109" s="11"/>
    </row>
    <row r="110">
      <c r="A110">
        <f>IFERROR(__xludf.DUMMYFUNCTION("""COMPUTED_VALUE"""),139.0)</f>
        <v>139</v>
      </c>
      <c r="B110" s="11"/>
      <c r="C110" s="3"/>
      <c r="D110" s="3"/>
      <c r="E110" s="3"/>
      <c r="F110" s="11"/>
      <c r="G110" s="11"/>
      <c r="H110" s="11"/>
      <c r="I110" s="11"/>
      <c r="J110" s="11"/>
    </row>
    <row r="111">
      <c r="A111">
        <f>IFERROR(__xludf.DUMMYFUNCTION("""COMPUTED_VALUE"""),140.0)</f>
        <v>140</v>
      </c>
      <c r="B111" s="11" t="str">
        <f>IFERROR(__xludf.DUMMYFUNCTION("""COMPUTED_VALUE"""),"I realize what this is now, this is so I can have access to my Gmail account on Microsoft Outlook, so I'm ok with it, I just don't know why it needs personal data, etc.")</f>
        <v>I realize what this is now, this is so I can have access to my Gmail account on Microsoft Outlook, so I'm ok with it, I just don't know why it needs personal data, etc.</v>
      </c>
      <c r="C111" s="19"/>
      <c r="D111" s="3"/>
      <c r="E111" s="3"/>
      <c r="F111" s="3"/>
      <c r="G111" s="11"/>
      <c r="H111" s="11"/>
      <c r="I111" s="11"/>
      <c r="J111" s="11"/>
    </row>
    <row r="112">
      <c r="A112">
        <f>IFERROR(__xludf.DUMMYFUNCTION("""COMPUTED_VALUE"""),141.0)</f>
        <v>141</v>
      </c>
      <c r="B112" s="11"/>
      <c r="C112" s="3"/>
      <c r="D112" s="3"/>
      <c r="E112" s="3"/>
      <c r="F112" s="11"/>
      <c r="G112" s="11"/>
      <c r="H112" s="11"/>
      <c r="I112" s="11"/>
      <c r="J112" s="11"/>
    </row>
    <row r="113">
      <c r="A113">
        <f>IFERROR(__xludf.DUMMYFUNCTION("""COMPUTED_VALUE"""),143.0)</f>
        <v>143</v>
      </c>
      <c r="B113" s="11" t="str">
        <f>IFERROR(__xludf.DUMMYFUNCTION("""COMPUTED_VALUE"""),"I am concerned that Doodle can get this info since it is a website that I never use.")</f>
        <v>I am concerned that Doodle can get this info since it is a website that I never use.</v>
      </c>
      <c r="C113" s="3"/>
      <c r="D113" s="3"/>
      <c r="E113" s="11"/>
      <c r="F113" s="11"/>
      <c r="G113" s="11"/>
      <c r="H113" s="11"/>
      <c r="I113" s="11"/>
      <c r="J113" s="11"/>
    </row>
    <row r="114">
      <c r="A114">
        <f>IFERROR(__xludf.DUMMYFUNCTION("""COMPUTED_VALUE"""),144.0)</f>
        <v>144</v>
      </c>
      <c r="B114" s="11" t="str">
        <f>IFERROR(__xludf.DUMMYFUNCTION("""COMPUTED_VALUE"""),"no concerns really. ive used it for years and have had no problems with it.")</f>
        <v>no concerns really. ive used it for years and have had no problems with it.</v>
      </c>
      <c r="C114" s="3"/>
      <c r="D114" s="3"/>
      <c r="E114" s="3"/>
      <c r="F114" s="3"/>
      <c r="G114" s="11"/>
      <c r="H114" s="11"/>
      <c r="I114" s="11"/>
      <c r="J114" s="11"/>
    </row>
    <row r="115">
      <c r="A115">
        <f>IFERROR(__xludf.DUMMYFUNCTION("""COMPUTED_VALUE"""),145.0)</f>
        <v>145</v>
      </c>
      <c r="B115" s="11"/>
      <c r="C115" s="3"/>
      <c r="D115" s="11"/>
      <c r="E115" s="11"/>
      <c r="F115" s="11"/>
      <c r="G115" s="11"/>
      <c r="H115" s="11"/>
      <c r="I115" s="11"/>
      <c r="J115" s="11"/>
    </row>
    <row r="116">
      <c r="A116">
        <f>IFERROR(__xludf.DUMMYFUNCTION("""COMPUTED_VALUE"""),146.0)</f>
        <v>146</v>
      </c>
      <c r="B116" s="11"/>
      <c r="C116" s="3"/>
      <c r="D116" s="3"/>
      <c r="E116" s="3"/>
      <c r="F116" s="3"/>
      <c r="G116" s="11"/>
      <c r="H116" s="11"/>
      <c r="I116" s="11"/>
      <c r="J116" s="11"/>
    </row>
    <row r="117">
      <c r="A117">
        <f>IFERROR(__xludf.DUMMYFUNCTION("""COMPUTED_VALUE"""),147.0)</f>
        <v>147</v>
      </c>
      <c r="B117" s="11" t="str">
        <f>IFERROR(__xludf.DUMMYFUNCTION("""COMPUTED_VALUE"""),"This was for a major purchase so I understand them needing it, I just don't like the idea of it possibly being leaked.")</f>
        <v>This was for a major purchase so I understand them needing it, I just don't like the idea of it possibly being leaked.</v>
      </c>
      <c r="C117" s="3"/>
      <c r="D117" s="3"/>
      <c r="E117" s="11"/>
      <c r="F117" s="11"/>
      <c r="G117" s="11"/>
      <c r="H117" s="11"/>
      <c r="I117" s="11"/>
      <c r="J117" s="11"/>
    </row>
    <row r="118">
      <c r="A118">
        <f>IFERROR(__xludf.DUMMYFUNCTION("""COMPUTED_VALUE"""),148.0)</f>
        <v>148</v>
      </c>
      <c r="B118" s="11"/>
      <c r="C118" s="3"/>
      <c r="D118" s="3"/>
      <c r="E118" s="11"/>
      <c r="F118" s="11"/>
      <c r="G118" s="11"/>
      <c r="H118" s="11"/>
      <c r="I118" s="11"/>
      <c r="J118" s="11"/>
    </row>
    <row r="119">
      <c r="A119">
        <f>IFERROR(__xludf.DUMMYFUNCTION("""COMPUTED_VALUE"""),149.0)</f>
        <v>149</v>
      </c>
      <c r="B119" s="11" t="str">
        <f>IFERROR(__xludf.DUMMYFUNCTION("""COMPUTED_VALUE"""),"I'm relatively fine with the permissions this app has. It mentions only specific files used in the app, so it's not even full access it seems.")</f>
        <v>I'm relatively fine with the permissions this app has. It mentions only specific files used in the app, so it's not even full access it seems.</v>
      </c>
      <c r="C119" s="3"/>
      <c r="D119" s="3"/>
      <c r="E119" s="11"/>
      <c r="F119" s="11"/>
      <c r="G119" s="11"/>
      <c r="H119" s="11"/>
      <c r="I119" s="11"/>
      <c r="J119" s="11"/>
    </row>
    <row r="120">
      <c r="A120">
        <f>IFERROR(__xludf.DUMMYFUNCTION("""COMPUTED_VALUE"""),150.0)</f>
        <v>150</v>
      </c>
      <c r="B120" s="11"/>
      <c r="C120" s="3"/>
      <c r="D120" s="11"/>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t="str">
        <f>IFERROR(__xludf.DUMMYFUNCTION("""COMPUTED_VALUE"""),"I don't want them to delete anything.")</f>
        <v>I don't want them to delete anything.</v>
      </c>
      <c r="C122" s="3"/>
      <c r="D122" s="3"/>
      <c r="E122" s="3"/>
      <c r="F122" s="11"/>
      <c r="G122" s="11"/>
      <c r="H122" s="11"/>
      <c r="I122" s="11"/>
      <c r="J122" s="11"/>
    </row>
    <row r="123">
      <c r="A123">
        <f>IFERROR(__xludf.DUMMYFUNCTION("""COMPUTED_VALUE"""),153.0)</f>
        <v>153</v>
      </c>
      <c r="B123" s="11" t="str">
        <f>IFERROR(__xludf.DUMMYFUNCTION("""COMPUTED_VALUE"""),"there should be no need for this app to send messages")</f>
        <v>there should be no need for this app to send messages</v>
      </c>
      <c r="C123" s="3"/>
      <c r="D123" s="3"/>
      <c r="E123" s="3"/>
      <c r="F123" s="3"/>
      <c r="G123" s="11"/>
      <c r="H123" s="11"/>
      <c r="I123" s="11"/>
      <c r="J123" s="11"/>
    </row>
    <row r="124">
      <c r="A124">
        <f>IFERROR(__xludf.DUMMYFUNCTION("""COMPUTED_VALUE"""),154.0)</f>
        <v>154</v>
      </c>
      <c r="B124" s="11" t="str">
        <f>IFERROR(__xludf.DUMMYFUNCTION("""COMPUTED_VALUE"""),"None")</f>
        <v>None</v>
      </c>
      <c r="C124" s="3"/>
      <c r="D124" s="11"/>
      <c r="E124" s="11"/>
      <c r="F124" s="11"/>
      <c r="G124" s="11"/>
      <c r="H124" s="11"/>
      <c r="I124" s="11"/>
      <c r="J124" s="11"/>
    </row>
    <row r="125">
      <c r="A125">
        <f>IFERROR(__xludf.DUMMYFUNCTION("""COMPUTED_VALUE"""),155.0)</f>
        <v>155</v>
      </c>
      <c r="B125" s="11" t="str">
        <f>IFERROR(__xludf.DUMMYFUNCTION("""COMPUTED_VALUE"""),"I like remaining anonymous when possible, but all of these functions help my productivity and workflow in Windows. I have basically no concerns over this.")</f>
        <v>I like remaining anonymous when possible, but all of these functions help my productivity and workflow in Windows. I have basically no concerns over this.</v>
      </c>
      <c r="C125" s="3"/>
      <c r="D125" s="3"/>
      <c r="E125" s="11"/>
      <c r="F125" s="11"/>
      <c r="G125" s="11"/>
      <c r="H125" s="11"/>
      <c r="I125" s="11"/>
      <c r="J125" s="11"/>
    </row>
    <row r="126">
      <c r="A126">
        <f>IFERROR(__xludf.DUMMYFUNCTION("""COMPUTED_VALUE"""),156.0)</f>
        <v>156</v>
      </c>
      <c r="B126" s="11"/>
      <c r="C126" s="3"/>
      <c r="D126" s="3"/>
      <c r="E126" s="11"/>
      <c r="F126" s="11"/>
      <c r="G126" s="11"/>
      <c r="H126" s="11"/>
      <c r="I126" s="11"/>
      <c r="J126" s="11"/>
    </row>
    <row r="127">
      <c r="A127">
        <f>IFERROR(__xludf.DUMMYFUNCTION("""COMPUTED_VALUE"""),157.0)</f>
        <v>157</v>
      </c>
      <c r="B127" s="11" t="str">
        <f>IFERROR(__xludf.DUMMYFUNCTION("""COMPUTED_VALUE"""),"I am mostly fine with Windows holding these permissions but being able to permanently delete all emails is a bit worrying.")</f>
        <v>I am mostly fine with Windows holding these permissions but being able to permanently delete all emails is a bit worrying.</v>
      </c>
      <c r="C127" s="3"/>
      <c r="D127" s="11"/>
      <c r="E127" s="11"/>
      <c r="F127" s="11"/>
      <c r="G127" s="11"/>
      <c r="H127" s="11"/>
      <c r="I127" s="11"/>
      <c r="J127" s="11"/>
    </row>
    <row r="128">
      <c r="A128">
        <f>IFERROR(__xludf.DUMMYFUNCTION("""COMPUTED_VALUE"""),158.0)</f>
        <v>158</v>
      </c>
      <c r="B128" s="11" t="str">
        <f>IFERROR(__xludf.DUMMYFUNCTION("""COMPUTED_VALUE"""),"I know that it needs to use fit data so I have no concerns.")</f>
        <v>I know that it needs to use fit data so I have no concerns.</v>
      </c>
      <c r="C128" s="3"/>
      <c r="D128" s="3"/>
      <c r="E128" s="3"/>
      <c r="F128" s="3"/>
      <c r="G128" s="11"/>
      <c r="H128" s="11"/>
      <c r="I128" s="11"/>
      <c r="J128" s="11"/>
    </row>
    <row r="129">
      <c r="A129">
        <f>IFERROR(__xludf.DUMMYFUNCTION("""COMPUTED_VALUE"""),159.0)</f>
        <v>159</v>
      </c>
      <c r="B129" s="11"/>
      <c r="C129" s="3"/>
      <c r="D129" s="3"/>
      <c r="E129" s="11"/>
      <c r="F129" s="11"/>
      <c r="G129" s="11"/>
      <c r="H129" s="11"/>
      <c r="I129" s="11"/>
      <c r="J129" s="11"/>
    </row>
    <row r="130">
      <c r="A130">
        <f>IFERROR(__xludf.DUMMYFUNCTION("""COMPUTED_VALUE"""),160.0)</f>
        <v>160</v>
      </c>
      <c r="B130" s="11"/>
      <c r="C130" s="3"/>
      <c r="D130" s="3"/>
      <c r="E130" s="3"/>
      <c r="F130" s="3"/>
      <c r="G130" s="11"/>
      <c r="H130" s="11"/>
      <c r="I130" s="11"/>
      <c r="J130" s="11"/>
    </row>
    <row r="131">
      <c r="A131">
        <f>IFERROR(__xludf.DUMMYFUNCTION("""COMPUTED_VALUE"""),161.0)</f>
        <v>161</v>
      </c>
      <c r="B131" s="11" t="str">
        <f>IFERROR(__xludf.DUMMYFUNCTION("""COMPUTED_VALUE"""),"I don't remember it asking me for permission to change my games activity so I'm not even sure what it is doing with that information.")</f>
        <v>I don't remember it asking me for permission to change my games activity so I'm not even sure what it is doing with that information.</v>
      </c>
      <c r="C131" s="3"/>
      <c r="D131" s="3"/>
      <c r="E131" s="11"/>
      <c r="F131" s="11"/>
      <c r="G131" s="11"/>
      <c r="H131" s="11"/>
      <c r="I131" s="11"/>
      <c r="J131" s="11"/>
    </row>
    <row r="132">
      <c r="A132">
        <f>IFERROR(__xludf.DUMMYFUNCTION("""COMPUTED_VALUE"""),162.0)</f>
        <v>162</v>
      </c>
      <c r="B132" s="11" t="str">
        <f>IFERROR(__xludf.DUMMYFUNCTION("""COMPUTED_VALUE"""),"I don't have a problem with this.")</f>
        <v>I don't have a problem with this.</v>
      </c>
      <c r="C132" s="3"/>
      <c r="D132" s="3"/>
      <c r="E132" s="11"/>
      <c r="F132" s="11"/>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11" t="str">
        <f>IFERROR(__xludf.DUMMYFUNCTION("""COMPUTED_VALUE"""),"I don't really know why they would need ALL personal info.")</f>
        <v>I don't really know why they would need ALL personal info.</v>
      </c>
      <c r="C134" s="3"/>
      <c r="D134" s="3"/>
      <c r="E134" s="3"/>
      <c r="F134" s="11"/>
      <c r="G134" s="11"/>
      <c r="H134" s="11"/>
      <c r="I134" s="11"/>
      <c r="J134" s="11"/>
    </row>
    <row r="135">
      <c r="A135">
        <f>IFERROR(__xludf.DUMMYFUNCTION("""COMPUTED_VALUE"""),165.0)</f>
        <v>165</v>
      </c>
      <c r="B135" s="11" t="str">
        <f>IFERROR(__xludf.DUMMYFUNCTION("""COMPUTED_VALUE"""),"Simply that the app will mess with something - a file - that it shouldn't be messing with. Otherwise, in order for the app to function as designed, it will need these permissions.")</f>
        <v>Simply that the app will mess with something - a file - that it shouldn't be messing with. Otherwise, in order for the app to function as designed, it will need these permissions.</v>
      </c>
      <c r="C135" s="3"/>
      <c r="D135" s="3"/>
      <c r="E135" s="11"/>
      <c r="F135" s="11"/>
      <c r="G135" s="11"/>
      <c r="H135" s="11"/>
      <c r="I135" s="11"/>
      <c r="J135" s="11"/>
    </row>
    <row r="136">
      <c r="A136">
        <f>IFERROR(__xludf.DUMMYFUNCTION("""COMPUTED_VALUE"""),166.0)</f>
        <v>166</v>
      </c>
      <c r="B136" s="11" t="str">
        <f>IFERROR(__xludf.DUMMYFUNCTION("""COMPUTED_VALUE"""),"I am concerned that the adidas Training app has access to all my email accounts, especially since I have removed the app from my phone and I don't see why the app still has to have these permissions.")</f>
        <v>I am concerned that the adidas Training app has access to all my email accounts, especially since I have removed the app from my phone and I don't see why the app still has to have these permissions.</v>
      </c>
      <c r="C136" s="3"/>
      <c r="D136" s="3"/>
      <c r="E136" s="3"/>
      <c r="F136" s="11"/>
      <c r="G136" s="11"/>
      <c r="H136" s="11"/>
      <c r="I136" s="11"/>
      <c r="J136" s="11"/>
    </row>
    <row r="137">
      <c r="A137">
        <f>IFERROR(__xludf.DUMMYFUNCTION("""COMPUTED_VALUE"""),167.0)</f>
        <v>167</v>
      </c>
      <c r="B137" s="11"/>
      <c r="C137" s="3"/>
      <c r="D137" s="3"/>
      <c r="E137" s="11"/>
      <c r="F137" s="11"/>
      <c r="G137" s="11"/>
      <c r="H137" s="11"/>
      <c r="I137" s="11"/>
      <c r="J137" s="11"/>
    </row>
    <row r="138">
      <c r="A138">
        <f>IFERROR(__xludf.DUMMYFUNCTION("""COMPUTED_VALUE"""),168.0)</f>
        <v>168</v>
      </c>
      <c r="B138" s="11"/>
      <c r="C138" s="3"/>
      <c r="D138" s="3"/>
      <c r="E138" s="3"/>
      <c r="F138" s="11"/>
      <c r="G138" s="11"/>
      <c r="H138" s="11"/>
      <c r="I138" s="11"/>
      <c r="J138" s="11"/>
    </row>
    <row r="139">
      <c r="A139">
        <f>IFERROR(__xludf.DUMMYFUNCTION("""COMPUTED_VALUE"""),169.0)</f>
        <v>169</v>
      </c>
      <c r="B139" s="11" t="str">
        <f>IFERROR(__xludf.DUMMYFUNCTION("""COMPUTED_VALUE"""),"I don't have any concerns with windows holding these permissions.")</f>
        <v>I don't have any concerns with windows holding these permissions.</v>
      </c>
      <c r="C139" s="3"/>
      <c r="D139" s="3"/>
      <c r="E139" s="3"/>
      <c r="F139" s="11"/>
      <c r="G139" s="11"/>
      <c r="H139" s="11"/>
      <c r="I139" s="11"/>
      <c r="J139" s="11"/>
    </row>
    <row r="140">
      <c r="A140">
        <f>IFERROR(__xludf.DUMMYFUNCTION("""COMPUTED_VALUE"""),170.0)</f>
        <v>170</v>
      </c>
      <c r="B140" s="11" t="str">
        <f>IFERROR(__xludf.DUMMYFUNCTION("""COMPUTED_VALUE"""),"none")</f>
        <v>none</v>
      </c>
      <c r="C140" s="3"/>
      <c r="D140" s="3"/>
      <c r="E140" s="3"/>
      <c r="F140" s="3"/>
      <c r="G140" s="11"/>
      <c r="H140" s="11"/>
      <c r="I140" s="11"/>
      <c r="J140" s="11"/>
    </row>
    <row r="141">
      <c r="A141">
        <f>IFERROR(__xludf.DUMMYFUNCTION("""COMPUTED_VALUE"""),171.0)</f>
        <v>171</v>
      </c>
      <c r="B141" s="11" t="str">
        <f>IFERROR(__xludf.DUMMYFUNCTION("""COMPUTED_VALUE"""),"I don't know if I want them to be able to delete stuff from my Google Drive.")</f>
        <v>I don't know if I want them to be able to delete stuff from my Google Drive.</v>
      </c>
      <c r="C141" s="3"/>
      <c r="D141" s="3"/>
      <c r="E141" s="11"/>
      <c r="F141" s="11"/>
      <c r="G141" s="11"/>
      <c r="H141" s="11"/>
      <c r="I141" s="11"/>
      <c r="J141" s="11"/>
    </row>
    <row r="142">
      <c r="A142">
        <f>IFERROR(__xludf.DUMMYFUNCTION("""COMPUTED_VALUE"""),172.0)</f>
        <v>172</v>
      </c>
      <c r="B142" s="11"/>
      <c r="C142" s="3"/>
      <c r="D142" s="3"/>
      <c r="E142" s="11"/>
      <c r="F142" s="11"/>
      <c r="G142" s="11"/>
      <c r="H142" s="11"/>
      <c r="I142" s="11"/>
      <c r="J142" s="11"/>
    </row>
    <row r="143">
      <c r="A143">
        <f>IFERROR(__xludf.DUMMYFUNCTION("""COMPUTED_VALUE"""),173.0)</f>
        <v>173</v>
      </c>
      <c r="B143" s="11" t="str">
        <f>IFERROR(__xludf.DUMMYFUNCTION("""COMPUTED_VALUE"""),"None")</f>
        <v>None</v>
      </c>
      <c r="C143" s="3"/>
      <c r="D143" s="3"/>
      <c r="E143" s="3"/>
      <c r="F143" s="11"/>
      <c r="G143" s="11"/>
      <c r="H143" s="11"/>
      <c r="I143" s="11"/>
      <c r="J143" s="11"/>
    </row>
    <row r="144">
      <c r="A144">
        <f>IFERROR(__xludf.DUMMYFUNCTION("""COMPUTED_VALUE"""),174.0)</f>
        <v>174</v>
      </c>
      <c r="B144" s="11" t="str">
        <f>IFERROR(__xludf.DUMMYFUNCTION("""COMPUTED_VALUE"""),"Less concerned about this company having these permission, I know they need my date of birth to deliver me wine.")</f>
        <v>Less concerned about this company having these permission, I know they need my date of birth to deliver me wine.</v>
      </c>
      <c r="C144" s="3"/>
      <c r="D144" s="3"/>
      <c r="E144" s="3"/>
      <c r="F144" s="3"/>
      <c r="G144" s="3"/>
      <c r="H144" s="11"/>
      <c r="I144" s="11"/>
      <c r="J144" s="11"/>
    </row>
    <row r="145">
      <c r="A145">
        <f>IFERROR(__xludf.DUMMYFUNCTION("""COMPUTED_VALUE"""),175.0)</f>
        <v>175</v>
      </c>
      <c r="B145" s="11" t="str">
        <f>IFERROR(__xludf.DUMMYFUNCTION("""COMPUTED_VALUE"""),"I don't feel sure they only see the files I use in whatsapp")</f>
        <v>I don't feel sure they only see the files I use in whatsapp</v>
      </c>
      <c r="C145" s="3"/>
      <c r="D145" s="3"/>
      <c r="E145" s="3"/>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IFERROR(__xludf.DUMMYFUNCTION("""COMPUTED_VALUE"""),"just makes me think of old worm emails that would get info about who you send and recieve emails from")</f>
        <v>just makes me think of old worm emails that would get info about who you send and recieve emails from</v>
      </c>
      <c r="C147" s="3"/>
      <c r="D147" s="3"/>
      <c r="E147" s="3"/>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IFERROR(__xludf.DUMMYFUNCTION("""COMPUTED_VALUE"""),"I don't have any. I trust the service to keep my information secure.")</f>
        <v>I don't have any. I trust the service to keep my information secure.</v>
      </c>
      <c r="C149" s="3"/>
      <c r="D149" s="11"/>
      <c r="E149" s="11"/>
      <c r="F149" s="11"/>
      <c r="H149" s="11"/>
      <c r="I149" s="11"/>
      <c r="J149" s="11"/>
    </row>
    <row r="150">
      <c r="A150">
        <f>IFERROR(__xludf.DUMMYFUNCTION("""COMPUTED_VALUE"""),181.0)</f>
        <v>181</v>
      </c>
      <c r="B150" s="11" t="str">
        <f>IFERROR(__xludf.DUMMYFUNCTION("""COMPUTED_VALUE"""),"The ability to delete items on Google Drive is a bit strange, and I'm not sure why that is necessary.")</f>
        <v>The ability to delete items on Google Drive is a bit strange, and I'm not sure why that is necessary.</v>
      </c>
      <c r="C150" s="3"/>
      <c r="D150" s="3"/>
      <c r="E150" s="3"/>
      <c r="F150" s="3"/>
      <c r="H150" s="11"/>
      <c r="I150" s="11"/>
      <c r="J150" s="11"/>
    </row>
    <row r="151">
      <c r="A151">
        <f>IFERROR(__xludf.DUMMYFUNCTION("""COMPUTED_VALUE"""),182.0)</f>
        <v>182</v>
      </c>
      <c r="B151" s="11" t="str">
        <f>IFERROR(__xludf.DUMMYFUNCTION("""COMPUTED_VALUE"""),"I'm not too concerned since I like being constantly updated with my deliveries")</f>
        <v>I'm not too concerned since I like being constantly updated with my deliveries</v>
      </c>
      <c r="C151" s="3"/>
      <c r="D151" s="3"/>
      <c r="E151" s="3"/>
      <c r="F151" s="3"/>
      <c r="H151" s="11"/>
      <c r="I151" s="11"/>
      <c r="J151" s="11"/>
    </row>
    <row r="152">
      <c r="A152">
        <f>IFERROR(__xludf.DUMMYFUNCTION("""COMPUTED_VALUE"""),183.0)</f>
        <v>183</v>
      </c>
      <c r="B152" s="11"/>
      <c r="C152" s="3"/>
      <c r="D152" s="3"/>
      <c r="E152" s="11"/>
      <c r="F152" s="11"/>
      <c r="H152" s="11"/>
      <c r="I152" s="11"/>
      <c r="J152" s="11"/>
    </row>
    <row r="153">
      <c r="A153">
        <f>IFERROR(__xludf.DUMMYFUNCTION("""COMPUTED_VALUE"""),184.0)</f>
        <v>184</v>
      </c>
      <c r="B153" s="11" t="str">
        <f>IFERROR(__xludf.DUMMYFUNCTION("""COMPUTED_VALUE"""),"I have no concerns")</f>
        <v>I have no concerns</v>
      </c>
      <c r="C153" s="3"/>
      <c r="D153" s="3"/>
      <c r="E153" s="11"/>
      <c r="F153" s="11"/>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c r="C155" s="11"/>
      <c r="D155" s="11"/>
      <c r="E155" s="11"/>
      <c r="F155" s="11"/>
      <c r="G155" s="11"/>
      <c r="H155" s="11"/>
      <c r="I155" s="11"/>
      <c r="J155" s="11"/>
    </row>
    <row r="156">
      <c r="A156">
        <f>IFERROR(__xludf.DUMMYFUNCTION("""COMPUTED_VALUE"""),187.0)</f>
        <v>187</v>
      </c>
      <c r="B156" s="11"/>
      <c r="C156" s="11"/>
      <c r="D156" s="11"/>
      <c r="E156" s="11"/>
      <c r="F156" s="11"/>
      <c r="G156" s="11"/>
      <c r="H156" s="11"/>
      <c r="I156" s="11"/>
      <c r="J156" s="11"/>
    </row>
    <row r="157">
      <c r="A157">
        <f>IFERROR(__xludf.DUMMYFUNCTION("""COMPUTED_VALUE"""),188.0)</f>
        <v>188</v>
      </c>
      <c r="B157" s="11"/>
      <c r="C157" s="11"/>
      <c r="D157" s="11"/>
      <c r="E157" s="11"/>
      <c r="F157" s="11"/>
      <c r="G157" s="11"/>
      <c r="H157" s="11"/>
      <c r="I157" s="11"/>
      <c r="J157" s="11"/>
    </row>
    <row r="158">
      <c r="A158">
        <f>IFERROR(__xludf.DUMMYFUNCTION("""COMPUTED_VALUE"""),189.0)</f>
        <v>189</v>
      </c>
      <c r="B158" s="11"/>
      <c r="C158" s="11"/>
      <c r="D158" s="11"/>
      <c r="E158" s="11"/>
      <c r="F158" s="11"/>
      <c r="G158" s="11"/>
      <c r="H158" s="11"/>
      <c r="I158" s="11"/>
      <c r="J158" s="11"/>
    </row>
    <row r="159">
      <c r="A159">
        <f>IFERROR(__xludf.DUMMYFUNCTION("""COMPUTED_VALUE"""),190.0)</f>
        <v>190</v>
      </c>
      <c r="B159" s="11" t="str">
        <f>IFERROR(__xludf.DUMMYFUNCTION("""COMPUTED_VALUE"""),"I see it only has permission to view my YouTube account, which I am fine with since it is a public account anyway. I don't post anything or have anything on there that I don't want to the world to potentially see so I don't care who sees it.")</f>
        <v>I see it only has permission to view my YouTube account, which I am fine with since it is a public account anyway. I don't post anything or have anything on there that I don't want to the world to potentially see so I don't care who sees it.</v>
      </c>
      <c r="C159" s="11"/>
      <c r="D159" s="11"/>
      <c r="E159" s="11"/>
      <c r="F159" s="11"/>
      <c r="G159" s="11"/>
      <c r="H159" s="11"/>
      <c r="I159" s="11"/>
      <c r="J159" s="11"/>
    </row>
    <row r="160">
      <c r="A160">
        <f>IFERROR(__xludf.DUMMYFUNCTION("""COMPUTED_VALUE"""),191.0)</f>
        <v>191</v>
      </c>
      <c r="B160" s="11"/>
      <c r="C160" s="11"/>
      <c r="D160" s="11"/>
      <c r="E160" s="11"/>
      <c r="F160" s="11"/>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c r="C162" s="11"/>
      <c r="D162" s="11"/>
      <c r="E162" s="11"/>
      <c r="F162" s="11"/>
      <c r="G162" s="11"/>
      <c r="H162" s="11"/>
      <c r="I162" s="11"/>
      <c r="J162" s="11"/>
    </row>
    <row r="163">
      <c r="A163">
        <f>IFERROR(__xludf.DUMMYFUNCTION("""COMPUTED_VALUE"""),194.0)</f>
        <v>194</v>
      </c>
      <c r="B163" s="11"/>
      <c r="C163" s="11"/>
      <c r="D163" s="11"/>
      <c r="E163" s="11"/>
      <c r="F163" s="11"/>
      <c r="G163" s="11"/>
      <c r="H163" s="11"/>
      <c r="I163" s="11"/>
      <c r="J163" s="11"/>
    </row>
    <row r="164">
      <c r="A164">
        <f>IFERROR(__xludf.DUMMYFUNCTION("""COMPUTED_VALUE"""),195.0)</f>
        <v>195</v>
      </c>
      <c r="B164" s="11" t="str">
        <f>IFERROR(__xludf.DUMMYFUNCTION("""COMPUTED_VALUE"""),"I'm always worried about personal details, but I am pleasantly surprized at how minimal the permissions are.")</f>
        <v>I'm always worried about personal details, but I am pleasantly surprized at how minimal the permissions are.</v>
      </c>
      <c r="C164" s="11"/>
      <c r="D164" s="11"/>
      <c r="E164" s="11"/>
      <c r="F164" s="11"/>
      <c r="G164" s="11"/>
      <c r="H164" s="11"/>
      <c r="I164" s="11"/>
      <c r="J164" s="11"/>
    </row>
    <row r="165">
      <c r="A165">
        <f>IFERROR(__xludf.DUMMYFUNCTION("""COMPUTED_VALUE"""),196.0)</f>
        <v>196</v>
      </c>
      <c r="B165" s="11" t="str">
        <f>IFERROR(__xludf.DUMMYFUNCTION("""COMPUTED_VALUE"""),"I do not know why the app has to associate itself with my personal data. I do recall seeing more ads for this app after I have downloaded it. Frankly, I am annoyed now that I notice this.")</f>
        <v>I do not know why the app has to associate itself with my personal data. I do recall seeing more ads for this app after I have downloaded it. Frankly, I am annoyed now that I notice this.</v>
      </c>
      <c r="C165" s="11"/>
      <c r="D165" s="11"/>
      <c r="E165" s="11"/>
      <c r="F165" s="11"/>
      <c r="G165" s="11"/>
      <c r="H165" s="11"/>
      <c r="I165" s="11"/>
      <c r="J165" s="11"/>
    </row>
    <row r="166">
      <c r="A166">
        <f>IFERROR(__xludf.DUMMYFUNCTION("""COMPUTED_VALUE"""),197.0)</f>
        <v>197</v>
      </c>
      <c r="B166" s="11" t="str">
        <f>IFERROR(__xludf.DUMMYFUNCTION("""COMPUTED_VALUE"""),"i dont use it")</f>
        <v>i dont use it</v>
      </c>
      <c r="C166" s="11"/>
      <c r="D166" s="11"/>
      <c r="E166" s="11"/>
      <c r="F166" s="11"/>
      <c r="G166" s="11"/>
      <c r="H166" s="11"/>
      <c r="I166" s="11"/>
      <c r="J166" s="11"/>
    </row>
    <row r="167">
      <c r="A167">
        <f>IFERROR(__xludf.DUMMYFUNCTION("""COMPUTED_VALUE"""),198.0)</f>
        <v>198</v>
      </c>
      <c r="B167" s="11" t="str">
        <f>IFERROR(__xludf.DUMMYFUNCTION("""COMPUTED_VALUE"""),"Again worried about it deleting some information I typed out onto a google document and me not realizing it until much later and having to redo it. I am worried about who has my email address and what they can do about it, but all the other information is"&amp;" public so my worry level is low")</f>
        <v>Again worried about it deleting some information I typed out onto a google document and me not realizing it until much later and having to redo it. I am worried about who has my email address and what they can do about it, but all the other information is public so my worry level is low</v>
      </c>
      <c r="C167" s="11"/>
      <c r="D167" s="11"/>
      <c r="E167" s="11"/>
      <c r="F167" s="11"/>
      <c r="G167" s="11"/>
      <c r="H167" s="11"/>
      <c r="I167" s="11"/>
      <c r="J167" s="11"/>
    </row>
    <row r="168">
      <c r="A168">
        <f>IFERROR(__xludf.DUMMYFUNCTION("""COMPUTED_VALUE"""),199.0)</f>
        <v>199</v>
      </c>
      <c r="B168" s="11"/>
      <c r="C168" s="11"/>
      <c r="D168" s="11"/>
      <c r="E168" s="11"/>
      <c r="F168" s="11"/>
      <c r="G168" s="11"/>
      <c r="H168" s="11"/>
      <c r="I168" s="11"/>
      <c r="J168" s="11"/>
    </row>
    <row r="169">
      <c r="A169">
        <f>IFERROR(__xludf.DUMMYFUNCTION("""COMPUTED_VALUE"""),200.0)</f>
        <v>200</v>
      </c>
      <c r="B169" s="11" t="str">
        <f>IFERROR(__xludf.DUMMYFUNCTION("""COMPUTED_VALUE"""),"I'm a bit concerned about their access to my Youtube Channel, since it seems a bit unnecessary and excessive.")</f>
        <v>I'm a bit concerned about their access to my Youtube Channel, since it seems a bit unnecessary and excessive.</v>
      </c>
      <c r="C169" s="11"/>
      <c r="D169" s="11"/>
      <c r="E169" s="11"/>
      <c r="F169" s="11"/>
      <c r="G169" s="11"/>
      <c r="H169" s="11"/>
      <c r="I169" s="11"/>
      <c r="J169" s="11"/>
    </row>
    <row r="170">
      <c r="A170">
        <f>IFERROR(__xludf.DUMMYFUNCTION("""COMPUTED_VALUE"""),201.0)</f>
        <v>201</v>
      </c>
      <c r="B170" s="11" t="str">
        <f>IFERROR(__xludf.DUMMYFUNCTION("""COMPUTED_VALUE"""),"Privacy concerns")</f>
        <v>Privacy concerns</v>
      </c>
      <c r="C170" s="11"/>
      <c r="D170" s="11"/>
      <c r="E170" s="11"/>
      <c r="F170" s="11"/>
      <c r="G170" s="11"/>
      <c r="H170" s="11"/>
      <c r="I170" s="11"/>
      <c r="J170" s="11"/>
    </row>
    <row r="171">
      <c r="A171">
        <f>IFERROR(__xludf.DUMMYFUNCTION("""COMPUTED_VALUE"""),202.0)</f>
        <v>202</v>
      </c>
      <c r="B171" s="11" t="str">
        <f>IFERROR(__xludf.DUMMYFUNCTION("""COMPUTED_VALUE"""),"I have no concerns.")</f>
        <v>I have no concerns.</v>
      </c>
      <c r="C171" s="11"/>
      <c r="D171" s="11"/>
      <c r="E171" s="11"/>
      <c r="F171" s="11"/>
      <c r="G171" s="11"/>
      <c r="H171" s="11"/>
      <c r="I171" s="11"/>
      <c r="J171" s="11"/>
    </row>
    <row r="172">
      <c r="A172">
        <f>IFERROR(__xludf.DUMMYFUNCTION("""COMPUTED_VALUE"""),203.0)</f>
        <v>203</v>
      </c>
      <c r="B172" s="11"/>
      <c r="C172" s="11"/>
      <c r="D172" s="11"/>
      <c r="E172" s="11"/>
      <c r="F172" s="11"/>
      <c r="G172" s="11"/>
      <c r="H172" s="11"/>
      <c r="I172" s="11"/>
      <c r="J172" s="11"/>
    </row>
    <row r="173">
      <c r="A173">
        <f>IFERROR(__xludf.DUMMYFUNCTION("""COMPUTED_VALUE"""),204.0)</f>
        <v>204</v>
      </c>
      <c r="B173" s="11" t="str">
        <f>IFERROR(__xludf.DUMMYFUNCTION("""COMPUTED_VALUE"""),"I do not have any.")</f>
        <v>I do not have any.</v>
      </c>
      <c r="C173" s="11"/>
      <c r="D173" s="11"/>
      <c r="E173" s="11"/>
      <c r="F173" s="11"/>
      <c r="G173" s="11"/>
      <c r="H173" s="11"/>
      <c r="I173" s="11"/>
      <c r="J173" s="11"/>
    </row>
    <row r="174">
      <c r="A174">
        <f>IFERROR(__xludf.DUMMYFUNCTION("""COMPUTED_VALUE"""),205.0)</f>
        <v>205</v>
      </c>
      <c r="B174" s="11"/>
      <c r="C174" s="11"/>
      <c r="D174" s="11"/>
      <c r="E174" s="11"/>
      <c r="F174" s="11"/>
      <c r="G174" s="11"/>
      <c r="H174" s="11"/>
      <c r="I174" s="11"/>
      <c r="J174" s="11"/>
    </row>
    <row r="175">
      <c r="A175">
        <f>IFERROR(__xludf.DUMMYFUNCTION("""COMPUTED_VALUE"""),206.0)</f>
        <v>206</v>
      </c>
      <c r="B175" s="11" t="str">
        <f>IFERROR(__xludf.DUMMYFUNCTION("""COMPUTED_VALUE"""),"none")</f>
        <v>none</v>
      </c>
      <c r="C175" s="11"/>
      <c r="D175" s="11"/>
      <c r="E175" s="11"/>
      <c r="F175" s="11"/>
      <c r="G175" s="11"/>
      <c r="H175" s="11"/>
      <c r="I175" s="11"/>
      <c r="J175" s="11"/>
    </row>
    <row r="176">
      <c r="A176">
        <f>IFERROR(__xludf.DUMMYFUNCTION("""COMPUTED_VALUE"""),207.0)</f>
        <v>207</v>
      </c>
      <c r="B176" s="11"/>
      <c r="C176" s="11"/>
      <c r="D176" s="11"/>
      <c r="E176" s="11"/>
      <c r="F176" s="11"/>
      <c r="G176" s="11"/>
      <c r="H176" s="11"/>
      <c r="I176" s="11"/>
      <c r="J176" s="11"/>
    </row>
    <row r="177">
      <c r="A177">
        <f>IFERROR(__xludf.DUMMYFUNCTION("""COMPUTED_VALUE"""),208.0)</f>
        <v>208</v>
      </c>
      <c r="B177" s="11" t="str">
        <f>IFERROR(__xludf.DUMMYFUNCTION("""COMPUTED_VALUE"""),"Again my biggest concern is the company using my data for their own profit")</f>
        <v>Again my biggest concern is the company using my data for their own profit</v>
      </c>
      <c r="C177" s="11"/>
      <c r="D177" s="11"/>
      <c r="E177" s="11"/>
      <c r="F177" s="11"/>
      <c r="G177" s="11"/>
      <c r="H177" s="11"/>
      <c r="I177" s="11"/>
      <c r="J177" s="11"/>
    </row>
    <row r="178">
      <c r="A178">
        <f>IFERROR(__xludf.DUMMYFUNCTION("""COMPUTED_VALUE"""),209.0)</f>
        <v>209</v>
      </c>
      <c r="B178" s="11" t="str">
        <f>IFERROR(__xludf.DUMMYFUNCTION("""COMPUTED_VALUE"""),"None")</f>
        <v>None</v>
      </c>
      <c r="C178" s="11"/>
      <c r="D178" s="11"/>
      <c r="E178" s="11"/>
      <c r="F178" s="11"/>
      <c r="G178" s="11"/>
      <c r="H178" s="11"/>
      <c r="I178" s="11"/>
      <c r="J178" s="11"/>
    </row>
    <row r="179">
      <c r="A179">
        <f>IFERROR(__xludf.DUMMYFUNCTION("""COMPUTED_VALUE"""),210.0)</f>
        <v>210</v>
      </c>
      <c r="B179" s="11"/>
      <c r="C179" s="11"/>
      <c r="D179" s="11"/>
      <c r="E179" s="11"/>
      <c r="F179" s="11"/>
      <c r="G179" s="11"/>
      <c r="H179" s="11"/>
      <c r="I179" s="11"/>
      <c r="J179" s="11"/>
    </row>
    <row r="180">
      <c r="A180">
        <f>IFERROR(__xludf.DUMMYFUNCTION("""COMPUTED_VALUE"""),211.0)</f>
        <v>211</v>
      </c>
      <c r="B180" s="11" t="str">
        <f>IFERROR(__xludf.DUMMYFUNCTION("""COMPUTED_VALUE"""),"none, really. Mostly that someone else would be able to bypass security functions to access my Drive.")</f>
        <v>none, really. Mostly that someone else would be able to bypass security functions to access my Drive.</v>
      </c>
      <c r="C180" s="11"/>
      <c r="D180" s="11"/>
      <c r="E180" s="11"/>
      <c r="F180" s="11"/>
      <c r="G180" s="11"/>
      <c r="H180" s="11"/>
      <c r="I180" s="11"/>
      <c r="J180" s="11"/>
    </row>
    <row r="181">
      <c r="A181">
        <f>IFERROR(__xludf.DUMMYFUNCTION("""COMPUTED_VALUE"""),212.0)</f>
        <v>212</v>
      </c>
      <c r="B181" s="11" t="str">
        <f>IFERROR(__xludf.DUMMYFUNCTION("""COMPUTED_VALUE"""),"None.")</f>
        <v>None.</v>
      </c>
      <c r="C181" s="11"/>
      <c r="D181" s="11"/>
      <c r="E181" s="11"/>
      <c r="F181" s="11"/>
      <c r="G181" s="11"/>
      <c r="H181" s="11"/>
      <c r="I181" s="11"/>
      <c r="J181" s="11"/>
    </row>
    <row r="182">
      <c r="A182">
        <f>IFERROR(__xludf.DUMMYFUNCTION("""COMPUTED_VALUE"""),213.0)</f>
        <v>213</v>
      </c>
      <c r="B182" s="11" t="str">
        <f>IFERROR(__xludf.DUMMYFUNCTION("""COMPUTED_VALUE"""),"I don't remember authorizing Viki. Therefore, my concerns are that Viki even holds these permissions I don't remember allowing.")</f>
        <v>I don't remember authorizing Viki. Therefore, my concerns are that Viki even holds these permissions I don't remember allowing.</v>
      </c>
      <c r="C182" s="11"/>
      <c r="D182" s="11"/>
      <c r="E182" s="11"/>
      <c r="F182" s="11"/>
      <c r="G182" s="11"/>
      <c r="H182" s="11"/>
      <c r="I182" s="11"/>
      <c r="J182" s="11"/>
    </row>
    <row r="183">
      <c r="A183">
        <f>IFERROR(__xludf.DUMMYFUNCTION("""COMPUTED_VALUE"""),214.0)</f>
        <v>214</v>
      </c>
      <c r="B183" s="11" t="str">
        <f>IFERROR(__xludf.DUMMYFUNCTION("""COMPUTED_VALUE"""),"I don't have any concerns about Zoom accessing my calendar")</f>
        <v>I don't have any concerns about Zoom accessing my calendar</v>
      </c>
      <c r="C183" s="11"/>
      <c r="D183" s="11"/>
      <c r="E183" s="11"/>
      <c r="F183" s="11"/>
      <c r="G183" s="11"/>
      <c r="H183" s="11"/>
      <c r="I183" s="11"/>
      <c r="J183" s="11"/>
    </row>
    <row r="184">
      <c r="A184">
        <f>IFERROR(__xludf.DUMMYFUNCTION("""COMPUTED_VALUE"""),216.0)</f>
        <v>216</v>
      </c>
      <c r="B184" s="11" t="str">
        <f>IFERROR(__xludf.DUMMYFUNCTION("""COMPUTED_VALUE"""),"I do not have any pressing concerns.")</f>
        <v>I do not have any pressing concerns.</v>
      </c>
      <c r="C184" s="11"/>
      <c r="D184" s="11"/>
      <c r="E184" s="11"/>
      <c r="F184" s="11"/>
      <c r="G184" s="11"/>
      <c r="H184" s="11"/>
      <c r="I184" s="11"/>
      <c r="J184" s="11"/>
    </row>
    <row r="185">
      <c r="A185">
        <f>IFERROR(__xludf.DUMMYFUNCTION("""COMPUTED_VALUE"""),218.0)</f>
        <v>218</v>
      </c>
      <c r="B185" s="11" t="str">
        <f>IFERROR(__xludf.DUMMYFUNCTION("""COMPUTED_VALUE"""),"If it shares my files with others.")</f>
        <v>If it shares my files with others.</v>
      </c>
      <c r="C185" s="11"/>
      <c r="D185" s="11"/>
      <c r="E185" s="11"/>
      <c r="F185" s="11"/>
      <c r="G185" s="11"/>
      <c r="H185" s="11"/>
      <c r="I185" s="11"/>
      <c r="J185" s="11"/>
    </row>
    <row r="186">
      <c r="A186">
        <f>IFERROR(__xludf.DUMMYFUNCTION("""COMPUTED_VALUE"""),219.0)</f>
        <v>219</v>
      </c>
      <c r="B186" s="11" t="str">
        <f>IFERROR(__xludf.DUMMYFUNCTION("""COMPUTED_VALUE"""),"This doesn't really bother me since it's really just tracking the time that I play the game and what I do while playing. Not a big deal.")</f>
        <v>This doesn't really bother me since it's really just tracking the time that I play the game and what I do while playing. Not a big deal.</v>
      </c>
      <c r="C186" s="11"/>
      <c r="D186" s="11"/>
      <c r="E186" s="11"/>
      <c r="F186" s="11"/>
      <c r="G186" s="11"/>
      <c r="H186" s="11"/>
      <c r="I186" s="11"/>
      <c r="J186" s="11"/>
    </row>
    <row r="187">
      <c r="A187">
        <f>IFERROR(__xludf.DUMMYFUNCTION("""COMPUTED_VALUE"""),220.0)</f>
        <v>220</v>
      </c>
      <c r="B187" s="11" t="str">
        <f>IFERROR(__xludf.DUMMYFUNCTION("""COMPUTED_VALUE"""),"Tuya Smart connects to my Alexa device therefor it is obvious it has holds of certain permissions. My only concern is that it may share my personal info")</f>
        <v>Tuya Smart connects to my Alexa device therefor it is obvious it has holds of certain permissions. My only concern is that it may share my personal info</v>
      </c>
      <c r="C187" s="11"/>
      <c r="D187" s="11"/>
      <c r="E187" s="11"/>
      <c r="F187" s="11"/>
      <c r="G187" s="11"/>
      <c r="H187" s="11"/>
      <c r="I187" s="11"/>
      <c r="J187" s="11"/>
    </row>
    <row r="188">
      <c r="A188">
        <f>IFERROR(__xludf.DUMMYFUNCTION("""COMPUTED_VALUE"""),221.0)</f>
        <v>221</v>
      </c>
      <c r="B188" s="11" t="str">
        <f>IFERROR(__xludf.DUMMYFUNCTION("""COMPUTED_VALUE"""),"zoom should only be able to modify events on my calendar that zoom has previously entered and whose dates or times or access urls may have vhanged.")</f>
        <v>zoom should only be able to modify events on my calendar that zoom has previously entered and whose dates or times or access urls may have vhanged.</v>
      </c>
      <c r="C188" s="11"/>
      <c r="D188" s="11"/>
      <c r="E188" s="11"/>
      <c r="F188" s="11"/>
      <c r="G188" s="11"/>
      <c r="H188" s="11"/>
      <c r="I188" s="11"/>
      <c r="J188" s="11"/>
    </row>
    <row r="189">
      <c r="A189">
        <f>IFERROR(__xludf.DUMMYFUNCTION("""COMPUTED_VALUE"""),222.0)</f>
        <v>222</v>
      </c>
      <c r="B189" s="11"/>
      <c r="C189" s="11"/>
      <c r="D189" s="11"/>
      <c r="E189" s="11"/>
      <c r="F189" s="11"/>
      <c r="G189" s="11"/>
      <c r="H189" s="11"/>
      <c r="I189" s="11"/>
      <c r="J189" s="11"/>
    </row>
    <row r="190">
      <c r="A190">
        <f>IFERROR(__xludf.DUMMYFUNCTION("""COMPUTED_VALUE"""),223.0)</f>
        <v>223</v>
      </c>
      <c r="B190" s="11"/>
      <c r="C190" s="11"/>
      <c r="D190" s="11"/>
      <c r="E190" s="11"/>
      <c r="F190" s="11"/>
      <c r="G190" s="11"/>
      <c r="H190" s="11"/>
      <c r="I190" s="11"/>
      <c r="J190" s="11"/>
    </row>
    <row r="191">
      <c r="A191">
        <f>IFERROR(__xludf.DUMMYFUNCTION("""COMPUTED_VALUE"""),224.0)</f>
        <v>224</v>
      </c>
      <c r="B191" s="11" t="str">
        <f>IFERROR(__xludf.DUMMYFUNCTION("""COMPUTED_VALUE"""),"I just don't really have a need for this extension anymore, and the fact that they have access to my sending of emails from GMail is concerning since the app is meant to help you just find email addresses at other companies.")</f>
        <v>I just don't really have a need for this extension anymore, and the fact that they have access to my sending of emails from GMail is concerning since the app is meant to help you just find email addresses at other companies.</v>
      </c>
      <c r="C191" s="11"/>
      <c r="D191" s="11"/>
      <c r="E191" s="11"/>
      <c r="F191" s="11"/>
      <c r="G191" s="11"/>
      <c r="H191" s="11"/>
      <c r="I191" s="11"/>
      <c r="J191" s="11"/>
    </row>
    <row r="192">
      <c r="A192">
        <f>IFERROR(__xludf.DUMMYFUNCTION("""COMPUTED_VALUE"""),225.0)</f>
        <v>225</v>
      </c>
      <c r="B192" s="11" t="str">
        <f>IFERROR(__xludf.DUMMYFUNCTION("""COMPUTED_VALUE"""),"I have little concern because I operate the OS, and macOS is pretty secure.")</f>
        <v>I have little concern because I operate the OS, and macOS is pretty secure.</v>
      </c>
      <c r="C192" s="11"/>
      <c r="D192" s="11"/>
      <c r="E192" s="11"/>
      <c r="F192" s="11"/>
      <c r="G192" s="11"/>
      <c r="H192" s="11"/>
      <c r="I192" s="11"/>
      <c r="J192" s="11"/>
    </row>
    <row r="193">
      <c r="A193">
        <f>IFERROR(__xludf.DUMMYFUNCTION("""COMPUTED_VALUE"""),226.0)</f>
        <v>226</v>
      </c>
      <c r="B193" s="11" t="str">
        <f>IFERROR(__xludf.DUMMYFUNCTION("""COMPUTED_VALUE"""),"I don't think some of the data that Lumin PDF is asking for is necessary for them to have access to. I'd be curious why they kind certain parts of my data necessary for me to access their site.")</f>
        <v>I don't think some of the data that Lumin PDF is asking for is necessary for them to have access to. I'd be curious why they kind certain parts of my data necessary for me to access their site.</v>
      </c>
      <c r="C193" s="11"/>
      <c r="D193" s="11"/>
      <c r="E193" s="11"/>
      <c r="F193" s="11"/>
      <c r="G193" s="11"/>
      <c r="H193" s="11"/>
      <c r="I193" s="11"/>
      <c r="J193" s="11"/>
    </row>
    <row r="194">
      <c r="A194">
        <f>IFERROR(__xludf.DUMMYFUNCTION("""COMPUTED_VALUE"""),227.0)</f>
        <v>227</v>
      </c>
      <c r="B194" s="11" t="str">
        <f>IFERROR(__xludf.DUMMYFUNCTION("""COMPUTED_VALUE"""),"I am fine with them having this information. It does not bother me... again, as long as they are not selling it to another party.")</f>
        <v>I am fine with them having this information. It does not bother me... again, as long as they are not selling it to another party.</v>
      </c>
      <c r="C194" s="11"/>
      <c r="D194" s="11"/>
      <c r="E194" s="11"/>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c r="C197" s="11"/>
      <c r="D197" s="11"/>
      <c r="E197" s="11"/>
      <c r="F197" s="11"/>
      <c r="G197" s="11"/>
      <c r="H197" s="11"/>
      <c r="I197" s="11"/>
      <c r="J197" s="11"/>
    </row>
    <row r="198">
      <c r="A198">
        <f>IFERROR(__xludf.DUMMYFUNCTION("""COMPUTED_VALUE"""),231.0)</f>
        <v>231</v>
      </c>
      <c r="B198" s="11" t="str">
        <f>IFERROR(__xludf.DUMMYFUNCTION("""COMPUTED_VALUE"""),"I don't have too many concerns. It is another shopping app that requires access to my gmail.")</f>
        <v>I don't have too many concerns. It is another shopping app that requires access to my gmail.</v>
      </c>
      <c r="C198" s="11"/>
      <c r="D198" s="11"/>
      <c r="E198" s="11"/>
      <c r="F198" s="11"/>
      <c r="G198" s="11"/>
      <c r="H198" s="11"/>
      <c r="I198" s="11"/>
      <c r="J198" s="11"/>
    </row>
    <row r="199">
      <c r="A199">
        <f>IFERROR(__xludf.DUMMYFUNCTION("""COMPUTED_VALUE"""),232.0)</f>
        <v>232</v>
      </c>
      <c r="B199" s="11" t="str">
        <f>IFERROR(__xludf.DUMMYFUNCTION("""COMPUTED_VALUE"""),"Pirate Kings' permission doesn't seem like a security concern from my understanding.")</f>
        <v>Pirate Kings' permission doesn't seem like a security concern from my understanding.</v>
      </c>
      <c r="C199" s="11"/>
      <c r="D199" s="11"/>
      <c r="E199" s="11"/>
      <c r="F199" s="11"/>
      <c r="G199" s="11"/>
      <c r="H199" s="11"/>
      <c r="I199" s="11"/>
      <c r="J199" s="11"/>
    </row>
    <row r="200">
      <c r="A200">
        <f>IFERROR(__xludf.DUMMYFUNCTION("""COMPUTED_VALUE"""),233.0)</f>
        <v>233</v>
      </c>
      <c r="B200" s="11" t="str">
        <f>IFERROR(__xludf.DUMMYFUNCTION("""COMPUTED_VALUE"""),"I do not have any concerns.")</f>
        <v>I do not have any concerns.</v>
      </c>
      <c r="C200" s="11"/>
      <c r="D200" s="11"/>
      <c r="E200" s="11"/>
      <c r="F200" s="11"/>
      <c r="G200" s="11"/>
      <c r="H200" s="11"/>
      <c r="I200" s="11"/>
      <c r="J200" s="11"/>
    </row>
    <row r="201">
      <c r="A201">
        <f>IFERROR(__xludf.DUMMYFUNCTION("""COMPUTED_VALUE"""),234.0)</f>
        <v>234</v>
      </c>
      <c r="B201" s="11" t="str">
        <f>IFERROR(__xludf.DUMMYFUNCTION("""COMPUTED_VALUE"""),"No conerns")</f>
        <v>No conerns</v>
      </c>
      <c r="C201" s="11"/>
      <c r="D201" s="11"/>
      <c r="E201" s="11"/>
      <c r="F201" s="11"/>
      <c r="G201" s="11"/>
      <c r="H201" s="11"/>
      <c r="I201" s="11"/>
      <c r="J201" s="11"/>
    </row>
    <row r="202">
      <c r="A202">
        <f>IFERROR(__xludf.DUMMYFUNCTION("""COMPUTED_VALUE"""),235.0)</f>
        <v>235</v>
      </c>
      <c r="B202" s="11" t="str">
        <f>IFERROR(__xludf.DUMMYFUNCTION("""COMPUTED_VALUE"""),"None, It uses google play for many things.")</f>
        <v>None, It uses google play for many things.</v>
      </c>
      <c r="C202" s="11"/>
      <c r="D202" s="11"/>
      <c r="E202" s="11"/>
      <c r="F202" s="11"/>
      <c r="G202" s="11"/>
      <c r="H202" s="11"/>
      <c r="I202" s="11"/>
      <c r="J202" s="11"/>
    </row>
    <row r="203">
      <c r="A203">
        <f>IFERROR(__xludf.DUMMYFUNCTION("""COMPUTED_VALUE"""),236.0)</f>
        <v>236</v>
      </c>
      <c r="B203" s="11"/>
      <c r="C203" s="11"/>
      <c r="D203" s="11"/>
      <c r="E203" s="11"/>
      <c r="F203" s="11"/>
      <c r="G203" s="11"/>
      <c r="H203" s="11"/>
      <c r="I203" s="11"/>
      <c r="J203" s="11"/>
    </row>
    <row r="204">
      <c r="A204">
        <f>IFERROR(__xludf.DUMMYFUNCTION("""COMPUTED_VALUE"""),237.0)</f>
        <v>237</v>
      </c>
      <c r="B204" s="11"/>
      <c r="C204" s="11"/>
      <c r="D204" s="11"/>
      <c r="E204" s="11"/>
      <c r="F204" s="11"/>
      <c r="G204" s="11"/>
      <c r="H204" s="11"/>
      <c r="I204" s="11"/>
      <c r="J204" s="11"/>
    </row>
    <row r="205">
      <c r="A205">
        <f>IFERROR(__xludf.DUMMYFUNCTION("""COMPUTED_VALUE"""),238.0)</f>
        <v>238</v>
      </c>
      <c r="B205" s="11" t="str">
        <f>IFERROR(__xludf.DUMMYFUNCTION("""COMPUTED_VALUE"""),"No concerns. The tv has access but it's a Google App, so Google already has this information.")</f>
        <v>No concerns. The tv has access but it's a Google App, so Google already has this information.</v>
      </c>
      <c r="C205" s="11"/>
      <c r="D205" s="11"/>
      <c r="E205" s="11"/>
      <c r="F205" s="11"/>
      <c r="G205" s="11"/>
      <c r="H205" s="11"/>
      <c r="I205" s="11"/>
      <c r="J205" s="11"/>
    </row>
    <row r="206">
      <c r="A206">
        <f>IFERROR(__xludf.DUMMYFUNCTION("""COMPUTED_VALUE"""),239.0)</f>
        <v>239</v>
      </c>
      <c r="B206" s="11"/>
      <c r="C206" s="11"/>
      <c r="D206" s="11"/>
      <c r="E206" s="11"/>
      <c r="F206" s="11"/>
      <c r="G206" s="11"/>
      <c r="H206" s="11"/>
      <c r="I206" s="11"/>
      <c r="J206" s="11"/>
    </row>
    <row r="207">
      <c r="A207">
        <f>IFERROR(__xludf.DUMMYFUNCTION("""COMPUTED_VALUE"""),240.0)</f>
        <v>240</v>
      </c>
      <c r="B207" s="11"/>
      <c r="C207" s="11"/>
      <c r="D207" s="11"/>
      <c r="E207" s="11"/>
      <c r="F207" s="11"/>
      <c r="G207" s="11"/>
      <c r="H207" s="11"/>
      <c r="I207" s="11"/>
      <c r="J207" s="11"/>
    </row>
    <row r="208">
      <c r="A208">
        <f>IFERROR(__xludf.DUMMYFUNCTION("""COMPUTED_VALUE"""),241.0)</f>
        <v>241</v>
      </c>
      <c r="B208" s="11"/>
      <c r="C208" s="11"/>
      <c r="D208" s="11"/>
      <c r="E208" s="11"/>
      <c r="F208" s="11"/>
      <c r="G208" s="11"/>
      <c r="H208" s="11"/>
      <c r="I208" s="11"/>
      <c r="J208" s="11"/>
    </row>
    <row r="209">
      <c r="A209">
        <f>IFERROR(__xludf.DUMMYFUNCTION("""COMPUTED_VALUE"""),242.0)</f>
        <v>242</v>
      </c>
      <c r="B209" s="11"/>
      <c r="C209" s="11"/>
      <c r="D209" s="11"/>
      <c r="E209" s="11"/>
      <c r="F209" s="11"/>
      <c r="G209" s="11"/>
      <c r="H209" s="11"/>
      <c r="I209" s="11"/>
      <c r="J209" s="11"/>
    </row>
    <row r="210">
      <c r="A210">
        <f>IFERROR(__xludf.DUMMYFUNCTION("""COMPUTED_VALUE"""),243.0)</f>
        <v>243</v>
      </c>
      <c r="B210" s="11" t="str">
        <f>IFERROR(__xludf.DUMMYFUNCTION("""COMPUTED_VALUE"""),"I am not sure why it needs to see my emails")</f>
        <v>I am not sure why it needs to see my emails</v>
      </c>
      <c r="C210" s="11"/>
      <c r="D210" s="11"/>
      <c r="E210" s="11"/>
      <c r="F210" s="11"/>
      <c r="G210" s="11"/>
      <c r="H210" s="11"/>
      <c r="I210" s="11"/>
      <c r="J210" s="11"/>
    </row>
    <row r="211">
      <c r="A211">
        <f>IFERROR(__xludf.DUMMYFUNCTION("""COMPUTED_VALUE"""),244.0)</f>
        <v>244</v>
      </c>
      <c r="B211" s="11"/>
      <c r="C211" s="11"/>
      <c r="D211" s="11"/>
      <c r="E211" s="11"/>
      <c r="F211" s="11"/>
      <c r="G211" s="11"/>
      <c r="H211" s="11"/>
      <c r="I211" s="11"/>
      <c r="J211" s="11"/>
    </row>
    <row r="212">
      <c r="A212">
        <f>IFERROR(__xludf.DUMMYFUNCTION("""COMPUTED_VALUE"""),245.0)</f>
        <v>245</v>
      </c>
      <c r="B212" s="11" t="str">
        <f>IFERROR(__xludf.DUMMYFUNCTION("""COMPUTED_VALUE"""),"none")</f>
        <v>none</v>
      </c>
      <c r="C212" s="11"/>
      <c r="D212" s="11"/>
      <c r="E212" s="11"/>
      <c r="F212" s="11"/>
      <c r="G212" s="11"/>
      <c r="H212" s="11"/>
      <c r="I212" s="11"/>
      <c r="J212" s="11"/>
    </row>
    <row r="213">
      <c r="A213">
        <f>IFERROR(__xludf.DUMMYFUNCTION("""COMPUTED_VALUE"""),246.0)</f>
        <v>246</v>
      </c>
      <c r="B213" s="11" t="str">
        <f>IFERROR(__xludf.DUMMYFUNCTION("""COMPUTED_VALUE"""),"no concerns")</f>
        <v>no concerns</v>
      </c>
      <c r="C213" s="11"/>
      <c r="D213" s="11"/>
      <c r="E213" s="11"/>
      <c r="F213" s="11"/>
      <c r="G213" s="11"/>
      <c r="H213" s="11"/>
      <c r="I213" s="11"/>
      <c r="J213" s="11"/>
    </row>
    <row r="214">
      <c r="A214">
        <f>IFERROR(__xludf.DUMMYFUNCTION("""COMPUTED_VALUE"""),247.0)</f>
        <v>247</v>
      </c>
      <c r="B214" s="11"/>
      <c r="C214" s="11"/>
      <c r="D214" s="11"/>
      <c r="E214" s="11"/>
      <c r="F214" s="11"/>
      <c r="G214" s="11"/>
      <c r="H214" s="11"/>
      <c r="I214" s="11"/>
      <c r="J214" s="11"/>
    </row>
    <row r="215">
      <c r="A215">
        <f>IFERROR(__xludf.DUMMYFUNCTION("""COMPUTED_VALUE"""),248.0)</f>
        <v>248</v>
      </c>
      <c r="B215" s="11" t="str">
        <f>IFERROR(__xludf.DUMMYFUNCTION("""COMPUTED_VALUE"""),"I don't know who they're sharing my info with or if it's secure.")</f>
        <v>I don't know who they're sharing my info with or if it's secure.</v>
      </c>
      <c r="C215" s="11"/>
      <c r="D215" s="11"/>
      <c r="E215" s="11"/>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30.86"/>
  </cols>
  <sheetData>
    <row r="1">
      <c r="A1" s="15" t="s">
        <v>785</v>
      </c>
      <c r="B1" s="28"/>
      <c r="C1" s="28"/>
      <c r="D1" s="28"/>
      <c r="E1" s="15" t="s">
        <v>786</v>
      </c>
      <c r="F1" s="28"/>
    </row>
    <row r="2">
      <c r="A2" s="28" t="str">
        <f>IFERROR(__xludf.DUMMYFUNCTION("QUERY({'Q14-new (secondary)'!C2:C1000;'Q14-new (secondary)'!D2:D1000;'Q14-new (secondary)'!E2:E1000;'Q14-new (secondary)'!F2:F1000;'Q14-new (secondary)'!G2:G1000;'Q14-new (secondary)'!H2:H1000;'Q14-new (secondary)'!I2:I1000;'Q14-new (secondary)'!J2:J1000;"&amp;"'Q14-new (secondary)'!K2:K1000}, ""select Col1, count(Col1) where Col1 is not null group by Col1 order by Col1 asc"")"),"")</f>
        <v/>
      </c>
      <c r="B2" s="28" t="str">
        <f>IFERROR(__xludf.DUMMYFUNCTION("""COMPUTED_VALUE"""),"count ")</f>
        <v>count </v>
      </c>
      <c r="C2" s="28"/>
      <c r="D2" s="28"/>
      <c r="E2" s="28" t="str">
        <f>IFERROR(__xludf.DUMMYFUNCTION("QUERY({'Q14-new (secondary)'!C2:C1000;'Q14-new (secondary)'!D2:D1000;'Q14-new (secondary)'!E2:E1000;'Q14-new (secondary)'!F2:F1000;'Q14-new (secondary)'!G2:G1000;'Q14-new (secondary)'!H2:H1000;'Q14-new (secondary)'!I2:I1000;'Q14-new (secondary)'!J2:J1000;"&amp;"'Q14-new (secondary)'!K2:K1000}, ""select Col1, count(Col1) where Col1 is not null and not Col1 contains '-&gt;' group by Col1 order by count(Col1) asc"")"),"")</f>
        <v/>
      </c>
      <c r="F2" s="28" t="str">
        <f>IFERROR(__xludf.DUMMYFUNCTION("""COMPUTED_VALUE"""),"count ")</f>
        <v>count </v>
      </c>
    </row>
    <row r="3">
      <c r="A3" t="str">
        <f>IFERROR(__xludf.DUMMYFUNCTION("""COMPUTED_VALUE"""),"app_beneficial")</f>
        <v>app_beneficial</v>
      </c>
      <c r="B3">
        <f>IFERROR(__xludf.DUMMYFUNCTION("""COMPUTED_VALUE"""),2.0)</f>
        <v>2</v>
      </c>
      <c r="E3" t="str">
        <f>IFERROR(__xludf.DUMMYFUNCTION("""COMPUTED_VALUE"""),"app_not_beneficial")</f>
        <v>app_not_beneficial</v>
      </c>
      <c r="F3">
        <f>IFERROR(__xludf.DUMMYFUNCTION("""COMPUTED_VALUE"""),1.0)</f>
        <v>1</v>
      </c>
    </row>
    <row r="4">
      <c r="A4" t="str">
        <f>IFERROR(__xludf.DUMMYFUNCTION("""COMPUTED_VALUE"""),"app_not_beneficial")</f>
        <v>app_not_beneficial</v>
      </c>
      <c r="B4">
        <f>IFERROR(__xludf.DUMMYFUNCTION("""COMPUTED_VALUE"""),1.0)</f>
        <v>1</v>
      </c>
      <c r="E4" t="str">
        <f>IFERROR(__xludf.DUMMYFUNCTION("""COMPUTED_VALUE"""),"resigned")</f>
        <v>resigned</v>
      </c>
      <c r="F4">
        <f>IFERROR(__xludf.DUMMYFUNCTION("""COMPUTED_VALUE"""),1.0)</f>
        <v>1</v>
      </c>
    </row>
    <row r="5">
      <c r="A5" t="str">
        <f>IFERROR(__xludf.DUMMYFUNCTION("""COMPUTED_VALUE"""),"concerned")</f>
        <v>concerned</v>
      </c>
      <c r="B5">
        <f>IFERROR(__xludf.DUMMYFUNCTION("""COMPUTED_VALUE"""),7.0)</f>
        <v>7</v>
      </c>
      <c r="E5" t="str">
        <f>IFERROR(__xludf.DUMMYFUNCTION("""COMPUTED_VALUE"""),"will_remove_app_access")</f>
        <v>will_remove_app_access</v>
      </c>
      <c r="F5">
        <f>IFERROR(__xludf.DUMMYFUNCTION("""COMPUTED_VALUE"""),1.0)</f>
        <v>1</v>
      </c>
    </row>
    <row r="6">
      <c r="A6" t="str">
        <f>IFERROR(__xludf.DUMMYFUNCTION("""COMPUTED_VALUE"""),"concerned-&gt;misuse")</f>
        <v>concerned-&gt;misuse</v>
      </c>
      <c r="B6">
        <f>IFERROR(__xludf.DUMMYFUNCTION("""COMPUTED_VALUE"""),1.0)</f>
        <v>1</v>
      </c>
      <c r="E6" t="str">
        <f>IFERROR(__xludf.DUMMYFUNCTION("""COMPUTED_VALUE"""),"app_beneficial")</f>
        <v>app_beneficial</v>
      </c>
      <c r="F6">
        <f>IFERROR(__xludf.DUMMYFUNCTION("""COMPUTED_VALUE"""),2.0)</f>
        <v>2</v>
      </c>
    </row>
    <row r="7">
      <c r="A7" t="str">
        <f>IFERROR(__xludf.DUMMYFUNCTION("""COMPUTED_VALUE"""),"concerned-&gt;permissions-&gt;delete")</f>
        <v>concerned-&gt;permissions-&gt;delete</v>
      </c>
      <c r="B7">
        <f>IFERROR(__xludf.DUMMYFUNCTION("""COMPUTED_VALUE"""),1.0)</f>
        <v>1</v>
      </c>
      <c r="E7" t="str">
        <f>IFERROR(__xludf.DUMMYFUNCTION("""COMPUTED_VALUE"""),"infrequent_use")</f>
        <v>infrequent_use</v>
      </c>
      <c r="F7">
        <f>IFERROR(__xludf.DUMMYFUNCTION("""COMPUTED_VALUE"""),2.0)</f>
        <v>2</v>
      </c>
    </row>
    <row r="8">
      <c r="A8" t="str">
        <f>IFERROR(__xludf.DUMMYFUNCTION("""COMPUTED_VALUE"""),"concerned-&gt;personal_data")</f>
        <v>concerned-&gt;personal_data</v>
      </c>
      <c r="B8">
        <f>IFERROR(__xludf.DUMMYFUNCTION("""COMPUTED_VALUE"""),2.0)</f>
        <v>2</v>
      </c>
      <c r="E8" t="str">
        <f>IFERROR(__xludf.DUMMYFUNCTION("""COMPUTED_VALUE"""),"do_not_recall_authorizing")</f>
        <v>do_not_recall_authorizing</v>
      </c>
      <c r="F8">
        <f>IFERROR(__xludf.DUMMYFUNCTION("""COMPUTED_VALUE"""),3.0)</f>
        <v>3</v>
      </c>
    </row>
    <row r="9">
      <c r="A9" t="str">
        <f>IFERROR(__xludf.DUMMYFUNCTION("""COMPUTED_VALUE"""),"concerned-&gt;unecessary_access_to_data")</f>
        <v>concerned-&gt;unecessary_access_to_data</v>
      </c>
      <c r="B9">
        <f>IFERROR(__xludf.DUMMYFUNCTION("""COMPUTED_VALUE"""),2.0)</f>
        <v>2</v>
      </c>
      <c r="E9" t="str">
        <f>IFERROR(__xludf.DUMMYFUNCTION("""COMPUTED_VALUE"""),"concerned")</f>
        <v>concerned</v>
      </c>
      <c r="F9">
        <f>IFERROR(__xludf.DUMMYFUNCTION("""COMPUTED_VALUE"""),7.0)</f>
        <v>7</v>
      </c>
    </row>
    <row r="10">
      <c r="A10" t="str">
        <f>IFERROR(__xludf.DUMMYFUNCTION("""COMPUTED_VALUE"""),"do_not_recall_authorizing")</f>
        <v>do_not_recall_authorizing</v>
      </c>
      <c r="B10">
        <f>IFERROR(__xludf.DUMMYFUNCTION("""COMPUTED_VALUE"""),3.0)</f>
        <v>3</v>
      </c>
      <c r="E10" t="str">
        <f>IFERROR(__xludf.DUMMYFUNCTION("""COMPUTED_VALUE"""),"unconcerned")</f>
        <v>unconcerned</v>
      </c>
      <c r="F10">
        <f>IFERROR(__xludf.DUMMYFUNCTION("""COMPUTED_VALUE"""),11.0)</f>
        <v>11</v>
      </c>
    </row>
    <row r="11">
      <c r="A11" t="str">
        <f>IFERROR(__xludf.DUMMYFUNCTION("""COMPUTED_VALUE"""),"do_not_recall_authorizing-&gt;app")</f>
        <v>do_not_recall_authorizing-&gt;app</v>
      </c>
      <c r="B11">
        <f>IFERROR(__xludf.DUMMYFUNCTION("""COMPUTED_VALUE"""),1.0)</f>
        <v>1</v>
      </c>
    </row>
    <row r="12">
      <c r="A12" t="str">
        <f>IFERROR(__xludf.DUMMYFUNCTION("""COMPUTED_VALUE"""),"do_not_recall_authorizing-&gt;permission")</f>
        <v>do_not_recall_authorizing-&gt;permission</v>
      </c>
      <c r="B12">
        <f>IFERROR(__xludf.DUMMYFUNCTION("""COMPUTED_VALUE"""),1.0)</f>
        <v>1</v>
      </c>
    </row>
    <row r="13">
      <c r="A13" t="str">
        <f>IFERROR(__xludf.DUMMYFUNCTION("""COMPUTED_VALUE"""),"infrequent_use")</f>
        <v>infrequent_use</v>
      </c>
      <c r="B13">
        <f>IFERROR(__xludf.DUMMYFUNCTION("""COMPUTED_VALUE"""),2.0)</f>
        <v>2</v>
      </c>
    </row>
    <row r="14">
      <c r="A14" t="str">
        <f>IFERROR(__xludf.DUMMYFUNCTION("""COMPUTED_VALUE"""),"resigned")</f>
        <v>resigned</v>
      </c>
      <c r="B14">
        <f>IFERROR(__xludf.DUMMYFUNCTION("""COMPUTED_VALUE"""),1.0)</f>
        <v>1</v>
      </c>
    </row>
    <row r="15">
      <c r="A15" t="str">
        <f>IFERROR(__xludf.DUMMYFUNCTION("""COMPUTED_VALUE"""),"unconcerned")</f>
        <v>unconcerned</v>
      </c>
      <c r="B15">
        <f>IFERROR(__xludf.DUMMYFUNCTION("""COMPUTED_VALUE"""),11.0)</f>
        <v>11</v>
      </c>
    </row>
    <row r="16">
      <c r="A16" t="str">
        <f>IFERROR(__xludf.DUMMYFUNCTION("""COMPUTED_VALUE"""),"will_remove_app_access")</f>
        <v>will_remove_app_access</v>
      </c>
      <c r="B16">
        <f>IFERROR(__xludf.DUMMYFUNCTION("""COMPUTED_VALUE"""),1.0)</f>
        <v>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5.43"/>
    <col customWidth="1" min="2" max="2" width="48.14"/>
    <col customWidth="1" min="3" max="4" width="30.29"/>
    <col customWidth="1" min="5" max="5" width="32.57"/>
    <col customWidth="1" min="6" max="6" width="33.43"/>
    <col customWidth="1" min="7" max="10" width="30.29"/>
  </cols>
  <sheetData>
    <row r="1">
      <c r="A1" s="15" t="str">
        <f>IFERROR(__xludf.DUMMYFUNCTION("QUERY('All Responses'!2:1001,""select A,C"")"),"Response ID")</f>
        <v>Response ID</v>
      </c>
      <c r="B1" s="16" t="str">
        <f>IFERROR(__xludf.DUMMYFUNCTION("""COMPUTED_VALUE"""),"describe_concern_random_app")</f>
        <v>describe_concern_random_app</v>
      </c>
      <c r="C1" s="16" t="s">
        <v>750</v>
      </c>
      <c r="D1" s="16" t="s">
        <v>751</v>
      </c>
      <c r="E1" s="16" t="s">
        <v>752</v>
      </c>
      <c r="F1" s="16" t="s">
        <v>753</v>
      </c>
      <c r="G1" s="16" t="s">
        <v>754</v>
      </c>
      <c r="H1" s="16" t="s">
        <v>755</v>
      </c>
      <c r="I1" s="16" t="s">
        <v>756</v>
      </c>
      <c r="J1" s="16" t="s">
        <v>757</v>
      </c>
    </row>
    <row r="2">
      <c r="A2">
        <f>IFERROR(__xludf.DUMMYFUNCTION("""COMPUTED_VALUE"""),27.0)</f>
        <v>27</v>
      </c>
      <c r="B2" s="11" t="str">
        <f>IFERROR(__xludf.DUMMYFUNCTION("""COMPUTED_VALUE"""),"i did not even know i had this and do not think i have ever used it and i do not remember authorizing it")</f>
        <v>i did not even know i had this and do not think i have ever used it and i do not remember authorizing it</v>
      </c>
      <c r="C2" s="31" t="s">
        <v>764</v>
      </c>
      <c r="D2" s="32" t="s">
        <v>760</v>
      </c>
      <c r="E2" s="3"/>
      <c r="F2" s="33"/>
      <c r="G2" s="21"/>
      <c r="H2" s="3"/>
      <c r="I2" s="11"/>
      <c r="J2" s="11"/>
    </row>
    <row r="3">
      <c r="A3">
        <f>IFERROR(__xludf.DUMMYFUNCTION("""COMPUTED_VALUE"""),29.0)</f>
        <v>29</v>
      </c>
      <c r="B3" s="11" t="str">
        <f>IFERROR(__xludf.DUMMYFUNCTION("""COMPUTED_VALUE"""),"none really")</f>
        <v>none really</v>
      </c>
      <c r="C3" s="32" t="s">
        <v>758</v>
      </c>
      <c r="D3" s="3"/>
      <c r="E3" s="3"/>
      <c r="F3" s="19"/>
      <c r="G3" s="11"/>
      <c r="H3" s="11"/>
      <c r="I3" s="11"/>
      <c r="J3" s="11"/>
    </row>
    <row r="4">
      <c r="A4">
        <f>IFERROR(__xludf.DUMMYFUNCTION("""COMPUTED_VALUE"""),30.0)</f>
        <v>30</v>
      </c>
      <c r="B4" s="11"/>
      <c r="C4" s="3"/>
      <c r="D4" s="3"/>
      <c r="E4" s="3"/>
      <c r="F4" s="19"/>
      <c r="G4" s="11"/>
      <c r="H4" s="11"/>
      <c r="I4" s="11"/>
      <c r="J4" s="11"/>
    </row>
    <row r="5">
      <c r="A5">
        <f>IFERROR(__xludf.DUMMYFUNCTION("""COMPUTED_VALUE"""),31.0)</f>
        <v>31</v>
      </c>
      <c r="B5" s="11" t="str">
        <f>IFERROR(__xludf.DUMMYFUNCTION("""COMPUTED_VALUE"""),"none")</f>
        <v>none</v>
      </c>
      <c r="C5" s="32" t="s">
        <v>758</v>
      </c>
      <c r="D5" s="3"/>
      <c r="E5" s="3"/>
      <c r="F5" s="3"/>
      <c r="G5" s="3"/>
      <c r="H5" s="11"/>
      <c r="I5" s="11"/>
      <c r="J5" s="11"/>
    </row>
    <row r="6">
      <c r="A6">
        <f>IFERROR(__xludf.DUMMYFUNCTION("""COMPUTED_VALUE"""),32.0)</f>
        <v>32</v>
      </c>
      <c r="B6" s="11"/>
      <c r="C6" s="3"/>
      <c r="D6" s="3"/>
      <c r="E6" s="3"/>
      <c r="F6" s="11"/>
      <c r="G6" s="11"/>
      <c r="H6" s="11"/>
      <c r="I6" s="11"/>
      <c r="J6" s="11"/>
    </row>
    <row r="7">
      <c r="A7">
        <f>IFERROR(__xludf.DUMMYFUNCTION("""COMPUTED_VALUE"""),34.0)</f>
        <v>34</v>
      </c>
      <c r="B7" s="11"/>
      <c r="C7" s="3"/>
      <c r="D7" s="3"/>
      <c r="E7" s="3"/>
      <c r="F7" s="3"/>
      <c r="G7" s="3"/>
      <c r="H7" s="3"/>
      <c r="I7" s="11"/>
      <c r="J7" s="11"/>
    </row>
    <row r="8">
      <c r="A8">
        <f>IFERROR(__xludf.DUMMYFUNCTION("""COMPUTED_VALUE"""),35.0)</f>
        <v>35</v>
      </c>
      <c r="B8" s="11" t="str">
        <f>IFERROR(__xludf.DUMMYFUNCTION("""COMPUTED_VALUE"""),"I am not sure how access to my calendar and contacts is necessary. I use this app specifically to arrange my off days with work, which must be sent 2 to 4 weeks prior to my requested off date. I am not extremely worried about these accesses, but I do want"&amp;" to review them and see how they improve my user experience.")</f>
        <v>I am not sure how access to my calendar and contacts is necessary. I use this app specifically to arrange my off days with work, which must be sent 2 to 4 weeks prior to my requested off date. I am not extremely worried about these accesses, but I do want to review them and see how they improve my user experience.</v>
      </c>
      <c r="C8" s="31" t="s">
        <v>788</v>
      </c>
      <c r="D8" s="31" t="s">
        <v>789</v>
      </c>
      <c r="E8" s="31" t="s">
        <v>771</v>
      </c>
      <c r="F8" s="19" t="s">
        <v>758</v>
      </c>
      <c r="G8" s="3"/>
      <c r="H8" s="21"/>
      <c r="I8" s="33"/>
      <c r="J8" s="11"/>
    </row>
    <row r="9">
      <c r="A9">
        <f>IFERROR(__xludf.DUMMYFUNCTION("""COMPUTED_VALUE"""),36.0)</f>
        <v>36</v>
      </c>
      <c r="B9" s="11"/>
      <c r="C9" s="3"/>
      <c r="D9" s="19"/>
      <c r="E9" s="3"/>
      <c r="F9" s="19"/>
      <c r="G9" s="3"/>
      <c r="H9" s="11"/>
      <c r="I9" s="11"/>
      <c r="J9" s="11"/>
    </row>
    <row r="10">
      <c r="A10">
        <f>IFERROR(__xludf.DUMMYFUNCTION("""COMPUTED_VALUE"""),37.0)</f>
        <v>37</v>
      </c>
      <c r="B10" s="11"/>
      <c r="C10" s="34"/>
      <c r="D10" s="34"/>
      <c r="E10" s="22"/>
      <c r="F10" s="25"/>
      <c r="G10" s="34"/>
      <c r="H10" s="34"/>
      <c r="I10" s="35"/>
      <c r="J10" s="35"/>
    </row>
    <row r="11">
      <c r="A11">
        <f>IFERROR(__xludf.DUMMYFUNCTION("""COMPUTED_VALUE"""),38.0)</f>
        <v>38</v>
      </c>
      <c r="B11" s="11"/>
      <c r="C11" s="24"/>
      <c r="D11" s="36"/>
      <c r="E11" s="19"/>
      <c r="F11" s="11"/>
      <c r="G11" s="11"/>
      <c r="H11" s="11"/>
      <c r="I11" s="11"/>
      <c r="J11" s="11"/>
    </row>
    <row r="12">
      <c r="A12">
        <f>IFERROR(__xludf.DUMMYFUNCTION("""COMPUTED_VALUE"""),39.0)</f>
        <v>39</v>
      </c>
      <c r="B12" s="11"/>
      <c r="C12" s="3"/>
      <c r="D12" s="3"/>
      <c r="E12" s="35"/>
      <c r="F12" s="11"/>
      <c r="G12" s="11"/>
      <c r="H12" s="11"/>
      <c r="I12" s="11"/>
      <c r="J12" s="11"/>
    </row>
    <row r="13">
      <c r="A13">
        <f>IFERROR(__xludf.DUMMYFUNCTION("""COMPUTED_VALUE"""),40.0)</f>
        <v>40</v>
      </c>
      <c r="B13" s="11"/>
      <c r="C13" s="3"/>
      <c r="D13" s="3"/>
      <c r="E13" s="24"/>
      <c r="F13" s="24"/>
      <c r="G13" s="11"/>
      <c r="H13" s="11"/>
      <c r="I13" s="11"/>
      <c r="J13" s="11"/>
    </row>
    <row r="14">
      <c r="A14">
        <f>IFERROR(__xludf.DUMMYFUNCTION("""COMPUTED_VALUE"""),41.0)</f>
        <v>41</v>
      </c>
      <c r="B14" s="11"/>
      <c r="C14" s="3"/>
      <c r="D14" s="3"/>
      <c r="E14" s="3"/>
      <c r="F14" s="11"/>
      <c r="G14" s="11"/>
      <c r="H14" s="11"/>
      <c r="I14" s="11"/>
      <c r="J14" s="11"/>
    </row>
    <row r="15">
      <c r="A15">
        <f>IFERROR(__xludf.DUMMYFUNCTION("""COMPUTED_VALUE"""),42.0)</f>
        <v>42</v>
      </c>
      <c r="B15" s="26" t="str">
        <f>IFERROR(__xludf.DUMMYFUNCTION("""COMPUTED_VALUE"""),"I don't use it anymore and they still have access to my photos.")</f>
        <v>I don't use it anymore and they still have access to my photos.</v>
      </c>
      <c r="C15" s="32" t="s">
        <v>760</v>
      </c>
      <c r="D15" s="32" t="s">
        <v>761</v>
      </c>
      <c r="E15" s="32" t="s">
        <v>762</v>
      </c>
      <c r="F15" s="32" t="s">
        <v>768</v>
      </c>
      <c r="G15" s="11"/>
      <c r="H15" s="11"/>
      <c r="I15" s="11"/>
      <c r="J15" s="11"/>
    </row>
    <row r="16">
      <c r="A16">
        <f>IFERROR(__xludf.DUMMYFUNCTION("""COMPUTED_VALUE"""),43.0)</f>
        <v>43</v>
      </c>
      <c r="B16" s="11"/>
      <c r="C16" s="19"/>
      <c r="D16" s="19"/>
      <c r="E16" s="19"/>
      <c r="F16" s="19"/>
      <c r="G16" s="3"/>
      <c r="H16" s="11"/>
      <c r="I16" s="11"/>
      <c r="J16" s="11"/>
    </row>
    <row r="17">
      <c r="A17">
        <f>IFERROR(__xludf.DUMMYFUNCTION("""COMPUTED_VALUE"""),44.0)</f>
        <v>44</v>
      </c>
      <c r="B17" s="11" t="str">
        <f>IFERROR(__xludf.DUMMYFUNCTION("""COMPUTED_VALUE"""),"I don't remember authorizing this, so I don't know what this is. I doubt its malicious but I would like to remove it.")</f>
        <v>I don't remember authorizing this, so I don't know what this is. I doubt its malicious but I would like to remove it.</v>
      </c>
      <c r="C17" s="31" t="s">
        <v>764</v>
      </c>
      <c r="D17" s="31" t="s">
        <v>772</v>
      </c>
      <c r="E17" s="3" t="s">
        <v>788</v>
      </c>
      <c r="F17" s="11"/>
      <c r="G17" s="11"/>
      <c r="H17" s="11"/>
      <c r="I17" s="11"/>
      <c r="J17" s="11"/>
    </row>
    <row r="18">
      <c r="A18">
        <f>IFERROR(__xludf.DUMMYFUNCTION("""COMPUTED_VALUE"""),45.0)</f>
        <v>45</v>
      </c>
      <c r="B18" s="11" t="str">
        <f>IFERROR(__xludf.DUMMYFUNCTION("""COMPUTED_VALUE"""),"I don't use it at all so I don't really care. The access date is wrong though, it's been connected to the account for years.")</f>
        <v>I don't use it at all so I don't really care. The access date is wrong though, it's been connected to the account for years.</v>
      </c>
      <c r="C18" s="32" t="s">
        <v>760</v>
      </c>
      <c r="D18" s="32" t="s">
        <v>758</v>
      </c>
      <c r="E18" s="3"/>
      <c r="F18" s="11"/>
      <c r="G18" s="11"/>
      <c r="H18" s="11"/>
      <c r="I18" s="11"/>
      <c r="J18" s="11"/>
    </row>
    <row r="19">
      <c r="A19">
        <f>IFERROR(__xludf.DUMMYFUNCTION("""COMPUTED_VALUE"""),46.0)</f>
        <v>46</v>
      </c>
      <c r="B19" s="11"/>
      <c r="C19" s="3"/>
      <c r="D19" s="3"/>
      <c r="E19" s="19"/>
      <c r="F19" s="3"/>
      <c r="G19" s="3"/>
      <c r="J19" s="11"/>
    </row>
    <row r="20">
      <c r="A20">
        <f>IFERROR(__xludf.DUMMYFUNCTION("""COMPUTED_VALUE"""),47.0)</f>
        <v>47</v>
      </c>
      <c r="B20" s="11"/>
      <c r="C20" s="19"/>
      <c r="D20" s="19"/>
      <c r="E20" s="3"/>
      <c r="F20" s="3"/>
      <c r="G20" s="3"/>
      <c r="J20" s="11"/>
    </row>
    <row r="21">
      <c r="A21">
        <f>IFERROR(__xludf.DUMMYFUNCTION("""COMPUTED_VALUE"""),48.0)</f>
        <v>48</v>
      </c>
      <c r="B21" s="11"/>
      <c r="C21" s="3"/>
      <c r="D21" s="3"/>
      <c r="E21" s="34"/>
      <c r="F21" s="34"/>
      <c r="G21" s="11"/>
      <c r="J21" s="11"/>
    </row>
    <row r="22">
      <c r="A22">
        <f>IFERROR(__xludf.DUMMYFUNCTION("""COMPUTED_VALUE"""),49.0)</f>
        <v>49</v>
      </c>
      <c r="B22" s="26" t="str">
        <f>IFERROR(__xludf.DUMMYFUNCTION("""COMPUTED_VALUE"""),"I no longer have this application so I am not sure why it needs these permissions.")</f>
        <v>I no longer have this application so I am not sure why it needs these permissions.</v>
      </c>
      <c r="C22" s="32" t="s">
        <v>761</v>
      </c>
      <c r="D22" s="32" t="s">
        <v>768</v>
      </c>
      <c r="H22" s="11"/>
      <c r="I22" s="11"/>
      <c r="J22" s="11"/>
    </row>
    <row r="23">
      <c r="A23">
        <f>IFERROR(__xludf.DUMMYFUNCTION("""COMPUTED_VALUE"""),50.0)</f>
        <v>50</v>
      </c>
      <c r="B23" s="11"/>
      <c r="D23" s="24"/>
      <c r="E23" s="3"/>
      <c r="F23" s="11"/>
      <c r="G23" s="11"/>
      <c r="H23" s="11"/>
      <c r="I23" s="3"/>
      <c r="J23" s="11"/>
    </row>
    <row r="24">
      <c r="A24">
        <f>IFERROR(__xludf.DUMMYFUNCTION("""COMPUTED_VALUE"""),51.0)</f>
        <v>51</v>
      </c>
      <c r="B24" s="11"/>
      <c r="I24" s="11"/>
      <c r="J24" s="11"/>
    </row>
    <row r="25">
      <c r="A25">
        <f>IFERROR(__xludf.DUMMYFUNCTION("""COMPUTED_VALUE"""),52.0)</f>
        <v>52</v>
      </c>
      <c r="B25" s="11" t="str">
        <f>IFERROR(__xludf.DUMMYFUNCTION("""COMPUTED_VALUE"""),"It seems like a lot of access to my account and I don't know why they're necessary for use of the Rakuten cashback program.")</f>
        <v>It seems like a lot of access to my account and I don't know why they're necessary for use of the Rakuten cashback program.</v>
      </c>
      <c r="C25" s="32" t="s">
        <v>761</v>
      </c>
      <c r="D25" s="32" t="s">
        <v>762</v>
      </c>
      <c r="I25" s="11"/>
      <c r="J25" s="11"/>
    </row>
    <row r="26">
      <c r="A26">
        <f>IFERROR(__xludf.DUMMYFUNCTION("""COMPUTED_VALUE"""),53.0)</f>
        <v>53</v>
      </c>
      <c r="B26" s="11"/>
      <c r="C26" s="3"/>
      <c r="D26" s="3"/>
      <c r="E26" s="3"/>
      <c r="F26" s="11"/>
      <c r="G26" s="11"/>
      <c r="H26" s="11"/>
      <c r="I26" s="11"/>
      <c r="J26" s="11"/>
    </row>
    <row r="27">
      <c r="A27">
        <f>IFERROR(__xludf.DUMMYFUNCTION("""COMPUTED_VALUE"""),54.0)</f>
        <v>54</v>
      </c>
      <c r="B27" s="11"/>
      <c r="C27" s="3"/>
      <c r="D27" s="3"/>
      <c r="E27" s="3"/>
      <c r="F27" s="3"/>
      <c r="G27" s="11"/>
      <c r="H27" s="11"/>
      <c r="I27" s="11"/>
      <c r="J27" s="11"/>
    </row>
    <row r="28">
      <c r="A28">
        <f>IFERROR(__xludf.DUMMYFUNCTION("""COMPUTED_VALUE"""),55.0)</f>
        <v>55</v>
      </c>
      <c r="B28" s="11"/>
      <c r="C28" s="3"/>
      <c r="D28" s="3"/>
      <c r="E28" s="3"/>
      <c r="F28" s="3"/>
      <c r="G28" s="3"/>
      <c r="H28" s="3"/>
      <c r="I28" s="11"/>
      <c r="J28" s="11"/>
    </row>
    <row r="29">
      <c r="A29">
        <f>IFERROR(__xludf.DUMMYFUNCTION("""COMPUTED_VALUE"""),56.0)</f>
        <v>56</v>
      </c>
      <c r="B29" s="11"/>
      <c r="D29" s="3"/>
      <c r="E29" s="37"/>
      <c r="F29" s="37"/>
      <c r="G29" s="11"/>
      <c r="H29" s="11"/>
      <c r="I29" s="11"/>
      <c r="J29" s="11"/>
    </row>
    <row r="30">
      <c r="A30">
        <f>IFERROR(__xludf.DUMMYFUNCTION("""COMPUTED_VALUE"""),57.0)</f>
        <v>57</v>
      </c>
      <c r="B30" s="11"/>
      <c r="C30" s="3"/>
      <c r="D30" s="38"/>
      <c r="E30" s="24"/>
      <c r="F30" s="24"/>
      <c r="G30" s="11"/>
      <c r="H30" s="11"/>
      <c r="I30" s="11"/>
      <c r="J30" s="11"/>
    </row>
    <row r="31">
      <c r="A31">
        <f>IFERROR(__xludf.DUMMYFUNCTION("""COMPUTED_VALUE"""),58.0)</f>
        <v>58</v>
      </c>
      <c r="B31" s="11"/>
      <c r="C31" s="24"/>
      <c r="D31" s="3"/>
      <c r="E31" s="24"/>
      <c r="F31" s="11"/>
      <c r="G31" s="11"/>
      <c r="H31" s="11"/>
      <c r="I31" s="11"/>
      <c r="J31" s="11"/>
    </row>
    <row r="32">
      <c r="A32">
        <f>IFERROR(__xludf.DUMMYFUNCTION("""COMPUTED_VALUE"""),59.0)</f>
        <v>59</v>
      </c>
      <c r="B32" s="11"/>
      <c r="C32" s="3"/>
      <c r="E32" s="11"/>
      <c r="F32" s="11"/>
      <c r="G32" s="11"/>
      <c r="H32" s="11"/>
      <c r="I32" s="11"/>
      <c r="J32" s="11"/>
    </row>
    <row r="33">
      <c r="A33">
        <f>IFERROR(__xludf.DUMMYFUNCTION("""COMPUTED_VALUE"""),60.0)</f>
        <v>60</v>
      </c>
      <c r="B33" s="11"/>
      <c r="C33" s="3"/>
      <c r="D33" s="24"/>
      <c r="E33" s="3"/>
      <c r="F33" s="38"/>
      <c r="G33" s="11"/>
      <c r="H33" s="11"/>
      <c r="I33" s="11"/>
      <c r="J33" s="11"/>
    </row>
    <row r="34">
      <c r="A34">
        <f>IFERROR(__xludf.DUMMYFUNCTION("""COMPUTED_VALUE"""),61.0)</f>
        <v>61</v>
      </c>
      <c r="B34" s="11" t="str">
        <f>IFERROR(__xludf.DUMMYFUNCTION("""COMPUTED_VALUE"""),"Not concerned for YouTubeTV.")</f>
        <v>Not concerned for YouTubeTV.</v>
      </c>
      <c r="C34" s="32" t="s">
        <v>758</v>
      </c>
      <c r="D34" s="3"/>
      <c r="E34" s="24"/>
      <c r="F34" s="3"/>
      <c r="G34" s="24"/>
      <c r="H34" s="11"/>
      <c r="I34" s="11"/>
      <c r="J34" s="11"/>
    </row>
    <row r="35">
      <c r="A35">
        <f>IFERROR(__xludf.DUMMYFUNCTION("""COMPUTED_VALUE"""),62.0)</f>
        <v>62</v>
      </c>
      <c r="B35" s="11" t="str">
        <f>IFERROR(__xludf.DUMMYFUNCTION("""COMPUTED_VALUE"""),"None")</f>
        <v>None</v>
      </c>
      <c r="C35" s="32" t="s">
        <v>758</v>
      </c>
      <c r="D35" s="24"/>
      <c r="E35" s="11"/>
      <c r="F35" s="11"/>
      <c r="G35" s="11"/>
      <c r="H35" s="11"/>
      <c r="I35" s="11"/>
      <c r="J35" s="11"/>
    </row>
    <row r="36">
      <c r="A36">
        <f>IFERROR(__xludf.DUMMYFUNCTION("""COMPUTED_VALUE"""),63.0)</f>
        <v>63</v>
      </c>
      <c r="B36" s="11"/>
      <c r="C36" s="3"/>
      <c r="D36" s="38"/>
      <c r="E36" s="38"/>
      <c r="F36" s="3"/>
      <c r="G36" s="24"/>
      <c r="H36" s="11"/>
      <c r="I36" s="11"/>
      <c r="J36" s="11"/>
    </row>
    <row r="37">
      <c r="A37">
        <f>IFERROR(__xludf.DUMMYFUNCTION("""COMPUTED_VALUE"""),64.0)</f>
        <v>64</v>
      </c>
      <c r="B37" s="11" t="str">
        <f>IFERROR(__xludf.DUMMYFUNCTION("""COMPUTED_VALUE"""),"This is some junk game that was downloaded with Cashmagnet.")</f>
        <v>This is some junk game that was downloaded with Cashmagnet.</v>
      </c>
      <c r="C37" s="31" t="s">
        <v>787</v>
      </c>
      <c r="D37" s="38"/>
      <c r="E37" s="3"/>
      <c r="F37" s="3"/>
      <c r="G37" s="3"/>
      <c r="H37" s="11"/>
      <c r="I37" s="11"/>
      <c r="J37" s="11"/>
    </row>
    <row r="38">
      <c r="A38">
        <f>IFERROR(__xludf.DUMMYFUNCTION("""COMPUTED_VALUE"""),65.0)</f>
        <v>65</v>
      </c>
      <c r="B38" s="11" t="str">
        <f>IFERROR(__xludf.DUMMYFUNCTION("""COMPUTED_VALUE"""),"I trust the app, but it is still unsettling to know that they hold such information about me.")</f>
        <v>I trust the app, but it is still unsettling to know that they hold such information about me.</v>
      </c>
      <c r="C38" s="32" t="s">
        <v>774</v>
      </c>
      <c r="D38" s="32" t="s">
        <v>761</v>
      </c>
      <c r="E38" s="32" t="s">
        <v>766</v>
      </c>
      <c r="F38" s="32"/>
      <c r="G38" s="11"/>
      <c r="H38" s="11"/>
      <c r="I38" s="11"/>
      <c r="J38" s="11"/>
    </row>
    <row r="39">
      <c r="A39">
        <f>IFERROR(__xludf.DUMMYFUNCTION("""COMPUTED_VALUE"""),66.0)</f>
        <v>66</v>
      </c>
      <c r="B39" s="11"/>
      <c r="C39" s="3"/>
      <c r="D39" s="38"/>
      <c r="E39" s="11"/>
      <c r="F39" s="11"/>
      <c r="G39" s="11"/>
      <c r="H39" s="11"/>
      <c r="I39" s="11"/>
      <c r="J39" s="11"/>
    </row>
    <row r="40">
      <c r="A40">
        <f>IFERROR(__xludf.DUMMYFUNCTION("""COMPUTED_VALUE"""),67.0)</f>
        <v>67</v>
      </c>
      <c r="B40" s="11"/>
      <c r="C40" s="3"/>
      <c r="D40" s="3"/>
      <c r="E40" s="38"/>
      <c r="F40" s="24"/>
      <c r="G40" s="11"/>
      <c r="H40" s="11"/>
      <c r="I40" s="11"/>
      <c r="J40" s="11"/>
    </row>
    <row r="41">
      <c r="A41">
        <f>IFERROR(__xludf.DUMMYFUNCTION("""COMPUTED_VALUE"""),68.0)</f>
        <v>68</v>
      </c>
      <c r="B41" s="11"/>
      <c r="C41" s="38"/>
      <c r="D41" s="3"/>
      <c r="E41" s="11"/>
      <c r="F41" s="11"/>
      <c r="G41" s="11"/>
      <c r="H41" s="11"/>
      <c r="I41" s="11"/>
      <c r="J41" s="11"/>
    </row>
    <row r="42">
      <c r="A42">
        <f>IFERROR(__xludf.DUMMYFUNCTION("""COMPUTED_VALUE"""),69.0)</f>
        <v>69</v>
      </c>
      <c r="B42" s="11" t="str">
        <f>IFERROR(__xludf.DUMMYFUNCTION("""COMPUTED_VALUE"""),"I don't feel any particular concerns about Windows.
 Again: even if I did..
 ..What exactly can I do about it? At this point this platform is already deeply integrated into my life.
 :-)")</f>
        <v>I don't feel any particular concerns about Windows.
 Again: even if I did..
 ..What exactly can I do about it? At this point this platform is already deeply integrated into my life.
 :-)</v>
      </c>
      <c r="C42" s="32" t="s">
        <v>758</v>
      </c>
      <c r="D42" s="28" t="s">
        <v>769</v>
      </c>
      <c r="E42" s="11"/>
      <c r="F42" s="11"/>
      <c r="G42" s="11"/>
      <c r="H42" s="11"/>
      <c r="I42" s="11"/>
      <c r="J42" s="11"/>
    </row>
    <row r="43">
      <c r="A43">
        <f>IFERROR(__xludf.DUMMYFUNCTION("""COMPUTED_VALUE"""),70.0)</f>
        <v>70</v>
      </c>
      <c r="B43" s="11"/>
      <c r="C43" s="3"/>
      <c r="D43" s="3"/>
      <c r="E43" s="11"/>
      <c r="F43" s="3"/>
      <c r="G43" s="3"/>
      <c r="H43" s="3"/>
      <c r="I43" s="11"/>
      <c r="J43" s="11"/>
    </row>
    <row r="44">
      <c r="A44">
        <f>IFERROR(__xludf.DUMMYFUNCTION("""COMPUTED_VALUE"""),71.0)</f>
        <v>71</v>
      </c>
      <c r="B44" s="11"/>
      <c r="C44" s="3"/>
      <c r="D44" s="38"/>
      <c r="E44" s="3"/>
      <c r="F44" s="24"/>
      <c r="G44" s="11"/>
      <c r="H44" s="11"/>
      <c r="I44" s="11"/>
      <c r="J44" s="11"/>
    </row>
    <row r="45">
      <c r="A45">
        <f>IFERROR(__xludf.DUMMYFUNCTION("""COMPUTED_VALUE"""),72.0)</f>
        <v>72</v>
      </c>
      <c r="B45" s="11" t="str">
        <f>IFERROR(__xludf.DUMMYFUNCTION("""COMPUTED_VALUE"""),"While I don't like giving CameraFi Live any permissions, I wouldn't be able to use their app otherwise. I like using it so I will continue giving it permission in the future.")</f>
        <v>While I don't like giving CameraFi Live any permissions, I wouldn't be able to use their app otherwise. I like using it so I will continue giving it permission in the future.</v>
      </c>
      <c r="C45" s="32" t="s">
        <v>761</v>
      </c>
      <c r="D45" s="32" t="s">
        <v>777</v>
      </c>
      <c r="E45" s="32" t="s">
        <v>759</v>
      </c>
      <c r="F45" s="11"/>
      <c r="G45" s="11"/>
      <c r="H45" s="11"/>
      <c r="I45" s="11"/>
      <c r="J45" s="11"/>
    </row>
    <row r="46">
      <c r="A46">
        <f>IFERROR(__xludf.DUMMYFUNCTION("""COMPUTED_VALUE"""),73.0)</f>
        <v>73</v>
      </c>
      <c r="B46" s="26" t="str">
        <f>IFERROR(__xludf.DUMMYFUNCTION("""COMPUTED_VALUE"""),"Since i no longer use the app, there's no need of keeping my details attached to it")</f>
        <v>Since i no longer use the app, there's no need of keeping my details attached to it</v>
      </c>
      <c r="C46" s="32" t="s">
        <v>760</v>
      </c>
      <c r="D46" s="32" t="s">
        <v>761</v>
      </c>
      <c r="E46" s="32" t="s">
        <v>768</v>
      </c>
      <c r="F46" s="11"/>
      <c r="G46" s="11"/>
      <c r="H46" s="11"/>
      <c r="I46" s="11"/>
      <c r="J46" s="11"/>
    </row>
    <row r="47">
      <c r="A47">
        <f>IFERROR(__xludf.DUMMYFUNCTION("""COMPUTED_VALUE"""),74.0)</f>
        <v>74</v>
      </c>
      <c r="B47" s="11"/>
      <c r="C47" s="3"/>
      <c r="D47" s="3"/>
      <c r="E47" s="3"/>
      <c r="F47" s="11"/>
      <c r="G47" s="11"/>
      <c r="H47" s="11"/>
      <c r="I47" s="11"/>
      <c r="J47" s="11"/>
    </row>
    <row r="48">
      <c r="A48">
        <f>IFERROR(__xludf.DUMMYFUNCTION("""COMPUTED_VALUE"""),75.0)</f>
        <v>75</v>
      </c>
      <c r="B48" s="11"/>
      <c r="D48" s="3"/>
      <c r="E48" s="11"/>
      <c r="F48" s="11"/>
      <c r="G48" s="11"/>
      <c r="H48" s="11"/>
      <c r="I48" s="11"/>
      <c r="J48" s="11"/>
    </row>
    <row r="49">
      <c r="A49">
        <f>IFERROR(__xludf.DUMMYFUNCTION("""COMPUTED_VALUE"""),76.0)</f>
        <v>76</v>
      </c>
      <c r="B49" s="11" t="str">
        <f>IFERROR(__xludf.DUMMYFUNCTION("""COMPUTED_VALUE"""),"I rarely use Dropbox and want to get rid of it.")</f>
        <v>I rarely use Dropbox and want to get rid of it.</v>
      </c>
      <c r="C49" s="32" t="s">
        <v>760</v>
      </c>
      <c r="D49" s="31" t="s">
        <v>772</v>
      </c>
      <c r="E49" s="11"/>
      <c r="F49" s="11"/>
      <c r="G49" s="11"/>
      <c r="H49" s="11"/>
      <c r="I49" s="11"/>
      <c r="J49" s="11"/>
    </row>
    <row r="50">
      <c r="A50">
        <f>IFERROR(__xludf.DUMMYFUNCTION("""COMPUTED_VALUE"""),77.0)</f>
        <v>77</v>
      </c>
      <c r="B50" s="11"/>
      <c r="C50" s="3"/>
      <c r="D50" s="11"/>
      <c r="E50" s="11"/>
      <c r="F50" s="11"/>
      <c r="G50" s="11"/>
      <c r="H50" s="11"/>
      <c r="I50" s="11"/>
      <c r="J50" s="11"/>
    </row>
    <row r="51">
      <c r="A51">
        <f>IFERROR(__xludf.DUMMYFUNCTION("""COMPUTED_VALUE"""),78.0)</f>
        <v>78</v>
      </c>
      <c r="B51" s="11"/>
      <c r="D51" s="3"/>
      <c r="E51" s="3"/>
      <c r="F51" s="11"/>
      <c r="G51" s="11"/>
      <c r="H51" s="11"/>
      <c r="I51" s="11"/>
      <c r="J51" s="11"/>
    </row>
    <row r="52">
      <c r="A52">
        <f>IFERROR(__xludf.DUMMYFUNCTION("""COMPUTED_VALUE"""),79.0)</f>
        <v>79</v>
      </c>
      <c r="B52" s="11"/>
      <c r="C52" s="3"/>
      <c r="D52" s="3"/>
      <c r="E52" s="11"/>
      <c r="F52" s="11"/>
      <c r="G52" s="11"/>
      <c r="H52" s="11"/>
      <c r="I52" s="11"/>
      <c r="J52" s="11"/>
    </row>
    <row r="53">
      <c r="A53">
        <f>IFERROR(__xludf.DUMMYFUNCTION("""COMPUTED_VALUE"""),80.0)</f>
        <v>80</v>
      </c>
      <c r="B53" s="11" t="str">
        <f>IFERROR(__xludf.DUMMYFUNCTION("""COMPUTED_VALUE"""),"I dont like it ahving full access to my drive files")</f>
        <v>I dont like it ahving full access to my drive files</v>
      </c>
      <c r="C53" s="32" t="s">
        <v>761</v>
      </c>
      <c r="D53" s="32" t="s">
        <v>777</v>
      </c>
      <c r="E53" s="31" t="s">
        <v>783</v>
      </c>
      <c r="F53" s="3"/>
      <c r="G53" s="11"/>
      <c r="H53" s="11"/>
      <c r="I53" s="11"/>
      <c r="J53" s="11"/>
    </row>
    <row r="54">
      <c r="A54">
        <f>IFERROR(__xludf.DUMMYFUNCTION("""COMPUTED_VALUE"""),81.0)</f>
        <v>81</v>
      </c>
      <c r="B54" s="11"/>
      <c r="C54" s="3"/>
      <c r="D54" s="3"/>
      <c r="E54" s="11"/>
      <c r="F54" s="11"/>
      <c r="G54" s="11"/>
      <c r="H54" s="11"/>
      <c r="I54" s="11"/>
      <c r="J54" s="11"/>
    </row>
    <row r="55">
      <c r="A55">
        <f>IFERROR(__xludf.DUMMYFUNCTION("""COMPUTED_VALUE"""),82.0)</f>
        <v>82</v>
      </c>
      <c r="B55" s="11" t="str">
        <f>IFERROR(__xludf.DUMMYFUNCTION("""COMPUTED_VALUE"""),"I don't have any concerns about this because it allows the app to function as I need.")</f>
        <v>I don't have any concerns about this because it allows the app to function as I need.</v>
      </c>
      <c r="C55" s="28" t="s">
        <v>758</v>
      </c>
      <c r="D55" s="31" t="s">
        <v>790</v>
      </c>
      <c r="E55" s="28" t="s">
        <v>759</v>
      </c>
      <c r="F55" s="11"/>
      <c r="G55" s="11"/>
      <c r="H55" s="11"/>
      <c r="I55" s="11"/>
      <c r="J55" s="11"/>
    </row>
    <row r="56">
      <c r="A56">
        <f>IFERROR(__xludf.DUMMYFUNCTION("""COMPUTED_VALUE"""),83.0)</f>
        <v>83</v>
      </c>
      <c r="B56" s="11" t="str">
        <f>IFERROR(__xludf.DUMMYFUNCTION("""COMPUTED_VALUE"""),"I'm not sure how this application would manipulate my account given it has full access")</f>
        <v>I'm not sure how this application would manipulate my account given it has full access</v>
      </c>
      <c r="C56" s="31" t="s">
        <v>788</v>
      </c>
      <c r="D56" s="31" t="s">
        <v>791</v>
      </c>
      <c r="E56" s="3"/>
      <c r="F56" s="11"/>
      <c r="G56" s="11"/>
      <c r="H56" s="11"/>
      <c r="I56" s="11"/>
      <c r="J56" s="11"/>
    </row>
    <row r="57">
      <c r="A57">
        <f>IFERROR(__xludf.DUMMYFUNCTION("""COMPUTED_VALUE"""),84.0)</f>
        <v>84</v>
      </c>
      <c r="B57" s="11"/>
      <c r="C57" s="3"/>
      <c r="D57" s="3"/>
      <c r="E57" s="3"/>
      <c r="F57" s="11"/>
      <c r="G57" s="11"/>
      <c r="H57" s="11"/>
      <c r="I57" s="11"/>
      <c r="J57" s="11"/>
    </row>
    <row r="58">
      <c r="A58">
        <f>IFERROR(__xludf.DUMMYFUNCTION("""COMPUTED_VALUE"""),85.0)</f>
        <v>85</v>
      </c>
      <c r="B58" s="11"/>
      <c r="C58" s="3"/>
      <c r="D58" s="3"/>
      <c r="E58" s="3"/>
      <c r="F58" s="11"/>
      <c r="G58" s="11"/>
      <c r="H58" s="11"/>
      <c r="I58" s="11"/>
      <c r="J58" s="11"/>
    </row>
    <row r="59">
      <c r="A59">
        <f>IFERROR(__xludf.DUMMYFUNCTION("""COMPUTED_VALUE"""),86.0)</f>
        <v>86</v>
      </c>
      <c r="B59" s="11" t="str">
        <f>IFERROR(__xludf.DUMMYFUNCTION("""COMPUTED_VALUE"""),"Why does it need to connection my information on google through Windows? This is just my computer software.")</f>
        <v>Why does it need to connection my information on google through Windows? This is just my computer software.</v>
      </c>
      <c r="C59" s="31" t="s">
        <v>761</v>
      </c>
      <c r="D59" s="32" t="s">
        <v>777</v>
      </c>
      <c r="E59" s="32" t="s">
        <v>766</v>
      </c>
      <c r="F59" s="3"/>
      <c r="G59" s="11"/>
      <c r="H59" s="11"/>
      <c r="I59" s="11"/>
      <c r="J59" s="11"/>
    </row>
    <row r="60">
      <c r="A60">
        <f>IFERROR(__xludf.DUMMYFUNCTION("""COMPUTED_VALUE"""),87.0)</f>
        <v>87</v>
      </c>
      <c r="B60" s="11" t="str">
        <f>IFERROR(__xludf.DUMMYFUNCTION("""COMPUTED_VALUE"""),"I honestly don't remember what this service is for, which is the most concerning part.")</f>
        <v>I honestly don't remember what this service is for, which is the most concerning part.</v>
      </c>
      <c r="C60" s="31" t="s">
        <v>764</v>
      </c>
      <c r="D60" s="32" t="s">
        <v>761</v>
      </c>
      <c r="E60" s="3"/>
      <c r="F60" s="24"/>
      <c r="G60" s="3"/>
      <c r="H60" s="11"/>
      <c r="I60" s="11"/>
      <c r="J60" s="11"/>
    </row>
    <row r="61">
      <c r="A61">
        <f>IFERROR(__xludf.DUMMYFUNCTION("""COMPUTED_VALUE"""),88.0)</f>
        <v>88</v>
      </c>
      <c r="B61" s="11"/>
      <c r="C61" s="37"/>
      <c r="D61" s="11"/>
      <c r="E61" s="11"/>
      <c r="F61" s="11"/>
      <c r="G61" s="11"/>
      <c r="H61" s="11"/>
      <c r="I61" s="11"/>
      <c r="J61" s="11"/>
    </row>
    <row r="62">
      <c r="A62">
        <f>IFERROR(__xludf.DUMMYFUNCTION("""COMPUTED_VALUE"""),89.0)</f>
        <v>89</v>
      </c>
      <c r="B62" s="11" t="str">
        <f>IFERROR(__xludf.DUMMYFUNCTION("""COMPUTED_VALUE"""),"I trust the macOS integration to be up to snuff.")</f>
        <v>I trust the macOS integration to be up to snuff.</v>
      </c>
      <c r="C62" s="32" t="s">
        <v>758</v>
      </c>
      <c r="D62" s="32" t="s">
        <v>774</v>
      </c>
      <c r="E62" s="11"/>
      <c r="F62" s="11"/>
      <c r="G62" s="11"/>
      <c r="H62" s="11"/>
      <c r="I62" s="11"/>
      <c r="J62" s="11"/>
    </row>
    <row r="63">
      <c r="A63">
        <f>IFERROR(__xludf.DUMMYFUNCTION("""COMPUTED_VALUE"""),90.0)</f>
        <v>90</v>
      </c>
      <c r="B63" s="11"/>
      <c r="C63" s="3"/>
      <c r="D63" s="3"/>
      <c r="E63" s="11"/>
      <c r="F63" s="3"/>
      <c r="G63" s="3"/>
      <c r="H63" s="11"/>
      <c r="I63" s="11"/>
      <c r="J63" s="11"/>
    </row>
    <row r="64">
      <c r="A64">
        <f>IFERROR(__xludf.DUMMYFUNCTION("""COMPUTED_VALUE"""),91.0)</f>
        <v>91</v>
      </c>
      <c r="B64" s="11"/>
      <c r="C64" s="3"/>
      <c r="D64" s="38"/>
      <c r="E64" s="11"/>
      <c r="F64" s="11"/>
      <c r="G64" s="11"/>
      <c r="H64" s="11"/>
      <c r="I64" s="11"/>
      <c r="J64" s="11"/>
    </row>
    <row r="65">
      <c r="A65">
        <f>IFERROR(__xludf.DUMMYFUNCTION("""COMPUTED_VALUE"""),92.0)</f>
        <v>92</v>
      </c>
      <c r="B65" s="11"/>
      <c r="C65" s="3"/>
      <c r="D65" s="3"/>
      <c r="E65" s="3"/>
      <c r="F65" s="3"/>
      <c r="G65" s="19"/>
      <c r="H65" s="11"/>
      <c r="I65" s="11"/>
      <c r="J65" s="11"/>
    </row>
    <row r="66">
      <c r="A66">
        <f>IFERROR(__xludf.DUMMYFUNCTION("""COMPUTED_VALUE"""),93.0)</f>
        <v>93</v>
      </c>
      <c r="B66" s="11" t="str">
        <f>IFERROR(__xludf.DUMMYFUNCTION("""COMPUTED_VALUE"""),"none")</f>
        <v>none</v>
      </c>
      <c r="C66" s="32" t="s">
        <v>758</v>
      </c>
      <c r="D66" s="3"/>
      <c r="E66" s="3"/>
      <c r="F66" s="3"/>
      <c r="G66" s="38"/>
      <c r="H66" s="11"/>
      <c r="I66" s="11"/>
      <c r="J66" s="11"/>
    </row>
    <row r="67">
      <c r="A67">
        <f>IFERROR(__xludf.DUMMYFUNCTION("""COMPUTED_VALUE"""),94.0)</f>
        <v>94</v>
      </c>
      <c r="B67" s="11"/>
      <c r="C67" s="3"/>
      <c r="D67" s="3"/>
      <c r="E67" s="37"/>
      <c r="F67" s="19"/>
      <c r="G67" s="3"/>
      <c r="H67" s="3"/>
      <c r="J67" s="11"/>
    </row>
    <row r="68">
      <c r="A68">
        <f>IFERROR(__xludf.DUMMYFUNCTION("""COMPUTED_VALUE"""),95.0)</f>
        <v>95</v>
      </c>
      <c r="B68" s="11" t="str">
        <f>IFERROR(__xludf.DUMMYFUNCTION("""COMPUTED_VALUE"""),"none, most games have these conditions for google play.")</f>
        <v>none, most games have these conditions for google play.</v>
      </c>
      <c r="C68" s="32" t="s">
        <v>758</v>
      </c>
      <c r="D68" s="31" t="s">
        <v>790</v>
      </c>
      <c r="E68" s="11"/>
      <c r="F68" s="11"/>
      <c r="G68" s="11"/>
      <c r="J68" s="11"/>
    </row>
    <row r="69">
      <c r="A69">
        <f>IFERROR(__xludf.DUMMYFUNCTION("""COMPUTED_VALUE"""),96.0)</f>
        <v>96</v>
      </c>
      <c r="B69" s="11" t="str">
        <f>IFERROR(__xludf.DUMMYFUNCTION("""COMPUTED_VALUE"""),"This app only needs my email to log into it, nothing more.")</f>
        <v>This app only needs my email to log into it, nothing more.</v>
      </c>
      <c r="C69" s="32" t="s">
        <v>758</v>
      </c>
      <c r="D69" s="31" t="s">
        <v>790</v>
      </c>
      <c r="E69" s="3"/>
      <c r="F69" s="3"/>
      <c r="G69" s="3"/>
      <c r="J69" s="11"/>
    </row>
    <row r="70">
      <c r="A70">
        <f>IFERROR(__xludf.DUMMYFUNCTION("""COMPUTED_VALUE"""),97.0)</f>
        <v>97</v>
      </c>
      <c r="B70" s="11"/>
      <c r="C70" s="3"/>
      <c r="D70" s="3"/>
      <c r="E70" s="3"/>
      <c r="F70" s="3"/>
      <c r="G70" s="3"/>
      <c r="H70" s="11"/>
      <c r="I70" s="11"/>
      <c r="J70" s="11"/>
    </row>
    <row r="71">
      <c r="A71">
        <f>IFERROR(__xludf.DUMMYFUNCTION("""COMPUTED_VALUE"""),98.0)</f>
        <v>98</v>
      </c>
      <c r="B71" s="11"/>
      <c r="C71" s="3"/>
      <c r="D71" s="3"/>
      <c r="E71" s="3"/>
      <c r="F71" s="3"/>
      <c r="G71" s="3"/>
      <c r="H71" s="3"/>
      <c r="I71" s="3"/>
      <c r="J71" s="11"/>
    </row>
    <row r="72">
      <c r="A72">
        <f>IFERROR(__xludf.DUMMYFUNCTION("""COMPUTED_VALUE"""),99.0)</f>
        <v>99</v>
      </c>
      <c r="B72" s="11" t="str">
        <f>IFERROR(__xludf.DUMMYFUNCTION("""COMPUTED_VALUE"""),"I don't really have none. I trust Samsung even though I switched from Samsung to Google Pixel.")</f>
        <v>I don't really have none. I trust Samsung even though I switched from Samsung to Google Pixel.</v>
      </c>
      <c r="C72" s="3"/>
      <c r="D72" s="3"/>
      <c r="E72" s="3"/>
      <c r="F72" s="11"/>
      <c r="G72" s="11"/>
      <c r="H72" s="11"/>
      <c r="I72" s="11"/>
      <c r="J72" s="11"/>
    </row>
    <row r="73">
      <c r="A73">
        <f>IFERROR(__xludf.DUMMYFUNCTION("""COMPUTED_VALUE"""),100.0)</f>
        <v>100</v>
      </c>
      <c r="B73" s="11"/>
      <c r="C73" s="3"/>
      <c r="D73" s="38"/>
      <c r="E73" s="3"/>
      <c r="F73" s="3"/>
      <c r="G73" s="3"/>
      <c r="H73" s="3"/>
      <c r="I73" s="11"/>
      <c r="J73" s="11"/>
    </row>
    <row r="74">
      <c r="A74">
        <f>IFERROR(__xludf.DUMMYFUNCTION("""COMPUTED_VALUE"""),101.0)</f>
        <v>101</v>
      </c>
      <c r="B74" s="11" t="str">
        <f>IFERROR(__xludf.DUMMYFUNCTION("""COMPUTED_VALUE"""),"While I do have reservations over Rakuten having access to my inbox, they also have not seemingly betrayed my trust up to this point.")</f>
        <v>While I do have reservations over Rakuten having access to my inbox, they also have not seemingly betrayed my trust up to this point.</v>
      </c>
      <c r="C74" s="32" t="s">
        <v>761</v>
      </c>
      <c r="D74" s="32" t="s">
        <v>777</v>
      </c>
      <c r="E74" s="31" t="s">
        <v>778</v>
      </c>
      <c r="F74" s="11"/>
      <c r="G74" s="11"/>
      <c r="H74" s="11"/>
      <c r="I74" s="11"/>
      <c r="J74" s="11"/>
    </row>
    <row r="75">
      <c r="A75">
        <f>IFERROR(__xludf.DUMMYFUNCTION("""COMPUTED_VALUE"""),102.0)</f>
        <v>102</v>
      </c>
      <c r="B75" s="11"/>
      <c r="C75" s="3"/>
      <c r="D75" s="3"/>
      <c r="E75" s="3"/>
      <c r="F75" s="11"/>
      <c r="G75" s="11"/>
      <c r="H75" s="11"/>
      <c r="I75" s="11"/>
      <c r="J75" s="11"/>
    </row>
    <row r="76">
      <c r="A76">
        <f>IFERROR(__xludf.DUMMYFUNCTION("""COMPUTED_VALUE"""),103.0)</f>
        <v>103</v>
      </c>
      <c r="B76" s="11"/>
      <c r="C76" s="24"/>
      <c r="D76" s="3"/>
      <c r="E76" s="3"/>
      <c r="F76" s="11"/>
      <c r="G76" s="11"/>
      <c r="H76" s="11"/>
      <c r="I76" s="11"/>
      <c r="J76" s="11"/>
    </row>
    <row r="77">
      <c r="A77">
        <f>IFERROR(__xludf.DUMMYFUNCTION("""COMPUTED_VALUE"""),104.0)</f>
        <v>104</v>
      </c>
      <c r="B77" s="11"/>
      <c r="C77" s="24"/>
      <c r="D77" s="3"/>
      <c r="E77" s="3"/>
      <c r="F77" s="11"/>
      <c r="G77" s="11"/>
      <c r="H77" s="11"/>
      <c r="I77" s="11"/>
      <c r="J77" s="11"/>
    </row>
    <row r="78">
      <c r="A78">
        <f>IFERROR(__xludf.DUMMYFUNCTION("""COMPUTED_VALUE"""),105.0)</f>
        <v>105</v>
      </c>
      <c r="B78" s="11"/>
      <c r="C78" s="24"/>
      <c r="D78" s="3"/>
      <c r="E78" s="11"/>
      <c r="F78" s="11"/>
      <c r="G78" s="11"/>
      <c r="H78" s="11"/>
      <c r="I78" s="11"/>
      <c r="J78" s="11"/>
    </row>
    <row r="79">
      <c r="A79">
        <f>IFERROR(__xludf.DUMMYFUNCTION("""COMPUTED_VALUE"""),106.0)</f>
        <v>106</v>
      </c>
      <c r="B79" s="11"/>
      <c r="C79" s="3"/>
      <c r="D79" s="3"/>
      <c r="E79" s="24"/>
      <c r="F79" s="11"/>
      <c r="G79" s="11"/>
      <c r="H79" s="11"/>
      <c r="I79" s="11"/>
      <c r="J79" s="11"/>
    </row>
    <row r="80">
      <c r="A80">
        <f>IFERROR(__xludf.DUMMYFUNCTION("""COMPUTED_VALUE"""),107.0)</f>
        <v>107</v>
      </c>
      <c r="B80" s="11" t="str">
        <f>IFERROR(__xludf.DUMMYFUNCTION("""COMPUTED_VALUE"""),"None")</f>
        <v>None</v>
      </c>
      <c r="C80" s="32" t="s">
        <v>758</v>
      </c>
      <c r="D80" s="3"/>
      <c r="E80" s="3"/>
      <c r="F80" s="11"/>
      <c r="G80" s="11"/>
      <c r="H80" s="11"/>
      <c r="I80" s="11"/>
      <c r="J80" s="11"/>
    </row>
    <row r="81">
      <c r="A81">
        <f>IFERROR(__xludf.DUMMYFUNCTION("""COMPUTED_VALUE"""),108.0)</f>
        <v>108</v>
      </c>
      <c r="B81" s="11"/>
      <c r="C81" s="29"/>
      <c r="D81" s="3"/>
      <c r="E81" s="3"/>
      <c r="F81" s="3"/>
      <c r="G81" s="11"/>
      <c r="H81" s="11"/>
      <c r="I81" s="11"/>
      <c r="J81" s="11"/>
    </row>
    <row r="82">
      <c r="A82">
        <f>IFERROR(__xludf.DUMMYFUNCTION("""COMPUTED_VALUE"""),109.0)</f>
        <v>109</v>
      </c>
      <c r="B82" s="11"/>
      <c r="C82" s="29"/>
      <c r="D82" s="3"/>
      <c r="E82" s="3"/>
      <c r="F82" s="3"/>
      <c r="G82" s="11"/>
      <c r="H82" s="11"/>
      <c r="I82" s="11"/>
      <c r="J82" s="11"/>
    </row>
    <row r="83">
      <c r="A83">
        <f>IFERROR(__xludf.DUMMYFUNCTION("""COMPUTED_VALUE"""),110.0)</f>
        <v>110</v>
      </c>
      <c r="B83" s="11"/>
      <c r="C83" s="24"/>
      <c r="D83" s="3"/>
      <c r="E83" s="3"/>
      <c r="F83" s="3"/>
      <c r="G83" s="11"/>
      <c r="H83" s="11"/>
      <c r="I83" s="11"/>
      <c r="J83" s="11"/>
    </row>
    <row r="84">
      <c r="A84">
        <f>IFERROR(__xludf.DUMMYFUNCTION("""COMPUTED_VALUE"""),112.0)</f>
        <v>112</v>
      </c>
      <c r="B84" s="11"/>
      <c r="C84" s="29"/>
      <c r="D84" s="38"/>
      <c r="E84" s="3"/>
      <c r="F84" s="3"/>
      <c r="G84" s="3"/>
      <c r="H84" s="11"/>
      <c r="I84" s="11"/>
      <c r="J84" s="11"/>
    </row>
    <row r="85">
      <c r="A85">
        <f>IFERROR(__xludf.DUMMYFUNCTION("""COMPUTED_VALUE"""),113.0)</f>
        <v>113</v>
      </c>
      <c r="B85" s="11"/>
      <c r="C85" s="3"/>
      <c r="D85" s="3"/>
      <c r="E85" s="24"/>
      <c r="F85" s="11"/>
      <c r="G85" s="11"/>
      <c r="H85" s="11"/>
      <c r="I85" s="11"/>
      <c r="J85" s="11"/>
    </row>
    <row r="86">
      <c r="A86">
        <f>IFERROR(__xludf.DUMMYFUNCTION("""COMPUTED_VALUE"""),114.0)</f>
        <v>114</v>
      </c>
      <c r="B86" s="11"/>
      <c r="C86" s="3"/>
      <c r="D86" s="3"/>
      <c r="E86" s="3"/>
      <c r="F86" s="3"/>
      <c r="G86" s="3"/>
      <c r="H86" s="11"/>
      <c r="I86" s="11"/>
      <c r="J86" s="11"/>
    </row>
    <row r="87">
      <c r="A87">
        <f>IFERROR(__xludf.DUMMYFUNCTION("""COMPUTED_VALUE"""),115.0)</f>
        <v>115</v>
      </c>
      <c r="B87" s="11" t="str">
        <f>IFERROR(__xludf.DUMMYFUNCTION("""COMPUTED_VALUE"""),"Only concern would be clash of clans deleting or being unable to update properly.")</f>
        <v>Only concern would be clash of clans deleting or being unable to update properly.</v>
      </c>
      <c r="C87" s="32" t="s">
        <v>761</v>
      </c>
      <c r="D87" s="32" t="s">
        <v>777</v>
      </c>
      <c r="E87" s="31" t="s">
        <v>781</v>
      </c>
      <c r="F87" s="31" t="s">
        <v>792</v>
      </c>
      <c r="G87" s="11"/>
      <c r="H87" s="11"/>
      <c r="I87" s="11"/>
      <c r="J87" s="11"/>
    </row>
    <row r="88">
      <c r="A88">
        <f>IFERROR(__xludf.DUMMYFUNCTION("""COMPUTED_VALUE"""),116.0)</f>
        <v>116</v>
      </c>
      <c r="B88" s="11"/>
      <c r="C88" s="3"/>
      <c r="D88" s="3"/>
      <c r="E88" s="11"/>
      <c r="F88" s="11"/>
      <c r="G88" s="11"/>
      <c r="H88" s="11"/>
      <c r="I88" s="11"/>
      <c r="J88" s="11"/>
    </row>
    <row r="89">
      <c r="A89">
        <f>IFERROR(__xludf.DUMMYFUNCTION("""COMPUTED_VALUE"""),117.0)</f>
        <v>117</v>
      </c>
      <c r="B89" s="11"/>
      <c r="C89" s="24"/>
      <c r="D89" s="3"/>
      <c r="E89" s="3"/>
      <c r="F89" s="3"/>
      <c r="G89" s="11"/>
      <c r="H89" s="11"/>
      <c r="I89" s="11"/>
      <c r="J89" s="11"/>
    </row>
    <row r="90">
      <c r="A90">
        <f>IFERROR(__xludf.DUMMYFUNCTION("""COMPUTED_VALUE"""),118.0)</f>
        <v>118</v>
      </c>
      <c r="B90" s="11" t="str">
        <f>IFERROR(__xludf.DUMMYFUNCTION("""COMPUTED_VALUE"""),"I don't like any app having my personal information. I want to know what they do with it.")</f>
        <v>I don't like any app having my personal information. I want to know what they do with it.</v>
      </c>
      <c r="C90" s="32" t="s">
        <v>761</v>
      </c>
      <c r="D90" s="32" t="s">
        <v>766</v>
      </c>
      <c r="E90" s="27" t="s">
        <v>788</v>
      </c>
      <c r="F90" s="3" t="s">
        <v>789</v>
      </c>
      <c r="G90" s="11"/>
      <c r="H90" s="11"/>
      <c r="I90" s="11"/>
      <c r="J90" s="11"/>
    </row>
    <row r="91">
      <c r="A91">
        <f>IFERROR(__xludf.DUMMYFUNCTION("""COMPUTED_VALUE"""),120.0)</f>
        <v>120</v>
      </c>
      <c r="B91" s="11" t="str">
        <f>IFERROR(__xludf.DUMMYFUNCTION("""COMPUTED_VALUE"""),"Seems fine?")</f>
        <v>Seems fine?</v>
      </c>
      <c r="C91" s="32" t="s">
        <v>758</v>
      </c>
      <c r="D91" s="3"/>
      <c r="F91" s="11"/>
      <c r="G91" s="11"/>
      <c r="H91" s="11"/>
      <c r="I91" s="11"/>
      <c r="J91" s="11"/>
    </row>
    <row r="92">
      <c r="A92">
        <f>IFERROR(__xludf.DUMMYFUNCTION("""COMPUTED_VALUE"""),121.0)</f>
        <v>121</v>
      </c>
      <c r="B92" s="11" t="str">
        <f>IFERROR(__xludf.DUMMYFUNCTION("""COMPUTED_VALUE"""),"Not sure why it needs Google Drive access, it shouldn't be creating anything in there.")</f>
        <v>Not sure why it needs Google Drive access, it shouldn't be creating anything in there.</v>
      </c>
      <c r="C92" s="32" t="s">
        <v>761</v>
      </c>
      <c r="D92" s="32" t="s">
        <v>777</v>
      </c>
      <c r="E92" s="31" t="s">
        <v>783</v>
      </c>
      <c r="F92" s="11"/>
      <c r="G92" s="11"/>
      <c r="H92" s="11"/>
      <c r="I92" s="11"/>
      <c r="J92" s="11"/>
    </row>
    <row r="93">
      <c r="A93">
        <f>IFERROR(__xludf.DUMMYFUNCTION("""COMPUTED_VALUE"""),122.0)</f>
        <v>122</v>
      </c>
      <c r="B93" s="26" t="str">
        <f>IFERROR(__xludf.DUMMYFUNCTION("""COMPUTED_VALUE"""),"Just unclear what they mean by associate me with my personal info")</f>
        <v>Just unclear what they mean by associate me with my personal info</v>
      </c>
      <c r="C93" s="3" t="s">
        <v>788</v>
      </c>
      <c r="D93" s="3" t="s">
        <v>793</v>
      </c>
      <c r="F93" s="11"/>
      <c r="G93" s="11"/>
      <c r="H93" s="11"/>
      <c r="I93" s="11"/>
      <c r="J93" s="11"/>
    </row>
    <row r="94">
      <c r="A94">
        <f>IFERROR(__xludf.DUMMYFUNCTION("""COMPUTED_VALUE"""),123.0)</f>
        <v>123</v>
      </c>
      <c r="B94" s="11"/>
      <c r="C94" s="3"/>
      <c r="D94" s="11"/>
      <c r="F94" s="11"/>
      <c r="G94" s="11"/>
      <c r="H94" s="11"/>
      <c r="I94" s="11"/>
      <c r="J94" s="11"/>
    </row>
    <row r="95">
      <c r="A95">
        <f>IFERROR(__xludf.DUMMYFUNCTION("""COMPUTED_VALUE"""),124.0)</f>
        <v>124</v>
      </c>
      <c r="B95" s="11"/>
      <c r="C95" s="3"/>
      <c r="D95" s="24"/>
      <c r="F95" s="11"/>
      <c r="G95" s="11"/>
      <c r="H95" s="11"/>
      <c r="I95" s="11"/>
      <c r="J95" s="11"/>
    </row>
    <row r="96">
      <c r="A96">
        <f>IFERROR(__xludf.DUMMYFUNCTION("""COMPUTED_VALUE"""),125.0)</f>
        <v>125</v>
      </c>
      <c r="B96" s="11"/>
      <c r="C96" s="3"/>
      <c r="D96" s="3"/>
      <c r="F96" s="11"/>
      <c r="G96" s="11"/>
      <c r="H96" s="11"/>
      <c r="I96" s="11"/>
      <c r="J96" s="11"/>
    </row>
    <row r="97">
      <c r="A97">
        <f>IFERROR(__xludf.DUMMYFUNCTION("""COMPUTED_VALUE"""),126.0)</f>
        <v>126</v>
      </c>
      <c r="B97" s="11"/>
      <c r="C97" s="3"/>
      <c r="D97" s="11"/>
      <c r="F97" s="11"/>
      <c r="G97" s="11"/>
      <c r="H97" s="11"/>
      <c r="I97" s="11"/>
      <c r="J97" s="11"/>
    </row>
    <row r="98">
      <c r="A98">
        <f>IFERROR(__xludf.DUMMYFUNCTION("""COMPUTED_VALUE"""),127.0)</f>
        <v>127</v>
      </c>
      <c r="B98" s="11"/>
      <c r="C98" s="24"/>
      <c r="D98" s="24"/>
      <c r="F98" s="3"/>
      <c r="G98" s="11"/>
      <c r="H98" s="11"/>
      <c r="I98" s="11"/>
      <c r="J98" s="11"/>
    </row>
    <row r="99">
      <c r="A99">
        <f>IFERROR(__xludf.DUMMYFUNCTION("""COMPUTED_VALUE"""),128.0)</f>
        <v>128</v>
      </c>
      <c r="B99" s="11" t="str">
        <f>IFERROR(__xludf.DUMMYFUNCTION("""COMPUTED_VALUE"""),"No concerns")</f>
        <v>No concerns</v>
      </c>
      <c r="C99" s="32" t="s">
        <v>758</v>
      </c>
      <c r="D99" s="11"/>
      <c r="F99" s="11"/>
      <c r="G99" s="11"/>
      <c r="H99" s="11"/>
      <c r="I99" s="11"/>
      <c r="J99" s="11"/>
    </row>
    <row r="100">
      <c r="A100">
        <f>IFERROR(__xludf.DUMMYFUNCTION("""COMPUTED_VALUE"""),129.0)</f>
        <v>129</v>
      </c>
      <c r="B100" s="11"/>
      <c r="C100" s="11"/>
      <c r="D100" s="11"/>
      <c r="F100" s="11"/>
      <c r="G100" s="11"/>
      <c r="H100" s="11"/>
      <c r="I100" s="11"/>
      <c r="J100" s="11"/>
    </row>
    <row r="101">
      <c r="A101">
        <f>IFERROR(__xludf.DUMMYFUNCTION("""COMPUTED_VALUE"""),130.0)</f>
        <v>130</v>
      </c>
      <c r="B101" s="11"/>
      <c r="C101" s="3"/>
      <c r="D101" s="3"/>
      <c r="F101" s="11"/>
      <c r="G101" s="11"/>
      <c r="H101" s="11"/>
      <c r="I101" s="11"/>
      <c r="J101" s="11"/>
    </row>
    <row r="102">
      <c r="A102">
        <f>IFERROR(__xludf.DUMMYFUNCTION("""COMPUTED_VALUE"""),131.0)</f>
        <v>131</v>
      </c>
      <c r="B102" s="11" t="str">
        <f>IFERROR(__xludf.DUMMYFUNCTION("""COMPUTED_VALUE"""),"I don't really have concerns about this because this product is for Google. I trust Google so I am not really worried about any of these things.")</f>
        <v>I don't really have concerns about this because this product is for Google. I trust Google so I am not really worried about any of these things.</v>
      </c>
      <c r="C102" s="32" t="s">
        <v>758</v>
      </c>
      <c r="D102" s="32" t="s">
        <v>774</v>
      </c>
      <c r="F102" s="11"/>
      <c r="G102" s="11"/>
      <c r="H102" s="11"/>
      <c r="I102" s="11"/>
      <c r="J102" s="11"/>
    </row>
    <row r="103">
      <c r="A103">
        <f>IFERROR(__xludf.DUMMYFUNCTION("""COMPUTED_VALUE"""),132.0)</f>
        <v>132</v>
      </c>
      <c r="B103" s="11"/>
      <c r="C103" s="3"/>
      <c r="D103" s="3"/>
      <c r="E103" s="3"/>
      <c r="F103" s="29"/>
      <c r="G103" s="38"/>
      <c r="H103" s="11"/>
      <c r="I103" s="11"/>
      <c r="J103" s="11"/>
    </row>
    <row r="104">
      <c r="A104">
        <f>IFERROR(__xludf.DUMMYFUNCTION("""COMPUTED_VALUE"""),133.0)</f>
        <v>133</v>
      </c>
      <c r="B104" s="11" t="str">
        <f>IFERROR(__xludf.DUMMYFUNCTION("""COMPUTED_VALUE"""),"I have no idea why this has access to my info so I am concerned.")</f>
        <v>I have no idea why this has access to my info so I am concerned.</v>
      </c>
      <c r="C104" s="32" t="s">
        <v>761</v>
      </c>
      <c r="D104" s="32" t="s">
        <v>766</v>
      </c>
      <c r="E104" s="32" t="s">
        <v>762</v>
      </c>
      <c r="F104" s="11"/>
      <c r="G104" s="11"/>
      <c r="H104" s="11"/>
      <c r="I104" s="11"/>
      <c r="J104" s="11"/>
    </row>
    <row r="105">
      <c r="A105">
        <f>IFERROR(__xludf.DUMMYFUNCTION("""COMPUTED_VALUE"""),134.0)</f>
        <v>134</v>
      </c>
      <c r="B105" s="11" t="str">
        <f>IFERROR(__xludf.DUMMYFUNCTION("""COMPUTED_VALUE"""),"Don't really have any")</f>
        <v>Don't really have any</v>
      </c>
      <c r="C105" s="32" t="s">
        <v>758</v>
      </c>
      <c r="D105" s="3"/>
      <c r="E105" s="3"/>
      <c r="F105" s="3"/>
      <c r="G105" s="11"/>
      <c r="H105" s="11"/>
      <c r="I105" s="11"/>
      <c r="J105" s="11"/>
    </row>
    <row r="106">
      <c r="A106">
        <f>IFERROR(__xludf.DUMMYFUNCTION("""COMPUTED_VALUE"""),135.0)</f>
        <v>135</v>
      </c>
      <c r="B106" s="11"/>
      <c r="C106" s="3"/>
      <c r="D106" s="3"/>
      <c r="E106" s="11"/>
      <c r="F106" s="11"/>
      <c r="G106" s="11"/>
      <c r="H106" s="11"/>
      <c r="I106" s="11"/>
      <c r="J106" s="11"/>
    </row>
    <row r="107">
      <c r="A107">
        <f>IFERROR(__xludf.DUMMYFUNCTION("""COMPUTED_VALUE"""),136.0)</f>
        <v>136</v>
      </c>
      <c r="B107" s="11"/>
      <c r="C107" s="3"/>
      <c r="D107" s="3"/>
      <c r="E107" s="3"/>
      <c r="F107" s="3"/>
      <c r="G107" s="11"/>
      <c r="H107" s="11"/>
      <c r="I107" s="11"/>
      <c r="J107" s="11"/>
    </row>
    <row r="108">
      <c r="A108">
        <f>IFERROR(__xludf.DUMMYFUNCTION("""COMPUTED_VALUE"""),137.0)</f>
        <v>137</v>
      </c>
      <c r="B108" s="11"/>
      <c r="C108" s="3"/>
      <c r="D108" s="3"/>
      <c r="E108" s="3"/>
      <c r="F108" s="11"/>
      <c r="G108" s="11"/>
      <c r="H108" s="11"/>
      <c r="I108" s="11"/>
      <c r="J108" s="11"/>
    </row>
    <row r="109">
      <c r="A109">
        <f>IFERROR(__xludf.DUMMYFUNCTION("""COMPUTED_VALUE"""),138.0)</f>
        <v>138</v>
      </c>
      <c r="B109" s="11" t="str">
        <f>IFERROR(__xludf.DUMMYFUNCTION("""COMPUTED_VALUE"""),"none")</f>
        <v>none</v>
      </c>
      <c r="C109" s="32" t="s">
        <v>758</v>
      </c>
      <c r="D109" s="3"/>
      <c r="E109" s="11"/>
      <c r="F109" s="11"/>
      <c r="G109" s="11"/>
      <c r="H109" s="11"/>
      <c r="I109" s="11"/>
      <c r="J109" s="11"/>
    </row>
    <row r="110">
      <c r="A110">
        <f>IFERROR(__xludf.DUMMYFUNCTION("""COMPUTED_VALUE"""),139.0)</f>
        <v>139</v>
      </c>
      <c r="B110" s="11"/>
      <c r="C110" s="3"/>
      <c r="D110" s="3"/>
      <c r="E110" s="3"/>
      <c r="F110" s="11"/>
      <c r="G110" s="11"/>
      <c r="H110" s="11"/>
      <c r="I110" s="11"/>
      <c r="J110" s="11"/>
    </row>
    <row r="111">
      <c r="A111">
        <f>IFERROR(__xludf.DUMMYFUNCTION("""COMPUTED_VALUE"""),140.0)</f>
        <v>140</v>
      </c>
      <c r="B111" s="11" t="str">
        <f>IFERROR(__xludf.DUMMYFUNCTION("""COMPUTED_VALUE"""),"I am not sure I want to be associated with my personal information, the information in the survey is vague, so it may be a non-issue.")</f>
        <v>I am not sure I want to be associated with my personal information, the information in the survey is vague, so it may be a non-issue.</v>
      </c>
      <c r="C111" s="3" t="s">
        <v>788</v>
      </c>
      <c r="D111" s="3" t="s">
        <v>793</v>
      </c>
      <c r="E111" s="3"/>
      <c r="F111" s="3"/>
      <c r="G111" s="11"/>
      <c r="H111" s="11"/>
      <c r="I111" s="11"/>
      <c r="J111" s="11"/>
    </row>
    <row r="112">
      <c r="A112">
        <f>IFERROR(__xludf.DUMMYFUNCTION("""COMPUTED_VALUE"""),141.0)</f>
        <v>141</v>
      </c>
      <c r="B112" s="11"/>
      <c r="C112" s="3"/>
      <c r="D112" s="3"/>
      <c r="E112" s="3"/>
      <c r="F112" s="11"/>
      <c r="G112" s="11"/>
      <c r="H112" s="11"/>
      <c r="I112" s="11"/>
      <c r="J112" s="11"/>
    </row>
    <row r="113">
      <c r="A113">
        <f>IFERROR(__xludf.DUMMYFUNCTION("""COMPUTED_VALUE"""),143.0)</f>
        <v>143</v>
      </c>
      <c r="B113" s="11" t="str">
        <f>IFERROR(__xludf.DUMMYFUNCTION("""COMPUTED_VALUE"""),"I have none.")</f>
        <v>I have none.</v>
      </c>
      <c r="C113" s="32" t="s">
        <v>758</v>
      </c>
      <c r="D113" s="3"/>
      <c r="E113" s="11"/>
      <c r="F113" s="11"/>
      <c r="G113" s="11"/>
      <c r="H113" s="11"/>
      <c r="I113" s="11"/>
      <c r="J113" s="11"/>
    </row>
    <row r="114">
      <c r="A114">
        <f>IFERROR(__xludf.DUMMYFUNCTION("""COMPUTED_VALUE"""),144.0)</f>
        <v>144</v>
      </c>
      <c r="B114" s="11"/>
      <c r="C114" s="3"/>
      <c r="D114" s="3"/>
      <c r="E114" s="3"/>
      <c r="F114" s="3"/>
      <c r="G114" s="11"/>
      <c r="H114" s="11"/>
      <c r="I114" s="11"/>
      <c r="J114" s="11"/>
    </row>
    <row r="115">
      <c r="A115">
        <f>IFERROR(__xludf.DUMMYFUNCTION("""COMPUTED_VALUE"""),145.0)</f>
        <v>145</v>
      </c>
      <c r="B115" s="11"/>
      <c r="C115" s="3"/>
      <c r="D115" s="11"/>
      <c r="E115" s="11"/>
      <c r="F115" s="11"/>
      <c r="G115" s="11"/>
      <c r="H115" s="11"/>
      <c r="I115" s="11"/>
      <c r="J115" s="11"/>
    </row>
    <row r="116">
      <c r="A116">
        <f>IFERROR(__xludf.DUMMYFUNCTION("""COMPUTED_VALUE"""),146.0)</f>
        <v>146</v>
      </c>
      <c r="B116" s="11"/>
      <c r="C116" s="3"/>
      <c r="D116" s="3"/>
      <c r="E116" s="3"/>
      <c r="F116" s="3"/>
      <c r="G116" s="11"/>
      <c r="H116" s="11"/>
      <c r="I116" s="11"/>
      <c r="J116" s="11"/>
    </row>
    <row r="117">
      <c r="A117">
        <f>IFERROR(__xludf.DUMMYFUNCTION("""COMPUTED_VALUE"""),147.0)</f>
        <v>147</v>
      </c>
      <c r="B117" s="11" t="str">
        <f>IFERROR(__xludf.DUMMYFUNCTION("""COMPUTED_VALUE"""),"Again, just don't like the idea being of info being leaked somehow")</f>
        <v>Again, just don't like the idea being of info being leaked somehow</v>
      </c>
      <c r="C117" s="32" t="s">
        <v>761</v>
      </c>
      <c r="D117" s="32" t="s">
        <v>779</v>
      </c>
      <c r="E117" s="11"/>
      <c r="F117" s="11"/>
      <c r="G117" s="11"/>
      <c r="H117" s="11"/>
      <c r="I117" s="11"/>
      <c r="J117" s="11"/>
    </row>
    <row r="118">
      <c r="A118">
        <f>IFERROR(__xludf.DUMMYFUNCTION("""COMPUTED_VALUE"""),148.0)</f>
        <v>148</v>
      </c>
      <c r="B118" s="11"/>
      <c r="C118" s="3"/>
      <c r="D118" s="3"/>
      <c r="E118" s="11"/>
      <c r="F118" s="11"/>
      <c r="G118" s="11"/>
      <c r="H118" s="11"/>
      <c r="I118" s="11"/>
      <c r="J118" s="11"/>
    </row>
    <row r="119">
      <c r="A119">
        <f>IFERROR(__xludf.DUMMYFUNCTION("""COMPUTED_VALUE"""),149.0)</f>
        <v>149</v>
      </c>
      <c r="B119" s="11" t="str">
        <f>IFERROR(__xludf.DUMMYFUNCTION("""COMPUTED_VALUE"""),"It doesn't need to see my emails in my opinion for the app to function.")</f>
        <v>It doesn't need to see my emails in my opinion for the app to function.</v>
      </c>
      <c r="C119" s="32" t="s">
        <v>761</v>
      </c>
      <c r="D119" s="32" t="s">
        <v>777</v>
      </c>
      <c r="E119" s="31" t="s">
        <v>778</v>
      </c>
      <c r="F119" s="32" t="s">
        <v>762</v>
      </c>
      <c r="G119" s="11"/>
      <c r="H119" s="11"/>
      <c r="I119" s="11"/>
      <c r="J119" s="11"/>
    </row>
    <row r="120">
      <c r="A120">
        <f>IFERROR(__xludf.DUMMYFUNCTION("""COMPUTED_VALUE"""),150.0)</f>
        <v>150</v>
      </c>
      <c r="B120" s="11"/>
      <c r="C120" s="3"/>
      <c r="D120" s="11"/>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c r="C122" s="3"/>
      <c r="D122" s="3"/>
      <c r="E122" s="3"/>
      <c r="F122" s="11"/>
      <c r="G122" s="11"/>
      <c r="H122" s="11"/>
      <c r="I122" s="11"/>
      <c r="J122" s="11"/>
    </row>
    <row r="123">
      <c r="A123">
        <f>IFERROR(__xludf.DUMMYFUNCTION("""COMPUTED_VALUE"""),153.0)</f>
        <v>153</v>
      </c>
      <c r="B123" s="11"/>
      <c r="C123" s="3"/>
      <c r="D123" s="3"/>
      <c r="E123" s="3"/>
      <c r="F123" s="3"/>
      <c r="G123" s="11"/>
      <c r="H123" s="11"/>
      <c r="I123" s="11"/>
      <c r="J123" s="11"/>
    </row>
    <row r="124">
      <c r="A124">
        <f>IFERROR(__xludf.DUMMYFUNCTION("""COMPUTED_VALUE"""),154.0)</f>
        <v>154</v>
      </c>
      <c r="B124" s="11" t="str">
        <f>IFERROR(__xludf.DUMMYFUNCTION("""COMPUTED_VALUE"""),"None")</f>
        <v>None</v>
      </c>
      <c r="C124" s="32" t="s">
        <v>758</v>
      </c>
      <c r="D124" s="11"/>
      <c r="E124" s="11"/>
      <c r="F124" s="11"/>
      <c r="G124" s="11"/>
      <c r="H124" s="11"/>
      <c r="I124" s="11"/>
      <c r="J124" s="11"/>
    </row>
    <row r="125">
      <c r="A125">
        <f>IFERROR(__xludf.DUMMYFUNCTION("""COMPUTED_VALUE"""),155.0)</f>
        <v>155</v>
      </c>
      <c r="B125" s="11" t="str">
        <f>IFERROR(__xludf.DUMMYFUNCTION("""COMPUTED_VALUE"""),"Considering that this was a single player game I downloaded on a whim, I am not comfortable with the amount of access they have to my account.")</f>
        <v>Considering that this was a single player game I downloaded on a whim, I am not comfortable with the amount of access they have to my account.</v>
      </c>
      <c r="C125" s="32" t="s">
        <v>761</v>
      </c>
      <c r="D125" s="32" t="s">
        <v>777</v>
      </c>
      <c r="E125" s="28" t="s">
        <v>760</v>
      </c>
      <c r="F125" s="11"/>
      <c r="G125" s="11"/>
      <c r="H125" s="11"/>
      <c r="I125" s="11"/>
      <c r="J125" s="11"/>
    </row>
    <row r="126">
      <c r="A126">
        <f>IFERROR(__xludf.DUMMYFUNCTION("""COMPUTED_VALUE"""),156.0)</f>
        <v>156</v>
      </c>
      <c r="B126" s="11"/>
      <c r="C126" s="3"/>
      <c r="D126" s="3"/>
      <c r="E126" s="11"/>
      <c r="F126" s="11"/>
      <c r="G126" s="11"/>
      <c r="H126" s="11"/>
      <c r="I126" s="11"/>
      <c r="J126" s="11"/>
    </row>
    <row r="127">
      <c r="A127">
        <f>IFERROR(__xludf.DUMMYFUNCTION("""COMPUTED_VALUE"""),157.0)</f>
        <v>157</v>
      </c>
      <c r="B127" s="26" t="str">
        <f>IFERROR(__xludf.DUMMYFUNCTION("""COMPUTED_VALUE"""),"I am mostly fine with Samsung holding these permissions as I trust in it.")</f>
        <v>I am mostly fine with Samsung holding these permissions as I trust in it.</v>
      </c>
      <c r="C127" s="32" t="s">
        <v>758</v>
      </c>
      <c r="D127" s="28" t="s">
        <v>774</v>
      </c>
      <c r="E127" s="11"/>
      <c r="F127" s="11"/>
      <c r="G127" s="11"/>
      <c r="H127" s="11"/>
      <c r="I127" s="11"/>
      <c r="J127" s="11"/>
    </row>
    <row r="128">
      <c r="A128">
        <f>IFERROR(__xludf.DUMMYFUNCTION("""COMPUTED_VALUE"""),158.0)</f>
        <v>158</v>
      </c>
      <c r="B128" s="11"/>
      <c r="C128" s="3"/>
      <c r="D128" s="3"/>
      <c r="E128" s="3"/>
      <c r="F128" s="3"/>
      <c r="G128" s="11"/>
      <c r="H128" s="11"/>
      <c r="I128" s="11"/>
      <c r="J128" s="11"/>
    </row>
    <row r="129">
      <c r="A129">
        <f>IFERROR(__xludf.DUMMYFUNCTION("""COMPUTED_VALUE"""),159.0)</f>
        <v>159</v>
      </c>
      <c r="B129" s="11"/>
      <c r="C129" s="3"/>
      <c r="D129" s="3"/>
      <c r="E129" s="11"/>
      <c r="F129" s="11"/>
      <c r="G129" s="11"/>
      <c r="H129" s="11"/>
      <c r="I129" s="11"/>
      <c r="J129" s="11"/>
    </row>
    <row r="130">
      <c r="A130">
        <f>IFERROR(__xludf.DUMMYFUNCTION("""COMPUTED_VALUE"""),160.0)</f>
        <v>160</v>
      </c>
      <c r="B130" s="11"/>
      <c r="C130" s="3"/>
      <c r="D130" s="3"/>
      <c r="E130" s="3"/>
      <c r="F130" s="3"/>
      <c r="G130" s="11"/>
      <c r="H130" s="11"/>
      <c r="I130" s="11"/>
      <c r="J130" s="11"/>
    </row>
    <row r="131">
      <c r="A131">
        <f>IFERROR(__xludf.DUMMYFUNCTION("""COMPUTED_VALUE"""),161.0)</f>
        <v>161</v>
      </c>
      <c r="B131" s="11" t="str">
        <f>IFERROR(__xludf.DUMMYFUNCTION("""COMPUTED_VALUE"""),"I just didn't remember giving permissions to this game to access my activity. So I'm not sure why they have my information or need to create edit or delete it.")</f>
        <v>I just didn't remember giving permissions to this game to access my activity. So I'm not sure why they have my information or need to create edit or delete it.</v>
      </c>
      <c r="C131" s="31" t="s">
        <v>764</v>
      </c>
      <c r="D131" s="31" t="s">
        <v>782</v>
      </c>
      <c r="E131" s="32" t="s">
        <v>761</v>
      </c>
      <c r="F131" s="32" t="s">
        <v>762</v>
      </c>
      <c r="G131" s="11"/>
      <c r="H131" s="11"/>
      <c r="I131" s="11"/>
      <c r="J131" s="11"/>
    </row>
    <row r="132">
      <c r="A132">
        <f>IFERROR(__xludf.DUMMYFUNCTION("""COMPUTED_VALUE"""),162.0)</f>
        <v>162</v>
      </c>
      <c r="B132" s="11" t="str">
        <f>IFERROR(__xludf.DUMMYFUNCTION("""COMPUTED_VALUE"""),"I don't think it has too many permissions and nothing seems unreasonable, so I'm okay with this.")</f>
        <v>I don't think it has too many permissions and nothing seems unreasonable, so I'm okay with this.</v>
      </c>
      <c r="C132" s="32" t="s">
        <v>758</v>
      </c>
      <c r="D132" s="32" t="s">
        <v>773</v>
      </c>
      <c r="E132" t="s">
        <v>790</v>
      </c>
      <c r="F132" s="11"/>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26" t="str">
        <f>IFERROR(__xludf.DUMMYFUNCTION("""COMPUTED_VALUE"""),"I trust Windows, I have no concerns.")</f>
        <v>I trust Windows, I have no concerns.</v>
      </c>
      <c r="C134" s="32" t="s">
        <v>758</v>
      </c>
      <c r="D134" s="28" t="s">
        <v>774</v>
      </c>
      <c r="E134" s="3"/>
      <c r="F134" s="11"/>
      <c r="G134" s="11"/>
      <c r="H134" s="11"/>
      <c r="I134" s="11"/>
      <c r="J134" s="11"/>
    </row>
    <row r="135">
      <c r="A135">
        <f>IFERROR(__xludf.DUMMYFUNCTION("""COMPUTED_VALUE"""),165.0)</f>
        <v>165</v>
      </c>
      <c r="B135" s="39" t="str">
        <f>IFERROR(__xludf.DUMMYFUNCTION("""COMPUTED_VALUE"""),"I don't want it to have any access to my Google account as I no longer use this app but I don't know how to remove them.")</f>
        <v>I don't want it to have any access to my Google account as I no longer use this app but I don't know how to remove them.</v>
      </c>
      <c r="C135" s="3" t="s">
        <v>760</v>
      </c>
      <c r="D135" s="3" t="s">
        <v>794</v>
      </c>
      <c r="E135" s="32" t="s">
        <v>761</v>
      </c>
      <c r="F135" s="11"/>
      <c r="G135" s="11"/>
      <c r="H135" s="11"/>
      <c r="I135" s="11"/>
      <c r="J135" s="11"/>
    </row>
    <row r="136">
      <c r="A136">
        <f>IFERROR(__xludf.DUMMYFUNCTION("""COMPUTED_VALUE"""),166.0)</f>
        <v>166</v>
      </c>
      <c r="B136" s="26" t="str">
        <f>IFERROR(__xludf.DUMMYFUNCTION("""COMPUTED_VALUE"""),"I don't see why it is necessary for CCleaner to have access to Google Drive. It does not really make sense to me, and I am concerned that it can delete files in my Google Drive account.")</f>
        <v>I don't see why it is necessary for CCleaner to have access to Google Drive. It does not really make sense to me, and I am concerned that it can delete files in my Google Drive account.</v>
      </c>
      <c r="C136" s="32" t="s">
        <v>761</v>
      </c>
      <c r="D136" s="32" t="s">
        <v>762</v>
      </c>
      <c r="E136" s="32" t="s">
        <v>777</v>
      </c>
      <c r="F136" s="31" t="s">
        <v>783</v>
      </c>
      <c r="G136" s="31" t="s">
        <v>781</v>
      </c>
      <c r="H136" s="11"/>
      <c r="I136" s="11"/>
      <c r="J136" s="11"/>
    </row>
    <row r="137">
      <c r="A137">
        <f>IFERROR(__xludf.DUMMYFUNCTION("""COMPUTED_VALUE"""),167.0)</f>
        <v>167</v>
      </c>
      <c r="B137" s="11"/>
      <c r="C137" s="3"/>
      <c r="D137" s="3"/>
      <c r="E137" s="11"/>
      <c r="F137" s="11"/>
      <c r="G137" s="11"/>
      <c r="H137" s="11"/>
      <c r="I137" s="11"/>
      <c r="J137" s="11"/>
    </row>
    <row r="138">
      <c r="A138">
        <f>IFERROR(__xludf.DUMMYFUNCTION("""COMPUTED_VALUE"""),168.0)</f>
        <v>168</v>
      </c>
      <c r="B138" s="11"/>
      <c r="C138" s="3"/>
      <c r="D138" s="3"/>
      <c r="E138" s="3"/>
      <c r="F138" s="11"/>
      <c r="G138" s="11"/>
      <c r="H138" s="11"/>
      <c r="I138" s="11"/>
      <c r="J138" s="11"/>
    </row>
    <row r="139">
      <c r="A139">
        <f>IFERROR(__xludf.DUMMYFUNCTION("""COMPUTED_VALUE"""),169.0)</f>
        <v>169</v>
      </c>
      <c r="B139" s="11"/>
      <c r="C139" s="3"/>
      <c r="D139" s="3"/>
      <c r="E139" s="3"/>
      <c r="F139" s="11"/>
      <c r="G139" s="11"/>
      <c r="H139" s="11"/>
      <c r="I139" s="11"/>
      <c r="J139" s="11"/>
    </row>
    <row r="140">
      <c r="A140">
        <f>IFERROR(__xludf.DUMMYFUNCTION("""COMPUTED_VALUE"""),170.0)</f>
        <v>170</v>
      </c>
      <c r="B140" s="11" t="str">
        <f>IFERROR(__xludf.DUMMYFUNCTION("""COMPUTED_VALUE"""),"none")</f>
        <v>none</v>
      </c>
      <c r="C140" s="32" t="s">
        <v>758</v>
      </c>
      <c r="D140" s="3"/>
      <c r="E140" s="3"/>
      <c r="F140" s="3"/>
      <c r="G140" s="11"/>
      <c r="H140" s="11"/>
      <c r="I140" s="11"/>
      <c r="J140" s="11"/>
    </row>
    <row r="141">
      <c r="A141">
        <f>IFERROR(__xludf.DUMMYFUNCTION("""COMPUTED_VALUE"""),171.0)</f>
        <v>171</v>
      </c>
      <c r="B141" s="11"/>
      <c r="C141" s="3"/>
      <c r="D141" s="3"/>
      <c r="E141" s="11"/>
      <c r="F141" s="11"/>
      <c r="G141" s="11"/>
      <c r="H141" s="11"/>
      <c r="I141" s="11"/>
      <c r="J141" s="11"/>
    </row>
    <row r="142">
      <c r="A142">
        <f>IFERROR(__xludf.DUMMYFUNCTION("""COMPUTED_VALUE"""),172.0)</f>
        <v>172</v>
      </c>
      <c r="B142" s="11"/>
      <c r="C142" s="3"/>
      <c r="D142" s="3"/>
      <c r="E142" s="11"/>
      <c r="F142" s="11"/>
      <c r="G142" s="11"/>
      <c r="H142" s="11"/>
      <c r="I142" s="11"/>
      <c r="J142" s="11"/>
    </row>
    <row r="143">
      <c r="A143">
        <f>IFERROR(__xludf.DUMMYFUNCTION("""COMPUTED_VALUE"""),173.0)</f>
        <v>173</v>
      </c>
      <c r="B143" s="11"/>
      <c r="C143" s="3"/>
      <c r="D143" s="3"/>
      <c r="E143" s="3"/>
      <c r="F143" s="11"/>
      <c r="G143" s="11"/>
      <c r="H143" s="11"/>
      <c r="I143" s="11"/>
      <c r="J143" s="11"/>
    </row>
    <row r="144">
      <c r="A144">
        <f>IFERROR(__xludf.DUMMYFUNCTION("""COMPUTED_VALUE"""),174.0)</f>
        <v>174</v>
      </c>
      <c r="B144" s="11" t="str">
        <f>IFERROR(__xludf.DUMMYFUNCTION("""COMPUTED_VALUE"""),"No, I gave these permissions so I can use other apps on my computer with my google account.")</f>
        <v>No, I gave these permissions so I can use other apps on my computer with my google account.</v>
      </c>
      <c r="C144" s="32" t="s">
        <v>758</v>
      </c>
      <c r="D144" s="32" t="s">
        <v>759</v>
      </c>
      <c r="E144" s="3"/>
      <c r="F144" s="3"/>
      <c r="G144" s="3"/>
      <c r="H144" s="11"/>
      <c r="I144" s="11"/>
      <c r="J144" s="11"/>
    </row>
    <row r="145">
      <c r="A145">
        <f>IFERROR(__xludf.DUMMYFUNCTION("""COMPUTED_VALUE"""),175.0)</f>
        <v>175</v>
      </c>
      <c r="B145" s="11"/>
      <c r="C145" s="3"/>
      <c r="D145" s="3"/>
      <c r="E145" s="3"/>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IFERROR(__xludf.DUMMYFUNCTION("""COMPUTED_VALUE"""),"same asdragalia lost, it holds onto my save game for when i want to play the game or change phones")</f>
        <v>same asdragalia lost, it holds onto my save game for when i want to play the game or change phones</v>
      </c>
      <c r="C147" s="32" t="s">
        <v>758</v>
      </c>
      <c r="D147" t="s">
        <v>790</v>
      </c>
      <c r="E147" s="32" t="s">
        <v>759</v>
      </c>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IFERROR(__xludf.DUMMYFUNCTION("""COMPUTED_VALUE"""),"No specific concerns that I can think of.")</f>
        <v>No specific concerns that I can think of.</v>
      </c>
      <c r="C149" s="32" t="s">
        <v>758</v>
      </c>
      <c r="D149" s="11"/>
      <c r="E149" s="11"/>
      <c r="F149" s="11"/>
      <c r="H149" s="11"/>
      <c r="I149" s="11"/>
      <c r="J149" s="11"/>
    </row>
    <row r="150">
      <c r="A150">
        <f>IFERROR(__xludf.DUMMYFUNCTION("""COMPUTED_VALUE"""),181.0)</f>
        <v>181</v>
      </c>
      <c r="B150" s="11" t="str">
        <f>IFERROR(__xludf.DUMMYFUNCTION("""COMPUTED_VALUE"""),"I'm still not sure why it would need to delete my play history?")</f>
        <v>I'm still not sure why it would need to delete my play history?</v>
      </c>
      <c r="C150" s="32" t="s">
        <v>761</v>
      </c>
      <c r="D150" s="32" t="s">
        <v>777</v>
      </c>
      <c r="E150" s="31" t="s">
        <v>795</v>
      </c>
      <c r="F150" s="3"/>
      <c r="H150" s="11"/>
      <c r="I150" s="11"/>
      <c r="J150" s="11"/>
    </row>
    <row r="151">
      <c r="A151">
        <f>IFERROR(__xludf.DUMMYFUNCTION("""COMPUTED_VALUE"""),182.0)</f>
        <v>182</v>
      </c>
      <c r="B151" s="26" t="str">
        <f>IFERROR(__xludf.DUMMYFUNCTION("""COMPUTED_VALUE"""),"Its a game I downloaded a long time ago and I didn't know it'd need access like that.")</f>
        <v>Its a game I downloaded a long time ago and I didn't know it'd need access like that.</v>
      </c>
      <c r="C151" s="32" t="s">
        <v>760</v>
      </c>
      <c r="D151" s="32" t="s">
        <v>761</v>
      </c>
      <c r="E151" s="32" t="s">
        <v>777</v>
      </c>
      <c r="F151" s="3"/>
      <c r="H151" s="11"/>
      <c r="I151" s="11"/>
      <c r="J151" s="11"/>
    </row>
    <row r="152">
      <c r="A152">
        <f>IFERROR(__xludf.DUMMYFUNCTION("""COMPUTED_VALUE"""),183.0)</f>
        <v>183</v>
      </c>
      <c r="B152" s="11"/>
      <c r="C152" s="3"/>
      <c r="D152" s="3"/>
      <c r="E152" s="11"/>
      <c r="F152" s="11"/>
      <c r="H152" s="11"/>
      <c r="I152" s="11"/>
      <c r="J152" s="11"/>
    </row>
    <row r="153">
      <c r="A153">
        <f>IFERROR(__xludf.DUMMYFUNCTION("""COMPUTED_VALUE"""),184.0)</f>
        <v>184</v>
      </c>
      <c r="B153" s="11" t="str">
        <f>IFERROR(__xludf.DUMMYFUNCTION("""COMPUTED_VALUE"""),"I want to understand better what full account access really means and does")</f>
        <v>I want to understand better what full account access really means and does</v>
      </c>
      <c r="C153" t="s">
        <v>788</v>
      </c>
      <c r="D153" s="27" t="s">
        <v>796</v>
      </c>
      <c r="E153" s="11"/>
      <c r="F153" s="11"/>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c r="C155" s="11"/>
      <c r="D155" s="11"/>
      <c r="E155" s="11"/>
      <c r="F155" s="11"/>
      <c r="G155" s="11"/>
      <c r="H155" s="11"/>
      <c r="I155" s="11"/>
      <c r="J155" s="11"/>
    </row>
    <row r="156">
      <c r="A156">
        <f>IFERROR(__xludf.DUMMYFUNCTION("""COMPUTED_VALUE"""),187.0)</f>
        <v>187</v>
      </c>
      <c r="B156" s="11"/>
      <c r="C156" s="11"/>
      <c r="D156" s="11"/>
      <c r="E156" s="11"/>
      <c r="F156" s="11"/>
      <c r="G156" s="11"/>
      <c r="H156" s="11"/>
      <c r="I156" s="11"/>
      <c r="J156" s="11"/>
    </row>
    <row r="157">
      <c r="A157">
        <f>IFERROR(__xludf.DUMMYFUNCTION("""COMPUTED_VALUE"""),188.0)</f>
        <v>188</v>
      </c>
      <c r="B157" s="11"/>
      <c r="C157" s="11"/>
      <c r="D157" s="11"/>
      <c r="E157" s="11"/>
      <c r="F157" s="11"/>
      <c r="G157" s="11"/>
      <c r="H157" s="11"/>
      <c r="I157" s="11"/>
      <c r="J157" s="11"/>
    </row>
    <row r="158">
      <c r="A158">
        <f>IFERROR(__xludf.DUMMYFUNCTION("""COMPUTED_VALUE"""),189.0)</f>
        <v>189</v>
      </c>
      <c r="B158" s="11"/>
      <c r="C158" s="11"/>
      <c r="D158" s="11"/>
      <c r="E158" s="11"/>
      <c r="F158" s="11"/>
      <c r="G158" s="11"/>
      <c r="H158" s="11"/>
      <c r="I158" s="11"/>
      <c r="J158" s="11"/>
    </row>
    <row r="159">
      <c r="A159">
        <f>IFERROR(__xludf.DUMMYFUNCTION("""COMPUTED_VALUE"""),190.0)</f>
        <v>190</v>
      </c>
      <c r="B159" s="11" t="str">
        <f>IFERROR(__xludf.DUMMYFUNCTION("""COMPUTED_VALUE"""),"No concerns. It is a game and both of the permissions are valid.")</f>
        <v>No concerns. It is a game and both of the permissions are valid.</v>
      </c>
      <c r="C159" s="32" t="s">
        <v>758</v>
      </c>
      <c r="D159" t="s">
        <v>790</v>
      </c>
      <c r="E159" s="11"/>
      <c r="F159" s="11"/>
      <c r="G159" s="11"/>
      <c r="H159" s="11"/>
      <c r="I159" s="11"/>
      <c r="J159" s="11"/>
    </row>
    <row r="160">
      <c r="A160">
        <f>IFERROR(__xludf.DUMMYFUNCTION("""COMPUTED_VALUE"""),191.0)</f>
        <v>191</v>
      </c>
      <c r="B160" s="11"/>
      <c r="C160" s="11"/>
      <c r="D160" s="11"/>
      <c r="E160" s="11"/>
      <c r="F160" s="11"/>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c r="C162" s="11"/>
      <c r="D162" s="11"/>
      <c r="E162" s="11"/>
      <c r="F162" s="11"/>
      <c r="G162" s="11"/>
      <c r="H162" s="11"/>
      <c r="I162" s="11"/>
      <c r="J162" s="11"/>
    </row>
    <row r="163">
      <c r="A163">
        <f>IFERROR(__xludf.DUMMYFUNCTION("""COMPUTED_VALUE"""),194.0)</f>
        <v>194</v>
      </c>
      <c r="B163" s="11"/>
      <c r="C163" s="11"/>
      <c r="D163" s="11"/>
      <c r="E163" s="11"/>
      <c r="F163" s="11"/>
      <c r="G163" s="11"/>
      <c r="H163" s="11"/>
      <c r="I163" s="11"/>
      <c r="J163" s="11"/>
    </row>
    <row r="164">
      <c r="A164">
        <f>IFERROR(__xludf.DUMMYFUNCTION("""COMPUTED_VALUE"""),195.0)</f>
        <v>195</v>
      </c>
      <c r="B164" s="11" t="str">
        <f>IFERROR(__xludf.DUMMYFUNCTION("""COMPUTED_VALUE"""),"I'm not sure what ""see and download all of your Google Account email addresses"" means, but I don't like the idea of a company downloading any personal information.")</f>
        <v>I'm not sure what "see and download all of your Google Account email addresses" means, but I don't like the idea of a company downloading any personal information.</v>
      </c>
      <c r="C164" s="31" t="s">
        <v>761</v>
      </c>
      <c r="D164" s="32" t="s">
        <v>766</v>
      </c>
      <c r="E164" s="32" t="s">
        <v>777</v>
      </c>
      <c r="F164" t="s">
        <v>778</v>
      </c>
      <c r="G164" s="3" t="s">
        <v>788</v>
      </c>
      <c r="H164" t="s">
        <v>796</v>
      </c>
      <c r="I164" s="11"/>
      <c r="J164" s="11"/>
    </row>
    <row r="165">
      <c r="A165">
        <f>IFERROR(__xludf.DUMMYFUNCTION("""COMPUTED_VALUE"""),196.0)</f>
        <v>196</v>
      </c>
      <c r="B165" s="11" t="str">
        <f>IFERROR(__xludf.DUMMYFUNCTION("""COMPUTED_VALUE"""),"I do not remember what this site is about, and why it has to see my contacts. I do not ever want my contacts to be knowledgeable about the websites I use because of my Google account, regardless of what kind of website it is.")</f>
        <v>I do not remember what this site is about, and why it has to see my contacts. I do not ever want my contacts to be knowledgeable about the websites I use because of my Google account, regardless of what kind of website it is.</v>
      </c>
      <c r="C165" s="31" t="s">
        <v>764</v>
      </c>
      <c r="D165" s="32" t="s">
        <v>760</v>
      </c>
      <c r="E165" s="31" t="s">
        <v>761</v>
      </c>
      <c r="F165" s="32" t="s">
        <v>766</v>
      </c>
      <c r="G165" s="31" t="s">
        <v>797</v>
      </c>
      <c r="H165" s="32" t="s">
        <v>777</v>
      </c>
      <c r="I165" s="31" t="s">
        <v>798</v>
      </c>
      <c r="J165" s="11"/>
    </row>
    <row r="166">
      <c r="A166">
        <f>IFERROR(__xludf.DUMMYFUNCTION("""COMPUTED_VALUE"""),197.0)</f>
        <v>197</v>
      </c>
      <c r="B166" s="11" t="str">
        <f>IFERROR(__xludf.DUMMYFUNCTION("""COMPUTED_VALUE"""),"i dont have any")</f>
        <v>i dont have any</v>
      </c>
      <c r="C166" s="32" t="s">
        <v>758</v>
      </c>
      <c r="D166" s="11"/>
      <c r="E166" s="11"/>
      <c r="F166" s="11"/>
      <c r="G166" s="11"/>
      <c r="H166" s="11"/>
      <c r="I166" s="11"/>
      <c r="J166" s="11"/>
    </row>
    <row r="167">
      <c r="A167">
        <f>IFERROR(__xludf.DUMMYFUNCTION("""COMPUTED_VALUE"""),198.0)</f>
        <v>198</v>
      </c>
      <c r="B167" s="11" t="str">
        <f>IFERROR(__xludf.DUMMYFUNCTION("""COMPUTED_VALUE"""),"It is worrying that it may mess with my email and delete some things. I wish it didn't have access to my contacts and calendar I dont use either one but it feels invasive and im worried about it deleting something or editing it.")</f>
        <v>It is worrying that it may mess with my email and delete some things. I wish it didn't have access to my contacts and calendar I dont use either one but it feels invasive and im worried about it deleting something or editing it.</v>
      </c>
      <c r="C167" s="32" t="s">
        <v>761</v>
      </c>
      <c r="D167" s="32" t="s">
        <v>777</v>
      </c>
      <c r="E167" s="27" t="s">
        <v>781</v>
      </c>
      <c r="F167" s="27" t="s">
        <v>778</v>
      </c>
      <c r="G167" t="s">
        <v>798</v>
      </c>
      <c r="H167" s="11"/>
      <c r="I167" s="11"/>
      <c r="J167" s="11"/>
    </row>
    <row r="168">
      <c r="A168">
        <f>IFERROR(__xludf.DUMMYFUNCTION("""COMPUTED_VALUE"""),199.0)</f>
        <v>199</v>
      </c>
      <c r="B168" s="11"/>
      <c r="C168" s="11"/>
      <c r="D168" s="11"/>
      <c r="E168" s="11"/>
      <c r="F168" s="11"/>
      <c r="G168" s="11"/>
      <c r="H168" s="11"/>
      <c r="I168" s="11"/>
      <c r="J168" s="11"/>
    </row>
    <row r="169">
      <c r="A169">
        <f>IFERROR(__xludf.DUMMYFUNCTION("""COMPUTED_VALUE"""),200.0)</f>
        <v>200</v>
      </c>
      <c r="B169" s="11"/>
      <c r="C169" s="11"/>
      <c r="D169" s="11"/>
      <c r="E169" s="11"/>
      <c r="F169" s="11"/>
      <c r="G169" s="11"/>
      <c r="H169" s="11"/>
      <c r="I169" s="11"/>
      <c r="J169" s="11"/>
    </row>
    <row r="170">
      <c r="A170">
        <f>IFERROR(__xludf.DUMMYFUNCTION("""COMPUTED_VALUE"""),201.0)</f>
        <v>201</v>
      </c>
      <c r="B170" s="11" t="str">
        <f>IFERROR(__xludf.DUMMYFUNCTION("""COMPUTED_VALUE"""),"none")</f>
        <v>none</v>
      </c>
      <c r="C170" s="32" t="s">
        <v>758</v>
      </c>
      <c r="D170" s="11"/>
      <c r="E170" s="11"/>
      <c r="F170" s="11"/>
      <c r="G170" s="11"/>
      <c r="H170" s="11"/>
      <c r="I170" s="11"/>
      <c r="J170" s="11"/>
    </row>
    <row r="171">
      <c r="A171">
        <f>IFERROR(__xludf.DUMMYFUNCTION("""COMPUTED_VALUE"""),202.0)</f>
        <v>202</v>
      </c>
      <c r="B171" s="11" t="str">
        <f>IFERROR(__xludf.DUMMYFUNCTION("""COMPUTED_VALUE"""),"I am slightly concerned about the fact that mailtrack can delete emails.")</f>
        <v>I am slightly concerned about the fact that mailtrack can delete emails.</v>
      </c>
      <c r="C171" s="32" t="s">
        <v>761</v>
      </c>
      <c r="D171" s="32" t="s">
        <v>777</v>
      </c>
      <c r="E171" s="31" t="s">
        <v>778</v>
      </c>
      <c r="F171" s="27" t="s">
        <v>781</v>
      </c>
      <c r="G171" s="11"/>
      <c r="H171" s="11"/>
      <c r="I171" s="11"/>
      <c r="J171" s="11"/>
    </row>
    <row r="172">
      <c r="A172">
        <f>IFERROR(__xludf.DUMMYFUNCTION("""COMPUTED_VALUE"""),203.0)</f>
        <v>203</v>
      </c>
      <c r="B172" s="11"/>
      <c r="C172" s="11"/>
      <c r="D172" s="11"/>
      <c r="E172" s="11"/>
      <c r="F172" s="11"/>
      <c r="G172" s="11"/>
      <c r="H172" s="11"/>
      <c r="I172" s="11"/>
      <c r="J172" s="11"/>
    </row>
    <row r="173">
      <c r="A173">
        <f>IFERROR(__xludf.DUMMYFUNCTION("""COMPUTED_VALUE"""),204.0)</f>
        <v>204</v>
      </c>
      <c r="B173" s="11" t="str">
        <f>IFERROR(__xludf.DUMMYFUNCTION("""COMPUTED_VALUE"""),"I do not have any.")</f>
        <v>I do not have any.</v>
      </c>
      <c r="C173" s="32" t="s">
        <v>758</v>
      </c>
      <c r="D173" s="11"/>
      <c r="E173" s="11"/>
      <c r="F173" s="11"/>
      <c r="G173" s="11"/>
      <c r="H173" s="11"/>
      <c r="I173" s="11"/>
      <c r="J173" s="11"/>
    </row>
    <row r="174">
      <c r="A174">
        <f>IFERROR(__xludf.DUMMYFUNCTION("""COMPUTED_VALUE"""),205.0)</f>
        <v>205</v>
      </c>
      <c r="B174" s="11"/>
      <c r="C174" s="11"/>
      <c r="D174" s="11"/>
      <c r="E174" s="11"/>
      <c r="F174" s="11"/>
      <c r="G174" s="11"/>
      <c r="H174" s="11"/>
      <c r="I174" s="11"/>
      <c r="J174" s="11"/>
    </row>
    <row r="175">
      <c r="A175">
        <f>IFERROR(__xludf.DUMMYFUNCTION("""COMPUTED_VALUE"""),206.0)</f>
        <v>206</v>
      </c>
      <c r="B175" s="11" t="str">
        <f>IFERROR(__xludf.DUMMYFUNCTION("""COMPUTED_VALUE"""),"none")</f>
        <v>none</v>
      </c>
      <c r="C175" s="32" t="s">
        <v>758</v>
      </c>
      <c r="D175" s="11"/>
      <c r="E175" s="11"/>
      <c r="F175" s="11"/>
      <c r="G175" s="11"/>
      <c r="H175" s="11"/>
      <c r="I175" s="11"/>
      <c r="J175" s="11"/>
    </row>
    <row r="176">
      <c r="A176">
        <f>IFERROR(__xludf.DUMMYFUNCTION("""COMPUTED_VALUE"""),207.0)</f>
        <v>207</v>
      </c>
      <c r="B176" s="11"/>
      <c r="C176" s="11"/>
      <c r="D176" s="11"/>
      <c r="E176" s="11"/>
      <c r="F176" s="11"/>
      <c r="G176" s="11"/>
      <c r="H176" s="11"/>
      <c r="I176" s="11"/>
      <c r="J176" s="11"/>
    </row>
    <row r="177">
      <c r="A177">
        <f>IFERROR(__xludf.DUMMYFUNCTION("""COMPUTED_VALUE"""),208.0)</f>
        <v>208</v>
      </c>
      <c r="B177" s="11"/>
      <c r="C177" s="11"/>
      <c r="D177" s="11"/>
      <c r="E177" s="11"/>
      <c r="F177" s="11"/>
      <c r="G177" s="11"/>
      <c r="H177" s="11"/>
      <c r="I177" s="11"/>
      <c r="J177" s="11"/>
    </row>
    <row r="178">
      <c r="A178">
        <f>IFERROR(__xludf.DUMMYFUNCTION("""COMPUTED_VALUE"""),209.0)</f>
        <v>209</v>
      </c>
      <c r="B178" s="11" t="str">
        <f>IFERROR(__xludf.DUMMYFUNCTION("""COMPUTED_VALUE"""),"None of them")</f>
        <v>None of them</v>
      </c>
      <c r="C178" s="32" t="s">
        <v>758</v>
      </c>
      <c r="D178" s="11"/>
      <c r="E178" s="11"/>
      <c r="F178" s="11"/>
      <c r="G178" s="11"/>
      <c r="H178" s="11"/>
      <c r="I178" s="11"/>
      <c r="J178" s="11"/>
    </row>
    <row r="179">
      <c r="A179">
        <f>IFERROR(__xludf.DUMMYFUNCTION("""COMPUTED_VALUE"""),210.0)</f>
        <v>210</v>
      </c>
      <c r="B179" s="11"/>
      <c r="C179" s="11"/>
      <c r="D179" s="11"/>
      <c r="E179" s="11"/>
      <c r="F179" s="11"/>
      <c r="G179" s="11"/>
      <c r="H179" s="11"/>
      <c r="I179" s="11"/>
      <c r="J179" s="11"/>
    </row>
    <row r="180">
      <c r="A180">
        <f>IFERROR(__xludf.DUMMYFUNCTION("""COMPUTED_VALUE"""),211.0)</f>
        <v>211</v>
      </c>
      <c r="B180" s="11"/>
      <c r="C180" s="11"/>
      <c r="D180" s="11"/>
      <c r="E180" s="11"/>
      <c r="F180" s="11"/>
      <c r="G180" s="11"/>
      <c r="H180" s="11"/>
      <c r="I180" s="11"/>
      <c r="J180" s="11"/>
    </row>
    <row r="181">
      <c r="A181">
        <f>IFERROR(__xludf.DUMMYFUNCTION("""COMPUTED_VALUE"""),212.0)</f>
        <v>212</v>
      </c>
      <c r="B181" s="11" t="str">
        <f>IFERROR(__xludf.DUMMYFUNCTION("""COMPUTED_VALUE"""),"I don't know what this is or remember using it. It may have been something I needed to download for telehealth but now I think I should delete it/remove permissions.")</f>
        <v>I don't know what this is or remember using it. It may have been something I needed to download for telehealth but now I think I should delete it/remove permissions.</v>
      </c>
      <c r="C181" s="31" t="s">
        <v>764</v>
      </c>
      <c r="D181" s="31" t="s">
        <v>772</v>
      </c>
      <c r="E181" s="11"/>
      <c r="F181" s="11"/>
      <c r="G181" s="11"/>
      <c r="H181" s="11"/>
      <c r="I181" s="11"/>
      <c r="J181" s="11"/>
    </row>
    <row r="182">
      <c r="A182">
        <f>IFERROR(__xludf.DUMMYFUNCTION("""COMPUTED_VALUE"""),213.0)</f>
        <v>213</v>
      </c>
      <c r="B182" s="11"/>
      <c r="C182" s="11"/>
      <c r="D182" s="11"/>
      <c r="E182" s="11"/>
      <c r="F182" s="11"/>
      <c r="G182" s="11"/>
      <c r="H182" s="11"/>
      <c r="I182" s="11"/>
      <c r="J182" s="11"/>
    </row>
    <row r="183">
      <c r="A183">
        <f>IFERROR(__xludf.DUMMYFUNCTION("""COMPUTED_VALUE"""),214.0)</f>
        <v>214</v>
      </c>
      <c r="B183" s="11" t="str">
        <f>IFERROR(__xludf.DUMMYFUNCTION("""COMPUTED_VALUE"""),"This makes it sound like Windows could just delete my emails or contacts on its own so that is concerning to me")</f>
        <v>This makes it sound like Windows could just delete my emails or contacts on its own so that is concerning to me</v>
      </c>
      <c r="C183" s="32" t="s">
        <v>761</v>
      </c>
      <c r="D183" s="32" t="s">
        <v>777</v>
      </c>
      <c r="E183" s="31" t="s">
        <v>778</v>
      </c>
      <c r="F183" s="27" t="s">
        <v>781</v>
      </c>
      <c r="G183" s="11"/>
      <c r="H183" s="11"/>
      <c r="I183" s="11"/>
      <c r="J183" s="11"/>
    </row>
    <row r="184">
      <c r="A184">
        <f>IFERROR(__xludf.DUMMYFUNCTION("""COMPUTED_VALUE"""),216.0)</f>
        <v>216</v>
      </c>
      <c r="B184" s="11" t="str">
        <f>IFERROR(__xludf.DUMMYFUNCTION("""COMPUTED_VALUE"""),"I am concerned that it can send emails.")</f>
        <v>I am concerned that it can send emails.</v>
      </c>
      <c r="C184" s="32" t="s">
        <v>761</v>
      </c>
      <c r="D184" s="32" t="s">
        <v>777</v>
      </c>
      <c r="E184" s="31" t="s">
        <v>778</v>
      </c>
      <c r="F184" s="11"/>
      <c r="G184" s="11"/>
      <c r="H184" s="11"/>
      <c r="I184" s="11"/>
      <c r="J184" s="11"/>
    </row>
    <row r="185">
      <c r="A185">
        <f>IFERROR(__xludf.DUMMYFUNCTION("""COMPUTED_VALUE"""),218.0)</f>
        <v>218</v>
      </c>
      <c r="B185" s="11" t="str">
        <f>IFERROR(__xludf.DUMMYFUNCTION("""COMPUTED_VALUE"""),"None.")</f>
        <v>None.</v>
      </c>
      <c r="C185" s="32" t="s">
        <v>758</v>
      </c>
      <c r="D185" s="11"/>
      <c r="E185" s="11"/>
      <c r="F185" s="11"/>
      <c r="G185" s="11"/>
      <c r="H185" s="11"/>
      <c r="I185" s="11"/>
      <c r="J185" s="11"/>
    </row>
    <row r="186">
      <c r="A186">
        <f>IFERROR(__xludf.DUMMYFUNCTION("""COMPUTED_VALUE"""),219.0)</f>
        <v>219</v>
      </c>
      <c r="B186" s="11" t="str">
        <f>IFERROR(__xludf.DUMMYFUNCTION("""COMPUTED_VALUE"""),"I'm not concerned because it really only has access to my games activity, which I was already tracking with mistplay anyways. So it doesn't really bother me.")</f>
        <v>I'm not concerned because it really only has access to my games activity, which I was already tracking with mistplay anyways. So it doesn't really bother me.</v>
      </c>
      <c r="C186" s="32" t="s">
        <v>758</v>
      </c>
      <c r="D186" t="s">
        <v>773</v>
      </c>
      <c r="E186" t="s">
        <v>790</v>
      </c>
      <c r="F186" s="11"/>
      <c r="G186" s="11"/>
      <c r="H186" s="11"/>
      <c r="I186" s="11"/>
      <c r="J186" s="11"/>
    </row>
    <row r="187">
      <c r="A187">
        <f>IFERROR(__xludf.DUMMYFUNCTION("""COMPUTED_VALUE"""),220.0)</f>
        <v>220</v>
      </c>
      <c r="B187" s="26" t="str">
        <f>IFERROR(__xludf.DUMMYFUNCTION("""COMPUTED_VALUE"""),"It concerns me that an application that I have never used before has my personal information at all.")</f>
        <v>It concerns me that an application that I have never used before has my personal information at all.</v>
      </c>
      <c r="C187" s="28" t="s">
        <v>760</v>
      </c>
      <c r="D187" s="32" t="s">
        <v>761</v>
      </c>
      <c r="E187" s="32" t="s">
        <v>766</v>
      </c>
      <c r="F187" s="11"/>
      <c r="G187" s="11"/>
      <c r="H187" s="11"/>
      <c r="I187" s="11"/>
      <c r="J187" s="11"/>
    </row>
    <row r="188">
      <c r="A188">
        <f>IFERROR(__xludf.DUMMYFUNCTION("""COMPUTED_VALUE"""),221.0)</f>
        <v>221</v>
      </c>
      <c r="B188" s="11" t="str">
        <f>IFERROR(__xludf.DUMMYFUNCTION("""COMPUTED_VALUE"""),"I've never worried about apple invading my privacy")</f>
        <v>I've never worried about apple invading my privacy</v>
      </c>
      <c r="C188" s="32" t="s">
        <v>758</v>
      </c>
      <c r="D188" s="11"/>
      <c r="E188" s="11"/>
      <c r="F188" s="11"/>
      <c r="G188" s="11"/>
      <c r="H188" s="11"/>
      <c r="I188" s="11"/>
      <c r="J188" s="11"/>
    </row>
    <row r="189">
      <c r="A189">
        <f>IFERROR(__xludf.DUMMYFUNCTION("""COMPUTED_VALUE"""),222.0)</f>
        <v>222</v>
      </c>
      <c r="B189" s="11"/>
      <c r="C189" s="11"/>
      <c r="D189" s="11"/>
      <c r="E189" s="11"/>
      <c r="F189" s="11"/>
      <c r="G189" s="11"/>
      <c r="H189" s="11"/>
      <c r="I189" s="11"/>
      <c r="J189" s="11"/>
    </row>
    <row r="190">
      <c r="A190">
        <f>IFERROR(__xludf.DUMMYFUNCTION("""COMPUTED_VALUE"""),223.0)</f>
        <v>223</v>
      </c>
      <c r="B190" s="11"/>
      <c r="C190" s="11"/>
      <c r="D190" s="11"/>
      <c r="E190" s="11"/>
      <c r="F190" s="11"/>
      <c r="G190" s="11"/>
      <c r="H190" s="11"/>
      <c r="I190" s="11"/>
      <c r="J190" s="11"/>
    </row>
    <row r="191">
      <c r="A191">
        <f>IFERROR(__xludf.DUMMYFUNCTION("""COMPUTED_VALUE"""),224.0)</f>
        <v>224</v>
      </c>
      <c r="B191" s="11"/>
      <c r="C191" s="11"/>
      <c r="D191" s="11"/>
      <c r="E191" s="11"/>
      <c r="F191" s="11"/>
      <c r="G191" s="11"/>
      <c r="H191" s="11"/>
      <c r="I191" s="11"/>
      <c r="J191" s="11"/>
    </row>
    <row r="192">
      <c r="A192">
        <f>IFERROR(__xludf.DUMMYFUNCTION("""COMPUTED_VALUE"""),225.0)</f>
        <v>225</v>
      </c>
      <c r="B192" s="11" t="str">
        <f>IFERROR(__xludf.DUMMYFUNCTION("""COMPUTED_VALUE"""),"I don't use Dropbox now, but may use it in the future. I have little concern with the app holding these permissions.")</f>
        <v>I don't use Dropbox now, but may use it in the future. I have little concern with the app holding these permissions.</v>
      </c>
      <c r="C192" s="28" t="s">
        <v>760</v>
      </c>
      <c r="D192" s="32" t="s">
        <v>758</v>
      </c>
      <c r="E192" s="28" t="s">
        <v>759</v>
      </c>
      <c r="F192" s="11"/>
      <c r="G192" s="11"/>
      <c r="H192" s="11"/>
      <c r="I192" s="11"/>
      <c r="J192" s="11"/>
    </row>
    <row r="193">
      <c r="A193">
        <f>IFERROR(__xludf.DUMMYFUNCTION("""COMPUTED_VALUE"""),226.0)</f>
        <v>226</v>
      </c>
      <c r="B193" s="11" t="str">
        <f>IFERROR(__xludf.DUMMYFUNCTION("""COMPUTED_VALUE"""),"I'm curious as to why Fetch finds these permissions essential to providing their services to their consumers. I don't think some of them are necessary like access to personal info that I make publicly available.")</f>
        <v>I'm curious as to why Fetch finds these permissions essential to providing their services to their consumers. I don't think some of them are necessary like access to personal info that I make publicly available.</v>
      </c>
      <c r="C193" s="32" t="s">
        <v>761</v>
      </c>
      <c r="D193" s="32" t="s">
        <v>766</v>
      </c>
      <c r="E193" s="32" t="s">
        <v>762</v>
      </c>
      <c r="F193" s="11"/>
      <c r="G193" s="11"/>
      <c r="H193" s="11"/>
      <c r="I193" s="11"/>
      <c r="J193" s="11"/>
    </row>
    <row r="194">
      <c r="A194">
        <f>IFERROR(__xludf.DUMMYFUNCTION("""COMPUTED_VALUE"""),227.0)</f>
        <v>227</v>
      </c>
      <c r="B194" s="11" t="str">
        <f>IFERROR(__xludf.DUMMYFUNCTION("""COMPUTED_VALUE"""),"No concerns really. I don't see why they need my birthday, though.")</f>
        <v>No concerns really. I don't see why they need my birthday, though.</v>
      </c>
      <c r="C194" s="32" t="s">
        <v>761</v>
      </c>
      <c r="D194" s="32" t="s">
        <v>766</v>
      </c>
      <c r="E194" s="32" t="s">
        <v>762</v>
      </c>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c r="C197" s="11"/>
      <c r="D197" s="11"/>
      <c r="E197" s="11"/>
      <c r="F197" s="11"/>
      <c r="G197" s="11"/>
      <c r="H197" s="11"/>
      <c r="I197" s="11"/>
      <c r="J197" s="11"/>
    </row>
    <row r="198">
      <c r="A198">
        <f>IFERROR(__xludf.DUMMYFUNCTION("""COMPUTED_VALUE"""),231.0)</f>
        <v>231</v>
      </c>
      <c r="B198" s="11" t="str">
        <f>IFERROR(__xludf.DUMMYFUNCTION("""COMPUTED_VALUE"""),"I don't have any. I have a mac laptop and an apple phone and tablet. I use handoff multiple times a day, and cloud sync. I need my computer to communicate with my phone and tablet.")</f>
        <v>I don't have any. I have a mac laptop and an apple phone and tablet. I use handoff multiple times a day, and cloud sync. I need my computer to communicate with my phone and tablet.</v>
      </c>
      <c r="C198" s="32" t="s">
        <v>758</v>
      </c>
      <c r="D198" t="s">
        <v>790</v>
      </c>
      <c r="E198" s="28" t="s">
        <v>759</v>
      </c>
      <c r="F198" s="11"/>
      <c r="G198" s="11"/>
      <c r="H198" s="11"/>
      <c r="I198" s="11"/>
      <c r="J198" s="11"/>
    </row>
    <row r="199">
      <c r="A199">
        <f>IFERROR(__xludf.DUMMYFUNCTION("""COMPUTED_VALUE"""),232.0)</f>
        <v>232</v>
      </c>
      <c r="B199" s="11" t="str">
        <f>IFERROR(__xludf.DUMMYFUNCTION("""COMPUTED_VALUE"""),"I don't think this app should use Google Drive for storing config data, and rather save it locally.")</f>
        <v>I don't think this app should use Google Drive for storing config data, and rather save it locally.</v>
      </c>
      <c r="C199" s="32" t="s">
        <v>761</v>
      </c>
      <c r="D199" s="32" t="s">
        <v>777</v>
      </c>
      <c r="E199" s="27" t="s">
        <v>783</v>
      </c>
      <c r="F199" s="11"/>
      <c r="G199" s="11"/>
      <c r="H199" s="11"/>
      <c r="I199" s="11"/>
      <c r="J199" s="11"/>
    </row>
    <row r="200">
      <c r="A200">
        <f>IFERROR(__xludf.DUMMYFUNCTION("""COMPUTED_VALUE"""),233.0)</f>
        <v>233</v>
      </c>
      <c r="B200" s="11" t="str">
        <f>IFERROR(__xludf.DUMMYFUNCTION("""COMPUTED_VALUE"""),"I do not have any concerns.")</f>
        <v>I do not have any concerns.</v>
      </c>
      <c r="C200" s="32" t="s">
        <v>758</v>
      </c>
      <c r="D200" s="11"/>
      <c r="E200" s="11"/>
      <c r="F200" s="11"/>
      <c r="G200" s="11"/>
      <c r="H200" s="11"/>
      <c r="I200" s="11"/>
      <c r="J200" s="11"/>
    </row>
    <row r="201">
      <c r="A201">
        <f>IFERROR(__xludf.DUMMYFUNCTION("""COMPUTED_VALUE"""),234.0)</f>
        <v>234</v>
      </c>
      <c r="B201" s="11"/>
      <c r="C201" s="11"/>
      <c r="D201" s="11"/>
      <c r="E201" s="11"/>
      <c r="F201" s="11"/>
      <c r="G201" s="11"/>
      <c r="H201" s="11"/>
      <c r="I201" s="11"/>
      <c r="J201" s="11"/>
    </row>
    <row r="202">
      <c r="A202">
        <f>IFERROR(__xludf.DUMMYFUNCTION("""COMPUTED_VALUE"""),235.0)</f>
        <v>235</v>
      </c>
      <c r="B202" s="11" t="str">
        <f>IFERROR(__xludf.DUMMYFUNCTION("""COMPUTED_VALUE"""),"None")</f>
        <v>None</v>
      </c>
      <c r="C202" s="32" t="s">
        <v>758</v>
      </c>
      <c r="D202" s="11"/>
      <c r="E202" s="11"/>
      <c r="F202" s="11"/>
      <c r="G202" s="11"/>
      <c r="H202" s="11"/>
      <c r="I202" s="11"/>
      <c r="J202" s="11"/>
    </row>
    <row r="203">
      <c r="A203">
        <f>IFERROR(__xludf.DUMMYFUNCTION("""COMPUTED_VALUE"""),236.0)</f>
        <v>236</v>
      </c>
      <c r="B203" s="11"/>
      <c r="C203" s="11"/>
      <c r="D203" s="11"/>
      <c r="E203" s="11"/>
      <c r="F203" s="11"/>
      <c r="G203" s="11"/>
      <c r="H203" s="11"/>
      <c r="I203" s="11"/>
      <c r="J203" s="11"/>
    </row>
    <row r="204">
      <c r="A204">
        <f>IFERROR(__xludf.DUMMYFUNCTION("""COMPUTED_VALUE"""),237.0)</f>
        <v>237</v>
      </c>
      <c r="B204" s="11"/>
      <c r="C204" s="11"/>
      <c r="D204" s="11"/>
      <c r="E204" s="11"/>
      <c r="F204" s="11"/>
      <c r="G204" s="11"/>
      <c r="H204" s="11"/>
      <c r="I204" s="11"/>
      <c r="J204" s="11"/>
    </row>
    <row r="205">
      <c r="A205">
        <f>IFERROR(__xludf.DUMMYFUNCTION("""COMPUTED_VALUE"""),238.0)</f>
        <v>238</v>
      </c>
      <c r="B205" s="11" t="str">
        <f>IFERROR(__xludf.DUMMYFUNCTION("""COMPUTED_VALUE"""),"This is one of my favorite features of Todoist. 2-way communication with Google calendar makes things very easier and I can organize things better this way.")</f>
        <v>This is one of my favorite features of Todoist. 2-way communication with Google calendar makes things very easier and I can organize things better this way.</v>
      </c>
      <c r="C205" s="32" t="s">
        <v>758</v>
      </c>
      <c r="D205" s="28" t="s">
        <v>759</v>
      </c>
      <c r="E205" s="11"/>
      <c r="F205" s="11"/>
      <c r="G205" s="11"/>
      <c r="H205" s="11"/>
      <c r="I205" s="11"/>
      <c r="J205" s="11"/>
    </row>
    <row r="206">
      <c r="A206">
        <f>IFERROR(__xludf.DUMMYFUNCTION("""COMPUTED_VALUE"""),239.0)</f>
        <v>239</v>
      </c>
      <c r="B206" s="11"/>
      <c r="C206" s="11"/>
      <c r="D206" s="11"/>
      <c r="E206" s="11"/>
      <c r="F206" s="11"/>
      <c r="G206" s="11"/>
      <c r="H206" s="11"/>
      <c r="I206" s="11"/>
      <c r="J206" s="11"/>
    </row>
    <row r="207">
      <c r="A207">
        <f>IFERROR(__xludf.DUMMYFUNCTION("""COMPUTED_VALUE"""),240.0)</f>
        <v>240</v>
      </c>
      <c r="B207" s="11"/>
      <c r="C207" s="11"/>
      <c r="D207" s="11"/>
      <c r="E207" s="11"/>
      <c r="F207" s="11"/>
      <c r="G207" s="11"/>
      <c r="H207" s="11"/>
      <c r="I207" s="11"/>
      <c r="J207" s="11"/>
    </row>
    <row r="208">
      <c r="A208">
        <f>IFERROR(__xludf.DUMMYFUNCTION("""COMPUTED_VALUE"""),241.0)</f>
        <v>241</v>
      </c>
      <c r="B208" s="11"/>
      <c r="C208" s="11"/>
      <c r="D208" s="11"/>
      <c r="E208" s="11"/>
      <c r="F208" s="11"/>
      <c r="G208" s="11"/>
      <c r="H208" s="11"/>
      <c r="I208" s="11"/>
      <c r="J208" s="11"/>
    </row>
    <row r="209">
      <c r="A209">
        <f>IFERROR(__xludf.DUMMYFUNCTION("""COMPUTED_VALUE"""),242.0)</f>
        <v>242</v>
      </c>
      <c r="B209" s="11"/>
      <c r="C209" s="11"/>
      <c r="D209" s="11"/>
      <c r="E209" s="11"/>
      <c r="F209" s="11"/>
      <c r="G209" s="11"/>
      <c r="H209" s="11"/>
      <c r="I209" s="11"/>
      <c r="J209" s="11"/>
    </row>
    <row r="210">
      <c r="A210">
        <f>IFERROR(__xludf.DUMMYFUNCTION("""COMPUTED_VALUE"""),243.0)</f>
        <v>243</v>
      </c>
      <c r="B210" s="11" t="str">
        <f>IFERROR(__xludf.DUMMYFUNCTION("""COMPUTED_VALUE"""),"I am not sure why it needs to see my email")</f>
        <v>I am not sure why it needs to see my email</v>
      </c>
      <c r="C210" s="32" t="s">
        <v>761</v>
      </c>
      <c r="D210" s="32" t="s">
        <v>777</v>
      </c>
      <c r="E210" t="s">
        <v>778</v>
      </c>
      <c r="F210" t="s">
        <v>762</v>
      </c>
      <c r="G210" s="11"/>
      <c r="H210" s="11"/>
      <c r="I210" s="11"/>
      <c r="J210" s="11"/>
    </row>
    <row r="211">
      <c r="A211">
        <f>IFERROR(__xludf.DUMMYFUNCTION("""COMPUTED_VALUE"""),244.0)</f>
        <v>244</v>
      </c>
      <c r="B211" s="11"/>
      <c r="C211" s="11"/>
      <c r="D211" s="11"/>
      <c r="E211" s="11"/>
      <c r="F211" s="11"/>
      <c r="G211" s="11"/>
      <c r="H211" s="11"/>
      <c r="I211" s="11"/>
      <c r="J211" s="11"/>
    </row>
    <row r="212">
      <c r="A212">
        <f>IFERROR(__xludf.DUMMYFUNCTION("""COMPUTED_VALUE"""),245.0)</f>
        <v>245</v>
      </c>
      <c r="B212" s="11" t="str">
        <f>IFERROR(__xludf.DUMMYFUNCTION("""COMPUTED_VALUE"""),"Don't remember giving access")</f>
        <v>Don't remember giving access</v>
      </c>
      <c r="C212" s="31" t="s">
        <v>764</v>
      </c>
      <c r="D212" s="11"/>
      <c r="E212" s="11"/>
      <c r="F212" s="11"/>
      <c r="G212" s="11"/>
      <c r="H212" s="11"/>
      <c r="I212" s="11"/>
      <c r="J212" s="11"/>
    </row>
    <row r="213">
      <c r="A213">
        <f>IFERROR(__xludf.DUMMYFUNCTION("""COMPUTED_VALUE"""),246.0)</f>
        <v>246</v>
      </c>
      <c r="B213" s="11"/>
      <c r="C213" s="11"/>
      <c r="D213" s="11"/>
      <c r="E213" s="11"/>
      <c r="F213" s="11"/>
      <c r="G213" s="11"/>
      <c r="H213" s="11"/>
      <c r="I213" s="11"/>
      <c r="J213" s="11"/>
    </row>
    <row r="214">
      <c r="A214">
        <f>IFERROR(__xludf.DUMMYFUNCTION("""COMPUTED_VALUE"""),247.0)</f>
        <v>247</v>
      </c>
      <c r="B214" s="11"/>
      <c r="C214" s="11"/>
      <c r="D214" s="11"/>
      <c r="E214" s="11"/>
      <c r="F214" s="11"/>
      <c r="G214" s="11"/>
      <c r="H214" s="11"/>
      <c r="I214" s="11"/>
      <c r="J214" s="11"/>
    </row>
    <row r="215">
      <c r="A215">
        <f>IFERROR(__xludf.DUMMYFUNCTION("""COMPUTED_VALUE"""),248.0)</f>
        <v>248</v>
      </c>
      <c r="B215" s="11"/>
      <c r="C215" s="11"/>
      <c r="D215" s="11"/>
      <c r="E215" s="11"/>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30.86"/>
  </cols>
  <sheetData>
    <row r="1">
      <c r="A1" s="15" t="s">
        <v>785</v>
      </c>
      <c r="B1" s="28"/>
      <c r="C1" s="28"/>
      <c r="D1" s="28"/>
      <c r="E1" s="15" t="s">
        <v>786</v>
      </c>
      <c r="F1" s="28"/>
    </row>
    <row r="2">
      <c r="A2" s="28" t="str">
        <f>IFERROR(__xludf.DUMMYFUNCTION("QUERY({'Q14-rand (primary)'!C2:C1000;'Q14-rand (primary)'!D2:D1000;'Q14-rand (primary)'!E2:E1000;'Q14-rand (primary)'!F2:F1000;'Q14-rand (primary)'!G2:G1000;'Q14-rand (primary)'!H2:H1000;'Q14-rand (primary)'!I2:I1000;'Q14-rand (primary)'!J2:J1000;'Q14-ran"&amp;"d (primary)'!K2:K1000}, ""select Col1, count(Col1) where Col1 is not null group by Col1 order by Col1 asc"")"),"")</f>
        <v/>
      </c>
      <c r="B2" s="28" t="str">
        <f>IFERROR(__xludf.DUMMYFUNCTION("""COMPUTED_VALUE"""),"count ")</f>
        <v>count </v>
      </c>
      <c r="C2" s="28"/>
      <c r="D2" s="28"/>
      <c r="E2" s="28" t="str">
        <f>IFERROR(__xludf.DUMMYFUNCTION("QUERY({'Q14-rand (primary)'!C2:C1000;'Q14-rand (primary)'!D2:D1000;'Q14-rand (primary)'!E2:E1000;'Q14-rand (primary)'!F2:F1000;'Q14-rand (primary)'!G2:G1000;'Q14-rand (primary)'!H2:H1000;'Q14-rand (primary)'!I2:I1000;'Q14-rand (primary)'!J2:J1000;'Q14-ran"&amp;"d (primary)'!K2:K1000}, ""select Col1, count(Col1) where Col1 is not null and not Col1 contains '-&gt;' group by Col1 order by count(Col1) desc"")"),"")</f>
        <v/>
      </c>
      <c r="F2" s="28" t="str">
        <f>IFERROR(__xludf.DUMMYFUNCTION("""COMPUTED_VALUE"""),"count ")</f>
        <v>count </v>
      </c>
    </row>
    <row r="3">
      <c r="A3" t="str">
        <f>IFERROR(__xludf.DUMMYFUNCTION("""COMPUTED_VALUE"""),"
unknowns-&gt;what_permission_allows")</f>
        <v>
unknowns-&gt;what_permission_allows</v>
      </c>
      <c r="B3">
        <f>IFERROR(__xludf.DUMMYFUNCTION("""COMPUTED_VALUE"""),1.0)</f>
        <v>1</v>
      </c>
      <c r="E3" t="str">
        <f>IFERROR(__xludf.DUMMYFUNCTION("""COMPUTED_VALUE"""),"unconcerned")</f>
        <v>unconcerned</v>
      </c>
      <c r="F3">
        <f>IFERROR(__xludf.DUMMYFUNCTION("""COMPUTED_VALUE"""),41.0)</f>
        <v>41</v>
      </c>
      <c r="G3" s="40"/>
    </row>
    <row r="4">
      <c r="A4" t="str">
        <f>IFERROR(__xludf.DUMMYFUNCTION("""COMPUTED_VALUE"""),"app_beneficial")</f>
        <v>app_beneficial</v>
      </c>
      <c r="B4">
        <f>IFERROR(__xludf.DUMMYFUNCTION("""COMPUTED_VALUE"""),7.0)</f>
        <v>7</v>
      </c>
      <c r="E4" t="str">
        <f>IFERROR(__xludf.DUMMYFUNCTION("""COMPUTED_VALUE"""),"concerned")</f>
        <v>concerned</v>
      </c>
      <c r="F4">
        <f>IFERROR(__xludf.DUMMYFUNCTION("""COMPUTED_VALUE"""),33.0)</f>
        <v>33</v>
      </c>
      <c r="G4" s="40"/>
    </row>
    <row r="5">
      <c r="A5" t="str">
        <f>IFERROR(__xludf.DUMMYFUNCTION("""COMPUTED_VALUE"""),"app_not_beneficial")</f>
        <v>app_not_beneficial</v>
      </c>
      <c r="B5">
        <f>IFERROR(__xludf.DUMMYFUNCTION("""COMPUTED_VALUE"""),1.0)</f>
        <v>1</v>
      </c>
      <c r="E5" t="str">
        <f>IFERROR(__xludf.DUMMYFUNCTION("""COMPUTED_VALUE"""),"infrequent_use")</f>
        <v>infrequent_use</v>
      </c>
      <c r="F5">
        <f>IFERROR(__xludf.DUMMYFUNCTION("""COMPUTED_VALUE"""),11.0)</f>
        <v>11</v>
      </c>
      <c r="G5" s="40"/>
    </row>
    <row r="6">
      <c r="A6" t="str">
        <f>IFERROR(__xludf.DUMMYFUNCTION("""COMPUTED_VALUE"""),"concerned")</f>
        <v>concerned</v>
      </c>
      <c r="B6">
        <f>IFERROR(__xludf.DUMMYFUNCTION("""COMPUTED_VALUE"""),33.0)</f>
        <v>33</v>
      </c>
      <c r="E6" t="str">
        <f>IFERROR(__xludf.DUMMYFUNCTION("""COMPUTED_VALUE"""),"unknowns")</f>
        <v>unknowns</v>
      </c>
      <c r="F6">
        <f>IFERROR(__xludf.DUMMYFUNCTION("""COMPUTED_VALUE"""),8.0)</f>
        <v>8</v>
      </c>
      <c r="G6" s="40"/>
    </row>
    <row r="7">
      <c r="A7" t="str">
        <f>IFERROR(__xludf.DUMMYFUNCTION("""COMPUTED_VALUE"""),"concerned-&gt;data_leak")</f>
        <v>concerned-&gt;data_leak</v>
      </c>
      <c r="B7">
        <f>IFERROR(__xludf.DUMMYFUNCTION("""COMPUTED_VALUE"""),1.0)</f>
        <v>1</v>
      </c>
      <c r="E7" t="str">
        <f>IFERROR(__xludf.DUMMYFUNCTION("""COMPUTED_VALUE"""),"app_beneficial")</f>
        <v>app_beneficial</v>
      </c>
      <c r="F7">
        <f>IFERROR(__xludf.DUMMYFUNCTION("""COMPUTED_VALUE"""),7.0)</f>
        <v>7</v>
      </c>
      <c r="G7" s="40"/>
    </row>
    <row r="8">
      <c r="A8" t="str">
        <f>IFERROR(__xludf.DUMMYFUNCTION("""COMPUTED_VALUE"""),"concerned-&gt;failure_to_update")</f>
        <v>concerned-&gt;failure_to_update</v>
      </c>
      <c r="B8">
        <f>IFERROR(__xludf.DUMMYFUNCTION("""COMPUTED_VALUE"""),1.0)</f>
        <v>1</v>
      </c>
      <c r="E8" t="str">
        <f>IFERROR(__xludf.DUMMYFUNCTION("""COMPUTED_VALUE"""),"do_not_recall_authorizing")</f>
        <v>do_not_recall_authorizing</v>
      </c>
      <c r="F8">
        <f>IFERROR(__xludf.DUMMYFUNCTION("""COMPUTED_VALUE"""),7.0)</f>
        <v>7</v>
      </c>
      <c r="G8" s="40"/>
    </row>
    <row r="9">
      <c r="A9" t="str">
        <f>IFERROR(__xludf.DUMMYFUNCTION("""COMPUTED_VALUE"""),"concerned-&gt;permissions")</f>
        <v>concerned-&gt;permissions</v>
      </c>
      <c r="B9">
        <f>IFERROR(__xludf.DUMMYFUNCTION("""COMPUTED_VALUE"""),19.0)</f>
        <v>19</v>
      </c>
      <c r="E9" t="str">
        <f>IFERROR(__xludf.DUMMYFUNCTION("""COMPUTED_VALUE"""),"trust_app")</f>
        <v>trust_app</v>
      </c>
      <c r="F9">
        <f>IFERROR(__xludf.DUMMYFUNCTION("""COMPUTED_VALUE"""),5.0)</f>
        <v>5</v>
      </c>
      <c r="G9" s="40"/>
    </row>
    <row r="10">
      <c r="A10" t="str">
        <f>IFERROR(__xludf.DUMMYFUNCTION("""COMPUTED_VALUE"""),"concerned-&gt;permissions-&gt;contacts")</f>
        <v>concerned-&gt;permissions-&gt;contacts</v>
      </c>
      <c r="B10">
        <f>IFERROR(__xludf.DUMMYFUNCTION("""COMPUTED_VALUE"""),2.0)</f>
        <v>2</v>
      </c>
      <c r="E10" t="str">
        <f>IFERROR(__xludf.DUMMYFUNCTION("""COMPUTED_VALUE"""),"will_remove_app_access")</f>
        <v>will_remove_app_access</v>
      </c>
      <c r="F10">
        <f>IFERROR(__xludf.DUMMYFUNCTION("""COMPUTED_VALUE"""),3.0)</f>
        <v>3</v>
      </c>
      <c r="G10" s="40"/>
    </row>
    <row r="11">
      <c r="A11" t="str">
        <f>IFERROR(__xludf.DUMMYFUNCTION("""COMPUTED_VALUE"""),"concerned-&gt;permissions-&gt;delete")</f>
        <v>concerned-&gt;permissions-&gt;delete</v>
      </c>
      <c r="B11">
        <f>IFERROR(__xludf.DUMMYFUNCTION("""COMPUTED_VALUE"""),5.0)</f>
        <v>5</v>
      </c>
      <c r="E11" t="str">
        <f>IFERROR(__xludf.DUMMYFUNCTION("""COMPUTED_VALUE"""),"app_not_beneficial")</f>
        <v>app_not_beneficial</v>
      </c>
      <c r="F11">
        <f>IFERROR(__xludf.DUMMYFUNCTION("""COMPUTED_VALUE"""),1.0)</f>
        <v>1</v>
      </c>
      <c r="G11" s="40"/>
    </row>
    <row r="12">
      <c r="A12" t="str">
        <f>IFERROR(__xludf.DUMMYFUNCTION("""COMPUTED_VALUE"""),"concerned-&gt;permissions-&gt;email")</f>
        <v>concerned-&gt;permissions-&gt;email</v>
      </c>
      <c r="B12">
        <f>IFERROR(__xludf.DUMMYFUNCTION("""COMPUTED_VALUE"""),8.0)</f>
        <v>8</v>
      </c>
      <c r="E12" t="str">
        <f>IFERROR(__xludf.DUMMYFUNCTION("""COMPUTED_VALUE"""),"does_not_know_how_to_remove")</f>
        <v>does_not_know_how_to_remove</v>
      </c>
      <c r="F12">
        <f>IFERROR(__xludf.DUMMYFUNCTION("""COMPUTED_VALUE"""),1.0)</f>
        <v>1</v>
      </c>
      <c r="G12" s="40"/>
    </row>
    <row r="13">
      <c r="A13" t="str">
        <f>IFERROR(__xludf.DUMMYFUNCTION("""COMPUTED_VALUE"""),"concerned-&gt;permissions-&gt;google_drive")</f>
        <v>concerned-&gt;permissions-&gt;google_drive</v>
      </c>
      <c r="B13">
        <f>IFERROR(__xludf.DUMMYFUNCTION("""COMPUTED_VALUE"""),4.0)</f>
        <v>4</v>
      </c>
      <c r="E13" t="str">
        <f>IFERROR(__xludf.DUMMYFUNCTION("""COMPUTED_VALUE"""),"resigned")</f>
        <v>resigned</v>
      </c>
      <c r="F13">
        <f>IFERROR(__xludf.DUMMYFUNCTION("""COMPUTED_VALUE"""),1.0)</f>
        <v>1</v>
      </c>
      <c r="G13" s="40"/>
    </row>
    <row r="14">
      <c r="A14" t="str">
        <f>IFERROR(__xludf.DUMMYFUNCTION("""COMPUTED_VALUE"""),"concerned-&gt;permissions-&gt;google_play")</f>
        <v>concerned-&gt;permissions-&gt;google_play</v>
      </c>
      <c r="B14">
        <f>IFERROR(__xludf.DUMMYFUNCTION("""COMPUTED_VALUE"""),1.0)</f>
        <v>1</v>
      </c>
      <c r="E14" t="str">
        <f>IFERROR(__xludf.DUMMYFUNCTION("""COMPUTED_VALUE"""),"will_review_app_access")</f>
        <v>will_review_app_access</v>
      </c>
      <c r="F14">
        <f>IFERROR(__xludf.DUMMYFUNCTION("""COMPUTED_VALUE"""),1.0)</f>
        <v>1</v>
      </c>
      <c r="G14" s="40"/>
    </row>
    <row r="15">
      <c r="A15" t="str">
        <f>IFERROR(__xludf.DUMMYFUNCTION("""COMPUTED_VALUE"""),"concerned-&gt;permissions_after_deleted_app")</f>
        <v>concerned-&gt;permissions_after_deleted_app</v>
      </c>
      <c r="B15">
        <f>IFERROR(__xludf.DUMMYFUNCTION("""COMPUTED_VALUE"""),3.0)</f>
        <v>3</v>
      </c>
      <c r="G15" s="40"/>
    </row>
    <row r="16">
      <c r="A16" t="str">
        <f>IFERROR(__xludf.DUMMYFUNCTION("""COMPUTED_VALUE"""),"concerned-&gt;personal_data")</f>
        <v>concerned-&gt;personal_data</v>
      </c>
      <c r="B16">
        <f>IFERROR(__xludf.DUMMYFUNCTION("""COMPUTED_VALUE"""),9.0)</f>
        <v>9</v>
      </c>
      <c r="G16" s="40"/>
    </row>
    <row r="17">
      <c r="A17" t="str">
        <f>IFERROR(__xludf.DUMMYFUNCTION("""COMPUTED_VALUE"""),"concerned-&gt;personal_data-&gt;contacts")</f>
        <v>concerned-&gt;personal_data-&gt;contacts</v>
      </c>
      <c r="B17">
        <f>IFERROR(__xludf.DUMMYFUNCTION("""COMPUTED_VALUE"""),1.0)</f>
        <v>1</v>
      </c>
      <c r="G17" s="40"/>
    </row>
    <row r="18">
      <c r="A18" t="str">
        <f>IFERROR(__xludf.DUMMYFUNCTION("""COMPUTED_VALUE"""),"concerned-&gt;unecessary_access_to_data")</f>
        <v>concerned-&gt;unecessary_access_to_data</v>
      </c>
      <c r="B18">
        <f>IFERROR(__xludf.DUMMYFUNCTION("""COMPUTED_VALUE"""),9.0)</f>
        <v>9</v>
      </c>
      <c r="G18" s="40"/>
    </row>
    <row r="19">
      <c r="A19" t="str">
        <f>IFERROR(__xludf.DUMMYFUNCTION("""COMPUTED_VALUE"""),"do_not_recall_authorizing")</f>
        <v>do_not_recall_authorizing</v>
      </c>
      <c r="B19">
        <f>IFERROR(__xludf.DUMMYFUNCTION("""COMPUTED_VALUE"""),7.0)</f>
        <v>7</v>
      </c>
      <c r="G19" s="40"/>
    </row>
    <row r="20">
      <c r="A20" t="str">
        <f>IFERROR(__xludf.DUMMYFUNCTION("""COMPUTED_VALUE"""),"do_not_recall_authorizing-&gt;permission")</f>
        <v>do_not_recall_authorizing-&gt;permission</v>
      </c>
      <c r="B20">
        <f>IFERROR(__xludf.DUMMYFUNCTION("""COMPUTED_VALUE"""),1.0)</f>
        <v>1</v>
      </c>
      <c r="G20" s="40"/>
    </row>
    <row r="21">
      <c r="A21" t="str">
        <f>IFERROR(__xludf.DUMMYFUNCTION("""COMPUTED_VALUE"""),"does_not_know_how_to_remove")</f>
        <v>does_not_know_how_to_remove</v>
      </c>
      <c r="B21">
        <f>IFERROR(__xludf.DUMMYFUNCTION("""COMPUTED_VALUE"""),1.0)</f>
        <v>1</v>
      </c>
      <c r="G21" s="40"/>
    </row>
    <row r="22">
      <c r="A22" t="str">
        <f>IFERROR(__xludf.DUMMYFUNCTION("""COMPUTED_VALUE"""),"infrequent_use")</f>
        <v>infrequent_use</v>
      </c>
      <c r="B22">
        <f>IFERROR(__xludf.DUMMYFUNCTION("""COMPUTED_VALUE"""),11.0)</f>
        <v>11</v>
      </c>
      <c r="G22" s="40"/>
    </row>
    <row r="23">
      <c r="A23" t="str">
        <f>IFERROR(__xludf.DUMMYFUNCTION("""COMPUTED_VALUE"""),"resigned")</f>
        <v>resigned</v>
      </c>
      <c r="B23">
        <f>IFERROR(__xludf.DUMMYFUNCTION("""COMPUTED_VALUE"""),1.0)</f>
        <v>1</v>
      </c>
    </row>
    <row r="24">
      <c r="A24" t="str">
        <f>IFERROR(__xludf.DUMMYFUNCTION("""COMPUTED_VALUE"""),"trust_app")</f>
        <v>trust_app</v>
      </c>
      <c r="B24">
        <f>IFERROR(__xludf.DUMMYFUNCTION("""COMPUTED_VALUE"""),5.0)</f>
        <v>5</v>
      </c>
    </row>
    <row r="25">
      <c r="A25" t="str">
        <f>IFERROR(__xludf.DUMMYFUNCTION("""COMPUTED_VALUE"""),"unconcerned")</f>
        <v>unconcerned</v>
      </c>
      <c r="B25">
        <f>IFERROR(__xludf.DUMMYFUNCTION("""COMPUTED_VALUE"""),41.0)</f>
        <v>41</v>
      </c>
    </row>
    <row r="26">
      <c r="A26" t="str">
        <f>IFERROR(__xludf.DUMMYFUNCTION("""COMPUTED_VALUE"""),"unconcerned-&gt;low_permission_level")</f>
        <v>unconcerned-&gt;low_permission_level</v>
      </c>
      <c r="B26">
        <f>IFERROR(__xludf.DUMMYFUNCTION("""COMPUTED_VALUE"""),2.0)</f>
        <v>2</v>
      </c>
    </row>
    <row r="27">
      <c r="A27" t="str">
        <f>IFERROR(__xludf.DUMMYFUNCTION("""COMPUTED_VALUE"""),"unconcerned-&gt;permissions_necessary")</f>
        <v>unconcerned-&gt;permissions_necessary</v>
      </c>
      <c r="B27">
        <f>IFERROR(__xludf.DUMMYFUNCTION("""COMPUTED_VALUE"""),8.0)</f>
        <v>8</v>
      </c>
    </row>
    <row r="28">
      <c r="A28" t="str">
        <f>IFERROR(__xludf.DUMMYFUNCTION("""COMPUTED_VALUE"""),"unknowns")</f>
        <v>unknowns</v>
      </c>
      <c r="B28">
        <f>IFERROR(__xludf.DUMMYFUNCTION("""COMPUTED_VALUE"""),8.0)</f>
        <v>8</v>
      </c>
    </row>
    <row r="29">
      <c r="A29" t="str">
        <f>IFERROR(__xludf.DUMMYFUNCTION("""COMPUTED_VALUE"""),"unknowns-&gt;associated_with_personal_info")</f>
        <v>unknowns-&gt;associated_with_personal_info</v>
      </c>
      <c r="B29">
        <f>IFERROR(__xludf.DUMMYFUNCTION("""COMPUTED_VALUE"""),2.0)</f>
        <v>2</v>
      </c>
    </row>
    <row r="30">
      <c r="A30" t="str">
        <f>IFERROR(__xludf.DUMMYFUNCTION("""COMPUTED_VALUE"""),"unknowns-&gt;how_data_used")</f>
        <v>unknowns-&gt;how_data_used</v>
      </c>
      <c r="B30">
        <f>IFERROR(__xludf.DUMMYFUNCTION("""COMPUTED_VALUE"""),2.0)</f>
        <v>2</v>
      </c>
    </row>
    <row r="31">
      <c r="A31" t="str">
        <f>IFERROR(__xludf.DUMMYFUNCTION("""COMPUTED_VALUE"""),"unknowns-&gt;what_permission_allows")</f>
        <v>unknowns-&gt;what_permission_allows</v>
      </c>
      <c r="B31">
        <f>IFERROR(__xludf.DUMMYFUNCTION("""COMPUTED_VALUE"""),2.0)</f>
        <v>2</v>
      </c>
    </row>
    <row r="32">
      <c r="A32" t="str">
        <f>IFERROR(__xludf.DUMMYFUNCTION("""COMPUTED_VALUE"""),"will_remove_app_access")</f>
        <v>will_remove_app_access</v>
      </c>
      <c r="B32">
        <f>IFERROR(__xludf.DUMMYFUNCTION("""COMPUTED_VALUE"""),3.0)</f>
        <v>3</v>
      </c>
    </row>
    <row r="33">
      <c r="A33" t="str">
        <f>IFERROR(__xludf.DUMMYFUNCTION("""COMPUTED_VALUE"""),"will_review_app_access")</f>
        <v>will_review_app_access</v>
      </c>
      <c r="B33">
        <f>IFERROR(__xludf.DUMMYFUNCTION("""COMPUTED_VALUE"""),1.0)</f>
        <v>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5.43"/>
    <col customWidth="1" min="2" max="2" width="48.14"/>
    <col customWidth="1" min="3" max="10" width="30.29"/>
  </cols>
  <sheetData>
    <row r="1">
      <c r="A1" s="15" t="str">
        <f>IFERROR(__xludf.DUMMYFUNCTION("QUERY('All Responses'!2:1001,""select A,C"")"),"Response ID")</f>
        <v>Response ID</v>
      </c>
      <c r="B1" s="16" t="str">
        <f>IFERROR(__xludf.DUMMYFUNCTION("""COMPUTED_VALUE"""),"describe_concern_random_app")</f>
        <v>describe_concern_random_app</v>
      </c>
      <c r="C1" s="16" t="s">
        <v>750</v>
      </c>
      <c r="D1" s="16" t="s">
        <v>751</v>
      </c>
      <c r="E1" s="16" t="s">
        <v>752</v>
      </c>
      <c r="F1" s="16" t="s">
        <v>753</v>
      </c>
      <c r="G1" s="16" t="s">
        <v>754</v>
      </c>
      <c r="H1" s="16" t="s">
        <v>755</v>
      </c>
      <c r="I1" s="16" t="s">
        <v>756</v>
      </c>
      <c r="J1" s="16" t="s">
        <v>757</v>
      </c>
    </row>
    <row r="2">
      <c r="A2">
        <f>IFERROR(__xludf.DUMMYFUNCTION("""COMPUTED_VALUE"""),27.0)</f>
        <v>27</v>
      </c>
      <c r="B2" s="11" t="str">
        <f>IFERROR(__xludf.DUMMYFUNCTION("""COMPUTED_VALUE"""),"i did not even know i had this and do not think i have ever used it and i do not remember authorizing it")</f>
        <v>i did not even know i had this and do not think i have ever used it and i do not remember authorizing it</v>
      </c>
      <c r="C2" t="s">
        <v>764</v>
      </c>
      <c r="D2" s="32"/>
      <c r="E2" s="32"/>
      <c r="F2" s="32"/>
      <c r="G2" s="32"/>
      <c r="H2" s="11"/>
      <c r="I2" s="11"/>
      <c r="J2" s="11"/>
    </row>
    <row r="3">
      <c r="A3">
        <f>IFERROR(__xludf.DUMMYFUNCTION("""COMPUTED_VALUE"""),29.0)</f>
        <v>29</v>
      </c>
      <c r="B3" s="11" t="str">
        <f>IFERROR(__xludf.DUMMYFUNCTION("""COMPUTED_VALUE"""),"none really")</f>
        <v>none really</v>
      </c>
      <c r="C3" t="s">
        <v>758</v>
      </c>
      <c r="D3" s="32"/>
      <c r="E3" s="32"/>
      <c r="F3" s="3"/>
      <c r="G3" s="11"/>
      <c r="H3" s="11"/>
      <c r="I3" s="11"/>
      <c r="J3" s="11"/>
    </row>
    <row r="4">
      <c r="A4">
        <f>IFERROR(__xludf.DUMMYFUNCTION("""COMPUTED_VALUE"""),30.0)</f>
        <v>30</v>
      </c>
      <c r="B4" s="11"/>
      <c r="C4" s="3"/>
      <c r="D4" s="32"/>
      <c r="E4" s="32"/>
      <c r="F4" s="32"/>
      <c r="G4" s="3"/>
      <c r="H4" s="11"/>
      <c r="I4" s="11"/>
      <c r="J4" s="11"/>
    </row>
    <row r="5">
      <c r="A5">
        <f>IFERROR(__xludf.DUMMYFUNCTION("""COMPUTED_VALUE"""),31.0)</f>
        <v>31</v>
      </c>
      <c r="B5" s="11" t="str">
        <f>IFERROR(__xludf.DUMMYFUNCTION("""COMPUTED_VALUE"""),"none")</f>
        <v>none</v>
      </c>
      <c r="C5" t="s">
        <v>758</v>
      </c>
      <c r="D5" s="32"/>
      <c r="E5" s="3"/>
      <c r="F5" s="3"/>
      <c r="G5" s="3"/>
      <c r="H5" s="11"/>
      <c r="I5" s="11"/>
      <c r="J5" s="11"/>
    </row>
    <row r="6">
      <c r="A6">
        <f>IFERROR(__xludf.DUMMYFUNCTION("""COMPUTED_VALUE"""),32.0)</f>
        <v>32</v>
      </c>
      <c r="B6" s="11"/>
      <c r="C6" s="32"/>
      <c r="D6" s="3"/>
      <c r="E6" s="3"/>
      <c r="F6" s="11"/>
      <c r="G6" s="11"/>
      <c r="H6" s="11"/>
      <c r="I6" s="11"/>
      <c r="J6" s="11"/>
    </row>
    <row r="7">
      <c r="A7">
        <f>IFERROR(__xludf.DUMMYFUNCTION("""COMPUTED_VALUE"""),34.0)</f>
        <v>34</v>
      </c>
      <c r="B7" s="11"/>
      <c r="C7" s="32"/>
      <c r="D7" s="3"/>
      <c r="E7" s="3"/>
      <c r="F7" s="3"/>
      <c r="G7" s="3"/>
      <c r="H7" s="3"/>
      <c r="I7" s="11"/>
      <c r="J7" s="11"/>
    </row>
    <row r="8">
      <c r="A8">
        <f>IFERROR(__xludf.DUMMYFUNCTION("""COMPUTED_VALUE"""),35.0)</f>
        <v>35</v>
      </c>
      <c r="B8" s="11" t="str">
        <f>IFERROR(__xludf.DUMMYFUNCTION("""COMPUTED_VALUE"""),"I am not sure how access to my calendar and contacts is necessary. I use this app specifically to arrange my off days with work, which must be sent 2 to 4 weeks prior to my requested off date. I am not extremely worried about these accesses, but I do want"&amp;" to review them and see how they improve my user experience.")</f>
        <v>I am not sure how access to my calendar and contacts is necessary. I use this app specifically to arrange my off days with work, which must be sent 2 to 4 weeks prior to my requested off date. I am not extremely worried about these accesses, but I do want to review them and see how they improve my user experience.</v>
      </c>
      <c r="C8" t="s">
        <v>771</v>
      </c>
      <c r="D8" t="s">
        <v>758</v>
      </c>
      <c r="E8" t="s">
        <v>789</v>
      </c>
      <c r="F8" s="3" t="s">
        <v>788</v>
      </c>
      <c r="G8" s="11"/>
      <c r="H8" s="11"/>
      <c r="I8" s="11"/>
      <c r="J8" s="11"/>
    </row>
    <row r="9">
      <c r="A9">
        <f>IFERROR(__xludf.DUMMYFUNCTION("""COMPUTED_VALUE"""),36.0)</f>
        <v>36</v>
      </c>
      <c r="B9" s="11"/>
      <c r="C9" s="32"/>
      <c r="D9" s="3"/>
      <c r="E9" s="3"/>
      <c r="F9" s="3"/>
      <c r="G9" s="3"/>
      <c r="H9" s="11"/>
      <c r="I9" s="11"/>
      <c r="J9" s="11"/>
    </row>
    <row r="10">
      <c r="A10">
        <f>IFERROR(__xludf.DUMMYFUNCTION("""COMPUTED_VALUE"""),37.0)</f>
        <v>37</v>
      </c>
      <c r="B10" s="11"/>
      <c r="C10" s="32"/>
      <c r="D10" s="32"/>
      <c r="E10" s="32"/>
      <c r="G10" s="11"/>
      <c r="H10" s="11"/>
      <c r="I10" s="11"/>
      <c r="J10" s="11"/>
    </row>
    <row r="11">
      <c r="A11">
        <f>IFERROR(__xludf.DUMMYFUNCTION("""COMPUTED_VALUE"""),38.0)</f>
        <v>38</v>
      </c>
      <c r="B11" s="11"/>
      <c r="C11" s="32"/>
      <c r="D11" s="32"/>
      <c r="E11" s="11"/>
      <c r="F11" s="11"/>
      <c r="G11" s="11"/>
      <c r="H11" s="11"/>
      <c r="I11" s="11"/>
      <c r="J11" s="11"/>
    </row>
    <row r="12">
      <c r="A12">
        <f>IFERROR(__xludf.DUMMYFUNCTION("""COMPUTED_VALUE"""),39.0)</f>
        <v>39</v>
      </c>
      <c r="B12" s="11"/>
      <c r="C12" s="32"/>
      <c r="D12" s="3"/>
      <c r="E12" s="11"/>
      <c r="F12" s="11"/>
      <c r="G12" s="11"/>
      <c r="H12" s="11"/>
      <c r="I12" s="11"/>
      <c r="J12" s="11"/>
    </row>
    <row r="13">
      <c r="A13">
        <f>IFERROR(__xludf.DUMMYFUNCTION("""COMPUTED_VALUE"""),40.0)</f>
        <v>40</v>
      </c>
      <c r="B13" s="11"/>
      <c r="C13" s="32"/>
      <c r="D13" s="3"/>
      <c r="E13" s="11"/>
      <c r="F13" s="11"/>
      <c r="G13" s="11"/>
      <c r="H13" s="11"/>
      <c r="I13" s="11"/>
      <c r="J13" s="11"/>
    </row>
    <row r="14">
      <c r="A14">
        <f>IFERROR(__xludf.DUMMYFUNCTION("""COMPUTED_VALUE"""),41.0)</f>
        <v>41</v>
      </c>
      <c r="B14" s="11"/>
      <c r="C14" s="32"/>
      <c r="D14" s="32"/>
      <c r="E14" s="3"/>
      <c r="F14" s="11"/>
      <c r="G14" s="11"/>
      <c r="H14" s="11"/>
      <c r="I14" s="11"/>
      <c r="J14" s="11"/>
    </row>
    <row r="15">
      <c r="A15">
        <f>IFERROR(__xludf.DUMMYFUNCTION("""COMPUTED_VALUE"""),42.0)</f>
        <v>42</v>
      </c>
      <c r="B15" s="11" t="str">
        <f>IFERROR(__xludf.DUMMYFUNCTION("""COMPUTED_VALUE"""),"I don't use it anymore and they still have access to my photos.")</f>
        <v>I don't use it anymore and they still have access to my photos.</v>
      </c>
      <c r="C15" t="s">
        <v>760</v>
      </c>
      <c r="D15" t="s">
        <v>777</v>
      </c>
      <c r="E15" s="31" t="s">
        <v>761</v>
      </c>
      <c r="F15" s="11"/>
      <c r="G15" s="11"/>
      <c r="H15" s="11"/>
      <c r="I15" s="11"/>
      <c r="J15" s="11"/>
    </row>
    <row r="16">
      <c r="A16">
        <f>IFERROR(__xludf.DUMMYFUNCTION("""COMPUTED_VALUE"""),43.0)</f>
        <v>43</v>
      </c>
      <c r="B16" s="11"/>
      <c r="C16" s="32"/>
      <c r="D16" s="3"/>
      <c r="E16" s="3"/>
      <c r="F16" s="11"/>
      <c r="G16" s="11"/>
      <c r="H16" s="11"/>
      <c r="I16" s="11"/>
      <c r="J16" s="11"/>
    </row>
    <row r="17">
      <c r="A17">
        <f>IFERROR(__xludf.DUMMYFUNCTION("""COMPUTED_VALUE"""),44.0)</f>
        <v>44</v>
      </c>
      <c r="B17" s="11" t="str">
        <f>IFERROR(__xludf.DUMMYFUNCTION("""COMPUTED_VALUE"""),"I don't remember authorizing this, so I don't know what this is. I doubt its malicious but I would like to remove it.")</f>
        <v>I don't remember authorizing this, so I don't know what this is. I doubt its malicious but I would like to remove it.</v>
      </c>
      <c r="C17" t="s">
        <v>764</v>
      </c>
      <c r="D17" t="s">
        <v>788</v>
      </c>
      <c r="E17" t="s">
        <v>772</v>
      </c>
      <c r="F17" s="11"/>
      <c r="G17" s="11"/>
      <c r="H17" s="11"/>
      <c r="I17" s="11"/>
      <c r="J17" s="11"/>
    </row>
    <row r="18">
      <c r="A18">
        <f>IFERROR(__xludf.DUMMYFUNCTION("""COMPUTED_VALUE"""),45.0)</f>
        <v>45</v>
      </c>
      <c r="B18" s="11" t="str">
        <f>IFERROR(__xludf.DUMMYFUNCTION("""COMPUTED_VALUE"""),"I don't use it at all so I don't really care. The access date is wrong though, it's been connected to the account for years.")</f>
        <v>I don't use it at all so I don't really care. The access date is wrong though, it's been connected to the account for years.</v>
      </c>
      <c r="C18" t="s">
        <v>760</v>
      </c>
      <c r="D18" t="s">
        <v>758</v>
      </c>
      <c r="E18" s="3"/>
      <c r="F18" s="11"/>
      <c r="G18" s="11"/>
      <c r="H18" s="11"/>
      <c r="I18" s="11"/>
      <c r="J18" s="11"/>
    </row>
    <row r="19">
      <c r="A19">
        <f>IFERROR(__xludf.DUMMYFUNCTION("""COMPUTED_VALUE"""),46.0)</f>
        <v>46</v>
      </c>
      <c r="B19" s="11"/>
      <c r="C19" s="32"/>
      <c r="D19" s="19"/>
      <c r="E19" s="3"/>
      <c r="F19" s="11"/>
      <c r="G19" s="11"/>
      <c r="H19" s="11"/>
      <c r="I19" s="11"/>
      <c r="J19" s="11"/>
    </row>
    <row r="20">
      <c r="A20">
        <f>IFERROR(__xludf.DUMMYFUNCTION("""COMPUTED_VALUE"""),47.0)</f>
        <v>47</v>
      </c>
      <c r="B20" s="11"/>
      <c r="C20" s="31"/>
      <c r="D20" s="3"/>
      <c r="E20" s="3"/>
      <c r="F20" s="11"/>
      <c r="G20" s="11"/>
      <c r="H20" s="11"/>
      <c r="I20" s="11"/>
      <c r="J20" s="11"/>
    </row>
    <row r="21">
      <c r="A21">
        <f>IFERROR(__xludf.DUMMYFUNCTION("""COMPUTED_VALUE"""),48.0)</f>
        <v>48</v>
      </c>
      <c r="B21" s="11"/>
      <c r="C21" s="32"/>
      <c r="D21" s="3"/>
      <c r="E21" s="11"/>
      <c r="F21" s="11"/>
      <c r="G21" s="11"/>
      <c r="H21" s="11"/>
      <c r="I21" s="11"/>
      <c r="J21" s="11"/>
    </row>
    <row r="22">
      <c r="A22">
        <f>IFERROR(__xludf.DUMMYFUNCTION("""COMPUTED_VALUE"""),49.0)</f>
        <v>49</v>
      </c>
      <c r="B22" s="11" t="str">
        <f>IFERROR(__xludf.DUMMYFUNCTION("""COMPUTED_VALUE"""),"I no longer have this application so I am not sure why it needs these permissions.")</f>
        <v>I no longer have this application so I am not sure why it needs these permissions.</v>
      </c>
      <c r="C22" t="s">
        <v>760</v>
      </c>
      <c r="D22" t="s">
        <v>789</v>
      </c>
      <c r="E22" t="s">
        <v>788</v>
      </c>
      <c r="F22" s="3"/>
      <c r="G22" s="11"/>
      <c r="H22" s="11"/>
      <c r="I22" s="11"/>
      <c r="J22" s="11"/>
    </row>
    <row r="23">
      <c r="A23">
        <f>IFERROR(__xludf.DUMMYFUNCTION("""COMPUTED_VALUE"""),50.0)</f>
        <v>50</v>
      </c>
      <c r="B23" s="11"/>
      <c r="C23" s="3"/>
      <c r="D23" s="3"/>
      <c r="E23" s="3"/>
      <c r="F23" s="11"/>
      <c r="G23" s="11"/>
      <c r="H23" s="11"/>
      <c r="I23" s="11"/>
      <c r="J23" s="11"/>
    </row>
    <row r="24">
      <c r="A24">
        <f>IFERROR(__xludf.DUMMYFUNCTION("""COMPUTED_VALUE"""),51.0)</f>
        <v>51</v>
      </c>
      <c r="B24" s="11"/>
      <c r="C24" s="3"/>
      <c r="D24" s="3"/>
      <c r="E24" s="11"/>
      <c r="F24" s="11"/>
      <c r="G24" s="11"/>
      <c r="H24" s="11"/>
      <c r="I24" s="11"/>
      <c r="J24" s="11"/>
    </row>
    <row r="25">
      <c r="A25">
        <f>IFERROR(__xludf.DUMMYFUNCTION("""COMPUTED_VALUE"""),52.0)</f>
        <v>52</v>
      </c>
      <c r="B25" s="11" t="str">
        <f>IFERROR(__xludf.DUMMYFUNCTION("""COMPUTED_VALUE"""),"It seems like a lot of access to my account and I don't know why they're necessary for use of the Rakuten cashback program.")</f>
        <v>It seems like a lot of access to my account and I don't know why they're necessary for use of the Rakuten cashback program.</v>
      </c>
      <c r="C25" t="s">
        <v>777</v>
      </c>
      <c r="D25" t="s">
        <v>789</v>
      </c>
      <c r="E25" t="s">
        <v>788</v>
      </c>
      <c r="F25" s="31" t="s">
        <v>761</v>
      </c>
      <c r="G25" s="11"/>
      <c r="H25" s="11"/>
      <c r="I25" s="11"/>
      <c r="J25" s="11"/>
    </row>
    <row r="26">
      <c r="A26">
        <f>IFERROR(__xludf.DUMMYFUNCTION("""COMPUTED_VALUE"""),53.0)</f>
        <v>53</v>
      </c>
      <c r="B26" s="11"/>
      <c r="C26" s="19"/>
      <c r="D26" s="3"/>
      <c r="E26" s="3"/>
      <c r="F26" s="11"/>
      <c r="G26" s="11"/>
      <c r="H26" s="11"/>
      <c r="I26" s="11"/>
      <c r="J26" s="11"/>
    </row>
    <row r="27">
      <c r="A27">
        <f>IFERROR(__xludf.DUMMYFUNCTION("""COMPUTED_VALUE"""),54.0)</f>
        <v>54</v>
      </c>
      <c r="B27" s="11"/>
      <c r="C27" s="3"/>
      <c r="D27" s="3"/>
      <c r="E27" s="11"/>
      <c r="F27" s="11"/>
      <c r="G27" s="11"/>
      <c r="H27" s="11"/>
      <c r="I27" s="11"/>
      <c r="J27" s="11"/>
    </row>
    <row r="28">
      <c r="A28">
        <f>IFERROR(__xludf.DUMMYFUNCTION("""COMPUTED_VALUE"""),55.0)</f>
        <v>55</v>
      </c>
      <c r="B28" s="11"/>
      <c r="C28" s="3"/>
      <c r="D28" s="3"/>
      <c r="E28" s="19"/>
      <c r="F28" s="19"/>
      <c r="G28" s="11"/>
      <c r="H28" s="11"/>
      <c r="I28" s="11"/>
      <c r="J28" s="11"/>
    </row>
    <row r="29">
      <c r="A29">
        <f>IFERROR(__xludf.DUMMYFUNCTION("""COMPUTED_VALUE"""),56.0)</f>
        <v>56</v>
      </c>
      <c r="B29" s="11"/>
      <c r="C29" s="3"/>
      <c r="D29" s="3"/>
      <c r="E29" s="19"/>
      <c r="F29" s="19"/>
      <c r="G29" s="11"/>
      <c r="H29" s="11"/>
      <c r="I29" s="11"/>
      <c r="J29" s="11"/>
    </row>
    <row r="30">
      <c r="A30">
        <f>IFERROR(__xludf.DUMMYFUNCTION("""COMPUTED_VALUE"""),57.0)</f>
        <v>57</v>
      </c>
      <c r="B30" s="11"/>
      <c r="C30" s="3"/>
      <c r="D30" s="3"/>
      <c r="E30" s="3"/>
      <c r="F30" s="11"/>
      <c r="G30" s="11"/>
      <c r="H30" s="11"/>
      <c r="I30" s="11"/>
      <c r="J30" s="11"/>
    </row>
    <row r="31">
      <c r="A31">
        <f>IFERROR(__xludf.DUMMYFUNCTION("""COMPUTED_VALUE"""),58.0)</f>
        <v>58</v>
      </c>
      <c r="B31" s="11"/>
      <c r="C31" s="3"/>
      <c r="D31" s="19"/>
      <c r="E31" s="11"/>
      <c r="F31" s="11"/>
      <c r="G31" s="11"/>
      <c r="H31" s="11"/>
      <c r="I31" s="11"/>
      <c r="J31" s="11"/>
    </row>
    <row r="32">
      <c r="A32">
        <f>IFERROR(__xludf.DUMMYFUNCTION("""COMPUTED_VALUE"""),59.0)</f>
        <v>59</v>
      </c>
      <c r="B32" s="11"/>
      <c r="C32" s="3"/>
      <c r="D32" s="3"/>
      <c r="E32" s="11"/>
      <c r="F32" s="11"/>
      <c r="G32" s="11"/>
      <c r="H32" s="11"/>
      <c r="I32" s="11"/>
      <c r="J32" s="11"/>
    </row>
    <row r="33">
      <c r="A33">
        <f>IFERROR(__xludf.DUMMYFUNCTION("""COMPUTED_VALUE"""),60.0)</f>
        <v>60</v>
      </c>
      <c r="B33" s="11"/>
      <c r="C33" s="3"/>
      <c r="D33" s="3"/>
      <c r="E33" s="11"/>
      <c r="F33" s="11"/>
      <c r="G33" s="11"/>
      <c r="H33" s="11"/>
      <c r="I33" s="11"/>
      <c r="J33" s="11"/>
    </row>
    <row r="34">
      <c r="A34">
        <f>IFERROR(__xludf.DUMMYFUNCTION("""COMPUTED_VALUE"""),61.0)</f>
        <v>61</v>
      </c>
      <c r="B34" s="11" t="str">
        <f>IFERROR(__xludf.DUMMYFUNCTION("""COMPUTED_VALUE"""),"Not concerned for YouTubeTV.")</f>
        <v>Not concerned for YouTubeTV.</v>
      </c>
      <c r="C34" t="s">
        <v>758</v>
      </c>
      <c r="D34" s="3"/>
      <c r="E34" s="11"/>
      <c r="F34" s="11"/>
      <c r="G34" s="11"/>
      <c r="H34" s="11"/>
      <c r="I34" s="11"/>
      <c r="J34" s="11"/>
    </row>
    <row r="35">
      <c r="A35">
        <f>IFERROR(__xludf.DUMMYFUNCTION("""COMPUTED_VALUE"""),62.0)</f>
        <v>62</v>
      </c>
      <c r="B35" s="11" t="str">
        <f>IFERROR(__xludf.DUMMYFUNCTION("""COMPUTED_VALUE"""),"None")</f>
        <v>None</v>
      </c>
      <c r="C35" t="s">
        <v>758</v>
      </c>
      <c r="D35" s="11"/>
      <c r="E35" s="11"/>
      <c r="F35" s="11"/>
      <c r="G35" s="11"/>
      <c r="H35" s="11"/>
      <c r="I35" s="11"/>
      <c r="J35" s="11"/>
    </row>
    <row r="36">
      <c r="A36">
        <f>IFERROR(__xludf.DUMMYFUNCTION("""COMPUTED_VALUE"""),63.0)</f>
        <v>63</v>
      </c>
      <c r="B36" s="11"/>
      <c r="C36" s="3"/>
      <c r="D36" s="3"/>
      <c r="E36" s="11"/>
      <c r="F36" s="11"/>
      <c r="G36" s="11"/>
      <c r="H36" s="11"/>
      <c r="I36" s="11"/>
      <c r="J36" s="11"/>
    </row>
    <row r="37">
      <c r="A37">
        <f>IFERROR(__xludf.DUMMYFUNCTION("""COMPUTED_VALUE"""),64.0)</f>
        <v>64</v>
      </c>
      <c r="B37" s="11" t="str">
        <f>IFERROR(__xludf.DUMMYFUNCTION("""COMPUTED_VALUE"""),"This is some junk game that was downloaded with Cashmagnet.")</f>
        <v>This is some junk game that was downloaded with Cashmagnet.</v>
      </c>
      <c r="C37" t="s">
        <v>787</v>
      </c>
      <c r="D37" s="3"/>
      <c r="E37" s="3"/>
      <c r="F37" s="3"/>
      <c r="G37" s="3"/>
      <c r="H37" s="11"/>
      <c r="I37" s="11"/>
      <c r="J37" s="11"/>
    </row>
    <row r="38">
      <c r="A38">
        <f>IFERROR(__xludf.DUMMYFUNCTION("""COMPUTED_VALUE"""),65.0)</f>
        <v>65</v>
      </c>
      <c r="B38" s="11" t="str">
        <f>IFERROR(__xludf.DUMMYFUNCTION("""COMPUTED_VALUE"""),"I trust the app, but it is still unsettling to know that they hold such information about me.")</f>
        <v>I trust the app, but it is still unsettling to know that they hold such information about me.</v>
      </c>
      <c r="C38" t="s">
        <v>774</v>
      </c>
      <c r="D38" t="s">
        <v>766</v>
      </c>
      <c r="E38" s="31" t="s">
        <v>761</v>
      </c>
      <c r="F38" s="11"/>
      <c r="G38" s="11"/>
      <c r="H38" s="11"/>
      <c r="I38" s="11"/>
      <c r="J38" s="11"/>
    </row>
    <row r="39">
      <c r="A39">
        <f>IFERROR(__xludf.DUMMYFUNCTION("""COMPUTED_VALUE"""),66.0)</f>
        <v>66</v>
      </c>
      <c r="B39" s="11"/>
      <c r="C39" s="3"/>
      <c r="D39" s="19"/>
      <c r="E39" s="11"/>
      <c r="F39" s="11"/>
      <c r="G39" s="11"/>
      <c r="H39" s="11"/>
      <c r="I39" s="11"/>
      <c r="J39" s="11"/>
    </row>
    <row r="40">
      <c r="A40">
        <f>IFERROR(__xludf.DUMMYFUNCTION("""COMPUTED_VALUE"""),67.0)</f>
        <v>67</v>
      </c>
      <c r="B40" s="11"/>
      <c r="C40" s="3"/>
      <c r="D40" s="3"/>
      <c r="E40" s="3"/>
      <c r="F40" s="11"/>
      <c r="G40" s="11"/>
      <c r="H40" s="11"/>
      <c r="I40" s="11"/>
      <c r="J40" s="11"/>
    </row>
    <row r="41">
      <c r="A41">
        <f>IFERROR(__xludf.DUMMYFUNCTION("""COMPUTED_VALUE"""),68.0)</f>
        <v>68</v>
      </c>
      <c r="B41" s="11"/>
      <c r="C41" s="19"/>
      <c r="D41" s="3"/>
      <c r="E41" s="11"/>
      <c r="F41" s="11"/>
      <c r="G41" s="11"/>
      <c r="H41" s="11"/>
      <c r="I41" s="11"/>
      <c r="J41" s="11"/>
    </row>
    <row r="42">
      <c r="A42">
        <f>IFERROR(__xludf.DUMMYFUNCTION("""COMPUTED_VALUE"""),69.0)</f>
        <v>69</v>
      </c>
      <c r="B42" s="11" t="str">
        <f>IFERROR(__xludf.DUMMYFUNCTION("""COMPUTED_VALUE"""),"I don't feel any particular concerns about Windows.
 Again: even if I did..
 ..What exactly can I do about it? At this point this platform is already deeply integrated into my life.
 :-)")</f>
        <v>I don't feel any particular concerns about Windows.
 Again: even if I did..
 ..What exactly can I do about it? At this point this platform is already deeply integrated into my life.
 :-)</v>
      </c>
      <c r="C42" t="s">
        <v>758</v>
      </c>
      <c r="D42" t="s">
        <v>769</v>
      </c>
      <c r="E42" s="11"/>
      <c r="F42" s="11"/>
      <c r="G42" s="11"/>
      <c r="H42" s="11"/>
      <c r="I42" s="11"/>
      <c r="J42" s="11"/>
    </row>
    <row r="43">
      <c r="A43">
        <f>IFERROR(__xludf.DUMMYFUNCTION("""COMPUTED_VALUE"""),70.0)</f>
        <v>70</v>
      </c>
      <c r="B43" s="11"/>
      <c r="C43" s="3"/>
      <c r="D43" s="3"/>
      <c r="F43" s="3"/>
      <c r="G43" s="3"/>
      <c r="H43" s="3"/>
      <c r="I43" s="11"/>
      <c r="J43" s="11"/>
    </row>
    <row r="44">
      <c r="A44">
        <f>IFERROR(__xludf.DUMMYFUNCTION("""COMPUTED_VALUE"""),71.0)</f>
        <v>71</v>
      </c>
      <c r="B44" s="11"/>
      <c r="C44" s="3"/>
      <c r="D44" s="3"/>
      <c r="E44" s="11"/>
      <c r="F44" s="11"/>
      <c r="G44" s="11"/>
      <c r="H44" s="11"/>
      <c r="I44" s="11"/>
      <c r="J44" s="11"/>
    </row>
    <row r="45">
      <c r="A45">
        <f>IFERROR(__xludf.DUMMYFUNCTION("""COMPUTED_VALUE"""),72.0)</f>
        <v>72</v>
      </c>
      <c r="B45" s="11" t="str">
        <f>IFERROR(__xludf.DUMMYFUNCTION("""COMPUTED_VALUE"""),"While I don't like giving CameraFi Live any permissions, I wouldn't be able to use their app otherwise. I like using it so I will continue giving it permission in the future.")</f>
        <v>While I don't like giving CameraFi Live any permissions, I wouldn't be able to use their app otherwise. I like using it so I will continue giving it permission in the future.</v>
      </c>
      <c r="C45" t="s">
        <v>777</v>
      </c>
      <c r="D45" t="s">
        <v>759</v>
      </c>
      <c r="E45" s="31" t="s">
        <v>761</v>
      </c>
      <c r="F45" s="11"/>
      <c r="G45" s="11"/>
      <c r="H45" s="11"/>
      <c r="I45" s="11"/>
      <c r="J45" s="11"/>
    </row>
    <row r="46">
      <c r="A46">
        <f>IFERROR(__xludf.DUMMYFUNCTION("""COMPUTED_VALUE"""),73.0)</f>
        <v>73</v>
      </c>
      <c r="B46" s="11" t="str">
        <f>IFERROR(__xludf.DUMMYFUNCTION("""COMPUTED_VALUE"""),"Since i no longer use the app, there's no need of keeping my details attached to it")</f>
        <v>Since i no longer use the app, there's no need of keeping my details attached to it</v>
      </c>
      <c r="C46" t="s">
        <v>760</v>
      </c>
      <c r="D46" t="s">
        <v>762</v>
      </c>
      <c r="E46" s="31" t="s">
        <v>761</v>
      </c>
      <c r="F46" s="11"/>
      <c r="G46" s="11"/>
      <c r="H46" s="11"/>
      <c r="I46" s="11"/>
      <c r="J46" s="11"/>
    </row>
    <row r="47">
      <c r="A47">
        <f>IFERROR(__xludf.DUMMYFUNCTION("""COMPUTED_VALUE"""),74.0)</f>
        <v>74</v>
      </c>
      <c r="B47" s="11"/>
      <c r="C47" s="3"/>
      <c r="D47" s="3"/>
      <c r="E47" s="3"/>
      <c r="F47" s="11"/>
      <c r="G47" s="11"/>
      <c r="H47" s="11"/>
      <c r="I47" s="11"/>
      <c r="J47" s="11"/>
    </row>
    <row r="48">
      <c r="A48">
        <f>IFERROR(__xludf.DUMMYFUNCTION("""COMPUTED_VALUE"""),75.0)</f>
        <v>75</v>
      </c>
      <c r="B48" s="11"/>
      <c r="C48" s="3"/>
      <c r="D48" s="3"/>
      <c r="E48" s="11"/>
      <c r="F48" s="11"/>
      <c r="G48" s="11"/>
      <c r="H48" s="11"/>
      <c r="I48" s="11"/>
      <c r="J48" s="11"/>
    </row>
    <row r="49">
      <c r="A49">
        <f>IFERROR(__xludf.DUMMYFUNCTION("""COMPUTED_VALUE"""),76.0)</f>
        <v>76</v>
      </c>
      <c r="B49" s="11" t="str">
        <f>IFERROR(__xludf.DUMMYFUNCTION("""COMPUTED_VALUE"""),"I rarely use Dropbox and want to get rid of it.")</f>
        <v>I rarely use Dropbox and want to get rid of it.</v>
      </c>
      <c r="C49" t="s">
        <v>760</v>
      </c>
      <c r="D49" t="s">
        <v>772</v>
      </c>
      <c r="E49" s="11"/>
      <c r="F49" s="11"/>
      <c r="G49" s="11"/>
      <c r="H49" s="11"/>
      <c r="I49" s="11"/>
      <c r="J49" s="11"/>
    </row>
    <row r="50">
      <c r="A50">
        <f>IFERROR(__xludf.DUMMYFUNCTION("""COMPUTED_VALUE"""),77.0)</f>
        <v>77</v>
      </c>
      <c r="B50" s="11"/>
      <c r="C50" s="3"/>
      <c r="D50" s="11"/>
      <c r="E50" s="11"/>
      <c r="F50" s="11"/>
      <c r="G50" s="11"/>
      <c r="H50" s="11"/>
      <c r="I50" s="11"/>
      <c r="J50" s="11"/>
    </row>
    <row r="51">
      <c r="A51">
        <f>IFERROR(__xludf.DUMMYFUNCTION("""COMPUTED_VALUE"""),78.0)</f>
        <v>78</v>
      </c>
      <c r="B51" s="11"/>
      <c r="C51" s="3"/>
      <c r="D51" s="3"/>
      <c r="E51" s="3"/>
      <c r="F51" s="11"/>
      <c r="G51" s="11"/>
      <c r="H51" s="11"/>
      <c r="I51" s="11"/>
      <c r="J51" s="11"/>
    </row>
    <row r="52">
      <c r="A52">
        <f>IFERROR(__xludf.DUMMYFUNCTION("""COMPUTED_VALUE"""),79.0)</f>
        <v>79</v>
      </c>
      <c r="B52" s="11"/>
      <c r="C52" s="3"/>
      <c r="D52" s="3"/>
      <c r="E52" s="11"/>
      <c r="F52" s="11"/>
      <c r="G52" s="11"/>
      <c r="H52" s="11"/>
      <c r="I52" s="11"/>
      <c r="J52" s="11"/>
    </row>
    <row r="53">
      <c r="A53">
        <f>IFERROR(__xludf.DUMMYFUNCTION("""COMPUTED_VALUE"""),80.0)</f>
        <v>80</v>
      </c>
      <c r="B53" s="11" t="str">
        <f>IFERROR(__xludf.DUMMYFUNCTION("""COMPUTED_VALUE"""),"I dont like it ahving full access to my drive files")</f>
        <v>I dont like it ahving full access to my drive files</v>
      </c>
      <c r="C53" t="s">
        <v>783</v>
      </c>
      <c r="D53" s="31" t="s">
        <v>761</v>
      </c>
      <c r="E53" s="3" t="s">
        <v>777</v>
      </c>
      <c r="F53" s="3"/>
      <c r="G53" s="11"/>
      <c r="H53" s="11"/>
      <c r="I53" s="11"/>
      <c r="J53" s="11"/>
    </row>
    <row r="54">
      <c r="A54">
        <f>IFERROR(__xludf.DUMMYFUNCTION("""COMPUTED_VALUE"""),81.0)</f>
        <v>81</v>
      </c>
      <c r="B54" s="11"/>
      <c r="C54" s="3"/>
      <c r="D54" s="3"/>
      <c r="E54" s="11"/>
      <c r="F54" s="11"/>
      <c r="G54" s="11"/>
      <c r="H54" s="11"/>
      <c r="I54" s="11"/>
      <c r="J54" s="11"/>
    </row>
    <row r="55">
      <c r="A55">
        <f>IFERROR(__xludf.DUMMYFUNCTION("""COMPUTED_VALUE"""),82.0)</f>
        <v>82</v>
      </c>
      <c r="B55" s="11" t="str">
        <f>IFERROR(__xludf.DUMMYFUNCTION("""COMPUTED_VALUE"""),"I don't have any concerns about this because it allows the app to function as I need.")</f>
        <v>I don't have any concerns about this because it allows the app to function as I need.</v>
      </c>
      <c r="C55" t="s">
        <v>790</v>
      </c>
      <c r="D55" t="s">
        <v>758</v>
      </c>
      <c r="E55" s="11"/>
      <c r="F55" s="11"/>
      <c r="G55" s="11"/>
      <c r="H55" s="11"/>
      <c r="I55" s="11"/>
      <c r="J55" s="11"/>
    </row>
    <row r="56">
      <c r="A56">
        <f>IFERROR(__xludf.DUMMYFUNCTION("""COMPUTED_VALUE"""),83.0)</f>
        <v>83</v>
      </c>
      <c r="B56" s="11" t="str">
        <f>IFERROR(__xludf.DUMMYFUNCTION("""COMPUTED_VALUE"""),"I'm not sure how this application would manipulate my account given it has full access")</f>
        <v>I'm not sure how this application would manipulate my account given it has full access</v>
      </c>
      <c r="C56" t="s">
        <v>796</v>
      </c>
      <c r="D56" t="s">
        <v>788</v>
      </c>
      <c r="E56" s="11"/>
      <c r="F56" s="11"/>
      <c r="G56" s="11"/>
      <c r="H56" s="11"/>
      <c r="I56" s="11"/>
      <c r="J56" s="11"/>
    </row>
    <row r="57">
      <c r="A57">
        <f>IFERROR(__xludf.DUMMYFUNCTION("""COMPUTED_VALUE"""),84.0)</f>
        <v>84</v>
      </c>
      <c r="B57" s="11"/>
      <c r="C57" s="3"/>
      <c r="D57" s="3"/>
      <c r="E57" s="11"/>
      <c r="F57" s="11"/>
      <c r="G57" s="11"/>
      <c r="H57" s="11"/>
      <c r="I57" s="11"/>
      <c r="J57" s="11"/>
    </row>
    <row r="58">
      <c r="A58">
        <f>IFERROR(__xludf.DUMMYFUNCTION("""COMPUTED_VALUE"""),85.0)</f>
        <v>85</v>
      </c>
      <c r="B58" s="11"/>
      <c r="C58" s="3"/>
      <c r="D58" s="3"/>
      <c r="E58" s="3"/>
      <c r="F58" s="11"/>
      <c r="G58" s="11"/>
      <c r="H58" s="11"/>
      <c r="I58" s="11"/>
      <c r="J58" s="11"/>
    </row>
    <row r="59">
      <c r="A59">
        <f>IFERROR(__xludf.DUMMYFUNCTION("""COMPUTED_VALUE"""),86.0)</f>
        <v>86</v>
      </c>
      <c r="B59" s="11" t="str">
        <f>IFERROR(__xludf.DUMMYFUNCTION("""COMPUTED_VALUE"""),"Why does it need to connection my information on google through Windows? This is just my computer software.")</f>
        <v>Why does it need to connection my information on google through Windows? This is just my computer software.</v>
      </c>
      <c r="C59" s="3"/>
      <c r="D59" s="3"/>
      <c r="E59" s="11"/>
      <c r="F59" s="11"/>
      <c r="G59" s="11"/>
      <c r="H59" s="11"/>
      <c r="I59" s="11"/>
      <c r="J59" s="11"/>
    </row>
    <row r="60">
      <c r="A60">
        <f>IFERROR(__xludf.DUMMYFUNCTION("""COMPUTED_VALUE"""),87.0)</f>
        <v>87</v>
      </c>
      <c r="B60" s="11" t="str">
        <f>IFERROR(__xludf.DUMMYFUNCTION("""COMPUTED_VALUE"""),"I honestly don't remember what this service is for, which is the most concerning part.")</f>
        <v>I honestly don't remember what this service is for, which is the most concerning part.</v>
      </c>
      <c r="C60" s="3"/>
      <c r="D60" s="3"/>
      <c r="E60" s="3"/>
      <c r="F60" s="3"/>
      <c r="G60" s="3"/>
      <c r="H60" s="11"/>
      <c r="I60" s="11"/>
      <c r="J60" s="11"/>
    </row>
    <row r="61">
      <c r="A61">
        <f>IFERROR(__xludf.DUMMYFUNCTION("""COMPUTED_VALUE"""),88.0)</f>
        <v>88</v>
      </c>
      <c r="B61" s="11"/>
      <c r="C61" s="19"/>
      <c r="D61" s="11"/>
      <c r="E61" s="11"/>
      <c r="F61" s="11"/>
      <c r="G61" s="11"/>
      <c r="H61" s="11"/>
      <c r="I61" s="11"/>
      <c r="J61" s="11"/>
    </row>
    <row r="62">
      <c r="A62">
        <f>IFERROR(__xludf.DUMMYFUNCTION("""COMPUTED_VALUE"""),89.0)</f>
        <v>89</v>
      </c>
      <c r="B62" s="11" t="str">
        <f>IFERROR(__xludf.DUMMYFUNCTION("""COMPUTED_VALUE"""),"I trust the macOS integration to be up to snuff.")</f>
        <v>I trust the macOS integration to be up to snuff.</v>
      </c>
      <c r="C62" s="3"/>
      <c r="D62" s="3"/>
      <c r="E62" s="11"/>
      <c r="F62" s="11"/>
      <c r="G62" s="11"/>
      <c r="H62" s="11"/>
      <c r="I62" s="11"/>
      <c r="J62" s="11"/>
    </row>
    <row r="63">
      <c r="A63">
        <f>IFERROR(__xludf.DUMMYFUNCTION("""COMPUTED_VALUE"""),90.0)</f>
        <v>90</v>
      </c>
      <c r="B63" s="11"/>
      <c r="C63" s="3"/>
      <c r="D63" s="3"/>
      <c r="F63" s="3"/>
      <c r="G63" s="3"/>
      <c r="H63" s="11"/>
      <c r="I63" s="11"/>
      <c r="J63" s="11"/>
    </row>
    <row r="64">
      <c r="A64">
        <f>IFERROR(__xludf.DUMMYFUNCTION("""COMPUTED_VALUE"""),91.0)</f>
        <v>91</v>
      </c>
      <c r="B64" s="11"/>
      <c r="C64" s="3"/>
      <c r="D64" s="3"/>
      <c r="E64" s="11"/>
      <c r="F64" s="11"/>
      <c r="G64" s="11"/>
      <c r="H64" s="11"/>
      <c r="I64" s="11"/>
      <c r="J64" s="11"/>
    </row>
    <row r="65">
      <c r="A65">
        <f>IFERROR(__xludf.DUMMYFUNCTION("""COMPUTED_VALUE"""),92.0)</f>
        <v>92</v>
      </c>
      <c r="B65" s="11"/>
      <c r="C65" s="3"/>
      <c r="D65" s="3"/>
      <c r="E65" s="3"/>
      <c r="F65" s="3"/>
      <c r="G65" s="19"/>
      <c r="H65" s="11"/>
      <c r="I65" s="11"/>
      <c r="J65" s="11"/>
    </row>
    <row r="66">
      <c r="A66">
        <f>IFERROR(__xludf.DUMMYFUNCTION("""COMPUTED_VALUE"""),93.0)</f>
        <v>93</v>
      </c>
      <c r="B66" s="11" t="str">
        <f>IFERROR(__xludf.DUMMYFUNCTION("""COMPUTED_VALUE"""),"none")</f>
        <v>none</v>
      </c>
      <c r="C66" s="3"/>
      <c r="D66" s="3"/>
      <c r="F66" s="11"/>
      <c r="G66" s="11"/>
      <c r="H66" s="11"/>
      <c r="I66" s="11"/>
      <c r="J66" s="11"/>
    </row>
    <row r="67">
      <c r="A67">
        <f>IFERROR(__xludf.DUMMYFUNCTION("""COMPUTED_VALUE"""),94.0)</f>
        <v>94</v>
      </c>
      <c r="B67" s="11"/>
      <c r="C67" s="3"/>
      <c r="D67" s="3"/>
      <c r="E67" s="19"/>
      <c r="F67" s="19"/>
      <c r="G67" s="3"/>
      <c r="H67" s="3"/>
      <c r="J67" s="11"/>
    </row>
    <row r="68">
      <c r="A68">
        <f>IFERROR(__xludf.DUMMYFUNCTION("""COMPUTED_VALUE"""),95.0)</f>
        <v>95</v>
      </c>
      <c r="B68" s="11" t="str">
        <f>IFERROR(__xludf.DUMMYFUNCTION("""COMPUTED_VALUE"""),"none, most games have these conditions for google play.")</f>
        <v>none, most games have these conditions for google play.</v>
      </c>
      <c r="C68" s="3"/>
      <c r="D68" s="3"/>
      <c r="E68" s="11"/>
      <c r="F68" s="11"/>
      <c r="G68" s="11"/>
      <c r="J68" s="11"/>
    </row>
    <row r="69">
      <c r="A69">
        <f>IFERROR(__xludf.DUMMYFUNCTION("""COMPUTED_VALUE"""),96.0)</f>
        <v>96</v>
      </c>
      <c r="B69" s="11" t="str">
        <f>IFERROR(__xludf.DUMMYFUNCTION("""COMPUTED_VALUE"""),"This app only needs my email to log into it, nothing more.")</f>
        <v>This app only needs my email to log into it, nothing more.</v>
      </c>
      <c r="C69" s="3"/>
      <c r="D69" s="3"/>
      <c r="E69" s="3"/>
      <c r="F69" s="3"/>
      <c r="G69" s="3"/>
      <c r="J69" s="11"/>
    </row>
    <row r="70">
      <c r="A70">
        <f>IFERROR(__xludf.DUMMYFUNCTION("""COMPUTED_VALUE"""),97.0)</f>
        <v>97</v>
      </c>
      <c r="B70" s="11"/>
      <c r="C70" s="3"/>
      <c r="D70" s="3"/>
      <c r="E70" s="3"/>
      <c r="F70" s="3"/>
      <c r="G70" s="3"/>
      <c r="H70" s="11"/>
      <c r="I70" s="11"/>
      <c r="J70" s="11"/>
    </row>
    <row r="71">
      <c r="A71">
        <f>IFERROR(__xludf.DUMMYFUNCTION("""COMPUTED_VALUE"""),98.0)</f>
        <v>98</v>
      </c>
      <c r="B71" s="11"/>
      <c r="C71" s="3"/>
      <c r="D71" s="3"/>
      <c r="E71" s="3"/>
      <c r="F71" s="3"/>
      <c r="G71" s="3"/>
      <c r="H71" s="3"/>
      <c r="I71" s="3"/>
      <c r="J71" s="11"/>
    </row>
    <row r="72">
      <c r="A72">
        <f>IFERROR(__xludf.DUMMYFUNCTION("""COMPUTED_VALUE"""),99.0)</f>
        <v>99</v>
      </c>
      <c r="B72" s="11" t="str">
        <f>IFERROR(__xludf.DUMMYFUNCTION("""COMPUTED_VALUE"""),"I don't really have none. I trust Samsung even though I switched from Samsung to Google Pixel.")</f>
        <v>I don't really have none. I trust Samsung even though I switched from Samsung to Google Pixel.</v>
      </c>
      <c r="C72" s="3"/>
      <c r="D72" s="3"/>
      <c r="E72" s="11"/>
      <c r="F72" s="11"/>
      <c r="G72" s="11"/>
      <c r="H72" s="11"/>
      <c r="I72" s="11"/>
      <c r="J72" s="11"/>
    </row>
    <row r="73">
      <c r="A73">
        <f>IFERROR(__xludf.DUMMYFUNCTION("""COMPUTED_VALUE"""),100.0)</f>
        <v>100</v>
      </c>
      <c r="B73" s="11"/>
      <c r="C73" s="3"/>
      <c r="D73" s="3"/>
      <c r="E73" s="3"/>
      <c r="F73" s="3"/>
      <c r="G73" s="3"/>
      <c r="H73" s="3"/>
      <c r="I73" s="11"/>
      <c r="J73" s="11"/>
    </row>
    <row r="74">
      <c r="A74">
        <f>IFERROR(__xludf.DUMMYFUNCTION("""COMPUTED_VALUE"""),101.0)</f>
        <v>101</v>
      </c>
      <c r="B74" s="11" t="str">
        <f>IFERROR(__xludf.DUMMYFUNCTION("""COMPUTED_VALUE"""),"While I do have reservations over Rakuten having access to my inbox, they also have not seemingly betrayed my trust up to this point.")</f>
        <v>While I do have reservations over Rakuten having access to my inbox, they also have not seemingly betrayed my trust up to this point.</v>
      </c>
      <c r="C74" s="3"/>
      <c r="D74" s="3"/>
      <c r="E74" s="3"/>
      <c r="F74" s="11"/>
      <c r="G74" s="11"/>
      <c r="H74" s="11"/>
      <c r="I74" s="11"/>
      <c r="J74" s="11"/>
    </row>
    <row r="75">
      <c r="A75">
        <f>IFERROR(__xludf.DUMMYFUNCTION("""COMPUTED_VALUE"""),102.0)</f>
        <v>102</v>
      </c>
      <c r="B75" s="11"/>
      <c r="C75" s="3"/>
      <c r="D75" s="3"/>
      <c r="E75" s="3"/>
      <c r="F75" s="11"/>
      <c r="G75" s="11"/>
      <c r="H75" s="11"/>
      <c r="I75" s="11"/>
      <c r="J75" s="11"/>
    </row>
    <row r="76">
      <c r="A76">
        <f>IFERROR(__xludf.DUMMYFUNCTION("""COMPUTED_VALUE"""),103.0)</f>
        <v>103</v>
      </c>
      <c r="B76" s="11"/>
      <c r="C76" s="3"/>
      <c r="D76" s="3"/>
      <c r="E76" s="3"/>
      <c r="F76" s="11"/>
      <c r="G76" s="11"/>
      <c r="H76" s="11"/>
      <c r="I76" s="11"/>
      <c r="J76" s="11"/>
    </row>
    <row r="77">
      <c r="A77">
        <f>IFERROR(__xludf.DUMMYFUNCTION("""COMPUTED_VALUE"""),104.0)</f>
        <v>104</v>
      </c>
      <c r="B77" s="11"/>
      <c r="C77" s="3"/>
      <c r="D77" s="3"/>
      <c r="E77" s="3"/>
      <c r="F77" s="11"/>
      <c r="G77" s="11"/>
      <c r="H77" s="11"/>
      <c r="I77" s="11"/>
      <c r="J77" s="11"/>
    </row>
    <row r="78">
      <c r="A78">
        <f>IFERROR(__xludf.DUMMYFUNCTION("""COMPUTED_VALUE"""),105.0)</f>
        <v>105</v>
      </c>
      <c r="B78" s="11"/>
      <c r="C78" s="3"/>
      <c r="D78" s="3"/>
      <c r="E78" s="11"/>
      <c r="F78" s="11"/>
      <c r="G78" s="11"/>
      <c r="H78" s="11"/>
      <c r="I78" s="11"/>
      <c r="J78" s="11"/>
    </row>
    <row r="79">
      <c r="A79">
        <f>IFERROR(__xludf.DUMMYFUNCTION("""COMPUTED_VALUE"""),106.0)</f>
        <v>106</v>
      </c>
      <c r="B79" s="11"/>
      <c r="C79" s="3"/>
      <c r="D79" s="3"/>
      <c r="E79" s="11"/>
      <c r="F79" s="11"/>
      <c r="G79" s="11"/>
      <c r="H79" s="11"/>
      <c r="I79" s="11"/>
      <c r="J79" s="11"/>
    </row>
    <row r="80">
      <c r="A80">
        <f>IFERROR(__xludf.DUMMYFUNCTION("""COMPUTED_VALUE"""),107.0)</f>
        <v>107</v>
      </c>
      <c r="B80" s="11" t="str">
        <f>IFERROR(__xludf.DUMMYFUNCTION("""COMPUTED_VALUE"""),"None")</f>
        <v>None</v>
      </c>
      <c r="C80" s="3"/>
      <c r="D80" s="3"/>
      <c r="E80" s="3"/>
      <c r="F80" s="11"/>
      <c r="G80" s="11"/>
      <c r="H80" s="11"/>
      <c r="I80" s="11"/>
      <c r="J80" s="11"/>
    </row>
    <row r="81">
      <c r="A81">
        <f>IFERROR(__xludf.DUMMYFUNCTION("""COMPUTED_VALUE"""),108.0)</f>
        <v>108</v>
      </c>
      <c r="B81" s="11"/>
      <c r="C81" s="3"/>
      <c r="D81" s="3"/>
      <c r="E81" s="3"/>
      <c r="F81" s="3"/>
      <c r="G81" s="11"/>
      <c r="H81" s="11"/>
      <c r="I81" s="11"/>
      <c r="J81" s="11"/>
    </row>
    <row r="82">
      <c r="A82">
        <f>IFERROR(__xludf.DUMMYFUNCTION("""COMPUTED_VALUE"""),109.0)</f>
        <v>109</v>
      </c>
      <c r="B82" s="11"/>
      <c r="C82" s="3"/>
      <c r="D82" s="3"/>
      <c r="E82" s="11"/>
      <c r="F82" s="11"/>
      <c r="G82" s="11"/>
      <c r="H82" s="11"/>
      <c r="I82" s="11"/>
      <c r="J82" s="11"/>
    </row>
    <row r="83">
      <c r="A83">
        <f>IFERROR(__xludf.DUMMYFUNCTION("""COMPUTED_VALUE"""),110.0)</f>
        <v>110</v>
      </c>
      <c r="B83" s="11"/>
      <c r="C83" s="3"/>
      <c r="D83" s="3"/>
      <c r="E83" s="3"/>
      <c r="F83" s="3"/>
      <c r="G83" s="11"/>
      <c r="H83" s="11"/>
      <c r="I83" s="11"/>
      <c r="J83" s="11"/>
    </row>
    <row r="84">
      <c r="A84">
        <f>IFERROR(__xludf.DUMMYFUNCTION("""COMPUTED_VALUE"""),112.0)</f>
        <v>112</v>
      </c>
      <c r="B84" s="11"/>
      <c r="C84" s="3"/>
      <c r="D84" s="3"/>
      <c r="E84" s="3"/>
      <c r="F84" s="3"/>
      <c r="G84" s="3"/>
      <c r="H84" s="11"/>
      <c r="I84" s="11"/>
      <c r="J84" s="11"/>
    </row>
    <row r="85">
      <c r="A85">
        <f>IFERROR(__xludf.DUMMYFUNCTION("""COMPUTED_VALUE"""),113.0)</f>
        <v>113</v>
      </c>
      <c r="B85" s="11"/>
      <c r="C85" s="3"/>
      <c r="D85" s="3"/>
      <c r="E85" s="3"/>
      <c r="F85" s="11"/>
      <c r="G85" s="11"/>
      <c r="H85" s="11"/>
      <c r="I85" s="11"/>
      <c r="J85" s="11"/>
    </row>
    <row r="86">
      <c r="A86">
        <f>IFERROR(__xludf.DUMMYFUNCTION("""COMPUTED_VALUE"""),114.0)</f>
        <v>114</v>
      </c>
      <c r="B86" s="11"/>
      <c r="C86" s="3"/>
      <c r="D86" s="3"/>
      <c r="E86" s="3"/>
      <c r="F86" s="3"/>
      <c r="G86" s="3"/>
      <c r="H86" s="11"/>
      <c r="I86" s="11"/>
      <c r="J86" s="11"/>
    </row>
    <row r="87">
      <c r="A87">
        <f>IFERROR(__xludf.DUMMYFUNCTION("""COMPUTED_VALUE"""),115.0)</f>
        <v>115</v>
      </c>
      <c r="B87" s="11" t="str">
        <f>IFERROR(__xludf.DUMMYFUNCTION("""COMPUTED_VALUE"""),"Only concern would be clash of clans deleting or being unable to update properly.")</f>
        <v>Only concern would be clash of clans deleting or being unable to update properly.</v>
      </c>
      <c r="C87" s="3"/>
      <c r="D87" s="11"/>
      <c r="E87" s="11"/>
      <c r="F87" s="11"/>
      <c r="G87" s="11"/>
      <c r="H87" s="11"/>
      <c r="I87" s="11"/>
      <c r="J87" s="11"/>
    </row>
    <row r="88">
      <c r="A88">
        <f>IFERROR(__xludf.DUMMYFUNCTION("""COMPUTED_VALUE"""),116.0)</f>
        <v>116</v>
      </c>
      <c r="B88" s="11"/>
      <c r="C88" s="3"/>
      <c r="D88" s="3"/>
      <c r="E88" s="11"/>
      <c r="F88" s="11"/>
      <c r="G88" s="11"/>
      <c r="H88" s="11"/>
      <c r="I88" s="11"/>
      <c r="J88" s="11"/>
    </row>
    <row r="89">
      <c r="A89">
        <f>IFERROR(__xludf.DUMMYFUNCTION("""COMPUTED_VALUE"""),117.0)</f>
        <v>117</v>
      </c>
      <c r="B89" s="11"/>
      <c r="C89" s="3"/>
      <c r="D89" s="3"/>
      <c r="E89" s="3"/>
      <c r="F89" s="3"/>
      <c r="G89" s="11"/>
      <c r="H89" s="11"/>
      <c r="I89" s="11"/>
      <c r="J89" s="11"/>
    </row>
    <row r="90">
      <c r="A90">
        <f>IFERROR(__xludf.DUMMYFUNCTION("""COMPUTED_VALUE"""),118.0)</f>
        <v>118</v>
      </c>
      <c r="B90" s="11" t="str">
        <f>IFERROR(__xludf.DUMMYFUNCTION("""COMPUTED_VALUE"""),"I don't like any app having my personal information. I want to know what they do with it.")</f>
        <v>I don't like any app having my personal information. I want to know what they do with it.</v>
      </c>
      <c r="C90" s="3"/>
      <c r="D90" s="3"/>
      <c r="E90" s="11"/>
      <c r="F90" s="11"/>
      <c r="G90" s="11"/>
      <c r="H90" s="11"/>
      <c r="I90" s="11"/>
      <c r="J90" s="11"/>
    </row>
    <row r="91">
      <c r="A91">
        <f>IFERROR(__xludf.DUMMYFUNCTION("""COMPUTED_VALUE"""),120.0)</f>
        <v>120</v>
      </c>
      <c r="B91" s="11" t="str">
        <f>IFERROR(__xludf.DUMMYFUNCTION("""COMPUTED_VALUE"""),"Seems fine?")</f>
        <v>Seems fine?</v>
      </c>
      <c r="C91" s="3"/>
      <c r="D91" s="3"/>
      <c r="E91" s="3"/>
      <c r="F91" s="11"/>
      <c r="G91" s="11"/>
      <c r="H91" s="11"/>
      <c r="I91" s="11"/>
      <c r="J91" s="11"/>
    </row>
    <row r="92">
      <c r="A92">
        <f>IFERROR(__xludf.DUMMYFUNCTION("""COMPUTED_VALUE"""),121.0)</f>
        <v>121</v>
      </c>
      <c r="B92" s="11" t="str">
        <f>IFERROR(__xludf.DUMMYFUNCTION("""COMPUTED_VALUE"""),"Not sure why it needs Google Drive access, it shouldn't be creating anything in there.")</f>
        <v>Not sure why it needs Google Drive access, it shouldn't be creating anything in there.</v>
      </c>
      <c r="C92" s="3"/>
      <c r="D92" s="3"/>
      <c r="E92" s="3"/>
      <c r="F92" s="11"/>
      <c r="G92" s="11"/>
      <c r="H92" s="11"/>
      <c r="I92" s="11"/>
      <c r="J92" s="11"/>
    </row>
    <row r="93">
      <c r="A93">
        <f>IFERROR(__xludf.DUMMYFUNCTION("""COMPUTED_VALUE"""),122.0)</f>
        <v>122</v>
      </c>
      <c r="B93" s="11" t="str">
        <f>IFERROR(__xludf.DUMMYFUNCTION("""COMPUTED_VALUE"""),"Just unclear what they mean by associate me with my personal info")</f>
        <v>Just unclear what they mean by associate me with my personal info</v>
      </c>
      <c r="C93" s="3"/>
      <c r="D93" s="3"/>
      <c r="E93" s="11"/>
      <c r="F93" s="11"/>
      <c r="G93" s="11"/>
      <c r="H93" s="11"/>
      <c r="I93" s="11"/>
      <c r="J93" s="11"/>
    </row>
    <row r="94">
      <c r="A94">
        <f>IFERROR(__xludf.DUMMYFUNCTION("""COMPUTED_VALUE"""),123.0)</f>
        <v>123</v>
      </c>
      <c r="B94" s="11"/>
      <c r="C94" s="3"/>
      <c r="D94" s="3"/>
      <c r="E94" s="11"/>
      <c r="F94" s="11"/>
      <c r="G94" s="11"/>
      <c r="H94" s="11"/>
      <c r="I94" s="11"/>
      <c r="J94" s="11"/>
    </row>
    <row r="95">
      <c r="A95">
        <f>IFERROR(__xludf.DUMMYFUNCTION("""COMPUTED_VALUE"""),124.0)</f>
        <v>124</v>
      </c>
      <c r="B95" s="11"/>
      <c r="C95" s="3"/>
      <c r="D95" s="3"/>
      <c r="E95" s="11"/>
      <c r="F95" s="11"/>
      <c r="G95" s="11"/>
      <c r="H95" s="11"/>
      <c r="I95" s="11"/>
      <c r="J95" s="11"/>
    </row>
    <row r="96">
      <c r="A96">
        <f>IFERROR(__xludf.DUMMYFUNCTION("""COMPUTED_VALUE"""),125.0)</f>
        <v>125</v>
      </c>
      <c r="B96" s="11"/>
      <c r="C96" s="3"/>
      <c r="D96" s="3"/>
      <c r="E96" s="3"/>
      <c r="F96" s="11"/>
      <c r="G96" s="11"/>
      <c r="H96" s="11"/>
      <c r="I96" s="11"/>
      <c r="J96" s="11"/>
    </row>
    <row r="97">
      <c r="A97">
        <f>IFERROR(__xludf.DUMMYFUNCTION("""COMPUTED_VALUE"""),126.0)</f>
        <v>126</v>
      </c>
      <c r="B97" s="11"/>
      <c r="C97" s="3"/>
      <c r="D97" s="3"/>
      <c r="E97" s="11"/>
      <c r="F97" s="11"/>
      <c r="G97" s="11"/>
      <c r="H97" s="11"/>
      <c r="I97" s="11"/>
      <c r="J97" s="11"/>
    </row>
    <row r="98">
      <c r="A98">
        <f>IFERROR(__xludf.DUMMYFUNCTION("""COMPUTED_VALUE"""),127.0)</f>
        <v>127</v>
      </c>
      <c r="B98" s="11"/>
      <c r="C98" s="3"/>
      <c r="D98" s="3"/>
      <c r="E98" s="3"/>
      <c r="F98" s="3"/>
      <c r="G98" s="11"/>
      <c r="H98" s="11"/>
      <c r="I98" s="11"/>
      <c r="J98" s="11"/>
    </row>
    <row r="99">
      <c r="A99">
        <f>IFERROR(__xludf.DUMMYFUNCTION("""COMPUTED_VALUE"""),128.0)</f>
        <v>128</v>
      </c>
      <c r="B99" s="11" t="str">
        <f>IFERROR(__xludf.DUMMYFUNCTION("""COMPUTED_VALUE"""),"No concerns")</f>
        <v>No concerns</v>
      </c>
      <c r="C99" s="3"/>
      <c r="D99" s="11"/>
      <c r="E99" s="11"/>
      <c r="F99" s="11"/>
      <c r="G99" s="11"/>
      <c r="H99" s="11"/>
      <c r="I99" s="11"/>
      <c r="J99" s="11"/>
    </row>
    <row r="100">
      <c r="A100">
        <f>IFERROR(__xludf.DUMMYFUNCTION("""COMPUTED_VALUE"""),129.0)</f>
        <v>129</v>
      </c>
      <c r="B100" s="11"/>
      <c r="C100" s="3"/>
      <c r="D100" s="11"/>
      <c r="E100" s="11"/>
      <c r="F100" s="11"/>
      <c r="G100" s="11"/>
      <c r="H100" s="11"/>
      <c r="I100" s="11"/>
      <c r="J100" s="11"/>
    </row>
    <row r="101">
      <c r="A101">
        <f>IFERROR(__xludf.DUMMYFUNCTION("""COMPUTED_VALUE"""),130.0)</f>
        <v>130</v>
      </c>
      <c r="B101" s="11"/>
      <c r="C101" s="3"/>
      <c r="D101" s="3"/>
      <c r="E101" s="3"/>
      <c r="F101" s="11"/>
      <c r="G101" s="11"/>
      <c r="H101" s="11"/>
      <c r="I101" s="11"/>
      <c r="J101" s="11"/>
    </row>
    <row r="102">
      <c r="A102">
        <f>IFERROR(__xludf.DUMMYFUNCTION("""COMPUTED_VALUE"""),131.0)</f>
        <v>131</v>
      </c>
      <c r="B102" s="11" t="str">
        <f>IFERROR(__xludf.DUMMYFUNCTION("""COMPUTED_VALUE"""),"I don't really have concerns about this because this product is for Google. I trust Google so I am not really worried about any of these things.")</f>
        <v>I don't really have concerns about this because this product is for Google. I trust Google so I am not really worried about any of these things.</v>
      </c>
      <c r="C102" s="3"/>
      <c r="D102" s="3"/>
      <c r="E102" s="3"/>
      <c r="F102" s="11"/>
      <c r="G102" s="11"/>
      <c r="H102" s="11"/>
      <c r="I102" s="11"/>
      <c r="J102" s="11"/>
    </row>
    <row r="103">
      <c r="A103">
        <f>IFERROR(__xludf.DUMMYFUNCTION("""COMPUTED_VALUE"""),132.0)</f>
        <v>132</v>
      </c>
      <c r="B103" s="11"/>
      <c r="C103" s="3"/>
      <c r="D103" s="3"/>
      <c r="E103" s="11"/>
      <c r="F103" s="11"/>
      <c r="G103" s="11"/>
      <c r="H103" s="11"/>
      <c r="I103" s="11"/>
      <c r="J103" s="11"/>
    </row>
    <row r="104">
      <c r="A104">
        <f>IFERROR(__xludf.DUMMYFUNCTION("""COMPUTED_VALUE"""),133.0)</f>
        <v>133</v>
      </c>
      <c r="B104" s="11" t="str">
        <f>IFERROR(__xludf.DUMMYFUNCTION("""COMPUTED_VALUE"""),"I have no idea why this has access to my info so I am concerned.")</f>
        <v>I have no idea why this has access to my info so I am concerned.</v>
      </c>
      <c r="C104" s="3"/>
      <c r="D104" s="3"/>
      <c r="E104" s="11"/>
      <c r="F104" s="11"/>
      <c r="G104" s="11"/>
      <c r="H104" s="11"/>
      <c r="I104" s="11"/>
      <c r="J104" s="11"/>
    </row>
    <row r="105">
      <c r="A105">
        <f>IFERROR(__xludf.DUMMYFUNCTION("""COMPUTED_VALUE"""),134.0)</f>
        <v>134</v>
      </c>
      <c r="B105" s="11" t="str">
        <f>IFERROR(__xludf.DUMMYFUNCTION("""COMPUTED_VALUE"""),"Don't really have any")</f>
        <v>Don't really have any</v>
      </c>
      <c r="C105" s="3"/>
      <c r="D105" s="3"/>
      <c r="E105" s="3"/>
      <c r="F105" s="3"/>
      <c r="G105" s="11"/>
      <c r="H105" s="11"/>
      <c r="I105" s="11"/>
      <c r="J105" s="11"/>
    </row>
    <row r="106">
      <c r="A106">
        <f>IFERROR(__xludf.DUMMYFUNCTION("""COMPUTED_VALUE"""),135.0)</f>
        <v>135</v>
      </c>
      <c r="B106" s="11"/>
      <c r="C106" s="3"/>
      <c r="D106" s="3"/>
      <c r="E106" s="11"/>
      <c r="F106" s="11"/>
      <c r="G106" s="11"/>
      <c r="H106" s="11"/>
      <c r="I106" s="11"/>
      <c r="J106" s="11"/>
    </row>
    <row r="107">
      <c r="A107">
        <f>IFERROR(__xludf.DUMMYFUNCTION("""COMPUTED_VALUE"""),136.0)</f>
        <v>136</v>
      </c>
      <c r="B107" s="11"/>
      <c r="C107" s="3"/>
      <c r="D107" s="3"/>
      <c r="E107" s="3"/>
      <c r="F107" s="3"/>
      <c r="G107" s="11"/>
      <c r="H107" s="11"/>
      <c r="I107" s="11"/>
      <c r="J107" s="11"/>
    </row>
    <row r="108">
      <c r="A108">
        <f>IFERROR(__xludf.DUMMYFUNCTION("""COMPUTED_VALUE"""),137.0)</f>
        <v>137</v>
      </c>
      <c r="B108" s="11"/>
      <c r="C108" s="3"/>
      <c r="D108" s="3"/>
      <c r="E108" s="3"/>
      <c r="F108" s="11"/>
      <c r="G108" s="11"/>
      <c r="H108" s="11"/>
      <c r="I108" s="11"/>
      <c r="J108" s="11"/>
    </row>
    <row r="109">
      <c r="A109">
        <f>IFERROR(__xludf.DUMMYFUNCTION("""COMPUTED_VALUE"""),138.0)</f>
        <v>138</v>
      </c>
      <c r="B109" s="11" t="str">
        <f>IFERROR(__xludf.DUMMYFUNCTION("""COMPUTED_VALUE"""),"none")</f>
        <v>none</v>
      </c>
      <c r="C109" s="3"/>
      <c r="D109" s="3"/>
      <c r="E109" s="11"/>
      <c r="F109" s="11"/>
      <c r="G109" s="11"/>
      <c r="H109" s="11"/>
      <c r="I109" s="11"/>
      <c r="J109" s="11"/>
    </row>
    <row r="110">
      <c r="A110">
        <f>IFERROR(__xludf.DUMMYFUNCTION("""COMPUTED_VALUE"""),139.0)</f>
        <v>139</v>
      </c>
      <c r="B110" s="11"/>
      <c r="C110" s="3"/>
      <c r="D110" s="3"/>
      <c r="E110" s="3"/>
      <c r="F110" s="11"/>
      <c r="G110" s="11"/>
      <c r="H110" s="11"/>
      <c r="I110" s="11"/>
      <c r="J110" s="11"/>
    </row>
    <row r="111">
      <c r="A111">
        <f>IFERROR(__xludf.DUMMYFUNCTION("""COMPUTED_VALUE"""),140.0)</f>
        <v>140</v>
      </c>
      <c r="B111" s="11" t="str">
        <f>IFERROR(__xludf.DUMMYFUNCTION("""COMPUTED_VALUE"""),"I am not sure I want to be associated with my personal information, the information in the survey is vague, so it may be a non-issue.")</f>
        <v>I am not sure I want to be associated with my personal information, the information in the survey is vague, so it may be a non-issue.</v>
      </c>
      <c r="C111" s="19"/>
      <c r="D111" s="3"/>
      <c r="E111" s="3"/>
      <c r="F111" s="3"/>
      <c r="G111" s="11"/>
      <c r="H111" s="11"/>
      <c r="I111" s="11"/>
      <c r="J111" s="11"/>
    </row>
    <row r="112">
      <c r="A112">
        <f>IFERROR(__xludf.DUMMYFUNCTION("""COMPUTED_VALUE"""),141.0)</f>
        <v>141</v>
      </c>
      <c r="B112" s="11"/>
      <c r="C112" s="3"/>
      <c r="D112" s="3"/>
      <c r="E112" s="3"/>
      <c r="F112" s="11"/>
      <c r="G112" s="11"/>
      <c r="H112" s="11"/>
      <c r="I112" s="11"/>
      <c r="J112" s="11"/>
    </row>
    <row r="113">
      <c r="A113">
        <f>IFERROR(__xludf.DUMMYFUNCTION("""COMPUTED_VALUE"""),143.0)</f>
        <v>143</v>
      </c>
      <c r="B113" s="11" t="str">
        <f>IFERROR(__xludf.DUMMYFUNCTION("""COMPUTED_VALUE"""),"I have none.")</f>
        <v>I have none.</v>
      </c>
      <c r="C113" s="3"/>
      <c r="D113" s="3"/>
      <c r="E113" s="11"/>
      <c r="F113" s="11"/>
      <c r="G113" s="11"/>
      <c r="H113" s="11"/>
      <c r="I113" s="11"/>
      <c r="J113" s="11"/>
    </row>
    <row r="114">
      <c r="A114">
        <f>IFERROR(__xludf.DUMMYFUNCTION("""COMPUTED_VALUE"""),144.0)</f>
        <v>144</v>
      </c>
      <c r="B114" s="11"/>
      <c r="C114" s="3"/>
      <c r="D114" s="3"/>
      <c r="E114" s="3"/>
      <c r="F114" s="3"/>
      <c r="G114" s="11"/>
      <c r="H114" s="11"/>
      <c r="I114" s="11"/>
      <c r="J114" s="11"/>
    </row>
    <row r="115">
      <c r="A115">
        <f>IFERROR(__xludf.DUMMYFUNCTION("""COMPUTED_VALUE"""),145.0)</f>
        <v>145</v>
      </c>
      <c r="B115" s="11"/>
      <c r="C115" s="3"/>
      <c r="D115" s="11"/>
      <c r="E115" s="11"/>
      <c r="F115" s="11"/>
      <c r="G115" s="11"/>
      <c r="H115" s="11"/>
      <c r="I115" s="11"/>
      <c r="J115" s="11"/>
    </row>
    <row r="116">
      <c r="A116">
        <f>IFERROR(__xludf.DUMMYFUNCTION("""COMPUTED_VALUE"""),146.0)</f>
        <v>146</v>
      </c>
      <c r="B116" s="11"/>
      <c r="C116" s="3"/>
      <c r="D116" s="3"/>
      <c r="E116" s="3"/>
      <c r="F116" s="3"/>
      <c r="G116" s="11"/>
      <c r="H116" s="11"/>
      <c r="I116" s="11"/>
      <c r="J116" s="11"/>
    </row>
    <row r="117">
      <c r="A117">
        <f>IFERROR(__xludf.DUMMYFUNCTION("""COMPUTED_VALUE"""),147.0)</f>
        <v>147</v>
      </c>
      <c r="B117" s="11" t="str">
        <f>IFERROR(__xludf.DUMMYFUNCTION("""COMPUTED_VALUE"""),"Again, just don't like the idea being of info being leaked somehow")</f>
        <v>Again, just don't like the idea being of info being leaked somehow</v>
      </c>
      <c r="C117" s="3"/>
      <c r="D117" s="3"/>
      <c r="E117" s="11"/>
      <c r="F117" s="11"/>
      <c r="G117" s="11"/>
      <c r="H117" s="11"/>
      <c r="I117" s="11"/>
      <c r="J117" s="11"/>
    </row>
    <row r="118">
      <c r="A118">
        <f>IFERROR(__xludf.DUMMYFUNCTION("""COMPUTED_VALUE"""),148.0)</f>
        <v>148</v>
      </c>
      <c r="B118" s="11"/>
      <c r="C118" s="3"/>
      <c r="D118" s="3"/>
      <c r="E118" s="11"/>
      <c r="F118" s="11"/>
      <c r="G118" s="11"/>
      <c r="H118" s="11"/>
      <c r="I118" s="11"/>
      <c r="J118" s="11"/>
    </row>
    <row r="119">
      <c r="A119">
        <f>IFERROR(__xludf.DUMMYFUNCTION("""COMPUTED_VALUE"""),149.0)</f>
        <v>149</v>
      </c>
      <c r="B119" s="11" t="str">
        <f>IFERROR(__xludf.DUMMYFUNCTION("""COMPUTED_VALUE"""),"It doesn't need to see my emails in my opinion for the app to function.")</f>
        <v>It doesn't need to see my emails in my opinion for the app to function.</v>
      </c>
      <c r="C119" s="3"/>
      <c r="D119" s="3"/>
      <c r="E119" s="11"/>
      <c r="F119" s="11"/>
      <c r="G119" s="11"/>
      <c r="H119" s="11"/>
      <c r="I119" s="11"/>
      <c r="J119" s="11"/>
    </row>
    <row r="120">
      <c r="A120">
        <f>IFERROR(__xludf.DUMMYFUNCTION("""COMPUTED_VALUE"""),150.0)</f>
        <v>150</v>
      </c>
      <c r="B120" s="11"/>
      <c r="C120" s="3"/>
      <c r="D120" s="11"/>
      <c r="E120" s="11"/>
      <c r="F120" s="11"/>
      <c r="G120" s="11"/>
      <c r="H120" s="11"/>
      <c r="I120" s="11"/>
      <c r="J120" s="11"/>
    </row>
    <row r="121">
      <c r="A121">
        <f>IFERROR(__xludf.DUMMYFUNCTION("""COMPUTED_VALUE"""),151.0)</f>
        <v>151</v>
      </c>
      <c r="B121" s="11"/>
      <c r="C121" s="3"/>
      <c r="D121" s="3"/>
      <c r="E121" s="3"/>
      <c r="F121" s="3"/>
      <c r="G121" s="11"/>
      <c r="H121" s="11"/>
      <c r="I121" s="11"/>
      <c r="J121" s="11"/>
    </row>
    <row r="122">
      <c r="A122">
        <f>IFERROR(__xludf.DUMMYFUNCTION("""COMPUTED_VALUE"""),152.0)</f>
        <v>152</v>
      </c>
      <c r="B122" s="11"/>
      <c r="C122" s="3"/>
      <c r="D122" s="3"/>
      <c r="E122" s="3"/>
      <c r="F122" s="11"/>
      <c r="G122" s="11"/>
      <c r="H122" s="11"/>
      <c r="I122" s="11"/>
      <c r="J122" s="11"/>
    </row>
    <row r="123">
      <c r="A123">
        <f>IFERROR(__xludf.DUMMYFUNCTION("""COMPUTED_VALUE"""),153.0)</f>
        <v>153</v>
      </c>
      <c r="B123" s="11"/>
      <c r="C123" s="3"/>
      <c r="D123" s="3"/>
      <c r="E123" s="3"/>
      <c r="F123" s="3"/>
      <c r="G123" s="11"/>
      <c r="H123" s="11"/>
      <c r="I123" s="11"/>
      <c r="J123" s="11"/>
    </row>
    <row r="124">
      <c r="A124">
        <f>IFERROR(__xludf.DUMMYFUNCTION("""COMPUTED_VALUE"""),154.0)</f>
        <v>154</v>
      </c>
      <c r="B124" s="11" t="str">
        <f>IFERROR(__xludf.DUMMYFUNCTION("""COMPUTED_VALUE"""),"None")</f>
        <v>None</v>
      </c>
      <c r="C124" s="3"/>
      <c r="D124" s="11"/>
      <c r="E124" s="11"/>
      <c r="F124" s="11"/>
      <c r="G124" s="11"/>
      <c r="H124" s="11"/>
      <c r="I124" s="11"/>
      <c r="J124" s="11"/>
    </row>
    <row r="125">
      <c r="A125">
        <f>IFERROR(__xludf.DUMMYFUNCTION("""COMPUTED_VALUE"""),155.0)</f>
        <v>155</v>
      </c>
      <c r="B125" s="11" t="str">
        <f>IFERROR(__xludf.DUMMYFUNCTION("""COMPUTED_VALUE"""),"Considering that this was a single player game I downloaded on a whim, I am not comfortable with the amount of access they have to my account.")</f>
        <v>Considering that this was a single player game I downloaded on a whim, I am not comfortable with the amount of access they have to my account.</v>
      </c>
      <c r="C125" s="3"/>
      <c r="D125" s="3"/>
      <c r="E125" s="11"/>
      <c r="F125" s="11"/>
      <c r="G125" s="11"/>
      <c r="H125" s="11"/>
      <c r="I125" s="11"/>
      <c r="J125" s="11"/>
    </row>
    <row r="126">
      <c r="A126">
        <f>IFERROR(__xludf.DUMMYFUNCTION("""COMPUTED_VALUE"""),156.0)</f>
        <v>156</v>
      </c>
      <c r="B126" s="11"/>
      <c r="C126" s="3"/>
      <c r="D126" s="3"/>
      <c r="E126" s="11"/>
      <c r="F126" s="11"/>
      <c r="G126" s="11"/>
      <c r="H126" s="11"/>
      <c r="I126" s="11"/>
      <c r="J126" s="11"/>
    </row>
    <row r="127">
      <c r="A127">
        <f>IFERROR(__xludf.DUMMYFUNCTION("""COMPUTED_VALUE"""),157.0)</f>
        <v>157</v>
      </c>
      <c r="B127" s="11" t="str">
        <f>IFERROR(__xludf.DUMMYFUNCTION("""COMPUTED_VALUE"""),"I am mostly fine with Samsung holding these permissions as I trust in it.")</f>
        <v>I am mostly fine with Samsung holding these permissions as I trust in it.</v>
      </c>
      <c r="C127" s="3"/>
      <c r="D127" s="11"/>
      <c r="E127" s="11"/>
      <c r="F127" s="11"/>
      <c r="G127" s="11"/>
      <c r="H127" s="11"/>
      <c r="I127" s="11"/>
      <c r="J127" s="11"/>
    </row>
    <row r="128">
      <c r="A128">
        <f>IFERROR(__xludf.DUMMYFUNCTION("""COMPUTED_VALUE"""),158.0)</f>
        <v>158</v>
      </c>
      <c r="B128" s="11"/>
      <c r="C128" s="3"/>
      <c r="D128" s="3"/>
      <c r="E128" s="3"/>
      <c r="F128" s="3"/>
      <c r="G128" s="11"/>
      <c r="H128" s="11"/>
      <c r="I128" s="11"/>
      <c r="J128" s="11"/>
    </row>
    <row r="129">
      <c r="A129">
        <f>IFERROR(__xludf.DUMMYFUNCTION("""COMPUTED_VALUE"""),159.0)</f>
        <v>159</v>
      </c>
      <c r="B129" s="11"/>
      <c r="C129" s="3"/>
      <c r="D129" s="3"/>
      <c r="E129" s="11"/>
      <c r="F129" s="11"/>
      <c r="G129" s="11"/>
      <c r="H129" s="11"/>
      <c r="I129" s="11"/>
      <c r="J129" s="11"/>
    </row>
    <row r="130">
      <c r="A130">
        <f>IFERROR(__xludf.DUMMYFUNCTION("""COMPUTED_VALUE"""),160.0)</f>
        <v>160</v>
      </c>
      <c r="B130" s="11"/>
      <c r="C130" s="3"/>
      <c r="D130" s="3"/>
      <c r="E130" s="3"/>
      <c r="F130" s="3"/>
      <c r="G130" s="11"/>
      <c r="H130" s="11"/>
      <c r="I130" s="11"/>
      <c r="J130" s="11"/>
    </row>
    <row r="131">
      <c r="A131">
        <f>IFERROR(__xludf.DUMMYFUNCTION("""COMPUTED_VALUE"""),161.0)</f>
        <v>161</v>
      </c>
      <c r="B131" s="11" t="str">
        <f>IFERROR(__xludf.DUMMYFUNCTION("""COMPUTED_VALUE"""),"I just didn't remember giving permissions to this game to access my activity. So I'm not sure why they have my information or need to create edit or delete it.")</f>
        <v>I just didn't remember giving permissions to this game to access my activity. So I'm not sure why they have my information or need to create edit or delete it.</v>
      </c>
      <c r="C131" s="3"/>
      <c r="D131" s="3"/>
      <c r="E131" s="11"/>
      <c r="F131" s="11"/>
      <c r="G131" s="11"/>
      <c r="H131" s="11"/>
      <c r="I131" s="11"/>
      <c r="J131" s="11"/>
    </row>
    <row r="132">
      <c r="A132">
        <f>IFERROR(__xludf.DUMMYFUNCTION("""COMPUTED_VALUE"""),162.0)</f>
        <v>162</v>
      </c>
      <c r="B132" s="11" t="str">
        <f>IFERROR(__xludf.DUMMYFUNCTION("""COMPUTED_VALUE"""),"I don't think it has too many permissions and nothing seems unreasonable, so I'm okay with this.")</f>
        <v>I don't think it has too many permissions and nothing seems unreasonable, so I'm okay with this.</v>
      </c>
      <c r="C132" s="3"/>
      <c r="D132" s="3"/>
      <c r="E132" s="11"/>
      <c r="F132" s="11"/>
      <c r="G132" s="11"/>
      <c r="H132" s="11"/>
      <c r="I132" s="11"/>
      <c r="J132" s="11"/>
    </row>
    <row r="133">
      <c r="A133">
        <f>IFERROR(__xludf.DUMMYFUNCTION("""COMPUTED_VALUE"""),163.0)</f>
        <v>163</v>
      </c>
      <c r="B133" s="11"/>
      <c r="C133" s="3"/>
      <c r="D133" s="3"/>
      <c r="E133" s="11"/>
      <c r="F133" s="11"/>
      <c r="G133" s="11"/>
      <c r="H133" s="11"/>
      <c r="I133" s="11"/>
      <c r="J133" s="11"/>
    </row>
    <row r="134">
      <c r="A134">
        <f>IFERROR(__xludf.DUMMYFUNCTION("""COMPUTED_VALUE"""),164.0)</f>
        <v>164</v>
      </c>
      <c r="B134" s="11" t="str">
        <f>IFERROR(__xludf.DUMMYFUNCTION("""COMPUTED_VALUE"""),"I trust Windows, I have no concerns.")</f>
        <v>I trust Windows, I have no concerns.</v>
      </c>
      <c r="C134" s="3"/>
      <c r="D134" s="3"/>
      <c r="E134" s="3"/>
      <c r="F134" s="11"/>
      <c r="G134" s="11"/>
      <c r="H134" s="11"/>
      <c r="I134" s="11"/>
      <c r="J134" s="11"/>
    </row>
    <row r="135">
      <c r="A135">
        <f>IFERROR(__xludf.DUMMYFUNCTION("""COMPUTED_VALUE"""),165.0)</f>
        <v>165</v>
      </c>
      <c r="B135" s="11" t="str">
        <f>IFERROR(__xludf.DUMMYFUNCTION("""COMPUTED_VALUE"""),"I don't want it to have any access to my Google account as I no longer use this app but I don't know how to remove them.")</f>
        <v>I don't want it to have any access to my Google account as I no longer use this app but I don't know how to remove them.</v>
      </c>
      <c r="C135" s="3"/>
      <c r="D135" s="3"/>
      <c r="E135" s="11"/>
      <c r="F135" s="11"/>
      <c r="G135" s="11"/>
      <c r="H135" s="11"/>
      <c r="I135" s="11"/>
      <c r="J135" s="11"/>
    </row>
    <row r="136">
      <c r="A136">
        <f>IFERROR(__xludf.DUMMYFUNCTION("""COMPUTED_VALUE"""),166.0)</f>
        <v>166</v>
      </c>
      <c r="B136" s="11" t="str">
        <f>IFERROR(__xludf.DUMMYFUNCTION("""COMPUTED_VALUE"""),"I don't see why it is necessary for CCleaner to have access to Google Drive. It does not really make sense to me, and I am concerned that it can delete files in my Google Drive account.")</f>
        <v>I don't see why it is necessary for CCleaner to have access to Google Drive. It does not really make sense to me, and I am concerned that it can delete files in my Google Drive account.</v>
      </c>
      <c r="C136" s="3"/>
      <c r="D136" s="3"/>
      <c r="E136" s="3"/>
      <c r="F136" s="11"/>
      <c r="G136" s="11"/>
      <c r="H136" s="11"/>
      <c r="I136" s="11"/>
      <c r="J136" s="11"/>
    </row>
    <row r="137">
      <c r="A137">
        <f>IFERROR(__xludf.DUMMYFUNCTION("""COMPUTED_VALUE"""),167.0)</f>
        <v>167</v>
      </c>
      <c r="B137" s="11"/>
      <c r="C137" s="3"/>
      <c r="D137" s="3"/>
      <c r="E137" s="11"/>
      <c r="F137" s="11"/>
      <c r="G137" s="11"/>
      <c r="H137" s="11"/>
      <c r="I137" s="11"/>
      <c r="J137" s="11"/>
    </row>
    <row r="138">
      <c r="A138">
        <f>IFERROR(__xludf.DUMMYFUNCTION("""COMPUTED_VALUE"""),168.0)</f>
        <v>168</v>
      </c>
      <c r="B138" s="11"/>
      <c r="C138" s="3"/>
      <c r="D138" s="3"/>
      <c r="E138" s="3"/>
      <c r="F138" s="11"/>
      <c r="G138" s="11"/>
      <c r="H138" s="11"/>
      <c r="I138" s="11"/>
      <c r="J138" s="11"/>
    </row>
    <row r="139">
      <c r="A139">
        <f>IFERROR(__xludf.DUMMYFUNCTION("""COMPUTED_VALUE"""),169.0)</f>
        <v>169</v>
      </c>
      <c r="B139" s="11"/>
      <c r="C139" s="3"/>
      <c r="D139" s="3"/>
      <c r="E139" s="3"/>
      <c r="F139" s="11"/>
      <c r="G139" s="11"/>
      <c r="H139" s="11"/>
      <c r="I139" s="11"/>
      <c r="J139" s="11"/>
    </row>
    <row r="140">
      <c r="A140">
        <f>IFERROR(__xludf.DUMMYFUNCTION("""COMPUTED_VALUE"""),170.0)</f>
        <v>170</v>
      </c>
      <c r="B140" s="11" t="str">
        <f>IFERROR(__xludf.DUMMYFUNCTION("""COMPUTED_VALUE"""),"none")</f>
        <v>none</v>
      </c>
      <c r="C140" s="3"/>
      <c r="D140" s="3"/>
      <c r="E140" s="3"/>
      <c r="F140" s="3"/>
      <c r="G140" s="11"/>
      <c r="H140" s="11"/>
      <c r="I140" s="11"/>
      <c r="J140" s="11"/>
    </row>
    <row r="141">
      <c r="A141">
        <f>IFERROR(__xludf.DUMMYFUNCTION("""COMPUTED_VALUE"""),171.0)</f>
        <v>171</v>
      </c>
      <c r="B141" s="11"/>
      <c r="C141" s="3"/>
      <c r="D141" s="3"/>
      <c r="E141" s="11"/>
      <c r="F141" s="11"/>
      <c r="G141" s="11"/>
      <c r="H141" s="11"/>
      <c r="I141" s="11"/>
      <c r="J141" s="11"/>
    </row>
    <row r="142">
      <c r="A142">
        <f>IFERROR(__xludf.DUMMYFUNCTION("""COMPUTED_VALUE"""),172.0)</f>
        <v>172</v>
      </c>
      <c r="B142" s="11"/>
      <c r="C142" s="3"/>
      <c r="D142" s="3"/>
      <c r="E142" s="11"/>
      <c r="F142" s="11"/>
      <c r="G142" s="11"/>
      <c r="H142" s="11"/>
      <c r="I142" s="11"/>
      <c r="J142" s="11"/>
    </row>
    <row r="143">
      <c r="A143">
        <f>IFERROR(__xludf.DUMMYFUNCTION("""COMPUTED_VALUE"""),173.0)</f>
        <v>173</v>
      </c>
      <c r="B143" s="11"/>
      <c r="C143" s="3"/>
      <c r="D143" s="3"/>
      <c r="E143" s="3"/>
      <c r="F143" s="11"/>
      <c r="G143" s="11"/>
      <c r="H143" s="11"/>
      <c r="I143" s="11"/>
      <c r="J143" s="11"/>
    </row>
    <row r="144">
      <c r="A144">
        <f>IFERROR(__xludf.DUMMYFUNCTION("""COMPUTED_VALUE"""),174.0)</f>
        <v>174</v>
      </c>
      <c r="B144" s="11" t="str">
        <f>IFERROR(__xludf.DUMMYFUNCTION("""COMPUTED_VALUE"""),"No, I gave these permissions so I can use other apps on my computer with my google account.")</f>
        <v>No, I gave these permissions so I can use other apps on my computer with my google account.</v>
      </c>
      <c r="C144" s="3"/>
      <c r="D144" s="3"/>
      <c r="E144" s="3"/>
      <c r="F144" s="3"/>
      <c r="G144" s="3"/>
      <c r="H144" s="11"/>
      <c r="I144" s="11"/>
      <c r="J144" s="11"/>
    </row>
    <row r="145">
      <c r="A145">
        <f>IFERROR(__xludf.DUMMYFUNCTION("""COMPUTED_VALUE"""),175.0)</f>
        <v>175</v>
      </c>
      <c r="B145" s="11"/>
      <c r="C145" s="3"/>
      <c r="D145" s="3"/>
      <c r="E145" s="3"/>
      <c r="F145" s="11"/>
      <c r="G145" s="11"/>
      <c r="H145" s="11"/>
      <c r="I145" s="11"/>
      <c r="J145" s="11"/>
    </row>
    <row r="146">
      <c r="A146">
        <f>IFERROR(__xludf.DUMMYFUNCTION("""COMPUTED_VALUE"""),176.0)</f>
        <v>176</v>
      </c>
      <c r="B146" s="11"/>
      <c r="C146" s="3"/>
      <c r="D146" s="3"/>
      <c r="E146" s="3"/>
      <c r="F146" s="11"/>
      <c r="H146" s="11"/>
      <c r="I146" s="11"/>
      <c r="J146" s="11"/>
    </row>
    <row r="147">
      <c r="A147">
        <f>IFERROR(__xludf.DUMMYFUNCTION("""COMPUTED_VALUE"""),178.0)</f>
        <v>178</v>
      </c>
      <c r="B147" s="11" t="str">
        <f>IFERROR(__xludf.DUMMYFUNCTION("""COMPUTED_VALUE"""),"same asdragalia lost, it holds onto my save game for when i want to play the game or change phones")</f>
        <v>same asdragalia lost, it holds onto my save game for when i want to play the game or change phones</v>
      </c>
      <c r="C147" s="3"/>
      <c r="D147" s="3"/>
      <c r="E147" s="3"/>
      <c r="F147" s="3"/>
      <c r="H147" s="11"/>
      <c r="I147" s="11"/>
      <c r="J147" s="11"/>
    </row>
    <row r="148">
      <c r="A148">
        <f>IFERROR(__xludf.DUMMYFUNCTION("""COMPUTED_VALUE"""),179.0)</f>
        <v>179</v>
      </c>
      <c r="B148" s="11"/>
      <c r="C148" s="3"/>
      <c r="D148" s="3"/>
      <c r="E148" s="11"/>
      <c r="F148" s="11"/>
      <c r="H148" s="11"/>
      <c r="I148" s="11"/>
      <c r="J148" s="11"/>
    </row>
    <row r="149">
      <c r="A149">
        <f>IFERROR(__xludf.DUMMYFUNCTION("""COMPUTED_VALUE"""),180.0)</f>
        <v>180</v>
      </c>
      <c r="B149" s="11" t="str">
        <f>IFERROR(__xludf.DUMMYFUNCTION("""COMPUTED_VALUE"""),"No specific concerns that I can think of.")</f>
        <v>No specific concerns that I can think of.</v>
      </c>
      <c r="C149" s="3"/>
      <c r="D149" s="11"/>
      <c r="E149" s="11"/>
      <c r="F149" s="11"/>
      <c r="H149" s="11"/>
      <c r="I149" s="11"/>
      <c r="J149" s="11"/>
    </row>
    <row r="150">
      <c r="A150">
        <f>IFERROR(__xludf.DUMMYFUNCTION("""COMPUTED_VALUE"""),181.0)</f>
        <v>181</v>
      </c>
      <c r="B150" s="11" t="str">
        <f>IFERROR(__xludf.DUMMYFUNCTION("""COMPUTED_VALUE"""),"I'm still not sure why it would need to delete my play history?")</f>
        <v>I'm still not sure why it would need to delete my play history?</v>
      </c>
      <c r="C150" s="3"/>
      <c r="D150" s="3"/>
      <c r="E150" s="3"/>
      <c r="F150" s="3"/>
      <c r="H150" s="11"/>
      <c r="I150" s="11"/>
      <c r="J150" s="11"/>
    </row>
    <row r="151">
      <c r="A151">
        <f>IFERROR(__xludf.DUMMYFUNCTION("""COMPUTED_VALUE"""),182.0)</f>
        <v>182</v>
      </c>
      <c r="B151" s="11" t="str">
        <f>IFERROR(__xludf.DUMMYFUNCTION("""COMPUTED_VALUE"""),"Its a game I downloaded a long time ago and I didn't know it'd need access like that.")</f>
        <v>Its a game I downloaded a long time ago and I didn't know it'd need access like that.</v>
      </c>
      <c r="C151" s="3"/>
      <c r="D151" s="3"/>
      <c r="E151" s="3"/>
      <c r="F151" s="3"/>
      <c r="H151" s="11"/>
      <c r="I151" s="11"/>
      <c r="J151" s="11"/>
    </row>
    <row r="152">
      <c r="A152">
        <f>IFERROR(__xludf.DUMMYFUNCTION("""COMPUTED_VALUE"""),183.0)</f>
        <v>183</v>
      </c>
      <c r="B152" s="11"/>
      <c r="C152" s="3"/>
      <c r="D152" s="3"/>
      <c r="E152" s="11"/>
      <c r="F152" s="11"/>
      <c r="H152" s="11"/>
      <c r="I152" s="11"/>
      <c r="J152" s="11"/>
    </row>
    <row r="153">
      <c r="A153">
        <f>IFERROR(__xludf.DUMMYFUNCTION("""COMPUTED_VALUE"""),184.0)</f>
        <v>184</v>
      </c>
      <c r="B153" s="11" t="str">
        <f>IFERROR(__xludf.DUMMYFUNCTION("""COMPUTED_VALUE"""),"I want to understand better what full account access really means and does")</f>
        <v>I want to understand better what full account access really means and does</v>
      </c>
      <c r="C153" s="3"/>
      <c r="D153" s="3"/>
      <c r="E153" s="11"/>
      <c r="F153" s="11"/>
      <c r="H153" s="11"/>
      <c r="I153" s="11"/>
      <c r="J153" s="11"/>
    </row>
    <row r="154">
      <c r="A154">
        <f>IFERROR(__xludf.DUMMYFUNCTION("""COMPUTED_VALUE"""),185.0)</f>
        <v>185</v>
      </c>
      <c r="B154" s="11"/>
      <c r="C154" s="3"/>
      <c r="D154" s="3"/>
      <c r="E154" s="3"/>
      <c r="F154" s="3"/>
      <c r="H154" s="11"/>
      <c r="I154" s="11"/>
      <c r="J154" s="11"/>
    </row>
    <row r="155">
      <c r="A155">
        <f>IFERROR(__xludf.DUMMYFUNCTION("""COMPUTED_VALUE"""),186.0)</f>
        <v>186</v>
      </c>
      <c r="B155" s="11"/>
      <c r="C155" s="11"/>
      <c r="D155" s="11"/>
      <c r="E155" s="11"/>
      <c r="F155" s="11"/>
      <c r="G155" s="11"/>
      <c r="H155" s="11"/>
      <c r="I155" s="11"/>
      <c r="J155" s="11"/>
    </row>
    <row r="156">
      <c r="A156">
        <f>IFERROR(__xludf.DUMMYFUNCTION("""COMPUTED_VALUE"""),187.0)</f>
        <v>187</v>
      </c>
      <c r="B156" s="11"/>
      <c r="C156" s="11"/>
      <c r="D156" s="11"/>
      <c r="E156" s="11"/>
      <c r="F156" s="11"/>
      <c r="G156" s="11"/>
      <c r="H156" s="11"/>
      <c r="I156" s="11"/>
      <c r="J156" s="11"/>
    </row>
    <row r="157">
      <c r="A157">
        <f>IFERROR(__xludf.DUMMYFUNCTION("""COMPUTED_VALUE"""),188.0)</f>
        <v>188</v>
      </c>
      <c r="B157" s="11"/>
      <c r="C157" s="11"/>
      <c r="D157" s="11"/>
      <c r="E157" s="11"/>
      <c r="F157" s="11"/>
      <c r="G157" s="11"/>
      <c r="H157" s="11"/>
      <c r="I157" s="11"/>
      <c r="J157" s="11"/>
    </row>
    <row r="158">
      <c r="A158">
        <f>IFERROR(__xludf.DUMMYFUNCTION("""COMPUTED_VALUE"""),189.0)</f>
        <v>189</v>
      </c>
      <c r="B158" s="11"/>
      <c r="C158" s="11"/>
      <c r="D158" s="11"/>
      <c r="E158" s="11"/>
      <c r="F158" s="11"/>
      <c r="G158" s="11"/>
      <c r="H158" s="11"/>
      <c r="I158" s="11"/>
      <c r="J158" s="11"/>
    </row>
    <row r="159">
      <c r="A159">
        <f>IFERROR(__xludf.DUMMYFUNCTION("""COMPUTED_VALUE"""),190.0)</f>
        <v>190</v>
      </c>
      <c r="B159" s="11" t="str">
        <f>IFERROR(__xludf.DUMMYFUNCTION("""COMPUTED_VALUE"""),"No concerns. It is a game and both of the permissions are valid.")</f>
        <v>No concerns. It is a game and both of the permissions are valid.</v>
      </c>
      <c r="C159" s="11"/>
      <c r="D159" s="11"/>
      <c r="E159" s="11"/>
      <c r="F159" s="11"/>
      <c r="G159" s="11"/>
      <c r="H159" s="11"/>
      <c r="I159" s="11"/>
      <c r="J159" s="11"/>
    </row>
    <row r="160">
      <c r="A160">
        <f>IFERROR(__xludf.DUMMYFUNCTION("""COMPUTED_VALUE"""),191.0)</f>
        <v>191</v>
      </c>
      <c r="B160" s="11"/>
      <c r="C160" s="11"/>
      <c r="D160" s="11"/>
      <c r="E160" s="11"/>
      <c r="F160" s="11"/>
      <c r="G160" s="11"/>
      <c r="H160" s="11"/>
      <c r="I160" s="11"/>
      <c r="J160" s="11"/>
    </row>
    <row r="161">
      <c r="A161">
        <f>IFERROR(__xludf.DUMMYFUNCTION("""COMPUTED_VALUE"""),192.0)</f>
        <v>192</v>
      </c>
      <c r="B161" s="11"/>
      <c r="C161" s="11"/>
      <c r="D161" s="11"/>
      <c r="E161" s="11"/>
      <c r="F161" s="11"/>
      <c r="G161" s="11"/>
      <c r="H161" s="11"/>
      <c r="I161" s="11"/>
      <c r="J161" s="11"/>
    </row>
    <row r="162">
      <c r="A162">
        <f>IFERROR(__xludf.DUMMYFUNCTION("""COMPUTED_VALUE"""),193.0)</f>
        <v>193</v>
      </c>
      <c r="B162" s="11"/>
      <c r="C162" s="11"/>
      <c r="D162" s="11"/>
      <c r="E162" s="11"/>
      <c r="F162" s="11"/>
      <c r="G162" s="11"/>
      <c r="H162" s="11"/>
      <c r="I162" s="11"/>
      <c r="J162" s="11"/>
    </row>
    <row r="163">
      <c r="A163">
        <f>IFERROR(__xludf.DUMMYFUNCTION("""COMPUTED_VALUE"""),194.0)</f>
        <v>194</v>
      </c>
      <c r="B163" s="11"/>
      <c r="C163" s="11"/>
      <c r="D163" s="11"/>
      <c r="E163" s="11"/>
      <c r="F163" s="11"/>
      <c r="G163" s="11"/>
      <c r="H163" s="11"/>
      <c r="I163" s="11"/>
      <c r="J163" s="11"/>
    </row>
    <row r="164">
      <c r="A164">
        <f>IFERROR(__xludf.DUMMYFUNCTION("""COMPUTED_VALUE"""),195.0)</f>
        <v>195</v>
      </c>
      <c r="B164" s="11" t="str">
        <f>IFERROR(__xludf.DUMMYFUNCTION("""COMPUTED_VALUE"""),"I'm not sure what ""see and download all of your Google Account email addresses"" means, but I don't like the idea of a company downloading any personal information.")</f>
        <v>I'm not sure what "see and download all of your Google Account email addresses" means, but I don't like the idea of a company downloading any personal information.</v>
      </c>
      <c r="C164" s="11"/>
      <c r="D164" s="11"/>
      <c r="E164" s="11"/>
      <c r="F164" s="11"/>
      <c r="G164" s="11"/>
      <c r="H164" s="11"/>
      <c r="I164" s="11"/>
      <c r="J164" s="11"/>
    </row>
    <row r="165">
      <c r="A165">
        <f>IFERROR(__xludf.DUMMYFUNCTION("""COMPUTED_VALUE"""),196.0)</f>
        <v>196</v>
      </c>
      <c r="B165" s="11" t="str">
        <f>IFERROR(__xludf.DUMMYFUNCTION("""COMPUTED_VALUE"""),"I do not remember what this site is about, and why it has to see my contacts. I do not ever want my contacts to be knowledgeable about the websites I use because of my Google account, regardless of what kind of website it is.")</f>
        <v>I do not remember what this site is about, and why it has to see my contacts. I do not ever want my contacts to be knowledgeable about the websites I use because of my Google account, regardless of what kind of website it is.</v>
      </c>
      <c r="C165" s="11"/>
      <c r="D165" s="11"/>
      <c r="E165" s="11"/>
      <c r="F165" s="11"/>
      <c r="G165" s="11"/>
      <c r="H165" s="11"/>
      <c r="I165" s="11"/>
      <c r="J165" s="11"/>
    </row>
    <row r="166">
      <c r="A166">
        <f>IFERROR(__xludf.DUMMYFUNCTION("""COMPUTED_VALUE"""),197.0)</f>
        <v>197</v>
      </c>
      <c r="B166" s="11" t="str">
        <f>IFERROR(__xludf.DUMMYFUNCTION("""COMPUTED_VALUE"""),"i dont have any")</f>
        <v>i dont have any</v>
      </c>
      <c r="C166" s="11"/>
      <c r="D166" s="11"/>
      <c r="E166" s="11"/>
      <c r="F166" s="11"/>
      <c r="G166" s="11"/>
      <c r="H166" s="11"/>
      <c r="I166" s="11"/>
      <c r="J166" s="11"/>
    </row>
    <row r="167">
      <c r="A167">
        <f>IFERROR(__xludf.DUMMYFUNCTION("""COMPUTED_VALUE"""),198.0)</f>
        <v>198</v>
      </c>
      <c r="B167" s="11" t="str">
        <f>IFERROR(__xludf.DUMMYFUNCTION("""COMPUTED_VALUE"""),"It is worrying that it may mess with my email and delete some things. I wish it didn't have access to my contacts and calendar I dont use either one but it feels invasive and im worried about it deleting something or editing it.")</f>
        <v>It is worrying that it may mess with my email and delete some things. I wish it didn't have access to my contacts and calendar I dont use either one but it feels invasive and im worried about it deleting something or editing it.</v>
      </c>
      <c r="C167" s="11"/>
      <c r="D167" s="11"/>
      <c r="E167" s="11"/>
      <c r="F167" s="11"/>
      <c r="G167" s="11"/>
      <c r="H167" s="11"/>
      <c r="I167" s="11"/>
      <c r="J167" s="11"/>
    </row>
    <row r="168">
      <c r="A168">
        <f>IFERROR(__xludf.DUMMYFUNCTION("""COMPUTED_VALUE"""),199.0)</f>
        <v>199</v>
      </c>
      <c r="B168" s="11"/>
      <c r="C168" s="11"/>
      <c r="D168" s="11"/>
      <c r="E168" s="11"/>
      <c r="F168" s="11"/>
      <c r="G168" s="11"/>
      <c r="H168" s="11"/>
      <c r="I168" s="11"/>
      <c r="J168" s="11"/>
    </row>
    <row r="169">
      <c r="A169">
        <f>IFERROR(__xludf.DUMMYFUNCTION("""COMPUTED_VALUE"""),200.0)</f>
        <v>200</v>
      </c>
      <c r="B169" s="11"/>
      <c r="C169" s="11"/>
      <c r="D169" s="11"/>
      <c r="E169" s="11"/>
      <c r="F169" s="11"/>
      <c r="G169" s="11"/>
      <c r="H169" s="11"/>
      <c r="I169" s="11"/>
      <c r="J169" s="11"/>
    </row>
    <row r="170">
      <c r="A170">
        <f>IFERROR(__xludf.DUMMYFUNCTION("""COMPUTED_VALUE"""),201.0)</f>
        <v>201</v>
      </c>
      <c r="B170" s="11" t="str">
        <f>IFERROR(__xludf.DUMMYFUNCTION("""COMPUTED_VALUE"""),"none")</f>
        <v>none</v>
      </c>
      <c r="C170" s="11"/>
      <c r="D170" s="11"/>
      <c r="E170" s="11"/>
      <c r="F170" s="11"/>
      <c r="G170" s="11"/>
      <c r="H170" s="11"/>
      <c r="I170" s="11"/>
      <c r="J170" s="11"/>
    </row>
    <row r="171">
      <c r="A171">
        <f>IFERROR(__xludf.DUMMYFUNCTION("""COMPUTED_VALUE"""),202.0)</f>
        <v>202</v>
      </c>
      <c r="B171" s="11" t="str">
        <f>IFERROR(__xludf.DUMMYFUNCTION("""COMPUTED_VALUE"""),"I am slightly concerned about the fact that mailtrack can delete emails.")</f>
        <v>I am slightly concerned about the fact that mailtrack can delete emails.</v>
      </c>
      <c r="C171" s="11"/>
      <c r="D171" s="11"/>
      <c r="E171" s="11"/>
      <c r="F171" s="11"/>
      <c r="G171" s="11"/>
      <c r="H171" s="11"/>
      <c r="I171" s="11"/>
      <c r="J171" s="11"/>
    </row>
    <row r="172">
      <c r="A172">
        <f>IFERROR(__xludf.DUMMYFUNCTION("""COMPUTED_VALUE"""),203.0)</f>
        <v>203</v>
      </c>
      <c r="B172" s="11"/>
      <c r="C172" s="11"/>
      <c r="D172" s="11"/>
      <c r="E172" s="11"/>
      <c r="F172" s="11"/>
      <c r="G172" s="11"/>
      <c r="H172" s="11"/>
      <c r="I172" s="11"/>
      <c r="J172" s="11"/>
    </row>
    <row r="173">
      <c r="A173">
        <f>IFERROR(__xludf.DUMMYFUNCTION("""COMPUTED_VALUE"""),204.0)</f>
        <v>204</v>
      </c>
      <c r="B173" s="11" t="str">
        <f>IFERROR(__xludf.DUMMYFUNCTION("""COMPUTED_VALUE"""),"I do not have any.")</f>
        <v>I do not have any.</v>
      </c>
      <c r="C173" s="11"/>
      <c r="D173" s="11"/>
      <c r="E173" s="11"/>
      <c r="F173" s="11"/>
      <c r="G173" s="11"/>
      <c r="H173" s="11"/>
      <c r="I173" s="11"/>
      <c r="J173" s="11"/>
    </row>
    <row r="174">
      <c r="A174">
        <f>IFERROR(__xludf.DUMMYFUNCTION("""COMPUTED_VALUE"""),205.0)</f>
        <v>205</v>
      </c>
      <c r="B174" s="11"/>
      <c r="C174" s="11"/>
      <c r="D174" s="11"/>
      <c r="E174" s="11"/>
      <c r="F174" s="11"/>
      <c r="G174" s="11"/>
      <c r="H174" s="11"/>
      <c r="I174" s="11"/>
      <c r="J174" s="11"/>
    </row>
    <row r="175">
      <c r="A175">
        <f>IFERROR(__xludf.DUMMYFUNCTION("""COMPUTED_VALUE"""),206.0)</f>
        <v>206</v>
      </c>
      <c r="B175" s="11" t="str">
        <f>IFERROR(__xludf.DUMMYFUNCTION("""COMPUTED_VALUE"""),"none")</f>
        <v>none</v>
      </c>
      <c r="C175" s="11"/>
      <c r="D175" s="11"/>
      <c r="E175" s="11"/>
      <c r="F175" s="11"/>
      <c r="G175" s="11"/>
      <c r="H175" s="11"/>
      <c r="I175" s="11"/>
      <c r="J175" s="11"/>
    </row>
    <row r="176">
      <c r="A176">
        <f>IFERROR(__xludf.DUMMYFUNCTION("""COMPUTED_VALUE"""),207.0)</f>
        <v>207</v>
      </c>
      <c r="B176" s="11"/>
      <c r="C176" s="11"/>
      <c r="D176" s="11"/>
      <c r="E176" s="11"/>
      <c r="F176" s="11"/>
      <c r="G176" s="11"/>
      <c r="H176" s="11"/>
      <c r="I176" s="11"/>
      <c r="J176" s="11"/>
    </row>
    <row r="177">
      <c r="A177">
        <f>IFERROR(__xludf.DUMMYFUNCTION("""COMPUTED_VALUE"""),208.0)</f>
        <v>208</v>
      </c>
      <c r="B177" s="11"/>
      <c r="C177" s="11"/>
      <c r="D177" s="11"/>
      <c r="E177" s="11"/>
      <c r="F177" s="11"/>
      <c r="G177" s="11"/>
      <c r="H177" s="11"/>
      <c r="I177" s="11"/>
      <c r="J177" s="11"/>
    </row>
    <row r="178">
      <c r="A178">
        <f>IFERROR(__xludf.DUMMYFUNCTION("""COMPUTED_VALUE"""),209.0)</f>
        <v>209</v>
      </c>
      <c r="B178" s="11" t="str">
        <f>IFERROR(__xludf.DUMMYFUNCTION("""COMPUTED_VALUE"""),"None of them")</f>
        <v>None of them</v>
      </c>
      <c r="C178" s="11"/>
      <c r="D178" s="11"/>
      <c r="E178" s="11"/>
      <c r="F178" s="11"/>
      <c r="G178" s="11"/>
      <c r="H178" s="11"/>
      <c r="I178" s="11"/>
      <c r="J178" s="11"/>
    </row>
    <row r="179">
      <c r="A179">
        <f>IFERROR(__xludf.DUMMYFUNCTION("""COMPUTED_VALUE"""),210.0)</f>
        <v>210</v>
      </c>
      <c r="B179" s="11"/>
      <c r="C179" s="11"/>
      <c r="D179" s="11"/>
      <c r="E179" s="11"/>
      <c r="F179" s="11"/>
      <c r="G179" s="11"/>
      <c r="H179" s="11"/>
      <c r="I179" s="11"/>
      <c r="J179" s="11"/>
    </row>
    <row r="180">
      <c r="A180">
        <f>IFERROR(__xludf.DUMMYFUNCTION("""COMPUTED_VALUE"""),211.0)</f>
        <v>211</v>
      </c>
      <c r="B180" s="11"/>
      <c r="C180" s="11"/>
      <c r="D180" s="11"/>
      <c r="E180" s="11"/>
      <c r="F180" s="11"/>
      <c r="G180" s="11"/>
      <c r="H180" s="11"/>
      <c r="I180" s="11"/>
      <c r="J180" s="11"/>
    </row>
    <row r="181">
      <c r="A181">
        <f>IFERROR(__xludf.DUMMYFUNCTION("""COMPUTED_VALUE"""),212.0)</f>
        <v>212</v>
      </c>
      <c r="B181" s="11" t="str">
        <f>IFERROR(__xludf.DUMMYFUNCTION("""COMPUTED_VALUE"""),"I don't know what this is or remember using it. It may have been something I needed to download for telehealth but now I think I should delete it/remove permissions.")</f>
        <v>I don't know what this is or remember using it. It may have been something I needed to download for telehealth but now I think I should delete it/remove permissions.</v>
      </c>
      <c r="C181" s="11"/>
      <c r="D181" s="11"/>
      <c r="E181" s="11"/>
      <c r="F181" s="11"/>
      <c r="G181" s="11"/>
      <c r="H181" s="11"/>
      <c r="I181" s="11"/>
      <c r="J181" s="11"/>
    </row>
    <row r="182">
      <c r="A182">
        <f>IFERROR(__xludf.DUMMYFUNCTION("""COMPUTED_VALUE"""),213.0)</f>
        <v>213</v>
      </c>
      <c r="B182" s="11"/>
      <c r="C182" s="11"/>
      <c r="D182" s="11"/>
      <c r="E182" s="11"/>
      <c r="F182" s="11"/>
      <c r="G182" s="11"/>
      <c r="H182" s="11"/>
      <c r="I182" s="11"/>
      <c r="J182" s="11"/>
    </row>
    <row r="183">
      <c r="A183">
        <f>IFERROR(__xludf.DUMMYFUNCTION("""COMPUTED_VALUE"""),214.0)</f>
        <v>214</v>
      </c>
      <c r="B183" s="11" t="str">
        <f>IFERROR(__xludf.DUMMYFUNCTION("""COMPUTED_VALUE"""),"This makes it sound like Windows could just delete my emails or contacts on its own so that is concerning to me")</f>
        <v>This makes it sound like Windows could just delete my emails or contacts on its own so that is concerning to me</v>
      </c>
      <c r="C183" s="11"/>
      <c r="D183" s="11"/>
      <c r="E183" s="11"/>
      <c r="F183" s="11"/>
      <c r="G183" s="11"/>
      <c r="H183" s="11"/>
      <c r="I183" s="11"/>
      <c r="J183" s="11"/>
    </row>
    <row r="184">
      <c r="A184">
        <f>IFERROR(__xludf.DUMMYFUNCTION("""COMPUTED_VALUE"""),216.0)</f>
        <v>216</v>
      </c>
      <c r="B184" s="11" t="str">
        <f>IFERROR(__xludf.DUMMYFUNCTION("""COMPUTED_VALUE"""),"I am concerned that it can send emails.")</f>
        <v>I am concerned that it can send emails.</v>
      </c>
      <c r="C184" s="11"/>
      <c r="D184" s="11"/>
      <c r="E184" s="11"/>
      <c r="F184" s="11"/>
      <c r="G184" s="11"/>
      <c r="H184" s="11"/>
      <c r="I184" s="11"/>
      <c r="J184" s="11"/>
    </row>
    <row r="185">
      <c r="A185">
        <f>IFERROR(__xludf.DUMMYFUNCTION("""COMPUTED_VALUE"""),218.0)</f>
        <v>218</v>
      </c>
      <c r="B185" s="11" t="str">
        <f>IFERROR(__xludf.DUMMYFUNCTION("""COMPUTED_VALUE"""),"None.")</f>
        <v>None.</v>
      </c>
      <c r="C185" s="11"/>
      <c r="D185" s="11"/>
      <c r="E185" s="11"/>
      <c r="F185" s="11"/>
      <c r="G185" s="11"/>
      <c r="H185" s="11"/>
      <c r="I185" s="11"/>
      <c r="J185" s="11"/>
    </row>
    <row r="186">
      <c r="A186">
        <f>IFERROR(__xludf.DUMMYFUNCTION("""COMPUTED_VALUE"""),219.0)</f>
        <v>219</v>
      </c>
      <c r="B186" s="11" t="str">
        <f>IFERROR(__xludf.DUMMYFUNCTION("""COMPUTED_VALUE"""),"I'm not concerned because it really only has access to my games activity, which I was already tracking with mistplay anyways. So it doesn't really bother me.")</f>
        <v>I'm not concerned because it really only has access to my games activity, which I was already tracking with mistplay anyways. So it doesn't really bother me.</v>
      </c>
      <c r="C186" s="11"/>
      <c r="D186" s="11"/>
      <c r="E186" s="11"/>
      <c r="F186" s="11"/>
      <c r="G186" s="11"/>
      <c r="H186" s="11"/>
      <c r="I186" s="11"/>
      <c r="J186" s="11"/>
    </row>
    <row r="187">
      <c r="A187">
        <f>IFERROR(__xludf.DUMMYFUNCTION("""COMPUTED_VALUE"""),220.0)</f>
        <v>220</v>
      </c>
      <c r="B187" s="11" t="str">
        <f>IFERROR(__xludf.DUMMYFUNCTION("""COMPUTED_VALUE"""),"It concerns me that an application that I have never used before has my personal information at all.")</f>
        <v>It concerns me that an application that I have never used before has my personal information at all.</v>
      </c>
      <c r="C187" s="11"/>
      <c r="D187" s="11"/>
      <c r="E187" s="11"/>
      <c r="F187" s="11"/>
      <c r="G187" s="11"/>
      <c r="H187" s="11"/>
      <c r="I187" s="11"/>
      <c r="J187" s="11"/>
    </row>
    <row r="188">
      <c r="A188">
        <f>IFERROR(__xludf.DUMMYFUNCTION("""COMPUTED_VALUE"""),221.0)</f>
        <v>221</v>
      </c>
      <c r="B188" s="11" t="str">
        <f>IFERROR(__xludf.DUMMYFUNCTION("""COMPUTED_VALUE"""),"I've never worried about apple invading my privacy")</f>
        <v>I've never worried about apple invading my privacy</v>
      </c>
      <c r="C188" s="11"/>
      <c r="D188" s="11"/>
      <c r="E188" s="11"/>
      <c r="F188" s="11"/>
      <c r="G188" s="11"/>
      <c r="H188" s="11"/>
      <c r="I188" s="11"/>
      <c r="J188" s="11"/>
    </row>
    <row r="189">
      <c r="A189">
        <f>IFERROR(__xludf.DUMMYFUNCTION("""COMPUTED_VALUE"""),222.0)</f>
        <v>222</v>
      </c>
      <c r="B189" s="11"/>
      <c r="C189" s="11"/>
      <c r="D189" s="11"/>
      <c r="E189" s="11"/>
      <c r="F189" s="11"/>
      <c r="G189" s="11"/>
      <c r="H189" s="11"/>
      <c r="I189" s="11"/>
      <c r="J189" s="11"/>
    </row>
    <row r="190">
      <c r="A190">
        <f>IFERROR(__xludf.DUMMYFUNCTION("""COMPUTED_VALUE"""),223.0)</f>
        <v>223</v>
      </c>
      <c r="B190" s="11"/>
      <c r="C190" s="11"/>
      <c r="D190" s="11"/>
      <c r="E190" s="11"/>
      <c r="F190" s="11"/>
      <c r="G190" s="11"/>
      <c r="H190" s="11"/>
      <c r="I190" s="11"/>
      <c r="J190" s="11"/>
    </row>
    <row r="191">
      <c r="A191">
        <f>IFERROR(__xludf.DUMMYFUNCTION("""COMPUTED_VALUE"""),224.0)</f>
        <v>224</v>
      </c>
      <c r="B191" s="11"/>
      <c r="C191" s="11"/>
      <c r="D191" s="11"/>
      <c r="E191" s="11"/>
      <c r="F191" s="11"/>
      <c r="G191" s="11"/>
      <c r="H191" s="11"/>
      <c r="I191" s="11"/>
      <c r="J191" s="11"/>
    </row>
    <row r="192">
      <c r="A192">
        <f>IFERROR(__xludf.DUMMYFUNCTION("""COMPUTED_VALUE"""),225.0)</f>
        <v>225</v>
      </c>
      <c r="B192" s="11" t="str">
        <f>IFERROR(__xludf.DUMMYFUNCTION("""COMPUTED_VALUE"""),"I don't use Dropbox now, but may use it in the future. I have little concern with the app holding these permissions.")</f>
        <v>I don't use Dropbox now, but may use it in the future. I have little concern with the app holding these permissions.</v>
      </c>
      <c r="C192" s="11"/>
      <c r="D192" s="11"/>
      <c r="E192" s="11"/>
      <c r="F192" s="11"/>
      <c r="G192" s="11"/>
      <c r="H192" s="11"/>
      <c r="I192" s="11"/>
      <c r="J192" s="11"/>
    </row>
    <row r="193">
      <c r="A193">
        <f>IFERROR(__xludf.DUMMYFUNCTION("""COMPUTED_VALUE"""),226.0)</f>
        <v>226</v>
      </c>
      <c r="B193" s="11" t="str">
        <f>IFERROR(__xludf.DUMMYFUNCTION("""COMPUTED_VALUE"""),"I'm curious as to why Fetch finds these permissions essential to providing their services to their consumers. I don't think some of them are necessary like access to personal info that I make publicly available.")</f>
        <v>I'm curious as to why Fetch finds these permissions essential to providing their services to their consumers. I don't think some of them are necessary like access to personal info that I make publicly available.</v>
      </c>
      <c r="C193" s="11"/>
      <c r="D193" s="11"/>
      <c r="E193" s="11"/>
      <c r="F193" s="11"/>
      <c r="G193" s="11"/>
      <c r="H193" s="11"/>
      <c r="I193" s="11"/>
      <c r="J193" s="11"/>
    </row>
    <row r="194">
      <c r="A194">
        <f>IFERROR(__xludf.DUMMYFUNCTION("""COMPUTED_VALUE"""),227.0)</f>
        <v>227</v>
      </c>
      <c r="B194" s="11" t="str">
        <f>IFERROR(__xludf.DUMMYFUNCTION("""COMPUTED_VALUE"""),"No concerns really. I don't see why they need my birthday, though.")</f>
        <v>No concerns really. I don't see why they need my birthday, though.</v>
      </c>
      <c r="C194" s="11"/>
      <c r="D194" s="11"/>
      <c r="E194" s="11"/>
      <c r="F194" s="11"/>
      <c r="G194" s="11"/>
      <c r="H194" s="11"/>
      <c r="I194" s="11"/>
      <c r="J194" s="11"/>
    </row>
    <row r="195">
      <c r="A195">
        <f>IFERROR(__xludf.DUMMYFUNCTION("""COMPUTED_VALUE"""),228.0)</f>
        <v>228</v>
      </c>
      <c r="B195" s="11"/>
      <c r="C195" s="11"/>
      <c r="D195" s="11"/>
      <c r="E195" s="11"/>
      <c r="F195" s="11"/>
      <c r="G195" s="11"/>
      <c r="H195" s="11"/>
      <c r="I195" s="11"/>
      <c r="J195" s="11"/>
    </row>
    <row r="196">
      <c r="A196">
        <f>IFERROR(__xludf.DUMMYFUNCTION("""COMPUTED_VALUE"""),229.0)</f>
        <v>229</v>
      </c>
      <c r="B196" s="11"/>
      <c r="C196" s="11"/>
      <c r="D196" s="11"/>
      <c r="E196" s="11"/>
      <c r="F196" s="11"/>
      <c r="G196" s="11"/>
      <c r="H196" s="11"/>
      <c r="I196" s="11"/>
      <c r="J196" s="11"/>
    </row>
    <row r="197">
      <c r="A197">
        <f>IFERROR(__xludf.DUMMYFUNCTION("""COMPUTED_VALUE"""),230.0)</f>
        <v>230</v>
      </c>
      <c r="B197" s="11"/>
      <c r="C197" s="11"/>
      <c r="D197" s="11"/>
      <c r="E197" s="11"/>
      <c r="F197" s="11"/>
      <c r="G197" s="11"/>
      <c r="H197" s="11"/>
      <c r="I197" s="11"/>
      <c r="J197" s="11"/>
    </row>
    <row r="198">
      <c r="A198">
        <f>IFERROR(__xludf.DUMMYFUNCTION("""COMPUTED_VALUE"""),231.0)</f>
        <v>231</v>
      </c>
      <c r="B198" s="11" t="str">
        <f>IFERROR(__xludf.DUMMYFUNCTION("""COMPUTED_VALUE"""),"I don't have any. I have a mac laptop and an apple phone and tablet. I use handoff multiple times a day, and cloud sync. I need my computer to communicate with my phone and tablet.")</f>
        <v>I don't have any. I have a mac laptop and an apple phone and tablet. I use handoff multiple times a day, and cloud sync. I need my computer to communicate with my phone and tablet.</v>
      </c>
      <c r="C198" s="11"/>
      <c r="D198" s="11"/>
      <c r="E198" s="11"/>
      <c r="F198" s="11"/>
      <c r="G198" s="11"/>
      <c r="H198" s="11"/>
      <c r="I198" s="11"/>
      <c r="J198" s="11"/>
    </row>
    <row r="199">
      <c r="A199">
        <f>IFERROR(__xludf.DUMMYFUNCTION("""COMPUTED_VALUE"""),232.0)</f>
        <v>232</v>
      </c>
      <c r="B199" s="11" t="str">
        <f>IFERROR(__xludf.DUMMYFUNCTION("""COMPUTED_VALUE"""),"I don't think this app should use Google Drive for storing config data, and rather save it locally.")</f>
        <v>I don't think this app should use Google Drive for storing config data, and rather save it locally.</v>
      </c>
      <c r="C199" s="11"/>
      <c r="D199" s="11"/>
      <c r="E199" s="11"/>
      <c r="F199" s="11"/>
      <c r="G199" s="11"/>
      <c r="H199" s="11"/>
      <c r="I199" s="11"/>
      <c r="J199" s="11"/>
    </row>
    <row r="200">
      <c r="A200">
        <f>IFERROR(__xludf.DUMMYFUNCTION("""COMPUTED_VALUE"""),233.0)</f>
        <v>233</v>
      </c>
      <c r="B200" s="11" t="str">
        <f>IFERROR(__xludf.DUMMYFUNCTION("""COMPUTED_VALUE"""),"I do not have any concerns.")</f>
        <v>I do not have any concerns.</v>
      </c>
      <c r="C200" s="11"/>
      <c r="D200" s="11"/>
      <c r="E200" s="11"/>
      <c r="F200" s="11"/>
      <c r="G200" s="11"/>
      <c r="H200" s="11"/>
      <c r="I200" s="11"/>
      <c r="J200" s="11"/>
    </row>
    <row r="201">
      <c r="A201">
        <f>IFERROR(__xludf.DUMMYFUNCTION("""COMPUTED_VALUE"""),234.0)</f>
        <v>234</v>
      </c>
      <c r="B201" s="11"/>
      <c r="C201" s="11"/>
      <c r="D201" s="11"/>
      <c r="E201" s="11"/>
      <c r="F201" s="11"/>
      <c r="G201" s="11"/>
      <c r="H201" s="11"/>
      <c r="I201" s="11"/>
      <c r="J201" s="11"/>
    </row>
    <row r="202">
      <c r="A202">
        <f>IFERROR(__xludf.DUMMYFUNCTION("""COMPUTED_VALUE"""),235.0)</f>
        <v>235</v>
      </c>
      <c r="B202" s="11" t="str">
        <f>IFERROR(__xludf.DUMMYFUNCTION("""COMPUTED_VALUE"""),"None")</f>
        <v>None</v>
      </c>
      <c r="C202" s="11"/>
      <c r="D202" s="11"/>
      <c r="E202" s="11"/>
      <c r="F202" s="11"/>
      <c r="G202" s="11"/>
      <c r="H202" s="11"/>
      <c r="I202" s="11"/>
      <c r="J202" s="11"/>
    </row>
    <row r="203">
      <c r="A203">
        <f>IFERROR(__xludf.DUMMYFUNCTION("""COMPUTED_VALUE"""),236.0)</f>
        <v>236</v>
      </c>
      <c r="B203" s="11"/>
      <c r="C203" s="11"/>
      <c r="D203" s="11"/>
      <c r="E203" s="11"/>
      <c r="F203" s="11"/>
      <c r="G203" s="11"/>
      <c r="H203" s="11"/>
      <c r="I203" s="11"/>
      <c r="J203" s="11"/>
    </row>
    <row r="204">
      <c r="A204">
        <f>IFERROR(__xludf.DUMMYFUNCTION("""COMPUTED_VALUE"""),237.0)</f>
        <v>237</v>
      </c>
      <c r="B204" s="11"/>
      <c r="C204" s="11"/>
      <c r="D204" s="11"/>
      <c r="E204" s="11"/>
      <c r="F204" s="11"/>
      <c r="G204" s="11"/>
      <c r="H204" s="11"/>
      <c r="I204" s="11"/>
      <c r="J204" s="11"/>
    </row>
    <row r="205">
      <c r="A205">
        <f>IFERROR(__xludf.DUMMYFUNCTION("""COMPUTED_VALUE"""),238.0)</f>
        <v>238</v>
      </c>
      <c r="B205" s="11" t="str">
        <f>IFERROR(__xludf.DUMMYFUNCTION("""COMPUTED_VALUE"""),"This is one of my favorite features of Todoist. 2-way communication with Google calendar makes things very easier and I can organize things better this way.")</f>
        <v>This is one of my favorite features of Todoist. 2-way communication with Google calendar makes things very easier and I can organize things better this way.</v>
      </c>
      <c r="C205" s="11"/>
      <c r="D205" s="11"/>
      <c r="E205" s="11"/>
      <c r="F205" s="11"/>
      <c r="G205" s="11"/>
      <c r="H205" s="11"/>
      <c r="I205" s="11"/>
      <c r="J205" s="11"/>
    </row>
    <row r="206">
      <c r="A206">
        <f>IFERROR(__xludf.DUMMYFUNCTION("""COMPUTED_VALUE"""),239.0)</f>
        <v>239</v>
      </c>
      <c r="B206" s="11"/>
      <c r="C206" s="11"/>
      <c r="D206" s="11"/>
      <c r="E206" s="11"/>
      <c r="F206" s="11"/>
      <c r="G206" s="11"/>
      <c r="H206" s="11"/>
      <c r="I206" s="11"/>
      <c r="J206" s="11"/>
    </row>
    <row r="207">
      <c r="A207">
        <f>IFERROR(__xludf.DUMMYFUNCTION("""COMPUTED_VALUE"""),240.0)</f>
        <v>240</v>
      </c>
      <c r="B207" s="11"/>
      <c r="C207" s="11"/>
      <c r="D207" s="11"/>
      <c r="E207" s="11"/>
      <c r="F207" s="11"/>
      <c r="G207" s="11"/>
      <c r="H207" s="11"/>
      <c r="I207" s="11"/>
      <c r="J207" s="11"/>
    </row>
    <row r="208">
      <c r="A208">
        <f>IFERROR(__xludf.DUMMYFUNCTION("""COMPUTED_VALUE"""),241.0)</f>
        <v>241</v>
      </c>
      <c r="B208" s="11"/>
      <c r="C208" s="11"/>
      <c r="D208" s="11"/>
      <c r="E208" s="11"/>
      <c r="F208" s="11"/>
      <c r="G208" s="11"/>
      <c r="H208" s="11"/>
      <c r="I208" s="11"/>
      <c r="J208" s="11"/>
    </row>
    <row r="209">
      <c r="A209">
        <f>IFERROR(__xludf.DUMMYFUNCTION("""COMPUTED_VALUE"""),242.0)</f>
        <v>242</v>
      </c>
      <c r="B209" s="11"/>
      <c r="C209" s="11"/>
      <c r="D209" s="11"/>
      <c r="E209" s="11"/>
      <c r="F209" s="11"/>
      <c r="G209" s="11"/>
      <c r="H209" s="11"/>
      <c r="I209" s="11"/>
      <c r="J209" s="11"/>
    </row>
    <row r="210">
      <c r="A210">
        <f>IFERROR(__xludf.DUMMYFUNCTION("""COMPUTED_VALUE"""),243.0)</f>
        <v>243</v>
      </c>
      <c r="B210" s="11" t="str">
        <f>IFERROR(__xludf.DUMMYFUNCTION("""COMPUTED_VALUE"""),"I am not sure why it needs to see my email")</f>
        <v>I am not sure why it needs to see my email</v>
      </c>
      <c r="C210" s="11"/>
      <c r="D210" s="11"/>
      <c r="E210" s="11"/>
      <c r="F210" s="11"/>
      <c r="G210" s="11"/>
      <c r="H210" s="11"/>
      <c r="I210" s="11"/>
      <c r="J210" s="11"/>
    </row>
    <row r="211">
      <c r="A211">
        <f>IFERROR(__xludf.DUMMYFUNCTION("""COMPUTED_VALUE"""),244.0)</f>
        <v>244</v>
      </c>
      <c r="B211" s="11"/>
      <c r="C211" s="11"/>
      <c r="D211" s="11"/>
      <c r="E211" s="11"/>
      <c r="F211" s="11"/>
      <c r="G211" s="11"/>
      <c r="H211" s="11"/>
      <c r="I211" s="11"/>
      <c r="J211" s="11"/>
    </row>
    <row r="212">
      <c r="A212">
        <f>IFERROR(__xludf.DUMMYFUNCTION("""COMPUTED_VALUE"""),245.0)</f>
        <v>245</v>
      </c>
      <c r="B212" s="11" t="str">
        <f>IFERROR(__xludf.DUMMYFUNCTION("""COMPUTED_VALUE"""),"Don't remember giving access")</f>
        <v>Don't remember giving access</v>
      </c>
      <c r="C212" s="11"/>
      <c r="D212" s="11"/>
      <c r="E212" s="11"/>
      <c r="F212" s="11"/>
      <c r="G212" s="11"/>
      <c r="H212" s="11"/>
      <c r="I212" s="11"/>
      <c r="J212" s="11"/>
    </row>
    <row r="213">
      <c r="A213">
        <f>IFERROR(__xludf.DUMMYFUNCTION("""COMPUTED_VALUE"""),246.0)</f>
        <v>246</v>
      </c>
      <c r="B213" s="11"/>
      <c r="C213" s="11"/>
      <c r="D213" s="11"/>
      <c r="E213" s="11"/>
      <c r="F213" s="11"/>
      <c r="G213" s="11"/>
      <c r="H213" s="11"/>
      <c r="I213" s="11"/>
      <c r="J213" s="11"/>
    </row>
    <row r="214">
      <c r="A214">
        <f>IFERROR(__xludf.DUMMYFUNCTION("""COMPUTED_VALUE"""),247.0)</f>
        <v>247</v>
      </c>
      <c r="B214" s="11"/>
      <c r="C214" s="11"/>
      <c r="D214" s="11"/>
      <c r="E214" s="11"/>
      <c r="F214" s="11"/>
      <c r="G214" s="11"/>
      <c r="H214" s="11"/>
      <c r="I214" s="11"/>
      <c r="J214" s="11"/>
    </row>
    <row r="215">
      <c r="A215">
        <f>IFERROR(__xludf.DUMMYFUNCTION("""COMPUTED_VALUE"""),248.0)</f>
        <v>248</v>
      </c>
      <c r="B215" s="11"/>
      <c r="C215" s="11"/>
      <c r="D215" s="11"/>
      <c r="E215" s="11"/>
      <c r="F215" s="11"/>
      <c r="G215" s="11"/>
      <c r="H215" s="11"/>
      <c r="I215" s="11"/>
      <c r="J215" s="11"/>
    </row>
    <row r="216">
      <c r="B216" s="11"/>
      <c r="C216" s="11"/>
      <c r="D216" s="11"/>
      <c r="E216" s="11"/>
      <c r="F216" s="11"/>
      <c r="G216" s="11"/>
      <c r="H216" s="11"/>
      <c r="I216" s="11"/>
      <c r="J216" s="11"/>
    </row>
    <row r="217">
      <c r="B217" s="11"/>
      <c r="C217" s="11"/>
      <c r="D217" s="11"/>
      <c r="E217" s="11"/>
      <c r="F217" s="11"/>
      <c r="G217" s="11"/>
      <c r="H217" s="11"/>
      <c r="I217" s="11"/>
      <c r="J217" s="11"/>
    </row>
    <row r="218">
      <c r="B218" s="11"/>
      <c r="C218" s="11"/>
      <c r="D218" s="11"/>
      <c r="E218" s="11"/>
      <c r="F218" s="11"/>
      <c r="G218" s="11"/>
      <c r="H218" s="11"/>
      <c r="I218" s="11"/>
      <c r="J218" s="11"/>
    </row>
    <row r="219">
      <c r="B219" s="11"/>
      <c r="C219" s="11"/>
      <c r="D219" s="11"/>
      <c r="E219" s="11"/>
      <c r="F219" s="11"/>
      <c r="G219" s="11"/>
      <c r="H219" s="11"/>
      <c r="I219" s="11"/>
      <c r="J219" s="11"/>
    </row>
    <row r="220">
      <c r="B220" s="11"/>
      <c r="C220" s="11"/>
      <c r="D220" s="11"/>
      <c r="E220" s="11"/>
      <c r="F220" s="11"/>
      <c r="G220" s="11"/>
      <c r="H220" s="11"/>
      <c r="I220" s="11"/>
      <c r="J220" s="11"/>
    </row>
    <row r="221">
      <c r="B221" s="11"/>
      <c r="C221" s="11"/>
      <c r="D221" s="11"/>
      <c r="E221" s="11"/>
      <c r="F221" s="11"/>
      <c r="G221" s="11"/>
      <c r="H221" s="11"/>
      <c r="I221" s="11"/>
      <c r="J221" s="11"/>
    </row>
    <row r="222">
      <c r="B222" s="11"/>
      <c r="C222" s="11"/>
      <c r="D222" s="11"/>
      <c r="E222" s="11"/>
      <c r="F222" s="11"/>
      <c r="G222" s="11"/>
      <c r="H222" s="11"/>
      <c r="I222" s="11"/>
      <c r="J222" s="11"/>
    </row>
    <row r="223">
      <c r="B223" s="11"/>
      <c r="C223" s="11"/>
      <c r="D223" s="11"/>
      <c r="E223" s="11"/>
      <c r="F223" s="11"/>
      <c r="G223" s="11"/>
      <c r="H223" s="11"/>
      <c r="I223" s="11"/>
      <c r="J223" s="11"/>
    </row>
    <row r="224">
      <c r="B224" s="11"/>
      <c r="C224" s="11"/>
      <c r="D224" s="11"/>
      <c r="E224" s="11"/>
      <c r="F224" s="11"/>
      <c r="G224" s="11"/>
      <c r="H224" s="11"/>
      <c r="I224" s="11"/>
      <c r="J224" s="11"/>
    </row>
    <row r="225">
      <c r="B225" s="11"/>
      <c r="C225" s="11"/>
      <c r="D225" s="11"/>
      <c r="E225" s="11"/>
      <c r="F225" s="11"/>
      <c r="G225" s="11"/>
      <c r="H225" s="11"/>
      <c r="I225" s="11"/>
      <c r="J225" s="11"/>
    </row>
    <row r="226">
      <c r="B226" s="11"/>
      <c r="C226" s="11"/>
      <c r="D226" s="11"/>
      <c r="E226" s="11"/>
      <c r="F226" s="11"/>
      <c r="G226" s="11"/>
      <c r="H226" s="11"/>
      <c r="I226" s="11"/>
      <c r="J226" s="11"/>
    </row>
    <row r="227">
      <c r="B227" s="11"/>
      <c r="C227" s="11"/>
      <c r="D227" s="11"/>
      <c r="E227" s="11"/>
      <c r="F227" s="11"/>
      <c r="G227" s="11"/>
      <c r="H227" s="11"/>
      <c r="I227" s="11"/>
      <c r="J227" s="11"/>
    </row>
    <row r="228">
      <c r="B228" s="11"/>
      <c r="C228" s="11"/>
      <c r="D228" s="11"/>
      <c r="E228" s="11"/>
      <c r="F228" s="11"/>
      <c r="G228" s="11"/>
      <c r="H228" s="11"/>
      <c r="I228" s="11"/>
      <c r="J228" s="11"/>
    </row>
    <row r="229">
      <c r="B229" s="11"/>
      <c r="C229" s="11"/>
      <c r="D229" s="11"/>
      <c r="E229" s="11"/>
      <c r="F229" s="11"/>
      <c r="G229" s="11"/>
      <c r="H229" s="11"/>
      <c r="I229" s="11"/>
      <c r="J229" s="11"/>
    </row>
    <row r="230">
      <c r="B230" s="11"/>
      <c r="C230" s="11"/>
      <c r="D230" s="11"/>
      <c r="E230" s="11"/>
      <c r="F230" s="11"/>
      <c r="G230" s="11"/>
      <c r="H230" s="11"/>
      <c r="I230" s="11"/>
      <c r="J230" s="11"/>
    </row>
    <row r="231">
      <c r="B231" s="11"/>
      <c r="C231" s="11"/>
      <c r="D231" s="11"/>
      <c r="E231" s="11"/>
      <c r="F231" s="11"/>
      <c r="G231" s="11"/>
      <c r="H231" s="11"/>
      <c r="I231" s="11"/>
      <c r="J231" s="11"/>
    </row>
    <row r="232">
      <c r="B232" s="11"/>
      <c r="C232" s="11"/>
      <c r="D232" s="11"/>
      <c r="E232" s="11"/>
      <c r="F232" s="11"/>
      <c r="G232" s="11"/>
      <c r="H232" s="11"/>
      <c r="I232" s="11"/>
      <c r="J232" s="11"/>
    </row>
    <row r="233">
      <c r="B233" s="11"/>
      <c r="C233" s="11"/>
      <c r="D233" s="11"/>
      <c r="E233" s="11"/>
      <c r="F233" s="11"/>
      <c r="G233" s="11"/>
      <c r="H233" s="11"/>
      <c r="I233" s="11"/>
      <c r="J233" s="11"/>
    </row>
    <row r="234">
      <c r="B234" s="11"/>
      <c r="C234" s="11"/>
      <c r="D234" s="11"/>
      <c r="E234" s="11"/>
      <c r="F234" s="11"/>
      <c r="G234" s="11"/>
      <c r="H234" s="11"/>
      <c r="I234" s="11"/>
      <c r="J234" s="11"/>
    </row>
    <row r="235">
      <c r="B235" s="11"/>
      <c r="C235" s="11"/>
      <c r="D235" s="11"/>
      <c r="E235" s="11"/>
      <c r="F235" s="11"/>
      <c r="G235" s="11"/>
      <c r="H235" s="11"/>
      <c r="I235" s="11"/>
      <c r="J235" s="11"/>
    </row>
    <row r="236">
      <c r="B236" s="11"/>
      <c r="C236" s="11"/>
      <c r="D236" s="11"/>
      <c r="E236" s="11"/>
      <c r="F236" s="11"/>
      <c r="G236" s="11"/>
      <c r="H236" s="11"/>
      <c r="I236" s="11"/>
      <c r="J236" s="11"/>
    </row>
    <row r="237">
      <c r="B237" s="11"/>
      <c r="C237" s="11"/>
      <c r="D237" s="11"/>
      <c r="E237" s="11"/>
      <c r="F237" s="11"/>
      <c r="G237" s="11"/>
      <c r="H237" s="11"/>
      <c r="I237" s="11"/>
      <c r="J237" s="11"/>
    </row>
    <row r="238">
      <c r="B238" s="11"/>
      <c r="C238" s="11"/>
      <c r="D238" s="11"/>
      <c r="E238" s="11"/>
      <c r="F238" s="11"/>
      <c r="G238" s="11"/>
      <c r="H238" s="11"/>
      <c r="I238" s="11"/>
      <c r="J238" s="11"/>
    </row>
    <row r="239">
      <c r="B239" s="11"/>
      <c r="C239" s="11"/>
      <c r="D239" s="11"/>
      <c r="E239" s="11"/>
      <c r="F239" s="11"/>
      <c r="G239" s="11"/>
      <c r="H239" s="11"/>
      <c r="I239" s="11"/>
      <c r="J239" s="11"/>
    </row>
    <row r="240">
      <c r="B240" s="11"/>
      <c r="C240" s="11"/>
      <c r="D240" s="11"/>
      <c r="E240" s="11"/>
      <c r="F240" s="11"/>
      <c r="G240" s="11"/>
      <c r="H240" s="11"/>
      <c r="I240" s="11"/>
      <c r="J240" s="11"/>
    </row>
    <row r="241">
      <c r="B241" s="11"/>
      <c r="C241" s="11"/>
      <c r="D241" s="11"/>
      <c r="E241" s="11"/>
      <c r="F241" s="11"/>
      <c r="G241" s="11"/>
      <c r="H241" s="11"/>
      <c r="I241" s="11"/>
      <c r="J241" s="11"/>
    </row>
    <row r="242">
      <c r="B242" s="11"/>
      <c r="C242" s="11"/>
      <c r="D242" s="11"/>
      <c r="E242" s="11"/>
      <c r="F242" s="11"/>
      <c r="G242" s="11"/>
      <c r="H242" s="11"/>
      <c r="I242" s="11"/>
      <c r="J242" s="11"/>
    </row>
    <row r="243">
      <c r="B243" s="11"/>
      <c r="C243" s="11"/>
      <c r="D243" s="11"/>
      <c r="E243" s="11"/>
      <c r="F243" s="11"/>
      <c r="G243" s="11"/>
      <c r="H243" s="11"/>
      <c r="I243" s="11"/>
      <c r="J243" s="11"/>
    </row>
    <row r="244">
      <c r="B244" s="11"/>
      <c r="C244" s="11"/>
      <c r="D244" s="11"/>
      <c r="E244" s="11"/>
      <c r="F244" s="11"/>
      <c r="G244" s="11"/>
      <c r="H244" s="11"/>
      <c r="I244" s="11"/>
      <c r="J244" s="11"/>
    </row>
    <row r="245">
      <c r="B245" s="11"/>
      <c r="C245" s="11"/>
      <c r="D245" s="11"/>
      <c r="E245" s="11"/>
      <c r="F245" s="11"/>
      <c r="G245" s="11"/>
      <c r="H245" s="11"/>
      <c r="I245" s="11"/>
      <c r="J245" s="11"/>
    </row>
    <row r="246">
      <c r="B246" s="11"/>
      <c r="C246" s="11"/>
      <c r="D246" s="11"/>
      <c r="E246" s="11"/>
      <c r="F246" s="11"/>
      <c r="G246" s="11"/>
      <c r="H246" s="11"/>
      <c r="I246" s="11"/>
      <c r="J246" s="11"/>
    </row>
    <row r="247">
      <c r="B247" s="11"/>
      <c r="C247" s="11"/>
      <c r="D247" s="11"/>
      <c r="E247" s="11"/>
      <c r="F247" s="11"/>
      <c r="G247" s="11"/>
      <c r="H247" s="11"/>
      <c r="I247" s="11"/>
      <c r="J247" s="11"/>
    </row>
    <row r="248">
      <c r="B248" s="11"/>
      <c r="C248" s="11"/>
      <c r="D248" s="11"/>
      <c r="E248" s="11"/>
      <c r="F248" s="11"/>
      <c r="G248" s="11"/>
      <c r="H248" s="11"/>
      <c r="I248" s="11"/>
      <c r="J248" s="11"/>
    </row>
    <row r="249">
      <c r="B249" s="11"/>
      <c r="C249" s="11"/>
      <c r="D249" s="11"/>
      <c r="E249" s="11"/>
      <c r="F249" s="11"/>
      <c r="G249" s="11"/>
      <c r="H249" s="11"/>
      <c r="I249" s="11"/>
      <c r="J249" s="11"/>
    </row>
    <row r="250">
      <c r="B250" s="11"/>
      <c r="C250" s="11"/>
      <c r="D250" s="11"/>
      <c r="E250" s="11"/>
      <c r="F250" s="11"/>
      <c r="G250" s="11"/>
      <c r="H250" s="11"/>
      <c r="I250" s="11"/>
      <c r="J250" s="11"/>
    </row>
    <row r="251">
      <c r="B251" s="11"/>
      <c r="C251" s="11"/>
      <c r="D251" s="11"/>
      <c r="E251" s="11"/>
      <c r="F251" s="11"/>
      <c r="G251" s="11"/>
      <c r="H251" s="11"/>
      <c r="I251" s="11"/>
      <c r="J251" s="11"/>
    </row>
    <row r="252">
      <c r="B252" s="11"/>
      <c r="C252" s="11"/>
      <c r="D252" s="11"/>
      <c r="E252" s="11"/>
      <c r="F252" s="11"/>
      <c r="G252" s="11"/>
      <c r="H252" s="11"/>
      <c r="I252" s="11"/>
      <c r="J252" s="11"/>
    </row>
    <row r="253">
      <c r="B253" s="11"/>
      <c r="C253" s="11"/>
      <c r="D253" s="11"/>
      <c r="E253" s="11"/>
      <c r="F253" s="11"/>
      <c r="G253" s="11"/>
      <c r="H253" s="11"/>
      <c r="I253" s="11"/>
      <c r="J253" s="11"/>
    </row>
    <row r="254">
      <c r="B254" s="11"/>
      <c r="C254" s="11"/>
      <c r="D254" s="11"/>
      <c r="E254" s="11"/>
      <c r="F254" s="11"/>
      <c r="G254" s="11"/>
      <c r="H254" s="11"/>
      <c r="I254" s="11"/>
      <c r="J254" s="11"/>
    </row>
    <row r="255">
      <c r="B255" s="11"/>
      <c r="C255" s="11"/>
      <c r="D255" s="11"/>
      <c r="E255" s="11"/>
      <c r="F255" s="11"/>
      <c r="G255" s="11"/>
      <c r="H255" s="11"/>
      <c r="I255" s="11"/>
      <c r="J255" s="11"/>
    </row>
    <row r="256">
      <c r="B256" s="11"/>
      <c r="C256" s="11"/>
      <c r="D256" s="11"/>
      <c r="E256" s="11"/>
      <c r="F256" s="11"/>
      <c r="G256" s="11"/>
      <c r="H256" s="11"/>
      <c r="I256" s="11"/>
      <c r="J256" s="11"/>
    </row>
    <row r="257">
      <c r="B257" s="11"/>
      <c r="C257" s="11"/>
      <c r="D257" s="11"/>
      <c r="E257" s="11"/>
      <c r="F257" s="11"/>
      <c r="G257" s="11"/>
      <c r="H257" s="11"/>
      <c r="I257" s="11"/>
      <c r="J257" s="11"/>
    </row>
    <row r="258">
      <c r="B258" s="11"/>
      <c r="C258" s="11"/>
      <c r="D258" s="11"/>
      <c r="E258" s="11"/>
      <c r="F258" s="11"/>
      <c r="G258" s="11"/>
      <c r="H258" s="11"/>
      <c r="I258" s="11"/>
      <c r="J258" s="11"/>
    </row>
    <row r="259">
      <c r="B259" s="11"/>
      <c r="C259" s="11"/>
      <c r="D259" s="11"/>
      <c r="E259" s="11"/>
      <c r="F259" s="11"/>
      <c r="G259" s="11"/>
      <c r="H259" s="11"/>
      <c r="I259" s="11"/>
      <c r="J259" s="11"/>
    </row>
    <row r="260">
      <c r="B260" s="11"/>
      <c r="C260" s="11"/>
      <c r="D260" s="11"/>
      <c r="E260" s="11"/>
      <c r="F260" s="11"/>
      <c r="G260" s="11"/>
      <c r="H260" s="11"/>
      <c r="I260" s="11"/>
      <c r="J260" s="11"/>
    </row>
    <row r="261">
      <c r="B261" s="11"/>
      <c r="C261" s="11"/>
      <c r="D261" s="11"/>
      <c r="E261" s="11"/>
      <c r="F261" s="11"/>
      <c r="G261" s="11"/>
      <c r="H261" s="11"/>
      <c r="I261" s="11"/>
      <c r="J261" s="11"/>
    </row>
    <row r="262">
      <c r="B262" s="11"/>
      <c r="C262" s="11"/>
      <c r="D262" s="11"/>
      <c r="E262" s="11"/>
      <c r="F262" s="11"/>
      <c r="G262" s="11"/>
      <c r="H262" s="11"/>
      <c r="I262" s="11"/>
      <c r="J262" s="11"/>
    </row>
    <row r="263">
      <c r="B263" s="11"/>
      <c r="C263" s="11"/>
      <c r="D263" s="11"/>
      <c r="E263" s="11"/>
      <c r="F263" s="11"/>
      <c r="G263" s="11"/>
      <c r="H263" s="11"/>
      <c r="I263" s="11"/>
      <c r="J263" s="11"/>
    </row>
    <row r="264">
      <c r="B264" s="11"/>
      <c r="C264" s="11"/>
      <c r="D264" s="11"/>
      <c r="E264" s="11"/>
      <c r="F264" s="11"/>
      <c r="G264" s="11"/>
      <c r="H264" s="11"/>
      <c r="I264" s="11"/>
      <c r="J264" s="11"/>
    </row>
    <row r="265">
      <c r="B265" s="11"/>
      <c r="C265" s="11"/>
      <c r="D265" s="11"/>
      <c r="E265" s="11"/>
      <c r="F265" s="11"/>
      <c r="G265" s="11"/>
      <c r="H265" s="11"/>
      <c r="I265" s="11"/>
      <c r="J265" s="11"/>
    </row>
    <row r="266">
      <c r="B266" s="11"/>
      <c r="C266" s="11"/>
      <c r="D266" s="11"/>
      <c r="E266" s="11"/>
      <c r="F266" s="11"/>
      <c r="G266" s="11"/>
      <c r="H266" s="11"/>
      <c r="I266" s="11"/>
      <c r="J266" s="11"/>
    </row>
    <row r="267">
      <c r="B267" s="11"/>
      <c r="C267" s="11"/>
      <c r="D267" s="11"/>
      <c r="E267" s="11"/>
      <c r="F267" s="11"/>
      <c r="G267" s="11"/>
      <c r="H267" s="11"/>
      <c r="I267" s="11"/>
      <c r="J267" s="11"/>
    </row>
    <row r="268">
      <c r="B268" s="11"/>
      <c r="C268" s="11"/>
      <c r="D268" s="11"/>
      <c r="E268" s="11"/>
      <c r="F268" s="11"/>
      <c r="G268" s="11"/>
      <c r="H268" s="11"/>
      <c r="I268" s="11"/>
      <c r="J268" s="11"/>
    </row>
    <row r="269">
      <c r="B269" s="11"/>
      <c r="C269" s="11"/>
      <c r="D269" s="11"/>
      <c r="E269" s="11"/>
      <c r="F269" s="11"/>
      <c r="G269" s="11"/>
      <c r="H269" s="11"/>
      <c r="I269" s="11"/>
      <c r="J269" s="11"/>
    </row>
    <row r="270">
      <c r="B270" s="11"/>
      <c r="C270" s="11"/>
      <c r="D270" s="11"/>
      <c r="E270" s="11"/>
      <c r="F270" s="11"/>
      <c r="G270" s="11"/>
      <c r="H270" s="11"/>
      <c r="I270" s="11"/>
      <c r="J270" s="11"/>
    </row>
    <row r="271">
      <c r="B271" s="11"/>
      <c r="C271" s="11"/>
      <c r="D271" s="11"/>
      <c r="E271" s="11"/>
      <c r="F271" s="11"/>
      <c r="G271" s="11"/>
      <c r="H271" s="11"/>
      <c r="I271" s="11"/>
      <c r="J271" s="11"/>
    </row>
    <row r="272">
      <c r="B272" s="11"/>
      <c r="C272" s="11"/>
      <c r="D272" s="11"/>
      <c r="E272" s="11"/>
      <c r="F272" s="11"/>
      <c r="G272" s="11"/>
      <c r="H272" s="11"/>
      <c r="I272" s="11"/>
      <c r="J272" s="11"/>
    </row>
    <row r="273">
      <c r="B273" s="11"/>
      <c r="C273" s="11"/>
      <c r="D273" s="11"/>
      <c r="E273" s="11"/>
      <c r="F273" s="11"/>
      <c r="G273" s="11"/>
      <c r="H273" s="11"/>
      <c r="I273" s="11"/>
      <c r="J273" s="11"/>
    </row>
    <row r="274">
      <c r="B274" s="11"/>
      <c r="C274" s="11"/>
      <c r="D274" s="11"/>
      <c r="E274" s="11"/>
      <c r="F274" s="11"/>
      <c r="G274" s="11"/>
      <c r="H274" s="11"/>
      <c r="I274" s="11"/>
      <c r="J274" s="11"/>
    </row>
    <row r="275">
      <c r="B275" s="11"/>
      <c r="C275" s="11"/>
      <c r="D275" s="11"/>
      <c r="E275" s="11"/>
      <c r="F275" s="11"/>
      <c r="G275" s="11"/>
      <c r="H275" s="11"/>
      <c r="I275" s="11"/>
      <c r="J275" s="11"/>
    </row>
    <row r="276">
      <c r="B276" s="11"/>
      <c r="C276" s="11"/>
      <c r="D276" s="11"/>
      <c r="E276" s="11"/>
      <c r="F276" s="11"/>
      <c r="G276" s="11"/>
      <c r="H276" s="11"/>
      <c r="I276" s="11"/>
      <c r="J276" s="11"/>
    </row>
    <row r="277">
      <c r="B277" s="11"/>
      <c r="C277" s="11"/>
      <c r="D277" s="11"/>
      <c r="E277" s="11"/>
      <c r="F277" s="11"/>
      <c r="G277" s="11"/>
      <c r="H277" s="11"/>
      <c r="I277" s="11"/>
      <c r="J277" s="11"/>
    </row>
    <row r="278">
      <c r="B278" s="11"/>
      <c r="C278" s="11"/>
      <c r="D278" s="11"/>
      <c r="E278" s="11"/>
      <c r="F278" s="11"/>
      <c r="G278" s="11"/>
      <c r="H278" s="11"/>
      <c r="I278" s="11"/>
      <c r="J278" s="11"/>
    </row>
    <row r="279">
      <c r="B279" s="11"/>
      <c r="C279" s="11"/>
      <c r="D279" s="11"/>
      <c r="E279" s="11"/>
      <c r="F279" s="11"/>
      <c r="G279" s="11"/>
      <c r="H279" s="11"/>
      <c r="I279" s="11"/>
      <c r="J279" s="11"/>
    </row>
    <row r="280">
      <c r="B280" s="11"/>
      <c r="C280" s="11"/>
      <c r="D280" s="11"/>
      <c r="E280" s="11"/>
      <c r="F280" s="11"/>
      <c r="G280" s="11"/>
      <c r="H280" s="11"/>
      <c r="I280" s="11"/>
      <c r="J280" s="11"/>
    </row>
    <row r="281">
      <c r="B281" s="11"/>
      <c r="C281" s="11"/>
      <c r="D281" s="11"/>
      <c r="E281" s="11"/>
      <c r="F281" s="11"/>
      <c r="G281" s="11"/>
      <c r="H281" s="11"/>
      <c r="I281" s="11"/>
      <c r="J281" s="11"/>
    </row>
    <row r="282">
      <c r="B282" s="11"/>
      <c r="C282" s="11"/>
      <c r="D282" s="11"/>
      <c r="E282" s="11"/>
      <c r="F282" s="11"/>
      <c r="G282" s="11"/>
      <c r="H282" s="11"/>
      <c r="I282" s="11"/>
      <c r="J282" s="11"/>
    </row>
    <row r="283">
      <c r="B283" s="11"/>
      <c r="C283" s="11"/>
      <c r="D283" s="11"/>
      <c r="E283" s="11"/>
      <c r="F283" s="11"/>
      <c r="G283" s="11"/>
      <c r="H283" s="11"/>
      <c r="I283" s="11"/>
      <c r="J283" s="11"/>
    </row>
    <row r="284">
      <c r="B284" s="11"/>
      <c r="C284" s="11"/>
      <c r="D284" s="11"/>
      <c r="E284" s="11"/>
      <c r="F284" s="11"/>
      <c r="G284" s="11"/>
      <c r="H284" s="11"/>
      <c r="I284" s="11"/>
      <c r="J284" s="11"/>
    </row>
    <row r="285">
      <c r="B285" s="11"/>
      <c r="C285" s="11"/>
      <c r="D285" s="11"/>
      <c r="E285" s="11"/>
      <c r="F285" s="11"/>
      <c r="G285" s="11"/>
      <c r="H285" s="11"/>
      <c r="I285" s="11"/>
      <c r="J285" s="11"/>
    </row>
    <row r="286">
      <c r="B286" s="11"/>
      <c r="C286" s="11"/>
      <c r="D286" s="11"/>
      <c r="E286" s="11"/>
      <c r="F286" s="11"/>
      <c r="G286" s="11"/>
      <c r="H286" s="11"/>
      <c r="I286" s="11"/>
      <c r="J286" s="11"/>
    </row>
    <row r="287">
      <c r="B287" s="11"/>
      <c r="C287" s="11"/>
      <c r="D287" s="11"/>
      <c r="E287" s="11"/>
      <c r="F287" s="11"/>
      <c r="G287" s="11"/>
      <c r="H287" s="11"/>
      <c r="I287" s="11"/>
      <c r="J287" s="11"/>
    </row>
    <row r="288">
      <c r="B288" s="11"/>
      <c r="C288" s="11"/>
      <c r="D288" s="11"/>
      <c r="E288" s="11"/>
      <c r="F288" s="11"/>
      <c r="G288" s="11"/>
      <c r="H288" s="11"/>
      <c r="I288" s="11"/>
      <c r="J288" s="11"/>
    </row>
    <row r="289">
      <c r="B289" s="11"/>
      <c r="C289" s="11"/>
      <c r="D289" s="11"/>
      <c r="E289" s="11"/>
      <c r="F289" s="11"/>
      <c r="G289" s="11"/>
      <c r="H289" s="11"/>
      <c r="I289" s="11"/>
      <c r="J289" s="11"/>
    </row>
    <row r="290">
      <c r="B290" s="11"/>
      <c r="C290" s="11"/>
      <c r="D290" s="11"/>
      <c r="E290" s="11"/>
      <c r="F290" s="11"/>
      <c r="G290" s="11"/>
      <c r="H290" s="11"/>
      <c r="I290" s="11"/>
      <c r="J290" s="11"/>
    </row>
    <row r="291">
      <c r="B291" s="11"/>
      <c r="C291" s="11"/>
      <c r="D291" s="11"/>
      <c r="E291" s="11"/>
      <c r="F291" s="11"/>
      <c r="G291" s="11"/>
      <c r="H291" s="11"/>
      <c r="I291" s="11"/>
      <c r="J291" s="11"/>
    </row>
    <row r="292">
      <c r="B292" s="11"/>
      <c r="C292" s="11"/>
      <c r="D292" s="11"/>
      <c r="E292" s="11"/>
      <c r="F292" s="11"/>
      <c r="G292" s="11"/>
      <c r="H292" s="11"/>
      <c r="I292" s="11"/>
      <c r="J292" s="11"/>
    </row>
    <row r="293">
      <c r="B293" s="11"/>
      <c r="C293" s="11"/>
      <c r="D293" s="11"/>
      <c r="E293" s="11"/>
      <c r="F293" s="11"/>
      <c r="G293" s="11"/>
      <c r="H293" s="11"/>
      <c r="I293" s="11"/>
      <c r="J293" s="11"/>
    </row>
    <row r="294">
      <c r="B294" s="11"/>
      <c r="C294" s="11"/>
      <c r="D294" s="11"/>
      <c r="E294" s="11"/>
      <c r="F294" s="11"/>
      <c r="G294" s="11"/>
      <c r="H294" s="11"/>
      <c r="I294" s="11"/>
      <c r="J294" s="11"/>
    </row>
    <row r="295">
      <c r="B295" s="11"/>
      <c r="C295" s="11"/>
      <c r="D295" s="11"/>
      <c r="E295" s="11"/>
      <c r="F295" s="11"/>
      <c r="G295" s="11"/>
      <c r="H295" s="11"/>
      <c r="I295" s="11"/>
      <c r="J295" s="11"/>
    </row>
    <row r="296">
      <c r="B296" s="11"/>
      <c r="C296" s="11"/>
      <c r="D296" s="11"/>
      <c r="E296" s="11"/>
      <c r="F296" s="11"/>
      <c r="G296" s="11"/>
      <c r="H296" s="11"/>
      <c r="I296" s="11"/>
      <c r="J296" s="11"/>
    </row>
    <row r="297">
      <c r="B297" s="11"/>
      <c r="C297" s="11"/>
      <c r="D297" s="11"/>
      <c r="E297" s="11"/>
      <c r="F297" s="11"/>
      <c r="G297" s="11"/>
      <c r="H297" s="11"/>
      <c r="I297" s="11"/>
      <c r="J297" s="11"/>
    </row>
    <row r="298">
      <c r="B298" s="11"/>
      <c r="C298" s="11"/>
      <c r="D298" s="11"/>
      <c r="E298" s="11"/>
      <c r="F298" s="11"/>
      <c r="G298" s="11"/>
      <c r="H298" s="11"/>
      <c r="I298" s="11"/>
      <c r="J298" s="11"/>
    </row>
    <row r="299">
      <c r="B299" s="11"/>
      <c r="C299" s="11"/>
      <c r="D299" s="11"/>
      <c r="E299" s="11"/>
      <c r="F299" s="11"/>
      <c r="G299" s="11"/>
      <c r="H299" s="11"/>
      <c r="I299" s="11"/>
      <c r="J299" s="11"/>
    </row>
    <row r="300">
      <c r="B300" s="11"/>
      <c r="C300" s="11"/>
      <c r="D300" s="11"/>
      <c r="E300" s="11"/>
      <c r="F300" s="11"/>
      <c r="G300" s="11"/>
      <c r="H300" s="11"/>
      <c r="I300" s="11"/>
      <c r="J300" s="11"/>
    </row>
    <row r="301">
      <c r="B301" s="11"/>
      <c r="C301" s="11"/>
      <c r="D301" s="11"/>
      <c r="E301" s="11"/>
      <c r="F301" s="11"/>
      <c r="G301" s="11"/>
      <c r="H301" s="11"/>
      <c r="I301" s="11"/>
      <c r="J301" s="11"/>
    </row>
    <row r="302">
      <c r="B302" s="11"/>
      <c r="C302" s="11"/>
      <c r="D302" s="11"/>
      <c r="E302" s="11"/>
      <c r="F302" s="11"/>
      <c r="G302" s="11"/>
      <c r="H302" s="11"/>
      <c r="I302" s="11"/>
      <c r="J302" s="11"/>
    </row>
    <row r="303">
      <c r="B303" s="11"/>
      <c r="C303" s="11"/>
      <c r="D303" s="11"/>
      <c r="E303" s="11"/>
      <c r="F303" s="11"/>
      <c r="G303" s="11"/>
      <c r="H303" s="11"/>
      <c r="I303" s="11"/>
      <c r="J303" s="11"/>
    </row>
    <row r="304">
      <c r="B304" s="11"/>
      <c r="C304" s="11"/>
      <c r="D304" s="11"/>
      <c r="E304" s="11"/>
      <c r="F304" s="11"/>
      <c r="G304" s="11"/>
      <c r="H304" s="11"/>
      <c r="I304" s="11"/>
      <c r="J304" s="11"/>
    </row>
    <row r="305">
      <c r="B305" s="11"/>
      <c r="C305" s="11"/>
      <c r="D305" s="11"/>
      <c r="E305" s="11"/>
      <c r="F305" s="11"/>
      <c r="G305" s="11"/>
      <c r="H305" s="11"/>
      <c r="I305" s="11"/>
      <c r="J305" s="11"/>
    </row>
    <row r="306">
      <c r="B306" s="11"/>
      <c r="C306" s="11"/>
      <c r="D306" s="11"/>
      <c r="E306" s="11"/>
      <c r="F306" s="11"/>
      <c r="G306" s="11"/>
      <c r="H306" s="11"/>
      <c r="I306" s="11"/>
      <c r="J306" s="11"/>
    </row>
    <row r="307">
      <c r="B307" s="11"/>
      <c r="C307" s="11"/>
      <c r="D307" s="11"/>
      <c r="E307" s="11"/>
      <c r="F307" s="11"/>
      <c r="G307" s="11"/>
      <c r="H307" s="11"/>
      <c r="I307" s="11"/>
      <c r="J307" s="11"/>
    </row>
    <row r="308">
      <c r="B308" s="11"/>
      <c r="C308" s="11"/>
      <c r="D308" s="11"/>
      <c r="E308" s="11"/>
      <c r="F308" s="11"/>
      <c r="G308" s="11"/>
      <c r="H308" s="11"/>
      <c r="I308" s="11"/>
      <c r="J308" s="11"/>
    </row>
    <row r="309">
      <c r="B309" s="11"/>
      <c r="C309" s="11"/>
      <c r="D309" s="11"/>
      <c r="E309" s="11"/>
      <c r="F309" s="11"/>
      <c r="G309" s="11"/>
      <c r="H309" s="11"/>
      <c r="I309" s="11"/>
      <c r="J309" s="11"/>
    </row>
    <row r="310">
      <c r="B310" s="11"/>
      <c r="C310" s="11"/>
      <c r="D310" s="11"/>
      <c r="E310" s="11"/>
      <c r="F310" s="11"/>
      <c r="G310" s="11"/>
      <c r="H310" s="11"/>
      <c r="I310" s="11"/>
      <c r="J310" s="11"/>
    </row>
    <row r="311">
      <c r="B311" s="11"/>
      <c r="C311" s="11"/>
      <c r="D311" s="11"/>
      <c r="E311" s="11"/>
      <c r="F311" s="11"/>
      <c r="G311" s="11"/>
      <c r="H311" s="11"/>
      <c r="I311" s="11"/>
      <c r="J311" s="11"/>
    </row>
    <row r="312">
      <c r="B312" s="11"/>
      <c r="C312" s="11"/>
      <c r="D312" s="11"/>
      <c r="E312" s="11"/>
      <c r="F312" s="11"/>
      <c r="G312" s="11"/>
      <c r="H312" s="11"/>
      <c r="I312" s="11"/>
      <c r="J312" s="11"/>
    </row>
    <row r="313">
      <c r="B313" s="11"/>
      <c r="C313" s="11"/>
      <c r="D313" s="11"/>
      <c r="E313" s="11"/>
      <c r="F313" s="11"/>
      <c r="G313" s="11"/>
      <c r="H313" s="11"/>
      <c r="I313" s="11"/>
      <c r="J313" s="11"/>
    </row>
    <row r="314">
      <c r="B314" s="11"/>
      <c r="C314" s="11"/>
      <c r="D314" s="11"/>
      <c r="E314" s="11"/>
      <c r="F314" s="11"/>
      <c r="G314" s="11"/>
      <c r="H314" s="11"/>
      <c r="I314" s="11"/>
      <c r="J314" s="11"/>
    </row>
    <row r="315">
      <c r="B315" s="11"/>
      <c r="C315" s="11"/>
      <c r="D315" s="11"/>
      <c r="E315" s="11"/>
      <c r="F315" s="11"/>
      <c r="G315" s="11"/>
      <c r="H315" s="11"/>
      <c r="I315" s="11"/>
      <c r="J315" s="11"/>
    </row>
    <row r="316">
      <c r="B316" s="11"/>
      <c r="C316" s="11"/>
      <c r="D316" s="11"/>
      <c r="E316" s="11"/>
      <c r="F316" s="11"/>
      <c r="G316" s="11"/>
      <c r="H316" s="11"/>
      <c r="I316" s="11"/>
      <c r="J316" s="11"/>
    </row>
    <row r="317">
      <c r="B317" s="11"/>
      <c r="C317" s="11"/>
      <c r="D317" s="11"/>
      <c r="E317" s="11"/>
      <c r="F317" s="11"/>
      <c r="G317" s="11"/>
      <c r="H317" s="11"/>
      <c r="I317" s="11"/>
      <c r="J317" s="11"/>
    </row>
    <row r="318">
      <c r="B318" s="11"/>
      <c r="C318" s="11"/>
      <c r="D318" s="11"/>
      <c r="E318" s="11"/>
      <c r="F318" s="11"/>
      <c r="G318" s="11"/>
      <c r="H318" s="11"/>
      <c r="I318" s="11"/>
      <c r="J318" s="11"/>
    </row>
    <row r="319">
      <c r="B319" s="11"/>
      <c r="C319" s="11"/>
      <c r="D319" s="11"/>
      <c r="E319" s="11"/>
      <c r="F319" s="11"/>
      <c r="G319" s="11"/>
      <c r="H319" s="11"/>
      <c r="I319" s="11"/>
      <c r="J319" s="11"/>
    </row>
    <row r="320">
      <c r="B320" s="11"/>
      <c r="C320" s="11"/>
      <c r="D320" s="11"/>
      <c r="E320" s="11"/>
      <c r="F320" s="11"/>
      <c r="G320" s="11"/>
      <c r="H320" s="11"/>
      <c r="I320" s="11"/>
      <c r="J320" s="11"/>
    </row>
    <row r="321">
      <c r="B321" s="11"/>
      <c r="C321" s="11"/>
      <c r="D321" s="11"/>
      <c r="E321" s="11"/>
      <c r="F321" s="11"/>
      <c r="G321" s="11"/>
      <c r="H321" s="11"/>
      <c r="I321" s="11"/>
      <c r="J321" s="11"/>
    </row>
    <row r="322">
      <c r="B322" s="11"/>
      <c r="C322" s="11"/>
      <c r="D322" s="11"/>
      <c r="E322" s="11"/>
      <c r="F322" s="11"/>
      <c r="G322" s="11"/>
      <c r="H322" s="11"/>
      <c r="I322" s="11"/>
      <c r="J322" s="11"/>
    </row>
    <row r="323">
      <c r="B323" s="11"/>
      <c r="C323" s="11"/>
      <c r="D323" s="11"/>
      <c r="E323" s="11"/>
      <c r="F323" s="11"/>
      <c r="G323" s="11"/>
      <c r="H323" s="11"/>
      <c r="I323" s="11"/>
      <c r="J323" s="11"/>
    </row>
    <row r="324">
      <c r="B324" s="11"/>
      <c r="C324" s="11"/>
      <c r="D324" s="11"/>
      <c r="E324" s="11"/>
      <c r="F324" s="11"/>
      <c r="G324" s="11"/>
      <c r="H324" s="11"/>
      <c r="I324" s="11"/>
      <c r="J324" s="11"/>
    </row>
    <row r="325">
      <c r="B325" s="11"/>
      <c r="C325" s="11"/>
      <c r="D325" s="11"/>
      <c r="E325" s="11"/>
      <c r="F325" s="11"/>
      <c r="G325" s="11"/>
      <c r="H325" s="11"/>
      <c r="I325" s="11"/>
      <c r="J325" s="11"/>
    </row>
    <row r="326">
      <c r="B326" s="11"/>
      <c r="C326" s="11"/>
      <c r="D326" s="11"/>
      <c r="E326" s="11"/>
      <c r="F326" s="11"/>
      <c r="G326" s="11"/>
      <c r="H326" s="11"/>
      <c r="I326" s="11"/>
      <c r="J326" s="11"/>
    </row>
    <row r="327">
      <c r="B327" s="11"/>
      <c r="C327" s="11"/>
      <c r="D327" s="11"/>
      <c r="E327" s="11"/>
      <c r="F327" s="11"/>
      <c r="G327" s="11"/>
      <c r="H327" s="11"/>
      <c r="I327" s="11"/>
      <c r="J327" s="11"/>
    </row>
    <row r="328">
      <c r="B328" s="11"/>
      <c r="C328" s="11"/>
      <c r="D328" s="11"/>
      <c r="E328" s="11"/>
      <c r="F328" s="11"/>
      <c r="G328" s="11"/>
      <c r="H328" s="11"/>
      <c r="I328" s="11"/>
      <c r="J328" s="11"/>
    </row>
    <row r="329">
      <c r="B329" s="11"/>
      <c r="C329" s="11"/>
      <c r="D329" s="11"/>
      <c r="E329" s="11"/>
      <c r="F329" s="11"/>
      <c r="G329" s="11"/>
      <c r="H329" s="11"/>
      <c r="I329" s="11"/>
      <c r="J329" s="11"/>
    </row>
    <row r="330">
      <c r="B330" s="11"/>
      <c r="C330" s="11"/>
      <c r="D330" s="11"/>
      <c r="E330" s="11"/>
      <c r="F330" s="11"/>
      <c r="G330" s="11"/>
      <c r="H330" s="11"/>
      <c r="I330" s="11"/>
      <c r="J330" s="11"/>
    </row>
    <row r="331">
      <c r="B331" s="11"/>
      <c r="C331" s="11"/>
      <c r="D331" s="11"/>
      <c r="E331" s="11"/>
      <c r="F331" s="11"/>
      <c r="G331" s="11"/>
      <c r="H331" s="11"/>
      <c r="I331" s="11"/>
      <c r="J331" s="11"/>
    </row>
    <row r="332">
      <c r="B332" s="11"/>
      <c r="C332" s="11"/>
      <c r="D332" s="11"/>
      <c r="E332" s="11"/>
      <c r="F332" s="11"/>
      <c r="G332" s="11"/>
      <c r="H332" s="11"/>
      <c r="I332" s="11"/>
      <c r="J332" s="11"/>
    </row>
    <row r="333">
      <c r="B333" s="11"/>
      <c r="C333" s="11"/>
      <c r="D333" s="11"/>
      <c r="E333" s="11"/>
      <c r="F333" s="11"/>
      <c r="G333" s="11"/>
      <c r="H333" s="11"/>
      <c r="I333" s="11"/>
      <c r="J333" s="11"/>
    </row>
    <row r="334">
      <c r="B334" s="11"/>
      <c r="C334" s="11"/>
      <c r="D334" s="11"/>
      <c r="E334" s="11"/>
      <c r="F334" s="11"/>
      <c r="G334" s="11"/>
      <c r="H334" s="11"/>
      <c r="I334" s="11"/>
      <c r="J334" s="11"/>
    </row>
    <row r="335">
      <c r="B335" s="11"/>
      <c r="C335" s="11"/>
      <c r="D335" s="11"/>
      <c r="E335" s="11"/>
      <c r="F335" s="11"/>
      <c r="G335" s="11"/>
      <c r="H335" s="11"/>
      <c r="I335" s="11"/>
      <c r="J335" s="11"/>
    </row>
    <row r="336">
      <c r="B336" s="11"/>
      <c r="C336" s="11"/>
      <c r="D336" s="11"/>
      <c r="E336" s="11"/>
      <c r="F336" s="11"/>
      <c r="G336" s="11"/>
      <c r="H336" s="11"/>
      <c r="I336" s="11"/>
      <c r="J336" s="11"/>
    </row>
    <row r="337">
      <c r="B337" s="11"/>
      <c r="C337" s="11"/>
      <c r="D337" s="11"/>
      <c r="E337" s="11"/>
      <c r="F337" s="11"/>
      <c r="G337" s="11"/>
      <c r="H337" s="11"/>
      <c r="I337" s="11"/>
      <c r="J337" s="11"/>
    </row>
    <row r="338">
      <c r="B338" s="11"/>
      <c r="C338" s="11"/>
      <c r="D338" s="11"/>
      <c r="E338" s="11"/>
      <c r="F338" s="11"/>
      <c r="G338" s="11"/>
      <c r="H338" s="11"/>
      <c r="I338" s="11"/>
      <c r="J338" s="11"/>
    </row>
    <row r="339">
      <c r="B339" s="11"/>
      <c r="C339" s="11"/>
      <c r="D339" s="11"/>
      <c r="E339" s="11"/>
      <c r="F339" s="11"/>
      <c r="G339" s="11"/>
      <c r="H339" s="11"/>
      <c r="I339" s="11"/>
      <c r="J339" s="11"/>
    </row>
    <row r="340">
      <c r="B340" s="11"/>
      <c r="C340" s="11"/>
      <c r="D340" s="11"/>
      <c r="E340" s="11"/>
      <c r="F340" s="11"/>
      <c r="G340" s="11"/>
      <c r="H340" s="11"/>
      <c r="I340" s="11"/>
      <c r="J340" s="11"/>
    </row>
    <row r="341">
      <c r="B341" s="11"/>
      <c r="C341" s="11"/>
      <c r="D341" s="11"/>
      <c r="E341" s="11"/>
      <c r="F341" s="11"/>
      <c r="G341" s="11"/>
      <c r="H341" s="11"/>
      <c r="I341" s="11"/>
      <c r="J341" s="11"/>
    </row>
    <row r="342">
      <c r="B342" s="11"/>
      <c r="C342" s="11"/>
      <c r="D342" s="11"/>
      <c r="E342" s="11"/>
      <c r="F342" s="11"/>
      <c r="G342" s="11"/>
      <c r="H342" s="11"/>
      <c r="I342" s="11"/>
      <c r="J342" s="11"/>
    </row>
    <row r="343">
      <c r="B343" s="11"/>
      <c r="C343" s="11"/>
      <c r="D343" s="11"/>
      <c r="E343" s="11"/>
      <c r="F343" s="11"/>
      <c r="G343" s="11"/>
      <c r="H343" s="11"/>
      <c r="I343" s="11"/>
      <c r="J343" s="11"/>
    </row>
    <row r="344">
      <c r="B344" s="11"/>
      <c r="C344" s="11"/>
      <c r="D344" s="11"/>
      <c r="E344" s="11"/>
      <c r="F344" s="11"/>
      <c r="G344" s="11"/>
      <c r="H344" s="11"/>
      <c r="I344" s="11"/>
      <c r="J344" s="11"/>
    </row>
    <row r="345">
      <c r="B345" s="11"/>
      <c r="C345" s="11"/>
      <c r="D345" s="11"/>
      <c r="E345" s="11"/>
      <c r="F345" s="11"/>
      <c r="G345" s="11"/>
      <c r="H345" s="11"/>
      <c r="I345" s="11"/>
      <c r="J345" s="11"/>
    </row>
    <row r="346">
      <c r="B346" s="11"/>
      <c r="C346" s="11"/>
      <c r="D346" s="11"/>
      <c r="E346" s="11"/>
      <c r="F346" s="11"/>
      <c r="G346" s="11"/>
      <c r="H346" s="11"/>
      <c r="I346" s="11"/>
      <c r="J346" s="11"/>
    </row>
    <row r="347">
      <c r="B347" s="11"/>
      <c r="C347" s="11"/>
      <c r="D347" s="11"/>
      <c r="E347" s="11"/>
      <c r="F347" s="11"/>
      <c r="G347" s="11"/>
      <c r="H347" s="11"/>
      <c r="I347" s="11"/>
      <c r="J347" s="11"/>
    </row>
    <row r="348">
      <c r="B348" s="11"/>
      <c r="C348" s="11"/>
      <c r="D348" s="11"/>
      <c r="E348" s="11"/>
      <c r="F348" s="11"/>
      <c r="G348" s="11"/>
      <c r="H348" s="11"/>
      <c r="I348" s="11"/>
      <c r="J348" s="11"/>
    </row>
    <row r="349">
      <c r="B349" s="11"/>
      <c r="C349" s="11"/>
      <c r="D349" s="11"/>
      <c r="E349" s="11"/>
      <c r="F349" s="11"/>
      <c r="G349" s="11"/>
      <c r="H349" s="11"/>
      <c r="I349" s="11"/>
      <c r="J349" s="11"/>
    </row>
    <row r="350">
      <c r="B350" s="11"/>
      <c r="C350" s="11"/>
      <c r="D350" s="11"/>
      <c r="E350" s="11"/>
      <c r="F350" s="11"/>
      <c r="G350" s="11"/>
      <c r="H350" s="11"/>
      <c r="I350" s="11"/>
      <c r="J350" s="11"/>
    </row>
    <row r="351">
      <c r="B351" s="11"/>
      <c r="C351" s="11"/>
      <c r="D351" s="11"/>
      <c r="E351" s="11"/>
      <c r="F351" s="11"/>
      <c r="G351" s="11"/>
      <c r="H351" s="11"/>
      <c r="I351" s="11"/>
      <c r="J351" s="11"/>
    </row>
    <row r="352">
      <c r="B352" s="11"/>
      <c r="C352" s="11"/>
      <c r="D352" s="11"/>
      <c r="E352" s="11"/>
      <c r="F352" s="11"/>
      <c r="G352" s="11"/>
      <c r="H352" s="11"/>
      <c r="I352" s="11"/>
      <c r="J352" s="11"/>
    </row>
    <row r="353">
      <c r="B353" s="11"/>
      <c r="C353" s="11"/>
      <c r="D353" s="11"/>
      <c r="E353" s="11"/>
      <c r="F353" s="11"/>
      <c r="G353" s="11"/>
      <c r="H353" s="11"/>
      <c r="I353" s="11"/>
      <c r="J353" s="11"/>
    </row>
    <row r="354">
      <c r="B354" s="11"/>
      <c r="C354" s="11"/>
      <c r="D354" s="11"/>
      <c r="E354" s="11"/>
      <c r="F354" s="11"/>
      <c r="G354" s="11"/>
      <c r="H354" s="11"/>
      <c r="I354" s="11"/>
      <c r="J354" s="11"/>
    </row>
    <row r="355">
      <c r="B355" s="11"/>
      <c r="C355" s="11"/>
      <c r="D355" s="11"/>
      <c r="E355" s="11"/>
      <c r="F355" s="11"/>
      <c r="G355" s="11"/>
      <c r="H355" s="11"/>
      <c r="I355" s="11"/>
      <c r="J355" s="11"/>
    </row>
    <row r="356">
      <c r="B356" s="11"/>
      <c r="C356" s="11"/>
      <c r="D356" s="11"/>
      <c r="E356" s="11"/>
      <c r="F356" s="11"/>
      <c r="G356" s="11"/>
      <c r="H356" s="11"/>
      <c r="I356" s="11"/>
      <c r="J356" s="11"/>
    </row>
    <row r="357">
      <c r="B357" s="11"/>
      <c r="C357" s="11"/>
      <c r="D357" s="11"/>
      <c r="E357" s="11"/>
      <c r="F357" s="11"/>
      <c r="G357" s="11"/>
      <c r="H357" s="11"/>
      <c r="I357" s="11"/>
      <c r="J357" s="11"/>
    </row>
    <row r="358">
      <c r="B358" s="11"/>
      <c r="C358" s="11"/>
      <c r="D358" s="11"/>
      <c r="E358" s="11"/>
      <c r="F358" s="11"/>
      <c r="G358" s="11"/>
      <c r="H358" s="11"/>
      <c r="I358" s="11"/>
      <c r="J358" s="11"/>
    </row>
    <row r="359">
      <c r="B359" s="11"/>
      <c r="C359" s="11"/>
      <c r="D359" s="11"/>
      <c r="E359" s="11"/>
      <c r="F359" s="11"/>
      <c r="G359" s="11"/>
      <c r="H359" s="11"/>
      <c r="I359" s="11"/>
      <c r="J359" s="11"/>
    </row>
    <row r="360">
      <c r="B360" s="11"/>
      <c r="C360" s="11"/>
      <c r="D360" s="11"/>
      <c r="E360" s="11"/>
      <c r="F360" s="11"/>
      <c r="G360" s="11"/>
      <c r="H360" s="11"/>
      <c r="I360" s="11"/>
      <c r="J360" s="11"/>
    </row>
    <row r="361">
      <c r="B361" s="11"/>
      <c r="C361" s="11"/>
      <c r="D361" s="11"/>
      <c r="E361" s="11"/>
      <c r="F361" s="11"/>
      <c r="G361" s="11"/>
      <c r="H361" s="11"/>
      <c r="I361" s="11"/>
      <c r="J361" s="11"/>
    </row>
    <row r="362">
      <c r="B362" s="11"/>
      <c r="C362" s="11"/>
      <c r="D362" s="11"/>
      <c r="E362" s="11"/>
      <c r="F362" s="11"/>
      <c r="G362" s="11"/>
      <c r="H362" s="11"/>
      <c r="I362" s="11"/>
      <c r="J362" s="11"/>
    </row>
    <row r="363">
      <c r="B363" s="11"/>
      <c r="C363" s="11"/>
      <c r="D363" s="11"/>
      <c r="E363" s="11"/>
      <c r="F363" s="11"/>
      <c r="G363" s="11"/>
      <c r="H363" s="11"/>
      <c r="I363" s="11"/>
      <c r="J363" s="11"/>
    </row>
    <row r="364">
      <c r="B364" s="11"/>
      <c r="C364" s="11"/>
      <c r="D364" s="11"/>
      <c r="E364" s="11"/>
      <c r="F364" s="11"/>
      <c r="G364" s="11"/>
      <c r="H364" s="11"/>
      <c r="I364" s="11"/>
      <c r="J364" s="11"/>
    </row>
    <row r="365">
      <c r="B365" s="11"/>
      <c r="C365" s="11"/>
      <c r="D365" s="11"/>
      <c r="E365" s="11"/>
      <c r="F365" s="11"/>
      <c r="G365" s="11"/>
      <c r="H365" s="11"/>
      <c r="I365" s="11"/>
      <c r="J365" s="11"/>
    </row>
    <row r="366">
      <c r="B366" s="11"/>
      <c r="C366" s="11"/>
      <c r="D366" s="11"/>
      <c r="E366" s="11"/>
      <c r="F366" s="11"/>
      <c r="G366" s="11"/>
      <c r="H366" s="11"/>
      <c r="I366" s="11"/>
      <c r="J366" s="11"/>
    </row>
    <row r="367">
      <c r="B367" s="11"/>
      <c r="C367" s="11"/>
      <c r="D367" s="11"/>
      <c r="E367" s="11"/>
      <c r="F367" s="11"/>
      <c r="G367" s="11"/>
      <c r="H367" s="11"/>
      <c r="I367" s="11"/>
      <c r="J367" s="11"/>
    </row>
    <row r="368">
      <c r="B368" s="11"/>
      <c r="C368" s="11"/>
      <c r="D368" s="11"/>
      <c r="E368" s="11"/>
      <c r="F368" s="11"/>
      <c r="G368" s="11"/>
      <c r="H368" s="11"/>
      <c r="I368" s="11"/>
      <c r="J368" s="11"/>
    </row>
    <row r="369">
      <c r="B369" s="11"/>
      <c r="C369" s="11"/>
      <c r="D369" s="11"/>
      <c r="E369" s="11"/>
      <c r="F369" s="11"/>
      <c r="G369" s="11"/>
      <c r="H369" s="11"/>
      <c r="I369" s="11"/>
      <c r="J369" s="11"/>
    </row>
    <row r="370">
      <c r="B370" s="11"/>
      <c r="C370" s="11"/>
      <c r="D370" s="11"/>
      <c r="E370" s="11"/>
      <c r="F370" s="11"/>
      <c r="G370" s="11"/>
      <c r="H370" s="11"/>
      <c r="I370" s="11"/>
      <c r="J370" s="11"/>
    </row>
    <row r="371">
      <c r="B371" s="11"/>
      <c r="C371" s="11"/>
      <c r="D371" s="11"/>
      <c r="E371" s="11"/>
      <c r="F371" s="11"/>
      <c r="G371" s="11"/>
      <c r="H371" s="11"/>
      <c r="I371" s="11"/>
      <c r="J371" s="11"/>
    </row>
    <row r="372">
      <c r="B372" s="11"/>
      <c r="C372" s="11"/>
      <c r="D372" s="11"/>
      <c r="E372" s="11"/>
      <c r="F372" s="11"/>
      <c r="G372" s="11"/>
      <c r="H372" s="11"/>
      <c r="I372" s="11"/>
      <c r="J372" s="11"/>
    </row>
    <row r="373">
      <c r="B373" s="11"/>
      <c r="C373" s="11"/>
      <c r="D373" s="11"/>
      <c r="E373" s="11"/>
      <c r="F373" s="11"/>
      <c r="G373" s="11"/>
      <c r="H373" s="11"/>
      <c r="I373" s="11"/>
      <c r="J373" s="11"/>
    </row>
    <row r="374">
      <c r="B374" s="11"/>
      <c r="C374" s="11"/>
      <c r="D374" s="11"/>
      <c r="E374" s="11"/>
      <c r="F374" s="11"/>
      <c r="G374" s="11"/>
      <c r="H374" s="11"/>
      <c r="I374" s="11"/>
      <c r="J374" s="11"/>
    </row>
    <row r="375">
      <c r="B375" s="11"/>
      <c r="C375" s="11"/>
      <c r="D375" s="11"/>
      <c r="E375" s="11"/>
      <c r="F375" s="11"/>
      <c r="G375" s="11"/>
      <c r="H375" s="11"/>
      <c r="I375" s="11"/>
      <c r="J375" s="11"/>
    </row>
    <row r="376">
      <c r="B376" s="11"/>
      <c r="C376" s="11"/>
      <c r="D376" s="11"/>
      <c r="E376" s="11"/>
      <c r="F376" s="11"/>
      <c r="G376" s="11"/>
      <c r="H376" s="11"/>
      <c r="I376" s="11"/>
      <c r="J376" s="11"/>
    </row>
    <row r="377">
      <c r="B377" s="11"/>
      <c r="C377" s="11"/>
      <c r="D377" s="11"/>
      <c r="E377" s="11"/>
      <c r="F377" s="11"/>
      <c r="G377" s="11"/>
      <c r="H377" s="11"/>
      <c r="I377" s="11"/>
      <c r="J377" s="11"/>
    </row>
    <row r="378">
      <c r="B378" s="11"/>
      <c r="C378" s="11"/>
      <c r="D378" s="11"/>
      <c r="E378" s="11"/>
      <c r="F378" s="11"/>
      <c r="G378" s="11"/>
      <c r="H378" s="11"/>
      <c r="I378" s="11"/>
      <c r="J378" s="11"/>
    </row>
    <row r="379">
      <c r="B379" s="11"/>
      <c r="C379" s="11"/>
      <c r="D379" s="11"/>
      <c r="E379" s="11"/>
      <c r="F379" s="11"/>
      <c r="G379" s="11"/>
      <c r="H379" s="11"/>
      <c r="I379" s="11"/>
      <c r="J379" s="11"/>
    </row>
    <row r="380">
      <c r="B380" s="11"/>
      <c r="C380" s="11"/>
      <c r="D380" s="11"/>
      <c r="E380" s="11"/>
      <c r="F380" s="11"/>
      <c r="G380" s="11"/>
      <c r="H380" s="11"/>
      <c r="I380" s="11"/>
      <c r="J380" s="11"/>
    </row>
    <row r="381">
      <c r="B381" s="11"/>
      <c r="C381" s="11"/>
      <c r="D381" s="11"/>
      <c r="E381" s="11"/>
      <c r="F381" s="11"/>
      <c r="G381" s="11"/>
      <c r="H381" s="11"/>
      <c r="I381" s="11"/>
      <c r="J381" s="11"/>
    </row>
    <row r="382">
      <c r="B382" s="11"/>
      <c r="C382" s="11"/>
      <c r="D382" s="11"/>
      <c r="E382" s="11"/>
      <c r="F382" s="11"/>
      <c r="G382" s="11"/>
      <c r="H382" s="11"/>
      <c r="I382" s="11"/>
      <c r="J382" s="11"/>
    </row>
    <row r="383">
      <c r="B383" s="11"/>
      <c r="C383" s="11"/>
      <c r="D383" s="11"/>
      <c r="E383" s="11"/>
      <c r="F383" s="11"/>
      <c r="G383" s="11"/>
      <c r="H383" s="11"/>
      <c r="I383" s="11"/>
      <c r="J383" s="11"/>
    </row>
    <row r="384">
      <c r="B384" s="11"/>
      <c r="C384" s="11"/>
      <c r="D384" s="11"/>
      <c r="E384" s="11"/>
      <c r="F384" s="11"/>
      <c r="G384" s="11"/>
      <c r="H384" s="11"/>
      <c r="I384" s="11"/>
      <c r="J384" s="11"/>
    </row>
    <row r="385">
      <c r="B385" s="11"/>
      <c r="C385" s="11"/>
      <c r="D385" s="11"/>
      <c r="E385" s="11"/>
      <c r="F385" s="11"/>
      <c r="G385" s="11"/>
      <c r="H385" s="11"/>
      <c r="I385" s="11"/>
      <c r="J385" s="11"/>
    </row>
    <row r="386">
      <c r="B386" s="11"/>
      <c r="C386" s="11"/>
      <c r="D386" s="11"/>
      <c r="E386" s="11"/>
      <c r="F386" s="11"/>
      <c r="G386" s="11"/>
      <c r="H386" s="11"/>
      <c r="I386" s="11"/>
      <c r="J386" s="11"/>
    </row>
    <row r="387">
      <c r="B387" s="11"/>
      <c r="C387" s="11"/>
      <c r="D387" s="11"/>
      <c r="E387" s="11"/>
      <c r="F387" s="11"/>
      <c r="G387" s="11"/>
      <c r="H387" s="11"/>
      <c r="I387" s="11"/>
      <c r="J387" s="11"/>
    </row>
    <row r="388">
      <c r="B388" s="11"/>
      <c r="C388" s="11"/>
      <c r="D388" s="11"/>
      <c r="E388" s="11"/>
      <c r="F388" s="11"/>
      <c r="G388" s="11"/>
      <c r="H388" s="11"/>
      <c r="I388" s="11"/>
      <c r="J388" s="11"/>
    </row>
    <row r="389">
      <c r="B389" s="11"/>
      <c r="C389" s="11"/>
      <c r="D389" s="11"/>
      <c r="E389" s="11"/>
      <c r="F389" s="11"/>
      <c r="G389" s="11"/>
      <c r="H389" s="11"/>
      <c r="I389" s="11"/>
      <c r="J389" s="11"/>
    </row>
    <row r="390">
      <c r="B390" s="11"/>
      <c r="C390" s="11"/>
      <c r="D390" s="11"/>
      <c r="E390" s="11"/>
      <c r="F390" s="11"/>
      <c r="G390" s="11"/>
      <c r="H390" s="11"/>
      <c r="I390" s="11"/>
      <c r="J390" s="11"/>
    </row>
    <row r="391">
      <c r="B391" s="11"/>
      <c r="C391" s="11"/>
      <c r="D391" s="11"/>
      <c r="E391" s="11"/>
      <c r="F391" s="11"/>
      <c r="G391" s="11"/>
      <c r="H391" s="11"/>
      <c r="I391" s="11"/>
      <c r="J391" s="11"/>
    </row>
    <row r="392">
      <c r="B392" s="11"/>
      <c r="C392" s="11"/>
      <c r="D392" s="11"/>
      <c r="E392" s="11"/>
      <c r="F392" s="11"/>
      <c r="G392" s="11"/>
      <c r="H392" s="11"/>
      <c r="I392" s="11"/>
      <c r="J392" s="11"/>
    </row>
    <row r="393">
      <c r="B393" s="11"/>
      <c r="C393" s="11"/>
      <c r="D393" s="11"/>
      <c r="E393" s="11"/>
      <c r="F393" s="11"/>
      <c r="G393" s="11"/>
      <c r="H393" s="11"/>
      <c r="I393" s="11"/>
      <c r="J393" s="11"/>
    </row>
    <row r="394">
      <c r="B394" s="11"/>
      <c r="C394" s="11"/>
      <c r="D394" s="11"/>
      <c r="E394" s="11"/>
      <c r="F394" s="11"/>
      <c r="G394" s="11"/>
      <c r="H394" s="11"/>
      <c r="I394" s="11"/>
      <c r="J394" s="11"/>
    </row>
    <row r="395">
      <c r="B395" s="11"/>
      <c r="C395" s="11"/>
      <c r="D395" s="11"/>
      <c r="E395" s="11"/>
      <c r="F395" s="11"/>
      <c r="G395" s="11"/>
      <c r="H395" s="11"/>
      <c r="I395" s="11"/>
      <c r="J395" s="11"/>
    </row>
    <row r="396">
      <c r="B396" s="11"/>
      <c r="C396" s="11"/>
      <c r="D396" s="11"/>
      <c r="E396" s="11"/>
      <c r="F396" s="11"/>
      <c r="G396" s="11"/>
      <c r="H396" s="11"/>
      <c r="I396" s="11"/>
      <c r="J396" s="11"/>
    </row>
    <row r="397">
      <c r="B397" s="11"/>
      <c r="C397" s="11"/>
      <c r="D397" s="11"/>
      <c r="E397" s="11"/>
      <c r="F397" s="11"/>
      <c r="G397" s="11"/>
      <c r="H397" s="11"/>
      <c r="I397" s="11"/>
      <c r="J397" s="11"/>
    </row>
    <row r="398">
      <c r="B398" s="11"/>
      <c r="C398" s="11"/>
      <c r="D398" s="11"/>
      <c r="E398" s="11"/>
      <c r="F398" s="11"/>
      <c r="G398" s="11"/>
      <c r="H398" s="11"/>
      <c r="I398" s="11"/>
      <c r="J398" s="11"/>
    </row>
    <row r="399">
      <c r="B399" s="11"/>
      <c r="C399" s="11"/>
      <c r="D399" s="11"/>
      <c r="E399" s="11"/>
      <c r="F399" s="11"/>
      <c r="G399" s="11"/>
      <c r="H399" s="11"/>
      <c r="I399" s="11"/>
      <c r="J399" s="11"/>
    </row>
    <row r="400">
      <c r="B400" s="11"/>
      <c r="C400" s="11"/>
      <c r="D400" s="11"/>
      <c r="E400" s="11"/>
      <c r="F400" s="11"/>
      <c r="G400" s="11"/>
      <c r="H400" s="11"/>
      <c r="I400" s="11"/>
      <c r="J400" s="11"/>
    </row>
    <row r="401">
      <c r="B401" s="11"/>
      <c r="C401" s="11"/>
      <c r="D401" s="11"/>
      <c r="E401" s="11"/>
      <c r="F401" s="11"/>
      <c r="G401" s="11"/>
      <c r="H401" s="11"/>
      <c r="I401" s="11"/>
      <c r="J401" s="11"/>
    </row>
    <row r="402">
      <c r="B402" s="11"/>
      <c r="C402" s="11"/>
      <c r="D402" s="11"/>
      <c r="E402" s="11"/>
      <c r="F402" s="11"/>
      <c r="G402" s="11"/>
      <c r="H402" s="11"/>
      <c r="I402" s="11"/>
      <c r="J402" s="11"/>
    </row>
    <row r="403">
      <c r="B403" s="11"/>
      <c r="C403" s="11"/>
      <c r="D403" s="11"/>
      <c r="E403" s="11"/>
      <c r="F403" s="11"/>
      <c r="G403" s="11"/>
      <c r="H403" s="11"/>
      <c r="I403" s="11"/>
      <c r="J403" s="11"/>
    </row>
    <row r="404">
      <c r="B404" s="11"/>
      <c r="C404" s="11"/>
      <c r="D404" s="11"/>
      <c r="E404" s="11"/>
      <c r="F404" s="11"/>
      <c r="G404" s="11"/>
      <c r="H404" s="11"/>
      <c r="I404" s="11"/>
      <c r="J404" s="11"/>
    </row>
    <row r="405">
      <c r="B405" s="11"/>
      <c r="C405" s="11"/>
      <c r="D405" s="11"/>
      <c r="E405" s="11"/>
      <c r="F405" s="11"/>
      <c r="G405" s="11"/>
      <c r="H405" s="11"/>
      <c r="I405" s="11"/>
      <c r="J405" s="11"/>
    </row>
    <row r="406">
      <c r="B406" s="11"/>
      <c r="C406" s="11"/>
      <c r="D406" s="11"/>
      <c r="E406" s="11"/>
      <c r="F406" s="11"/>
      <c r="G406" s="11"/>
      <c r="H406" s="11"/>
      <c r="I406" s="11"/>
      <c r="J406" s="11"/>
    </row>
    <row r="407">
      <c r="B407" s="11"/>
      <c r="C407" s="11"/>
      <c r="D407" s="11"/>
      <c r="E407" s="11"/>
      <c r="F407" s="11"/>
      <c r="G407" s="11"/>
      <c r="H407" s="11"/>
      <c r="I407" s="11"/>
      <c r="J407" s="11"/>
    </row>
    <row r="408">
      <c r="B408" s="11"/>
      <c r="C408" s="11"/>
      <c r="D408" s="11"/>
      <c r="E408" s="11"/>
      <c r="F408" s="11"/>
      <c r="G408" s="11"/>
      <c r="H408" s="11"/>
      <c r="I408" s="11"/>
      <c r="J408" s="11"/>
    </row>
    <row r="409">
      <c r="B409" s="11"/>
      <c r="C409" s="11"/>
      <c r="D409" s="11"/>
      <c r="E409" s="11"/>
      <c r="F409" s="11"/>
      <c r="G409" s="11"/>
      <c r="H409" s="11"/>
      <c r="I409" s="11"/>
      <c r="J409" s="11"/>
    </row>
    <row r="410">
      <c r="B410" s="11"/>
      <c r="C410" s="11"/>
      <c r="D410" s="11"/>
      <c r="E410" s="11"/>
      <c r="F410" s="11"/>
      <c r="G410" s="11"/>
      <c r="H410" s="11"/>
      <c r="I410" s="11"/>
      <c r="J410" s="11"/>
    </row>
    <row r="411">
      <c r="B411" s="11"/>
      <c r="C411" s="11"/>
      <c r="D411" s="11"/>
      <c r="E411" s="11"/>
      <c r="F411" s="11"/>
      <c r="G411" s="11"/>
      <c r="H411" s="11"/>
      <c r="I411" s="11"/>
      <c r="J411" s="11"/>
    </row>
    <row r="412">
      <c r="B412" s="11"/>
      <c r="C412" s="11"/>
      <c r="D412" s="11"/>
      <c r="E412" s="11"/>
      <c r="F412" s="11"/>
      <c r="G412" s="11"/>
      <c r="H412" s="11"/>
      <c r="I412" s="11"/>
      <c r="J412" s="11"/>
    </row>
    <row r="413">
      <c r="B413" s="11"/>
      <c r="C413" s="11"/>
      <c r="D413" s="11"/>
      <c r="E413" s="11"/>
      <c r="F413" s="11"/>
      <c r="G413" s="11"/>
      <c r="H413" s="11"/>
      <c r="I413" s="11"/>
      <c r="J413" s="11"/>
    </row>
    <row r="414">
      <c r="B414" s="11"/>
      <c r="C414" s="11"/>
      <c r="D414" s="11"/>
      <c r="E414" s="11"/>
      <c r="F414" s="11"/>
      <c r="G414" s="11"/>
      <c r="H414" s="11"/>
      <c r="I414" s="11"/>
      <c r="J414" s="11"/>
    </row>
    <row r="415">
      <c r="B415" s="11"/>
      <c r="C415" s="11"/>
      <c r="D415" s="11"/>
      <c r="E415" s="11"/>
      <c r="F415" s="11"/>
      <c r="G415" s="11"/>
      <c r="H415" s="11"/>
      <c r="I415" s="11"/>
      <c r="J415" s="11"/>
    </row>
    <row r="416">
      <c r="B416" s="11"/>
      <c r="C416" s="11"/>
      <c r="D416" s="11"/>
      <c r="E416" s="11"/>
      <c r="F416" s="11"/>
      <c r="G416" s="11"/>
      <c r="H416" s="11"/>
      <c r="I416" s="11"/>
      <c r="J416" s="11"/>
    </row>
    <row r="417">
      <c r="B417" s="11"/>
      <c r="C417" s="11"/>
      <c r="D417" s="11"/>
      <c r="E417" s="11"/>
      <c r="F417" s="11"/>
      <c r="G417" s="11"/>
      <c r="H417" s="11"/>
      <c r="I417" s="11"/>
      <c r="J417" s="11"/>
    </row>
    <row r="418">
      <c r="B418" s="11"/>
      <c r="C418" s="11"/>
      <c r="D418" s="11"/>
      <c r="E418" s="11"/>
      <c r="F418" s="11"/>
      <c r="G418" s="11"/>
      <c r="H418" s="11"/>
      <c r="I418" s="11"/>
      <c r="J418" s="11"/>
    </row>
    <row r="419">
      <c r="B419" s="11"/>
      <c r="C419" s="11"/>
      <c r="D419" s="11"/>
      <c r="E419" s="11"/>
      <c r="F419" s="11"/>
      <c r="G419" s="11"/>
      <c r="H419" s="11"/>
      <c r="I419" s="11"/>
      <c r="J419" s="11"/>
    </row>
    <row r="420">
      <c r="B420" s="11"/>
      <c r="C420" s="11"/>
      <c r="D420" s="11"/>
      <c r="E420" s="11"/>
      <c r="F420" s="11"/>
      <c r="G420" s="11"/>
      <c r="H420" s="11"/>
      <c r="I420" s="11"/>
      <c r="J420" s="11"/>
    </row>
    <row r="421">
      <c r="B421" s="11"/>
      <c r="C421" s="11"/>
      <c r="D421" s="11"/>
      <c r="E421" s="11"/>
      <c r="F421" s="11"/>
      <c r="G421" s="11"/>
      <c r="H421" s="11"/>
      <c r="I421" s="11"/>
      <c r="J421" s="11"/>
    </row>
    <row r="422">
      <c r="B422" s="11"/>
      <c r="C422" s="11"/>
      <c r="D422" s="11"/>
      <c r="E422" s="11"/>
      <c r="F422" s="11"/>
      <c r="G422" s="11"/>
      <c r="H422" s="11"/>
      <c r="I422" s="11"/>
      <c r="J422" s="11"/>
    </row>
    <row r="423">
      <c r="B423" s="11"/>
      <c r="C423" s="11"/>
      <c r="D423" s="11"/>
      <c r="E423" s="11"/>
      <c r="F423" s="11"/>
      <c r="G423" s="11"/>
      <c r="H423" s="11"/>
      <c r="I423" s="11"/>
      <c r="J423" s="11"/>
    </row>
    <row r="424">
      <c r="B424" s="11"/>
      <c r="C424" s="11"/>
      <c r="D424" s="11"/>
      <c r="E424" s="11"/>
      <c r="F424" s="11"/>
      <c r="G424" s="11"/>
      <c r="H424" s="11"/>
      <c r="I424" s="11"/>
      <c r="J424" s="11"/>
    </row>
    <row r="425">
      <c r="B425" s="11"/>
      <c r="C425" s="11"/>
      <c r="D425" s="11"/>
      <c r="E425" s="11"/>
      <c r="F425" s="11"/>
      <c r="G425" s="11"/>
      <c r="H425" s="11"/>
      <c r="I425" s="11"/>
      <c r="J425" s="11"/>
    </row>
    <row r="426">
      <c r="B426" s="11"/>
      <c r="C426" s="11"/>
      <c r="D426" s="11"/>
      <c r="E426" s="11"/>
      <c r="F426" s="11"/>
      <c r="G426" s="11"/>
      <c r="H426" s="11"/>
      <c r="I426" s="11"/>
      <c r="J426" s="11"/>
    </row>
    <row r="427">
      <c r="B427" s="11"/>
      <c r="C427" s="11"/>
      <c r="D427" s="11"/>
      <c r="E427" s="11"/>
      <c r="F427" s="11"/>
      <c r="G427" s="11"/>
      <c r="H427" s="11"/>
      <c r="I427" s="11"/>
      <c r="J427" s="11"/>
    </row>
    <row r="428">
      <c r="B428" s="11"/>
      <c r="C428" s="11"/>
      <c r="D428" s="11"/>
      <c r="E428" s="11"/>
      <c r="F428" s="11"/>
      <c r="G428" s="11"/>
      <c r="H428" s="11"/>
      <c r="I428" s="11"/>
      <c r="J428" s="11"/>
    </row>
    <row r="429">
      <c r="B429" s="11"/>
      <c r="C429" s="11"/>
      <c r="D429" s="11"/>
      <c r="E429" s="11"/>
      <c r="F429" s="11"/>
      <c r="G429" s="11"/>
      <c r="H429" s="11"/>
      <c r="I429" s="11"/>
      <c r="J429" s="11"/>
    </row>
    <row r="430">
      <c r="B430" s="11"/>
      <c r="C430" s="11"/>
      <c r="D430" s="11"/>
      <c r="E430" s="11"/>
      <c r="F430" s="11"/>
      <c r="G430" s="11"/>
      <c r="H430" s="11"/>
      <c r="I430" s="11"/>
      <c r="J430" s="11"/>
    </row>
    <row r="431">
      <c r="B431" s="11"/>
      <c r="C431" s="11"/>
      <c r="D431" s="11"/>
      <c r="E431" s="11"/>
      <c r="F431" s="11"/>
      <c r="G431" s="11"/>
      <c r="H431" s="11"/>
      <c r="I431" s="11"/>
      <c r="J431" s="11"/>
    </row>
    <row r="432">
      <c r="B432" s="11"/>
      <c r="C432" s="11"/>
      <c r="D432" s="11"/>
      <c r="E432" s="11"/>
      <c r="F432" s="11"/>
      <c r="G432" s="11"/>
      <c r="H432" s="11"/>
      <c r="I432" s="11"/>
      <c r="J432" s="11"/>
    </row>
    <row r="433">
      <c r="B433" s="11"/>
      <c r="C433" s="11"/>
      <c r="D433" s="11"/>
      <c r="E433" s="11"/>
      <c r="F433" s="11"/>
      <c r="G433" s="11"/>
      <c r="H433" s="11"/>
      <c r="I433" s="11"/>
      <c r="J433" s="11"/>
    </row>
    <row r="434">
      <c r="B434" s="11"/>
      <c r="C434" s="11"/>
      <c r="D434" s="11"/>
      <c r="E434" s="11"/>
      <c r="F434" s="11"/>
      <c r="G434" s="11"/>
      <c r="H434" s="11"/>
      <c r="I434" s="11"/>
      <c r="J434" s="11"/>
    </row>
    <row r="435">
      <c r="B435" s="11"/>
      <c r="C435" s="11"/>
      <c r="D435" s="11"/>
      <c r="E435" s="11"/>
      <c r="F435" s="11"/>
      <c r="G435" s="11"/>
      <c r="H435" s="11"/>
      <c r="I435" s="11"/>
      <c r="J435" s="11"/>
    </row>
    <row r="436">
      <c r="B436" s="11"/>
      <c r="C436" s="11"/>
      <c r="D436" s="11"/>
      <c r="E436" s="11"/>
      <c r="F436" s="11"/>
      <c r="G436" s="11"/>
      <c r="H436" s="11"/>
      <c r="I436" s="11"/>
      <c r="J436" s="11"/>
    </row>
    <row r="437">
      <c r="B437" s="11"/>
      <c r="C437" s="11"/>
      <c r="D437" s="11"/>
      <c r="E437" s="11"/>
      <c r="F437" s="11"/>
      <c r="G437" s="11"/>
      <c r="H437" s="11"/>
      <c r="I437" s="11"/>
      <c r="J437" s="11"/>
    </row>
    <row r="438">
      <c r="B438" s="11"/>
      <c r="C438" s="11"/>
      <c r="D438" s="11"/>
      <c r="E438" s="11"/>
      <c r="F438" s="11"/>
      <c r="G438" s="11"/>
      <c r="H438" s="11"/>
      <c r="I438" s="11"/>
      <c r="J438" s="11"/>
    </row>
    <row r="439">
      <c r="B439" s="11"/>
      <c r="C439" s="11"/>
      <c r="D439" s="11"/>
      <c r="E439" s="11"/>
      <c r="F439" s="11"/>
      <c r="G439" s="11"/>
      <c r="H439" s="11"/>
      <c r="I439" s="11"/>
      <c r="J439" s="11"/>
    </row>
    <row r="440">
      <c r="B440" s="11"/>
      <c r="C440" s="11"/>
      <c r="D440" s="11"/>
      <c r="E440" s="11"/>
      <c r="F440" s="11"/>
      <c r="G440" s="11"/>
      <c r="H440" s="11"/>
      <c r="I440" s="11"/>
      <c r="J440" s="11"/>
    </row>
    <row r="441">
      <c r="B441" s="11"/>
      <c r="C441" s="11"/>
      <c r="D441" s="11"/>
      <c r="E441" s="11"/>
      <c r="F441" s="11"/>
      <c r="G441" s="11"/>
      <c r="H441" s="11"/>
      <c r="I441" s="11"/>
      <c r="J441" s="11"/>
    </row>
    <row r="442">
      <c r="B442" s="11"/>
      <c r="C442" s="11"/>
      <c r="D442" s="11"/>
      <c r="E442" s="11"/>
      <c r="F442" s="11"/>
      <c r="G442" s="11"/>
      <c r="H442" s="11"/>
      <c r="I442" s="11"/>
      <c r="J442" s="11"/>
    </row>
    <row r="443">
      <c r="B443" s="11"/>
      <c r="C443" s="11"/>
      <c r="D443" s="11"/>
      <c r="E443" s="11"/>
      <c r="F443" s="11"/>
      <c r="G443" s="11"/>
      <c r="H443" s="11"/>
      <c r="I443" s="11"/>
      <c r="J443" s="11"/>
    </row>
    <row r="444">
      <c r="B444" s="11"/>
      <c r="C444" s="11"/>
      <c r="D444" s="11"/>
      <c r="E444" s="11"/>
      <c r="F444" s="11"/>
      <c r="G444" s="11"/>
      <c r="H444" s="11"/>
      <c r="I444" s="11"/>
      <c r="J444" s="11"/>
    </row>
    <row r="445">
      <c r="B445" s="11"/>
      <c r="C445" s="11"/>
      <c r="D445" s="11"/>
      <c r="E445" s="11"/>
      <c r="F445" s="11"/>
      <c r="G445" s="11"/>
      <c r="H445" s="11"/>
      <c r="I445" s="11"/>
      <c r="J445" s="11"/>
    </row>
    <row r="446">
      <c r="B446" s="11"/>
      <c r="C446" s="11"/>
      <c r="D446" s="11"/>
      <c r="E446" s="11"/>
      <c r="F446" s="11"/>
      <c r="G446" s="11"/>
      <c r="H446" s="11"/>
      <c r="I446" s="11"/>
      <c r="J446" s="11"/>
    </row>
    <row r="447">
      <c r="B447" s="11"/>
      <c r="C447" s="11"/>
      <c r="D447" s="11"/>
      <c r="E447" s="11"/>
      <c r="F447" s="11"/>
      <c r="G447" s="11"/>
      <c r="H447" s="11"/>
      <c r="I447" s="11"/>
      <c r="J447" s="11"/>
    </row>
    <row r="448">
      <c r="B448" s="11"/>
      <c r="C448" s="11"/>
      <c r="D448" s="11"/>
      <c r="E448" s="11"/>
      <c r="F448" s="11"/>
      <c r="G448" s="11"/>
      <c r="H448" s="11"/>
      <c r="I448" s="11"/>
      <c r="J448" s="11"/>
    </row>
    <row r="449">
      <c r="B449" s="11"/>
      <c r="C449" s="11"/>
      <c r="D449" s="11"/>
      <c r="E449" s="11"/>
      <c r="F449" s="11"/>
      <c r="G449" s="11"/>
      <c r="H449" s="11"/>
      <c r="I449" s="11"/>
      <c r="J449" s="11"/>
    </row>
    <row r="450">
      <c r="B450" s="11"/>
      <c r="C450" s="11"/>
      <c r="D450" s="11"/>
      <c r="E450" s="11"/>
      <c r="F450" s="11"/>
      <c r="G450" s="11"/>
      <c r="H450" s="11"/>
      <c r="I450" s="11"/>
      <c r="J450" s="11"/>
    </row>
    <row r="451">
      <c r="B451" s="11"/>
      <c r="C451" s="11"/>
      <c r="D451" s="11"/>
      <c r="E451" s="11"/>
      <c r="F451" s="11"/>
      <c r="G451" s="11"/>
      <c r="H451" s="11"/>
      <c r="I451" s="11"/>
      <c r="J451" s="11"/>
    </row>
    <row r="452">
      <c r="B452" s="11"/>
      <c r="C452" s="11"/>
      <c r="D452" s="11"/>
      <c r="E452" s="11"/>
      <c r="F452" s="11"/>
      <c r="G452" s="11"/>
      <c r="H452" s="11"/>
      <c r="I452" s="11"/>
      <c r="J452" s="11"/>
    </row>
    <row r="453">
      <c r="B453" s="11"/>
      <c r="C453" s="11"/>
      <c r="D453" s="11"/>
      <c r="E453" s="11"/>
      <c r="F453" s="11"/>
      <c r="G453" s="11"/>
      <c r="H453" s="11"/>
      <c r="I453" s="11"/>
      <c r="J453" s="11"/>
    </row>
    <row r="454">
      <c r="B454" s="11"/>
      <c r="C454" s="11"/>
      <c r="D454" s="11"/>
      <c r="E454" s="11"/>
      <c r="F454" s="11"/>
      <c r="G454" s="11"/>
      <c r="H454" s="11"/>
      <c r="I454" s="11"/>
      <c r="J454" s="11"/>
    </row>
    <row r="455">
      <c r="B455" s="11"/>
      <c r="C455" s="11"/>
      <c r="D455" s="11"/>
      <c r="E455" s="11"/>
      <c r="F455" s="11"/>
      <c r="G455" s="11"/>
      <c r="H455" s="11"/>
      <c r="I455" s="11"/>
      <c r="J455" s="11"/>
    </row>
    <row r="456">
      <c r="B456" s="11"/>
      <c r="C456" s="11"/>
      <c r="D456" s="11"/>
      <c r="E456" s="11"/>
      <c r="F456" s="11"/>
      <c r="G456" s="11"/>
      <c r="H456" s="11"/>
      <c r="I456" s="11"/>
      <c r="J456" s="11"/>
    </row>
    <row r="457">
      <c r="B457" s="11"/>
      <c r="C457" s="11"/>
      <c r="D457" s="11"/>
      <c r="E457" s="11"/>
      <c r="F457" s="11"/>
      <c r="G457" s="11"/>
      <c r="H457" s="11"/>
      <c r="I457" s="11"/>
      <c r="J457" s="11"/>
    </row>
    <row r="458">
      <c r="B458" s="11"/>
      <c r="C458" s="11"/>
      <c r="D458" s="11"/>
      <c r="E458" s="11"/>
      <c r="F458" s="11"/>
      <c r="G458" s="11"/>
      <c r="H458" s="11"/>
      <c r="I458" s="11"/>
      <c r="J458" s="11"/>
    </row>
    <row r="459">
      <c r="B459" s="11"/>
      <c r="C459" s="11"/>
      <c r="D459" s="11"/>
      <c r="E459" s="11"/>
      <c r="F459" s="11"/>
      <c r="G459" s="11"/>
      <c r="H459" s="11"/>
      <c r="I459" s="11"/>
      <c r="J459" s="11"/>
    </row>
    <row r="460">
      <c r="B460" s="11"/>
      <c r="C460" s="11"/>
      <c r="D460" s="11"/>
      <c r="E460" s="11"/>
      <c r="F460" s="11"/>
      <c r="G460" s="11"/>
      <c r="H460" s="11"/>
      <c r="I460" s="11"/>
      <c r="J460" s="11"/>
    </row>
    <row r="461">
      <c r="B461" s="11"/>
      <c r="C461" s="11"/>
      <c r="D461" s="11"/>
      <c r="E461" s="11"/>
      <c r="F461" s="11"/>
      <c r="G461" s="11"/>
      <c r="H461" s="11"/>
      <c r="I461" s="11"/>
      <c r="J461" s="11"/>
    </row>
    <row r="462">
      <c r="B462" s="11"/>
      <c r="C462" s="11"/>
      <c r="D462" s="11"/>
      <c r="E462" s="11"/>
      <c r="F462" s="11"/>
      <c r="G462" s="11"/>
      <c r="H462" s="11"/>
      <c r="I462" s="11"/>
      <c r="J462" s="11"/>
    </row>
    <row r="463">
      <c r="B463" s="11"/>
      <c r="C463" s="11"/>
      <c r="D463" s="11"/>
      <c r="E463" s="11"/>
      <c r="F463" s="11"/>
      <c r="G463" s="11"/>
      <c r="H463" s="11"/>
      <c r="I463" s="11"/>
      <c r="J463" s="11"/>
    </row>
    <row r="464">
      <c r="B464" s="11"/>
      <c r="C464" s="11"/>
      <c r="D464" s="11"/>
      <c r="E464" s="11"/>
      <c r="F464" s="11"/>
      <c r="G464" s="11"/>
      <c r="H464" s="11"/>
      <c r="I464" s="11"/>
      <c r="J464" s="11"/>
    </row>
    <row r="465">
      <c r="B465" s="11"/>
      <c r="C465" s="11"/>
      <c r="D465" s="11"/>
      <c r="E465" s="11"/>
      <c r="F465" s="11"/>
      <c r="G465" s="11"/>
      <c r="H465" s="11"/>
      <c r="I465" s="11"/>
      <c r="J465" s="11"/>
    </row>
    <row r="466">
      <c r="B466" s="11"/>
      <c r="C466" s="11"/>
      <c r="D466" s="11"/>
      <c r="E466" s="11"/>
      <c r="F466" s="11"/>
      <c r="G466" s="11"/>
      <c r="H466" s="11"/>
      <c r="I466" s="11"/>
      <c r="J466" s="11"/>
    </row>
    <row r="467">
      <c r="B467" s="11"/>
      <c r="C467" s="11"/>
      <c r="D467" s="11"/>
      <c r="E467" s="11"/>
      <c r="F467" s="11"/>
      <c r="G467" s="11"/>
      <c r="H467" s="11"/>
      <c r="I467" s="11"/>
      <c r="J467" s="11"/>
    </row>
    <row r="468">
      <c r="B468" s="11"/>
      <c r="C468" s="11"/>
      <c r="D468" s="11"/>
      <c r="E468" s="11"/>
      <c r="F468" s="11"/>
      <c r="G468" s="11"/>
      <c r="H468" s="11"/>
      <c r="I468" s="11"/>
      <c r="J468" s="11"/>
    </row>
    <row r="469">
      <c r="B469" s="11"/>
      <c r="C469" s="11"/>
      <c r="D469" s="11"/>
      <c r="E469" s="11"/>
      <c r="F469" s="11"/>
      <c r="G469" s="11"/>
      <c r="H469" s="11"/>
      <c r="I469" s="11"/>
      <c r="J469" s="11"/>
    </row>
    <row r="470">
      <c r="B470" s="11"/>
      <c r="C470" s="11"/>
      <c r="D470" s="11"/>
      <c r="E470" s="11"/>
      <c r="F470" s="11"/>
      <c r="G470" s="11"/>
      <c r="H470" s="11"/>
      <c r="I470" s="11"/>
      <c r="J470" s="11"/>
    </row>
    <row r="471">
      <c r="B471" s="11"/>
      <c r="C471" s="11"/>
      <c r="D471" s="11"/>
      <c r="E471" s="11"/>
      <c r="F471" s="11"/>
      <c r="G471" s="11"/>
      <c r="H471" s="11"/>
      <c r="I471" s="11"/>
      <c r="J471" s="11"/>
    </row>
    <row r="472">
      <c r="B472" s="11"/>
      <c r="C472" s="11"/>
      <c r="D472" s="11"/>
      <c r="E472" s="11"/>
      <c r="F472" s="11"/>
      <c r="G472" s="11"/>
      <c r="H472" s="11"/>
      <c r="I472" s="11"/>
      <c r="J472" s="11"/>
    </row>
    <row r="473">
      <c r="B473" s="11"/>
      <c r="C473" s="11"/>
      <c r="D473" s="11"/>
      <c r="E473" s="11"/>
      <c r="F473" s="11"/>
      <c r="G473" s="11"/>
      <c r="H473" s="11"/>
      <c r="I473" s="11"/>
      <c r="J473" s="11"/>
    </row>
    <row r="474">
      <c r="B474" s="11"/>
      <c r="C474" s="11"/>
      <c r="D474" s="11"/>
      <c r="E474" s="11"/>
      <c r="F474" s="11"/>
      <c r="G474" s="11"/>
      <c r="H474" s="11"/>
      <c r="I474" s="11"/>
      <c r="J474" s="11"/>
    </row>
    <row r="475">
      <c r="B475" s="11"/>
      <c r="C475" s="11"/>
      <c r="D475" s="11"/>
      <c r="E475" s="11"/>
      <c r="F475" s="11"/>
      <c r="G475" s="11"/>
      <c r="H475" s="11"/>
      <c r="I475" s="11"/>
      <c r="J475" s="11"/>
    </row>
    <row r="476">
      <c r="B476" s="11"/>
      <c r="C476" s="11"/>
      <c r="D476" s="11"/>
      <c r="E476" s="11"/>
      <c r="F476" s="11"/>
      <c r="G476" s="11"/>
      <c r="H476" s="11"/>
      <c r="I476" s="11"/>
      <c r="J476" s="11"/>
    </row>
    <row r="477">
      <c r="B477" s="11"/>
      <c r="C477" s="11"/>
      <c r="D477" s="11"/>
      <c r="E477" s="11"/>
      <c r="F477" s="11"/>
      <c r="G477" s="11"/>
      <c r="H477" s="11"/>
      <c r="I477" s="11"/>
      <c r="J477" s="11"/>
    </row>
    <row r="478">
      <c r="B478" s="11"/>
      <c r="C478" s="11"/>
      <c r="D478" s="11"/>
      <c r="E478" s="11"/>
      <c r="F478" s="11"/>
      <c r="G478" s="11"/>
      <c r="H478" s="11"/>
      <c r="I478" s="11"/>
      <c r="J478" s="11"/>
    </row>
    <row r="479">
      <c r="B479" s="11"/>
      <c r="C479" s="11"/>
      <c r="D479" s="11"/>
      <c r="E479" s="11"/>
      <c r="F479" s="11"/>
      <c r="G479" s="11"/>
      <c r="H479" s="11"/>
      <c r="I479" s="11"/>
      <c r="J479" s="11"/>
    </row>
    <row r="480">
      <c r="B480" s="11"/>
      <c r="C480" s="11"/>
      <c r="D480" s="11"/>
      <c r="E480" s="11"/>
      <c r="F480" s="11"/>
      <c r="G480" s="11"/>
      <c r="H480" s="11"/>
      <c r="I480" s="11"/>
      <c r="J480" s="11"/>
    </row>
    <row r="481">
      <c r="B481" s="11"/>
      <c r="C481" s="11"/>
      <c r="D481" s="11"/>
      <c r="E481" s="11"/>
      <c r="F481" s="11"/>
      <c r="G481" s="11"/>
      <c r="H481" s="11"/>
      <c r="I481" s="11"/>
      <c r="J481" s="11"/>
    </row>
    <row r="482">
      <c r="B482" s="11"/>
      <c r="C482" s="11"/>
      <c r="D482" s="11"/>
      <c r="E482" s="11"/>
      <c r="F482" s="11"/>
      <c r="G482" s="11"/>
      <c r="H482" s="11"/>
      <c r="I482" s="11"/>
      <c r="J482" s="11"/>
    </row>
    <row r="483">
      <c r="B483" s="11"/>
      <c r="C483" s="11"/>
      <c r="D483" s="11"/>
      <c r="E483" s="11"/>
      <c r="F483" s="11"/>
      <c r="G483" s="11"/>
      <c r="H483" s="11"/>
      <c r="I483" s="11"/>
      <c r="J483" s="11"/>
    </row>
    <row r="484">
      <c r="B484" s="11"/>
      <c r="C484" s="11"/>
      <c r="D484" s="11"/>
      <c r="E484" s="11"/>
      <c r="F484" s="11"/>
      <c r="G484" s="11"/>
      <c r="H484" s="11"/>
      <c r="I484" s="11"/>
      <c r="J484" s="11"/>
    </row>
    <row r="485">
      <c r="B485" s="11"/>
      <c r="C485" s="11"/>
      <c r="D485" s="11"/>
      <c r="E485" s="11"/>
      <c r="F485" s="11"/>
      <c r="G485" s="11"/>
      <c r="H485" s="11"/>
      <c r="I485" s="11"/>
      <c r="J485" s="11"/>
    </row>
    <row r="486">
      <c r="B486" s="11"/>
      <c r="C486" s="11"/>
      <c r="D486" s="11"/>
      <c r="E486" s="11"/>
      <c r="F486" s="11"/>
      <c r="G486" s="11"/>
      <c r="H486" s="11"/>
      <c r="I486" s="11"/>
      <c r="J486" s="11"/>
    </row>
    <row r="487">
      <c r="B487" s="11"/>
      <c r="C487" s="11"/>
      <c r="D487" s="11"/>
      <c r="E487" s="11"/>
      <c r="F487" s="11"/>
      <c r="G487" s="11"/>
      <c r="H487" s="11"/>
      <c r="I487" s="11"/>
      <c r="J487" s="11"/>
    </row>
    <row r="488">
      <c r="B488" s="11"/>
      <c r="C488" s="11"/>
      <c r="D488" s="11"/>
      <c r="E488" s="11"/>
      <c r="F488" s="11"/>
      <c r="G488" s="11"/>
      <c r="H488" s="11"/>
      <c r="I488" s="11"/>
      <c r="J488" s="11"/>
    </row>
    <row r="489">
      <c r="B489" s="11"/>
      <c r="C489" s="11"/>
      <c r="D489" s="11"/>
      <c r="E489" s="11"/>
      <c r="F489" s="11"/>
      <c r="G489" s="11"/>
      <c r="H489" s="11"/>
      <c r="I489" s="11"/>
      <c r="J489" s="11"/>
    </row>
    <row r="490">
      <c r="B490" s="11"/>
      <c r="C490" s="11"/>
      <c r="D490" s="11"/>
      <c r="E490" s="11"/>
      <c r="F490" s="11"/>
      <c r="G490" s="11"/>
      <c r="H490" s="11"/>
      <c r="I490" s="11"/>
      <c r="J490" s="11"/>
    </row>
    <row r="491">
      <c r="B491" s="11"/>
      <c r="C491" s="11"/>
      <c r="D491" s="11"/>
      <c r="E491" s="11"/>
      <c r="F491" s="11"/>
      <c r="G491" s="11"/>
      <c r="H491" s="11"/>
      <c r="I491" s="11"/>
      <c r="J491" s="11"/>
    </row>
    <row r="492">
      <c r="B492" s="11"/>
      <c r="C492" s="11"/>
      <c r="D492" s="11"/>
      <c r="E492" s="11"/>
      <c r="F492" s="11"/>
      <c r="G492" s="11"/>
      <c r="H492" s="11"/>
      <c r="I492" s="11"/>
      <c r="J492" s="11"/>
    </row>
    <row r="493">
      <c r="B493" s="11"/>
      <c r="C493" s="11"/>
      <c r="D493" s="11"/>
      <c r="E493" s="11"/>
      <c r="F493" s="11"/>
      <c r="G493" s="11"/>
      <c r="H493" s="11"/>
      <c r="I493" s="11"/>
      <c r="J493" s="11"/>
    </row>
    <row r="494">
      <c r="B494" s="11"/>
      <c r="C494" s="11"/>
      <c r="D494" s="11"/>
      <c r="E494" s="11"/>
      <c r="F494" s="11"/>
      <c r="G494" s="11"/>
      <c r="H494" s="11"/>
      <c r="I494" s="11"/>
      <c r="J494" s="11"/>
    </row>
    <row r="495">
      <c r="B495" s="11"/>
      <c r="C495" s="11"/>
      <c r="D495" s="11"/>
      <c r="E495" s="11"/>
      <c r="F495" s="11"/>
      <c r="G495" s="11"/>
      <c r="H495" s="11"/>
      <c r="I495" s="11"/>
      <c r="J495" s="11"/>
    </row>
    <row r="496">
      <c r="B496" s="11"/>
      <c r="C496" s="11"/>
      <c r="D496" s="11"/>
      <c r="E496" s="11"/>
      <c r="F496" s="11"/>
      <c r="G496" s="11"/>
      <c r="H496" s="11"/>
      <c r="I496" s="11"/>
      <c r="J496" s="11"/>
    </row>
    <row r="497">
      <c r="B497" s="11"/>
      <c r="C497" s="11"/>
      <c r="D497" s="11"/>
      <c r="E497" s="11"/>
      <c r="F497" s="11"/>
      <c r="G497" s="11"/>
      <c r="H497" s="11"/>
      <c r="I497" s="11"/>
      <c r="J497" s="11"/>
    </row>
    <row r="498">
      <c r="B498" s="11"/>
      <c r="C498" s="11"/>
      <c r="D498" s="11"/>
      <c r="E498" s="11"/>
      <c r="F498" s="11"/>
      <c r="G498" s="11"/>
      <c r="H498" s="11"/>
      <c r="I498" s="11"/>
      <c r="J498" s="11"/>
    </row>
    <row r="499">
      <c r="B499" s="11"/>
      <c r="C499" s="11"/>
      <c r="D499" s="11"/>
      <c r="E499" s="11"/>
      <c r="F499" s="11"/>
      <c r="G499" s="11"/>
      <c r="H499" s="11"/>
      <c r="I499" s="11"/>
      <c r="J499" s="11"/>
    </row>
    <row r="500">
      <c r="B500" s="11"/>
      <c r="C500" s="11"/>
      <c r="D500" s="11"/>
      <c r="E500" s="11"/>
      <c r="F500" s="11"/>
      <c r="G500" s="11"/>
      <c r="H500" s="11"/>
      <c r="I500" s="11"/>
      <c r="J500" s="11"/>
    </row>
    <row r="501">
      <c r="B501" s="11"/>
      <c r="C501" s="11"/>
      <c r="D501" s="11"/>
      <c r="E501" s="11"/>
      <c r="F501" s="11"/>
      <c r="G501" s="11"/>
      <c r="H501" s="11"/>
      <c r="I501" s="11"/>
      <c r="J501" s="11"/>
    </row>
    <row r="502">
      <c r="B502" s="11"/>
      <c r="C502" s="11"/>
      <c r="D502" s="11"/>
      <c r="E502" s="11"/>
      <c r="F502" s="11"/>
      <c r="G502" s="11"/>
      <c r="H502" s="11"/>
      <c r="I502" s="11"/>
      <c r="J502" s="11"/>
    </row>
    <row r="503">
      <c r="B503" s="11"/>
      <c r="C503" s="11"/>
      <c r="D503" s="11"/>
      <c r="E503" s="11"/>
      <c r="F503" s="11"/>
      <c r="G503" s="11"/>
      <c r="H503" s="11"/>
      <c r="I503" s="11"/>
      <c r="J503" s="11"/>
    </row>
    <row r="504">
      <c r="B504" s="11"/>
      <c r="C504" s="11"/>
      <c r="D504" s="11"/>
      <c r="E504" s="11"/>
      <c r="F504" s="11"/>
      <c r="G504" s="11"/>
      <c r="H504" s="11"/>
      <c r="I504" s="11"/>
      <c r="J504" s="11"/>
    </row>
    <row r="505">
      <c r="B505" s="11"/>
      <c r="C505" s="11"/>
      <c r="D505" s="11"/>
      <c r="E505" s="11"/>
      <c r="F505" s="11"/>
      <c r="G505" s="11"/>
      <c r="H505" s="11"/>
      <c r="I505" s="11"/>
      <c r="J505" s="11"/>
    </row>
    <row r="506">
      <c r="B506" s="11"/>
      <c r="C506" s="11"/>
      <c r="D506" s="11"/>
      <c r="E506" s="11"/>
      <c r="F506" s="11"/>
      <c r="G506" s="11"/>
      <c r="H506" s="11"/>
      <c r="I506" s="11"/>
      <c r="J506" s="11"/>
    </row>
    <row r="507">
      <c r="B507" s="11"/>
      <c r="C507" s="11"/>
      <c r="D507" s="11"/>
      <c r="E507" s="11"/>
      <c r="F507" s="11"/>
      <c r="G507" s="11"/>
      <c r="H507" s="11"/>
      <c r="I507" s="11"/>
      <c r="J507" s="11"/>
    </row>
    <row r="508">
      <c r="B508" s="11"/>
      <c r="C508" s="11"/>
      <c r="D508" s="11"/>
      <c r="E508" s="11"/>
      <c r="F508" s="11"/>
      <c r="G508" s="11"/>
      <c r="H508" s="11"/>
      <c r="I508" s="11"/>
      <c r="J508" s="11"/>
    </row>
    <row r="509">
      <c r="B509" s="11"/>
      <c r="C509" s="11"/>
      <c r="D509" s="11"/>
      <c r="E509" s="11"/>
      <c r="F509" s="11"/>
      <c r="G509" s="11"/>
      <c r="H509" s="11"/>
      <c r="I509" s="11"/>
      <c r="J509" s="11"/>
    </row>
    <row r="510">
      <c r="B510" s="11"/>
      <c r="C510" s="11"/>
      <c r="D510" s="11"/>
      <c r="E510" s="11"/>
      <c r="F510" s="11"/>
      <c r="G510" s="11"/>
      <c r="H510" s="11"/>
      <c r="I510" s="11"/>
      <c r="J510" s="11"/>
    </row>
    <row r="511">
      <c r="B511" s="11"/>
      <c r="C511" s="11"/>
      <c r="D511" s="11"/>
      <c r="E511" s="11"/>
      <c r="F511" s="11"/>
      <c r="G511" s="11"/>
      <c r="H511" s="11"/>
      <c r="I511" s="11"/>
      <c r="J511" s="11"/>
    </row>
    <row r="512">
      <c r="B512" s="11"/>
      <c r="C512" s="11"/>
      <c r="D512" s="11"/>
      <c r="E512" s="11"/>
      <c r="F512" s="11"/>
      <c r="G512" s="11"/>
      <c r="H512" s="11"/>
      <c r="I512" s="11"/>
      <c r="J512" s="11"/>
    </row>
    <row r="513">
      <c r="B513" s="11"/>
      <c r="C513" s="11"/>
      <c r="D513" s="11"/>
      <c r="E513" s="11"/>
      <c r="F513" s="11"/>
      <c r="G513" s="11"/>
      <c r="H513" s="11"/>
      <c r="I513" s="11"/>
      <c r="J513" s="11"/>
    </row>
    <row r="514">
      <c r="B514" s="11"/>
      <c r="C514" s="11"/>
      <c r="D514" s="11"/>
      <c r="E514" s="11"/>
      <c r="F514" s="11"/>
      <c r="G514" s="11"/>
      <c r="H514" s="11"/>
      <c r="I514" s="11"/>
      <c r="J514" s="11"/>
    </row>
    <row r="515">
      <c r="B515" s="11"/>
      <c r="C515" s="11"/>
      <c r="D515" s="11"/>
      <c r="E515" s="11"/>
      <c r="F515" s="11"/>
      <c r="G515" s="11"/>
      <c r="H515" s="11"/>
      <c r="I515" s="11"/>
      <c r="J515" s="11"/>
    </row>
    <row r="516">
      <c r="B516" s="11"/>
      <c r="C516" s="11"/>
      <c r="D516" s="11"/>
      <c r="E516" s="11"/>
      <c r="F516" s="11"/>
      <c r="G516" s="11"/>
      <c r="H516" s="11"/>
      <c r="I516" s="11"/>
      <c r="J516" s="11"/>
    </row>
    <row r="517">
      <c r="B517" s="11"/>
      <c r="C517" s="11"/>
      <c r="D517" s="11"/>
      <c r="E517" s="11"/>
      <c r="F517" s="11"/>
      <c r="G517" s="11"/>
      <c r="H517" s="11"/>
      <c r="I517" s="11"/>
      <c r="J517" s="11"/>
    </row>
    <row r="518">
      <c r="B518" s="11"/>
      <c r="C518" s="11"/>
      <c r="D518" s="11"/>
      <c r="E518" s="11"/>
      <c r="F518" s="11"/>
      <c r="G518" s="11"/>
      <c r="H518" s="11"/>
      <c r="I518" s="11"/>
      <c r="J518" s="11"/>
    </row>
    <row r="519">
      <c r="B519" s="11"/>
      <c r="C519" s="11"/>
      <c r="D519" s="11"/>
      <c r="E519" s="11"/>
      <c r="F519" s="11"/>
      <c r="G519" s="11"/>
      <c r="H519" s="11"/>
      <c r="I519" s="11"/>
      <c r="J519" s="11"/>
    </row>
    <row r="520">
      <c r="B520" s="11"/>
      <c r="C520" s="11"/>
      <c r="D520" s="11"/>
      <c r="E520" s="11"/>
      <c r="F520" s="11"/>
      <c r="G520" s="11"/>
      <c r="H520" s="11"/>
      <c r="I520" s="11"/>
      <c r="J520" s="11"/>
    </row>
    <row r="521">
      <c r="B521" s="11"/>
      <c r="C521" s="11"/>
      <c r="D521" s="11"/>
      <c r="E521" s="11"/>
      <c r="F521" s="11"/>
      <c r="G521" s="11"/>
      <c r="H521" s="11"/>
      <c r="I521" s="11"/>
      <c r="J521" s="11"/>
    </row>
    <row r="522">
      <c r="B522" s="11"/>
      <c r="C522" s="11"/>
      <c r="D522" s="11"/>
      <c r="E522" s="11"/>
      <c r="F522" s="11"/>
      <c r="G522" s="11"/>
      <c r="H522" s="11"/>
      <c r="I522" s="11"/>
      <c r="J522" s="11"/>
    </row>
    <row r="523">
      <c r="B523" s="11"/>
      <c r="C523" s="11"/>
      <c r="D523" s="11"/>
      <c r="E523" s="11"/>
      <c r="F523" s="11"/>
      <c r="G523" s="11"/>
      <c r="H523" s="11"/>
      <c r="I523" s="11"/>
      <c r="J523" s="11"/>
    </row>
    <row r="524">
      <c r="B524" s="11"/>
      <c r="C524" s="11"/>
      <c r="D524" s="11"/>
      <c r="E524" s="11"/>
      <c r="F524" s="11"/>
      <c r="G524" s="11"/>
      <c r="H524" s="11"/>
      <c r="I524" s="11"/>
      <c r="J524" s="11"/>
    </row>
    <row r="525">
      <c r="B525" s="11"/>
      <c r="C525" s="11"/>
      <c r="D525" s="11"/>
      <c r="E525" s="11"/>
      <c r="F525" s="11"/>
      <c r="G525" s="11"/>
      <c r="H525" s="11"/>
      <c r="I525" s="11"/>
      <c r="J525" s="11"/>
    </row>
    <row r="526">
      <c r="B526" s="11"/>
      <c r="C526" s="11"/>
      <c r="D526" s="11"/>
      <c r="E526" s="11"/>
      <c r="F526" s="11"/>
      <c r="G526" s="11"/>
      <c r="H526" s="11"/>
      <c r="I526" s="11"/>
      <c r="J526" s="11"/>
    </row>
    <row r="527">
      <c r="B527" s="11"/>
      <c r="C527" s="11"/>
      <c r="D527" s="11"/>
      <c r="E527" s="11"/>
      <c r="F527" s="11"/>
      <c r="G527" s="11"/>
      <c r="H527" s="11"/>
      <c r="I527" s="11"/>
      <c r="J527" s="11"/>
    </row>
    <row r="528">
      <c r="B528" s="11"/>
      <c r="C528" s="11"/>
      <c r="D528" s="11"/>
      <c r="E528" s="11"/>
      <c r="F528" s="11"/>
      <c r="G528" s="11"/>
      <c r="H528" s="11"/>
      <c r="I528" s="11"/>
      <c r="J528" s="11"/>
    </row>
    <row r="529">
      <c r="B529" s="11"/>
      <c r="C529" s="11"/>
      <c r="D529" s="11"/>
      <c r="E529" s="11"/>
      <c r="F529" s="11"/>
      <c r="G529" s="11"/>
      <c r="H529" s="11"/>
      <c r="I529" s="11"/>
      <c r="J529" s="11"/>
    </row>
    <row r="530">
      <c r="B530" s="11"/>
      <c r="C530" s="11"/>
      <c r="D530" s="11"/>
      <c r="E530" s="11"/>
      <c r="F530" s="11"/>
      <c r="G530" s="11"/>
      <c r="H530" s="11"/>
      <c r="I530" s="11"/>
      <c r="J530" s="11"/>
    </row>
    <row r="531">
      <c r="B531" s="11"/>
      <c r="C531" s="11"/>
      <c r="D531" s="11"/>
      <c r="E531" s="11"/>
      <c r="F531" s="11"/>
      <c r="G531" s="11"/>
      <c r="H531" s="11"/>
      <c r="I531" s="11"/>
      <c r="J531" s="11"/>
    </row>
    <row r="532">
      <c r="B532" s="11"/>
      <c r="C532" s="11"/>
      <c r="D532" s="11"/>
      <c r="E532" s="11"/>
      <c r="F532" s="11"/>
      <c r="G532" s="11"/>
      <c r="H532" s="11"/>
      <c r="I532" s="11"/>
      <c r="J532" s="11"/>
    </row>
    <row r="533">
      <c r="B533" s="11"/>
      <c r="C533" s="11"/>
      <c r="D533" s="11"/>
      <c r="E533" s="11"/>
      <c r="F533" s="11"/>
      <c r="G533" s="11"/>
      <c r="H533" s="11"/>
      <c r="I533" s="11"/>
      <c r="J533" s="11"/>
    </row>
    <row r="534">
      <c r="B534" s="11"/>
      <c r="C534" s="11"/>
      <c r="D534" s="11"/>
      <c r="E534" s="11"/>
      <c r="F534" s="11"/>
      <c r="G534" s="11"/>
      <c r="H534" s="11"/>
      <c r="I534" s="11"/>
      <c r="J534" s="11"/>
    </row>
    <row r="535">
      <c r="B535" s="11"/>
      <c r="C535" s="11"/>
      <c r="D535" s="11"/>
      <c r="E535" s="11"/>
      <c r="F535" s="11"/>
      <c r="G535" s="11"/>
      <c r="H535" s="11"/>
      <c r="I535" s="11"/>
      <c r="J535" s="11"/>
    </row>
    <row r="536">
      <c r="B536" s="11"/>
      <c r="C536" s="11"/>
      <c r="D536" s="11"/>
      <c r="E536" s="11"/>
      <c r="F536" s="11"/>
      <c r="G536" s="11"/>
      <c r="H536" s="11"/>
      <c r="I536" s="11"/>
      <c r="J536" s="11"/>
    </row>
    <row r="537">
      <c r="B537" s="11"/>
      <c r="C537" s="11"/>
      <c r="D537" s="11"/>
      <c r="E537" s="11"/>
      <c r="F537" s="11"/>
      <c r="G537" s="11"/>
      <c r="H537" s="11"/>
      <c r="I537" s="11"/>
      <c r="J537" s="11"/>
    </row>
    <row r="538">
      <c r="B538" s="11"/>
      <c r="C538" s="11"/>
      <c r="D538" s="11"/>
      <c r="E538" s="11"/>
      <c r="F538" s="11"/>
      <c r="G538" s="11"/>
      <c r="H538" s="11"/>
      <c r="I538" s="11"/>
      <c r="J538" s="11"/>
    </row>
    <row r="539">
      <c r="B539" s="11"/>
      <c r="C539" s="11"/>
      <c r="D539" s="11"/>
      <c r="E539" s="11"/>
      <c r="F539" s="11"/>
      <c r="G539" s="11"/>
      <c r="H539" s="11"/>
      <c r="I539" s="11"/>
      <c r="J539" s="11"/>
    </row>
    <row r="540">
      <c r="B540" s="11"/>
      <c r="C540" s="11"/>
      <c r="D540" s="11"/>
      <c r="E540" s="11"/>
      <c r="F540" s="11"/>
      <c r="G540" s="11"/>
      <c r="H540" s="11"/>
      <c r="I540" s="11"/>
      <c r="J540" s="11"/>
    </row>
    <row r="541">
      <c r="B541" s="11"/>
      <c r="C541" s="11"/>
      <c r="D541" s="11"/>
      <c r="E541" s="11"/>
      <c r="F541" s="11"/>
      <c r="G541" s="11"/>
      <c r="H541" s="11"/>
      <c r="I541" s="11"/>
      <c r="J541" s="11"/>
    </row>
    <row r="542">
      <c r="B542" s="11"/>
      <c r="C542" s="11"/>
      <c r="D542" s="11"/>
      <c r="E542" s="11"/>
      <c r="F542" s="11"/>
      <c r="G542" s="11"/>
      <c r="H542" s="11"/>
      <c r="I542" s="11"/>
      <c r="J542" s="11"/>
    </row>
    <row r="543">
      <c r="B543" s="11"/>
      <c r="C543" s="11"/>
      <c r="D543" s="11"/>
      <c r="E543" s="11"/>
      <c r="F543" s="11"/>
      <c r="G543" s="11"/>
      <c r="H543" s="11"/>
      <c r="I543" s="11"/>
      <c r="J543" s="11"/>
    </row>
    <row r="544">
      <c r="B544" s="11"/>
      <c r="C544" s="11"/>
      <c r="D544" s="11"/>
      <c r="E544" s="11"/>
      <c r="F544" s="11"/>
      <c r="G544" s="11"/>
      <c r="H544" s="11"/>
      <c r="I544" s="11"/>
      <c r="J544" s="11"/>
    </row>
    <row r="545">
      <c r="B545" s="11"/>
      <c r="C545" s="11"/>
      <c r="D545" s="11"/>
      <c r="E545" s="11"/>
      <c r="F545" s="11"/>
      <c r="G545" s="11"/>
      <c r="H545" s="11"/>
      <c r="I545" s="11"/>
      <c r="J545" s="11"/>
    </row>
    <row r="546">
      <c r="B546" s="11"/>
      <c r="C546" s="11"/>
      <c r="D546" s="11"/>
      <c r="E546" s="11"/>
      <c r="F546" s="11"/>
      <c r="G546" s="11"/>
      <c r="H546" s="11"/>
      <c r="I546" s="11"/>
      <c r="J546" s="11"/>
    </row>
    <row r="547">
      <c r="B547" s="11"/>
      <c r="C547" s="11"/>
      <c r="D547" s="11"/>
      <c r="E547" s="11"/>
      <c r="F547" s="11"/>
      <c r="G547" s="11"/>
      <c r="H547" s="11"/>
      <c r="I547" s="11"/>
      <c r="J547" s="11"/>
    </row>
    <row r="548">
      <c r="B548" s="11"/>
      <c r="C548" s="11"/>
      <c r="D548" s="11"/>
      <c r="E548" s="11"/>
      <c r="F548" s="11"/>
      <c r="G548" s="11"/>
      <c r="H548" s="11"/>
      <c r="I548" s="11"/>
      <c r="J548" s="11"/>
    </row>
    <row r="549">
      <c r="B549" s="11"/>
      <c r="C549" s="11"/>
      <c r="D549" s="11"/>
      <c r="E549" s="11"/>
      <c r="F549" s="11"/>
      <c r="G549" s="11"/>
      <c r="H549" s="11"/>
      <c r="I549" s="11"/>
      <c r="J549" s="11"/>
    </row>
    <row r="550">
      <c r="B550" s="11"/>
      <c r="C550" s="11"/>
      <c r="D550" s="11"/>
      <c r="E550" s="11"/>
      <c r="F550" s="11"/>
      <c r="G550" s="11"/>
      <c r="H550" s="11"/>
      <c r="I550" s="11"/>
      <c r="J550" s="11"/>
    </row>
    <row r="551">
      <c r="B551" s="11"/>
      <c r="C551" s="11"/>
      <c r="D551" s="11"/>
      <c r="E551" s="11"/>
      <c r="F551" s="11"/>
      <c r="G551" s="11"/>
      <c r="H551" s="11"/>
      <c r="I551" s="11"/>
      <c r="J551" s="11"/>
    </row>
    <row r="552">
      <c r="B552" s="11"/>
      <c r="C552" s="11"/>
      <c r="D552" s="11"/>
      <c r="E552" s="11"/>
      <c r="F552" s="11"/>
      <c r="G552" s="11"/>
      <c r="H552" s="11"/>
      <c r="I552" s="11"/>
      <c r="J552" s="11"/>
    </row>
    <row r="553">
      <c r="B553" s="11"/>
      <c r="C553" s="11"/>
      <c r="D553" s="11"/>
      <c r="E553" s="11"/>
      <c r="F553" s="11"/>
      <c r="G553" s="11"/>
      <c r="H553" s="11"/>
      <c r="I553" s="11"/>
      <c r="J553" s="11"/>
    </row>
    <row r="554">
      <c r="B554" s="11"/>
      <c r="C554" s="11"/>
      <c r="D554" s="11"/>
      <c r="E554" s="11"/>
      <c r="F554" s="11"/>
      <c r="G554" s="11"/>
      <c r="H554" s="11"/>
      <c r="I554" s="11"/>
      <c r="J554" s="11"/>
    </row>
    <row r="555">
      <c r="B555" s="11"/>
      <c r="C555" s="11"/>
      <c r="D555" s="11"/>
      <c r="E555" s="11"/>
      <c r="F555" s="11"/>
      <c r="G555" s="11"/>
      <c r="H555" s="11"/>
      <c r="I555" s="11"/>
      <c r="J555" s="11"/>
    </row>
    <row r="556">
      <c r="B556" s="11"/>
      <c r="C556" s="11"/>
      <c r="D556" s="11"/>
      <c r="E556" s="11"/>
      <c r="F556" s="11"/>
      <c r="G556" s="11"/>
      <c r="H556" s="11"/>
      <c r="I556" s="11"/>
      <c r="J556" s="11"/>
    </row>
    <row r="557">
      <c r="B557" s="11"/>
      <c r="C557" s="11"/>
      <c r="D557" s="11"/>
      <c r="E557" s="11"/>
      <c r="F557" s="11"/>
      <c r="G557" s="11"/>
      <c r="H557" s="11"/>
      <c r="I557" s="11"/>
      <c r="J557" s="11"/>
    </row>
    <row r="558">
      <c r="B558" s="11"/>
      <c r="C558" s="11"/>
      <c r="D558" s="11"/>
      <c r="E558" s="11"/>
      <c r="F558" s="11"/>
      <c r="G558" s="11"/>
      <c r="H558" s="11"/>
      <c r="I558" s="11"/>
      <c r="J558" s="11"/>
    </row>
    <row r="559">
      <c r="B559" s="11"/>
      <c r="C559" s="11"/>
      <c r="D559" s="11"/>
      <c r="E559" s="11"/>
      <c r="F559" s="11"/>
      <c r="G559" s="11"/>
      <c r="H559" s="11"/>
      <c r="I559" s="11"/>
      <c r="J559" s="11"/>
    </row>
    <row r="560">
      <c r="B560" s="11"/>
      <c r="C560" s="11"/>
      <c r="D560" s="11"/>
      <c r="E560" s="11"/>
      <c r="F560" s="11"/>
      <c r="G560" s="11"/>
      <c r="H560" s="11"/>
      <c r="I560" s="11"/>
      <c r="J560" s="11"/>
    </row>
    <row r="561">
      <c r="B561" s="11"/>
      <c r="C561" s="11"/>
      <c r="D561" s="11"/>
      <c r="E561" s="11"/>
      <c r="F561" s="11"/>
      <c r="G561" s="11"/>
      <c r="H561" s="11"/>
      <c r="I561" s="11"/>
      <c r="J561" s="11"/>
    </row>
    <row r="562">
      <c r="B562" s="11"/>
      <c r="C562" s="11"/>
      <c r="D562" s="11"/>
      <c r="E562" s="11"/>
      <c r="F562" s="11"/>
      <c r="G562" s="11"/>
      <c r="H562" s="11"/>
      <c r="I562" s="11"/>
      <c r="J562" s="11"/>
    </row>
    <row r="563">
      <c r="B563" s="11"/>
      <c r="C563" s="11"/>
      <c r="D563" s="11"/>
      <c r="E563" s="11"/>
      <c r="F563" s="11"/>
      <c r="G563" s="11"/>
      <c r="H563" s="11"/>
      <c r="I563" s="11"/>
      <c r="J563" s="11"/>
    </row>
    <row r="564">
      <c r="B564" s="11"/>
      <c r="C564" s="11"/>
      <c r="D564" s="11"/>
      <c r="E564" s="11"/>
      <c r="F564" s="11"/>
      <c r="G564" s="11"/>
      <c r="H564" s="11"/>
      <c r="I564" s="11"/>
      <c r="J564" s="11"/>
    </row>
    <row r="565">
      <c r="B565" s="11"/>
      <c r="C565" s="11"/>
      <c r="D565" s="11"/>
      <c r="E565" s="11"/>
      <c r="F565" s="11"/>
      <c r="G565" s="11"/>
      <c r="H565" s="11"/>
      <c r="I565" s="11"/>
      <c r="J565" s="11"/>
    </row>
    <row r="566">
      <c r="B566" s="11"/>
      <c r="C566" s="11"/>
      <c r="D566" s="11"/>
      <c r="E566" s="11"/>
      <c r="F566" s="11"/>
      <c r="G566" s="11"/>
      <c r="H566" s="11"/>
      <c r="I566" s="11"/>
      <c r="J566" s="11"/>
    </row>
    <row r="567">
      <c r="B567" s="11"/>
      <c r="C567" s="11"/>
      <c r="D567" s="11"/>
      <c r="E567" s="11"/>
      <c r="F567" s="11"/>
      <c r="G567" s="11"/>
      <c r="H567" s="11"/>
      <c r="I567" s="11"/>
      <c r="J567" s="11"/>
    </row>
    <row r="568">
      <c r="B568" s="11"/>
      <c r="C568" s="11"/>
      <c r="D568" s="11"/>
      <c r="E568" s="11"/>
      <c r="F568" s="11"/>
      <c r="G568" s="11"/>
      <c r="H568" s="11"/>
      <c r="I568" s="11"/>
      <c r="J568" s="11"/>
    </row>
    <row r="569">
      <c r="B569" s="11"/>
      <c r="C569" s="11"/>
      <c r="D569" s="11"/>
      <c r="E569" s="11"/>
      <c r="F569" s="11"/>
      <c r="G569" s="11"/>
      <c r="H569" s="11"/>
      <c r="I569" s="11"/>
      <c r="J569" s="11"/>
    </row>
    <row r="570">
      <c r="B570" s="11"/>
      <c r="C570" s="11"/>
      <c r="D570" s="11"/>
      <c r="E570" s="11"/>
      <c r="F570" s="11"/>
      <c r="G570" s="11"/>
      <c r="H570" s="11"/>
      <c r="I570" s="11"/>
      <c r="J570" s="11"/>
    </row>
    <row r="571">
      <c r="B571" s="11"/>
      <c r="C571" s="11"/>
      <c r="D571" s="11"/>
      <c r="E571" s="11"/>
      <c r="F571" s="11"/>
      <c r="G571" s="11"/>
      <c r="H571" s="11"/>
      <c r="I571" s="11"/>
      <c r="J571" s="11"/>
    </row>
    <row r="572">
      <c r="B572" s="11"/>
      <c r="C572" s="11"/>
      <c r="D572" s="11"/>
      <c r="E572" s="11"/>
      <c r="F572" s="11"/>
      <c r="G572" s="11"/>
      <c r="H572" s="11"/>
      <c r="I572" s="11"/>
      <c r="J572" s="11"/>
    </row>
    <row r="573">
      <c r="B573" s="11"/>
      <c r="C573" s="11"/>
      <c r="D573" s="11"/>
      <c r="E573" s="11"/>
      <c r="F573" s="11"/>
      <c r="G573" s="11"/>
      <c r="H573" s="11"/>
      <c r="I573" s="11"/>
      <c r="J573" s="11"/>
    </row>
    <row r="574">
      <c r="B574" s="11"/>
      <c r="C574" s="11"/>
      <c r="D574" s="11"/>
      <c r="E574" s="11"/>
      <c r="F574" s="11"/>
      <c r="G574" s="11"/>
      <c r="H574" s="11"/>
      <c r="I574" s="11"/>
      <c r="J574" s="11"/>
    </row>
    <row r="575">
      <c r="B575" s="11"/>
      <c r="C575" s="11"/>
      <c r="D575" s="11"/>
      <c r="E575" s="11"/>
      <c r="F575" s="11"/>
      <c r="G575" s="11"/>
      <c r="H575" s="11"/>
      <c r="I575" s="11"/>
      <c r="J575" s="11"/>
    </row>
    <row r="576">
      <c r="B576" s="11"/>
      <c r="C576" s="11"/>
      <c r="D576" s="11"/>
      <c r="E576" s="11"/>
      <c r="F576" s="11"/>
      <c r="G576" s="11"/>
      <c r="H576" s="11"/>
      <c r="I576" s="11"/>
      <c r="J576" s="11"/>
    </row>
    <row r="577">
      <c r="B577" s="11"/>
      <c r="C577" s="11"/>
      <c r="D577" s="11"/>
      <c r="E577" s="11"/>
      <c r="F577" s="11"/>
      <c r="G577" s="11"/>
      <c r="H577" s="11"/>
      <c r="I577" s="11"/>
      <c r="J577" s="11"/>
    </row>
    <row r="578">
      <c r="B578" s="11"/>
      <c r="C578" s="11"/>
      <c r="D578" s="11"/>
      <c r="E578" s="11"/>
      <c r="F578" s="11"/>
      <c r="G578" s="11"/>
      <c r="H578" s="11"/>
      <c r="I578" s="11"/>
      <c r="J578" s="11"/>
    </row>
    <row r="579">
      <c r="B579" s="11"/>
      <c r="C579" s="11"/>
      <c r="D579" s="11"/>
      <c r="E579" s="11"/>
      <c r="F579" s="11"/>
      <c r="G579" s="11"/>
      <c r="H579" s="11"/>
      <c r="I579" s="11"/>
      <c r="J579" s="11"/>
    </row>
    <row r="580">
      <c r="B580" s="11"/>
      <c r="C580" s="11"/>
      <c r="D580" s="11"/>
      <c r="E580" s="11"/>
      <c r="F580" s="11"/>
      <c r="G580" s="11"/>
      <c r="H580" s="11"/>
      <c r="I580" s="11"/>
      <c r="J580" s="11"/>
    </row>
    <row r="581">
      <c r="B581" s="11"/>
      <c r="C581" s="11"/>
      <c r="D581" s="11"/>
      <c r="E581" s="11"/>
      <c r="F581" s="11"/>
      <c r="G581" s="11"/>
      <c r="H581" s="11"/>
      <c r="I581" s="11"/>
      <c r="J581" s="11"/>
    </row>
    <row r="582">
      <c r="B582" s="11"/>
      <c r="C582" s="11"/>
      <c r="D582" s="11"/>
      <c r="E582" s="11"/>
      <c r="F582" s="11"/>
      <c r="G582" s="11"/>
      <c r="H582" s="11"/>
      <c r="I582" s="11"/>
      <c r="J582" s="11"/>
    </row>
    <row r="583">
      <c r="B583" s="11"/>
      <c r="C583" s="11"/>
      <c r="D583" s="11"/>
      <c r="E583" s="11"/>
      <c r="F583" s="11"/>
      <c r="G583" s="11"/>
      <c r="H583" s="11"/>
      <c r="I583" s="11"/>
      <c r="J583" s="11"/>
    </row>
    <row r="584">
      <c r="B584" s="11"/>
      <c r="C584" s="11"/>
      <c r="D584" s="11"/>
      <c r="E584" s="11"/>
      <c r="F584" s="11"/>
      <c r="G584" s="11"/>
      <c r="H584" s="11"/>
      <c r="I584" s="11"/>
      <c r="J584" s="11"/>
    </row>
    <row r="585">
      <c r="B585" s="11"/>
      <c r="C585" s="11"/>
      <c r="D585" s="11"/>
      <c r="E585" s="11"/>
      <c r="F585" s="11"/>
      <c r="G585" s="11"/>
      <c r="H585" s="11"/>
      <c r="I585" s="11"/>
      <c r="J585" s="11"/>
    </row>
    <row r="586">
      <c r="B586" s="11"/>
      <c r="C586" s="11"/>
      <c r="D586" s="11"/>
      <c r="E586" s="11"/>
      <c r="F586" s="11"/>
      <c r="G586" s="11"/>
      <c r="H586" s="11"/>
      <c r="I586" s="11"/>
      <c r="J586" s="11"/>
    </row>
    <row r="587">
      <c r="B587" s="11"/>
      <c r="C587" s="11"/>
      <c r="D587" s="11"/>
      <c r="E587" s="11"/>
      <c r="F587" s="11"/>
      <c r="G587" s="11"/>
      <c r="H587" s="11"/>
      <c r="I587" s="11"/>
      <c r="J587" s="11"/>
    </row>
    <row r="588">
      <c r="B588" s="11"/>
      <c r="C588" s="11"/>
      <c r="D588" s="11"/>
      <c r="E588" s="11"/>
      <c r="F588" s="11"/>
      <c r="G588" s="11"/>
      <c r="H588" s="11"/>
      <c r="I588" s="11"/>
      <c r="J588" s="11"/>
    </row>
    <row r="589">
      <c r="B589" s="11"/>
      <c r="C589" s="11"/>
      <c r="D589" s="11"/>
      <c r="E589" s="11"/>
      <c r="F589" s="11"/>
      <c r="G589" s="11"/>
      <c r="H589" s="11"/>
      <c r="I589" s="11"/>
      <c r="J589" s="11"/>
    </row>
    <row r="590">
      <c r="B590" s="11"/>
      <c r="C590" s="11"/>
      <c r="D590" s="11"/>
      <c r="E590" s="11"/>
      <c r="F590" s="11"/>
      <c r="G590" s="11"/>
      <c r="H590" s="11"/>
      <c r="I590" s="11"/>
      <c r="J590" s="11"/>
    </row>
    <row r="591">
      <c r="B591" s="11"/>
      <c r="C591" s="11"/>
      <c r="D591" s="11"/>
      <c r="E591" s="11"/>
      <c r="F591" s="11"/>
      <c r="G591" s="11"/>
      <c r="H591" s="11"/>
      <c r="I591" s="11"/>
      <c r="J591" s="11"/>
    </row>
    <row r="592">
      <c r="B592" s="11"/>
      <c r="C592" s="11"/>
      <c r="D592" s="11"/>
      <c r="E592" s="11"/>
      <c r="F592" s="11"/>
      <c r="G592" s="11"/>
      <c r="H592" s="11"/>
      <c r="I592" s="11"/>
      <c r="J592" s="11"/>
    </row>
    <row r="593">
      <c r="B593" s="11"/>
      <c r="C593" s="11"/>
      <c r="D593" s="11"/>
      <c r="E593" s="11"/>
      <c r="F593" s="11"/>
      <c r="G593" s="11"/>
      <c r="H593" s="11"/>
      <c r="I593" s="11"/>
      <c r="J593" s="11"/>
    </row>
    <row r="594">
      <c r="B594" s="11"/>
      <c r="C594" s="11"/>
      <c r="D594" s="11"/>
      <c r="E594" s="11"/>
      <c r="F594" s="11"/>
      <c r="G594" s="11"/>
      <c r="H594" s="11"/>
      <c r="I594" s="11"/>
      <c r="J594" s="11"/>
    </row>
    <row r="595">
      <c r="B595" s="11"/>
      <c r="C595" s="11"/>
      <c r="D595" s="11"/>
      <c r="E595" s="11"/>
      <c r="F595" s="11"/>
      <c r="G595" s="11"/>
      <c r="H595" s="11"/>
      <c r="I595" s="11"/>
      <c r="J595" s="11"/>
    </row>
    <row r="596">
      <c r="B596" s="11"/>
      <c r="C596" s="11"/>
      <c r="D596" s="11"/>
      <c r="E596" s="11"/>
      <c r="F596" s="11"/>
      <c r="G596" s="11"/>
      <c r="H596" s="11"/>
      <c r="I596" s="11"/>
      <c r="J596" s="11"/>
    </row>
    <row r="597">
      <c r="B597" s="11"/>
      <c r="C597" s="11"/>
      <c r="D597" s="11"/>
      <c r="E597" s="11"/>
      <c r="F597" s="11"/>
      <c r="G597" s="11"/>
      <c r="H597" s="11"/>
      <c r="I597" s="11"/>
      <c r="J597" s="11"/>
    </row>
    <row r="598">
      <c r="B598" s="11"/>
      <c r="C598" s="11"/>
      <c r="D598" s="11"/>
      <c r="E598" s="11"/>
      <c r="F598" s="11"/>
      <c r="G598" s="11"/>
      <c r="H598" s="11"/>
      <c r="I598" s="11"/>
      <c r="J598" s="11"/>
    </row>
    <row r="599">
      <c r="B599" s="11"/>
      <c r="C599" s="11"/>
      <c r="D599" s="11"/>
      <c r="E599" s="11"/>
      <c r="F599" s="11"/>
      <c r="G599" s="11"/>
      <c r="H599" s="11"/>
      <c r="I599" s="11"/>
      <c r="J599" s="11"/>
    </row>
    <row r="600">
      <c r="B600" s="11"/>
      <c r="C600" s="11"/>
      <c r="D600" s="11"/>
      <c r="E600" s="11"/>
      <c r="F600" s="11"/>
      <c r="G600" s="11"/>
      <c r="H600" s="11"/>
      <c r="I600" s="11"/>
      <c r="J600" s="11"/>
    </row>
    <row r="601">
      <c r="B601" s="11"/>
      <c r="C601" s="11"/>
      <c r="D601" s="11"/>
      <c r="E601" s="11"/>
      <c r="F601" s="11"/>
      <c r="G601" s="11"/>
      <c r="H601" s="11"/>
      <c r="I601" s="11"/>
      <c r="J601" s="11"/>
    </row>
    <row r="602">
      <c r="B602" s="11"/>
      <c r="C602" s="11"/>
      <c r="D602" s="11"/>
      <c r="E602" s="11"/>
      <c r="F602" s="11"/>
      <c r="G602" s="11"/>
      <c r="H602" s="11"/>
      <c r="I602" s="11"/>
      <c r="J602" s="11"/>
    </row>
    <row r="603">
      <c r="B603" s="11"/>
      <c r="C603" s="11"/>
      <c r="D603" s="11"/>
      <c r="E603" s="11"/>
      <c r="F603" s="11"/>
      <c r="G603" s="11"/>
      <c r="H603" s="11"/>
      <c r="I603" s="11"/>
      <c r="J603" s="11"/>
    </row>
    <row r="604">
      <c r="B604" s="11"/>
      <c r="C604" s="11"/>
      <c r="D604" s="11"/>
      <c r="E604" s="11"/>
      <c r="F604" s="11"/>
      <c r="G604" s="11"/>
      <c r="H604" s="11"/>
      <c r="I604" s="11"/>
      <c r="J604" s="11"/>
    </row>
    <row r="605">
      <c r="B605" s="11"/>
      <c r="C605" s="11"/>
      <c r="D605" s="11"/>
      <c r="E605" s="11"/>
      <c r="F605" s="11"/>
      <c r="G605" s="11"/>
      <c r="H605" s="11"/>
      <c r="I605" s="11"/>
      <c r="J605" s="11"/>
    </row>
    <row r="606">
      <c r="B606" s="11"/>
      <c r="C606" s="11"/>
      <c r="D606" s="11"/>
      <c r="E606" s="11"/>
      <c r="F606" s="11"/>
      <c r="G606" s="11"/>
      <c r="H606" s="11"/>
      <c r="I606" s="11"/>
      <c r="J606" s="11"/>
    </row>
    <row r="607">
      <c r="B607" s="11"/>
      <c r="C607" s="11"/>
      <c r="D607" s="11"/>
      <c r="E607" s="11"/>
      <c r="F607" s="11"/>
      <c r="G607" s="11"/>
      <c r="H607" s="11"/>
      <c r="I607" s="11"/>
      <c r="J607" s="11"/>
    </row>
    <row r="608">
      <c r="B608" s="11"/>
      <c r="C608" s="11"/>
      <c r="D608" s="11"/>
      <c r="E608" s="11"/>
      <c r="F608" s="11"/>
      <c r="G608" s="11"/>
      <c r="H608" s="11"/>
      <c r="I608" s="11"/>
      <c r="J608" s="11"/>
    </row>
    <row r="609">
      <c r="B609" s="11"/>
      <c r="C609" s="11"/>
      <c r="D609" s="11"/>
      <c r="E609" s="11"/>
      <c r="F609" s="11"/>
      <c r="G609" s="11"/>
      <c r="H609" s="11"/>
      <c r="I609" s="11"/>
      <c r="J609" s="11"/>
    </row>
    <row r="610">
      <c r="B610" s="11"/>
      <c r="C610" s="11"/>
      <c r="D610" s="11"/>
      <c r="E610" s="11"/>
      <c r="F610" s="11"/>
      <c r="G610" s="11"/>
      <c r="H610" s="11"/>
      <c r="I610" s="11"/>
      <c r="J610" s="11"/>
    </row>
    <row r="611">
      <c r="B611" s="11"/>
      <c r="C611" s="11"/>
      <c r="D611" s="11"/>
      <c r="E611" s="11"/>
      <c r="F611" s="11"/>
      <c r="G611" s="11"/>
      <c r="H611" s="11"/>
      <c r="I611" s="11"/>
      <c r="J611" s="11"/>
    </row>
    <row r="612">
      <c r="B612" s="11"/>
      <c r="C612" s="11"/>
      <c r="D612" s="11"/>
      <c r="E612" s="11"/>
      <c r="F612" s="11"/>
      <c r="G612" s="11"/>
      <c r="H612" s="11"/>
      <c r="I612" s="11"/>
      <c r="J612" s="11"/>
    </row>
    <row r="613">
      <c r="B613" s="11"/>
      <c r="C613" s="11"/>
      <c r="D613" s="11"/>
      <c r="E613" s="11"/>
      <c r="F613" s="11"/>
      <c r="G613" s="11"/>
      <c r="H613" s="11"/>
      <c r="I613" s="11"/>
      <c r="J613" s="11"/>
    </row>
    <row r="614">
      <c r="B614" s="11"/>
      <c r="C614" s="11"/>
      <c r="D614" s="11"/>
      <c r="E614" s="11"/>
      <c r="F614" s="11"/>
      <c r="G614" s="11"/>
      <c r="H614" s="11"/>
      <c r="I614" s="11"/>
      <c r="J614" s="11"/>
    </row>
    <row r="615">
      <c r="B615" s="11"/>
      <c r="C615" s="11"/>
      <c r="D615" s="11"/>
      <c r="E615" s="11"/>
      <c r="F615" s="11"/>
      <c r="G615" s="11"/>
      <c r="H615" s="11"/>
      <c r="I615" s="11"/>
      <c r="J615" s="11"/>
    </row>
    <row r="616">
      <c r="B616" s="11"/>
      <c r="C616" s="11"/>
      <c r="D616" s="11"/>
      <c r="E616" s="11"/>
      <c r="F616" s="11"/>
      <c r="G616" s="11"/>
      <c r="H616" s="11"/>
      <c r="I616" s="11"/>
      <c r="J616" s="11"/>
    </row>
    <row r="617">
      <c r="B617" s="11"/>
      <c r="C617" s="11"/>
      <c r="D617" s="11"/>
      <c r="E617" s="11"/>
      <c r="F617" s="11"/>
      <c r="G617" s="11"/>
      <c r="H617" s="11"/>
      <c r="I617" s="11"/>
      <c r="J617" s="11"/>
    </row>
    <row r="618">
      <c r="B618" s="11"/>
      <c r="C618" s="11"/>
      <c r="D618" s="11"/>
      <c r="E618" s="11"/>
      <c r="F618" s="11"/>
      <c r="G618" s="11"/>
      <c r="H618" s="11"/>
      <c r="I618" s="11"/>
      <c r="J618" s="11"/>
    </row>
    <row r="619">
      <c r="B619" s="11"/>
      <c r="C619" s="11"/>
      <c r="D619" s="11"/>
      <c r="E619" s="11"/>
      <c r="F619" s="11"/>
      <c r="G619" s="11"/>
      <c r="H619" s="11"/>
      <c r="I619" s="11"/>
      <c r="J619" s="11"/>
    </row>
    <row r="620">
      <c r="B620" s="11"/>
      <c r="C620" s="11"/>
      <c r="D620" s="11"/>
      <c r="E620" s="11"/>
      <c r="F620" s="11"/>
      <c r="G620" s="11"/>
      <c r="H620" s="11"/>
      <c r="I620" s="11"/>
      <c r="J620" s="11"/>
    </row>
    <row r="621">
      <c r="B621" s="11"/>
      <c r="C621" s="11"/>
      <c r="D621" s="11"/>
      <c r="E621" s="11"/>
      <c r="F621" s="11"/>
      <c r="G621" s="11"/>
      <c r="H621" s="11"/>
      <c r="I621" s="11"/>
      <c r="J621" s="11"/>
    </row>
    <row r="622">
      <c r="B622" s="11"/>
      <c r="C622" s="11"/>
      <c r="D622" s="11"/>
      <c r="E622" s="11"/>
      <c r="F622" s="11"/>
      <c r="G622" s="11"/>
      <c r="H622" s="11"/>
      <c r="I622" s="11"/>
      <c r="J622" s="11"/>
    </row>
    <row r="623">
      <c r="B623" s="11"/>
      <c r="C623" s="11"/>
      <c r="D623" s="11"/>
      <c r="E623" s="11"/>
      <c r="F623" s="11"/>
      <c r="G623" s="11"/>
      <c r="H623" s="11"/>
      <c r="I623" s="11"/>
      <c r="J623" s="11"/>
    </row>
    <row r="624">
      <c r="B624" s="11"/>
      <c r="C624" s="11"/>
      <c r="D624" s="11"/>
      <c r="E624" s="11"/>
      <c r="F624" s="11"/>
      <c r="G624" s="11"/>
      <c r="H624" s="11"/>
      <c r="I624" s="11"/>
      <c r="J624" s="11"/>
    </row>
    <row r="625">
      <c r="B625" s="11"/>
      <c r="C625" s="11"/>
      <c r="D625" s="11"/>
      <c r="E625" s="11"/>
      <c r="F625" s="11"/>
      <c r="G625" s="11"/>
      <c r="H625" s="11"/>
      <c r="I625" s="11"/>
      <c r="J625" s="11"/>
    </row>
    <row r="626">
      <c r="B626" s="11"/>
      <c r="C626" s="11"/>
      <c r="D626" s="11"/>
      <c r="E626" s="11"/>
      <c r="F626" s="11"/>
      <c r="G626" s="11"/>
      <c r="H626" s="11"/>
      <c r="I626" s="11"/>
      <c r="J626" s="11"/>
    </row>
    <row r="627">
      <c r="B627" s="11"/>
      <c r="C627" s="11"/>
      <c r="D627" s="11"/>
      <c r="E627" s="11"/>
      <c r="F627" s="11"/>
      <c r="G627" s="11"/>
      <c r="H627" s="11"/>
      <c r="I627" s="11"/>
      <c r="J627" s="11"/>
    </row>
    <row r="628">
      <c r="B628" s="11"/>
      <c r="C628" s="11"/>
      <c r="D628" s="11"/>
      <c r="E628" s="11"/>
      <c r="F628" s="11"/>
      <c r="G628" s="11"/>
      <c r="H628" s="11"/>
      <c r="I628" s="11"/>
      <c r="J628" s="11"/>
    </row>
    <row r="629">
      <c r="B629" s="11"/>
      <c r="C629" s="11"/>
      <c r="D629" s="11"/>
      <c r="E629" s="11"/>
      <c r="F629" s="11"/>
      <c r="G629" s="11"/>
      <c r="H629" s="11"/>
      <c r="I629" s="11"/>
      <c r="J629" s="11"/>
    </row>
    <row r="630">
      <c r="B630" s="11"/>
      <c r="C630" s="11"/>
      <c r="D630" s="11"/>
      <c r="E630" s="11"/>
      <c r="F630" s="11"/>
      <c r="G630" s="11"/>
      <c r="H630" s="11"/>
      <c r="I630" s="11"/>
      <c r="J630" s="11"/>
    </row>
    <row r="631">
      <c r="B631" s="11"/>
      <c r="C631" s="11"/>
      <c r="D631" s="11"/>
      <c r="E631" s="11"/>
      <c r="F631" s="11"/>
      <c r="G631" s="11"/>
      <c r="H631" s="11"/>
      <c r="I631" s="11"/>
      <c r="J631" s="11"/>
    </row>
    <row r="632">
      <c r="B632" s="11"/>
      <c r="C632" s="11"/>
      <c r="D632" s="11"/>
      <c r="E632" s="11"/>
      <c r="F632" s="11"/>
      <c r="G632" s="11"/>
      <c r="H632" s="11"/>
      <c r="I632" s="11"/>
      <c r="J632" s="11"/>
    </row>
    <row r="633">
      <c r="B633" s="11"/>
      <c r="C633" s="11"/>
      <c r="D633" s="11"/>
      <c r="E633" s="11"/>
      <c r="F633" s="11"/>
      <c r="G633" s="11"/>
      <c r="H633" s="11"/>
      <c r="I633" s="11"/>
      <c r="J633" s="11"/>
    </row>
    <row r="634">
      <c r="B634" s="11"/>
      <c r="C634" s="11"/>
      <c r="D634" s="11"/>
      <c r="E634" s="11"/>
      <c r="F634" s="11"/>
      <c r="G634" s="11"/>
      <c r="H634" s="11"/>
      <c r="I634" s="11"/>
      <c r="J634" s="11"/>
    </row>
    <row r="635">
      <c r="B635" s="11"/>
      <c r="C635" s="11"/>
      <c r="D635" s="11"/>
      <c r="E635" s="11"/>
      <c r="F635" s="11"/>
      <c r="G635" s="11"/>
      <c r="H635" s="11"/>
      <c r="I635" s="11"/>
      <c r="J635" s="11"/>
    </row>
    <row r="636">
      <c r="B636" s="11"/>
      <c r="C636" s="11"/>
      <c r="D636" s="11"/>
      <c r="E636" s="11"/>
      <c r="F636" s="11"/>
      <c r="G636" s="11"/>
      <c r="H636" s="11"/>
      <c r="I636" s="11"/>
      <c r="J636" s="11"/>
    </row>
    <row r="637">
      <c r="B637" s="11"/>
      <c r="C637" s="11"/>
      <c r="D637" s="11"/>
      <c r="E637" s="11"/>
      <c r="F637" s="11"/>
      <c r="G637" s="11"/>
      <c r="H637" s="11"/>
      <c r="I637" s="11"/>
      <c r="J637" s="11"/>
    </row>
    <row r="638">
      <c r="B638" s="11"/>
      <c r="C638" s="11"/>
      <c r="D638" s="11"/>
      <c r="E638" s="11"/>
      <c r="F638" s="11"/>
      <c r="G638" s="11"/>
      <c r="H638" s="11"/>
      <c r="I638" s="11"/>
      <c r="J638" s="11"/>
    </row>
    <row r="639">
      <c r="B639" s="11"/>
      <c r="C639" s="11"/>
      <c r="D639" s="11"/>
      <c r="E639" s="11"/>
      <c r="F639" s="11"/>
      <c r="G639" s="11"/>
      <c r="H639" s="11"/>
      <c r="I639" s="11"/>
      <c r="J639" s="11"/>
    </row>
    <row r="640">
      <c r="B640" s="11"/>
      <c r="C640" s="11"/>
      <c r="D640" s="11"/>
      <c r="E640" s="11"/>
      <c r="F640" s="11"/>
      <c r="G640" s="11"/>
      <c r="H640" s="11"/>
      <c r="I640" s="11"/>
      <c r="J640" s="11"/>
    </row>
    <row r="641">
      <c r="B641" s="11"/>
      <c r="C641" s="11"/>
      <c r="D641" s="11"/>
      <c r="E641" s="11"/>
      <c r="F641" s="11"/>
      <c r="G641" s="11"/>
      <c r="H641" s="11"/>
      <c r="I641" s="11"/>
      <c r="J641" s="11"/>
    </row>
    <row r="642">
      <c r="B642" s="11"/>
      <c r="C642" s="11"/>
      <c r="D642" s="11"/>
      <c r="E642" s="11"/>
      <c r="F642" s="11"/>
      <c r="G642" s="11"/>
      <c r="H642" s="11"/>
      <c r="I642" s="11"/>
      <c r="J642" s="11"/>
    </row>
    <row r="643">
      <c r="B643" s="11"/>
      <c r="C643" s="11"/>
      <c r="D643" s="11"/>
      <c r="E643" s="11"/>
      <c r="F643" s="11"/>
      <c r="G643" s="11"/>
      <c r="H643" s="11"/>
      <c r="I643" s="11"/>
      <c r="J643" s="11"/>
    </row>
    <row r="644">
      <c r="B644" s="11"/>
      <c r="C644" s="11"/>
      <c r="D644" s="11"/>
      <c r="E644" s="11"/>
      <c r="F644" s="11"/>
      <c r="G644" s="11"/>
      <c r="H644" s="11"/>
      <c r="I644" s="11"/>
      <c r="J644" s="11"/>
    </row>
    <row r="645">
      <c r="B645" s="11"/>
      <c r="C645" s="11"/>
      <c r="D645" s="11"/>
      <c r="E645" s="11"/>
      <c r="F645" s="11"/>
      <c r="G645" s="11"/>
      <c r="H645" s="11"/>
      <c r="I645" s="11"/>
      <c r="J645" s="11"/>
    </row>
    <row r="646">
      <c r="B646" s="11"/>
      <c r="C646" s="11"/>
      <c r="D646" s="11"/>
      <c r="E646" s="11"/>
      <c r="F646" s="11"/>
      <c r="G646" s="11"/>
      <c r="H646" s="11"/>
      <c r="I646" s="11"/>
      <c r="J646" s="11"/>
    </row>
    <row r="647">
      <c r="B647" s="11"/>
      <c r="C647" s="11"/>
      <c r="D647" s="11"/>
      <c r="E647" s="11"/>
      <c r="F647" s="11"/>
      <c r="G647" s="11"/>
      <c r="H647" s="11"/>
      <c r="I647" s="11"/>
      <c r="J647" s="11"/>
    </row>
    <row r="648">
      <c r="B648" s="11"/>
      <c r="C648" s="11"/>
      <c r="D648" s="11"/>
      <c r="E648" s="11"/>
      <c r="F648" s="11"/>
      <c r="G648" s="11"/>
      <c r="H648" s="11"/>
      <c r="I648" s="11"/>
      <c r="J648" s="11"/>
    </row>
    <row r="649">
      <c r="B649" s="11"/>
      <c r="C649" s="11"/>
      <c r="D649" s="11"/>
      <c r="E649" s="11"/>
      <c r="F649" s="11"/>
      <c r="G649" s="11"/>
      <c r="H649" s="11"/>
      <c r="I649" s="11"/>
      <c r="J649" s="11"/>
    </row>
    <row r="650">
      <c r="B650" s="11"/>
      <c r="C650" s="11"/>
      <c r="D650" s="11"/>
      <c r="E650" s="11"/>
      <c r="F650" s="11"/>
      <c r="G650" s="11"/>
      <c r="H650" s="11"/>
      <c r="I650" s="11"/>
      <c r="J650" s="11"/>
    </row>
    <row r="651">
      <c r="B651" s="11"/>
      <c r="C651" s="11"/>
      <c r="D651" s="11"/>
      <c r="E651" s="11"/>
      <c r="F651" s="11"/>
      <c r="G651" s="11"/>
      <c r="H651" s="11"/>
      <c r="I651" s="11"/>
      <c r="J651" s="11"/>
    </row>
    <row r="652">
      <c r="B652" s="11"/>
      <c r="C652" s="11"/>
      <c r="D652" s="11"/>
      <c r="E652" s="11"/>
      <c r="F652" s="11"/>
      <c r="G652" s="11"/>
      <c r="H652" s="11"/>
      <c r="I652" s="11"/>
      <c r="J652" s="11"/>
    </row>
    <row r="653">
      <c r="B653" s="11"/>
      <c r="C653" s="11"/>
      <c r="D653" s="11"/>
      <c r="E653" s="11"/>
      <c r="F653" s="11"/>
      <c r="G653" s="11"/>
      <c r="H653" s="11"/>
      <c r="I653" s="11"/>
      <c r="J653" s="11"/>
    </row>
    <row r="654">
      <c r="B654" s="11"/>
      <c r="C654" s="11"/>
      <c r="D654" s="11"/>
      <c r="E654" s="11"/>
      <c r="F654" s="11"/>
      <c r="G654" s="11"/>
      <c r="H654" s="11"/>
      <c r="I654" s="11"/>
      <c r="J654" s="11"/>
    </row>
    <row r="655">
      <c r="B655" s="11"/>
      <c r="C655" s="11"/>
      <c r="D655" s="11"/>
      <c r="E655" s="11"/>
      <c r="F655" s="11"/>
      <c r="G655" s="11"/>
      <c r="H655" s="11"/>
      <c r="I655" s="11"/>
      <c r="J655" s="11"/>
    </row>
    <row r="656">
      <c r="B656" s="11"/>
      <c r="C656" s="11"/>
      <c r="D656" s="11"/>
      <c r="E656" s="11"/>
      <c r="F656" s="11"/>
      <c r="G656" s="11"/>
      <c r="H656" s="11"/>
      <c r="I656" s="11"/>
      <c r="J656" s="11"/>
    </row>
    <row r="657">
      <c r="B657" s="11"/>
      <c r="C657" s="11"/>
      <c r="D657" s="11"/>
      <c r="E657" s="11"/>
      <c r="F657" s="11"/>
      <c r="G657" s="11"/>
      <c r="H657" s="11"/>
      <c r="I657" s="11"/>
      <c r="J657" s="11"/>
    </row>
    <row r="658">
      <c r="B658" s="11"/>
      <c r="C658" s="11"/>
      <c r="D658" s="11"/>
      <c r="E658" s="11"/>
      <c r="F658" s="11"/>
      <c r="G658" s="11"/>
      <c r="H658" s="11"/>
      <c r="I658" s="11"/>
      <c r="J658" s="11"/>
    </row>
    <row r="659">
      <c r="B659" s="11"/>
      <c r="C659" s="11"/>
      <c r="D659" s="11"/>
      <c r="E659" s="11"/>
      <c r="F659" s="11"/>
      <c r="G659" s="11"/>
      <c r="H659" s="11"/>
      <c r="I659" s="11"/>
      <c r="J659" s="11"/>
    </row>
    <row r="660">
      <c r="B660" s="11"/>
      <c r="C660" s="11"/>
      <c r="D660" s="11"/>
      <c r="E660" s="11"/>
      <c r="F660" s="11"/>
      <c r="G660" s="11"/>
      <c r="H660" s="11"/>
      <c r="I660" s="11"/>
      <c r="J660" s="11"/>
    </row>
    <row r="661">
      <c r="B661" s="11"/>
      <c r="C661" s="11"/>
      <c r="D661" s="11"/>
      <c r="E661" s="11"/>
      <c r="F661" s="11"/>
      <c r="G661" s="11"/>
      <c r="H661" s="11"/>
      <c r="I661" s="11"/>
      <c r="J661" s="11"/>
    </row>
    <row r="662">
      <c r="B662" s="11"/>
      <c r="C662" s="11"/>
      <c r="D662" s="11"/>
      <c r="E662" s="11"/>
      <c r="F662" s="11"/>
      <c r="G662" s="11"/>
      <c r="H662" s="11"/>
      <c r="I662" s="11"/>
      <c r="J662" s="11"/>
    </row>
    <row r="663">
      <c r="B663" s="11"/>
      <c r="C663" s="11"/>
      <c r="D663" s="11"/>
      <c r="E663" s="11"/>
      <c r="F663" s="11"/>
      <c r="G663" s="11"/>
      <c r="H663" s="11"/>
      <c r="I663" s="11"/>
      <c r="J663" s="11"/>
    </row>
    <row r="664">
      <c r="B664" s="11"/>
      <c r="C664" s="11"/>
      <c r="D664" s="11"/>
      <c r="E664" s="11"/>
      <c r="F664" s="11"/>
      <c r="G664" s="11"/>
      <c r="H664" s="11"/>
      <c r="I664" s="11"/>
      <c r="J664" s="11"/>
    </row>
    <row r="665">
      <c r="B665" s="11"/>
      <c r="C665" s="11"/>
      <c r="D665" s="11"/>
      <c r="E665" s="11"/>
      <c r="F665" s="11"/>
      <c r="G665" s="11"/>
      <c r="H665" s="11"/>
      <c r="I665" s="11"/>
      <c r="J665" s="11"/>
    </row>
    <row r="666">
      <c r="B666" s="11"/>
      <c r="C666" s="11"/>
      <c r="D666" s="11"/>
      <c r="E666" s="11"/>
      <c r="F666" s="11"/>
      <c r="G666" s="11"/>
      <c r="H666" s="11"/>
      <c r="I666" s="11"/>
      <c r="J666" s="11"/>
    </row>
    <row r="667">
      <c r="B667" s="11"/>
      <c r="C667" s="11"/>
      <c r="D667" s="11"/>
      <c r="E667" s="11"/>
      <c r="F667" s="11"/>
      <c r="G667" s="11"/>
      <c r="H667" s="11"/>
      <c r="I667" s="11"/>
      <c r="J667" s="11"/>
    </row>
    <row r="668">
      <c r="B668" s="11"/>
      <c r="C668" s="11"/>
      <c r="D668" s="11"/>
      <c r="E668" s="11"/>
      <c r="F668" s="11"/>
      <c r="G668" s="11"/>
      <c r="H668" s="11"/>
      <c r="I668" s="11"/>
      <c r="J668" s="11"/>
    </row>
    <row r="669">
      <c r="B669" s="11"/>
      <c r="C669" s="11"/>
      <c r="D669" s="11"/>
      <c r="E669" s="11"/>
      <c r="F669" s="11"/>
      <c r="G669" s="11"/>
      <c r="H669" s="11"/>
      <c r="I669" s="11"/>
      <c r="J669" s="11"/>
    </row>
    <row r="670">
      <c r="B670" s="11"/>
      <c r="C670" s="11"/>
      <c r="D670" s="11"/>
      <c r="E670" s="11"/>
      <c r="F670" s="11"/>
      <c r="G670" s="11"/>
      <c r="H670" s="11"/>
      <c r="I670" s="11"/>
      <c r="J670" s="11"/>
    </row>
    <row r="671">
      <c r="B671" s="11"/>
      <c r="C671" s="11"/>
      <c r="D671" s="11"/>
      <c r="E671" s="11"/>
      <c r="F671" s="11"/>
      <c r="G671" s="11"/>
      <c r="H671" s="11"/>
      <c r="I671" s="11"/>
      <c r="J671" s="11"/>
    </row>
    <row r="672">
      <c r="B672" s="11"/>
      <c r="C672" s="11"/>
      <c r="D672" s="11"/>
      <c r="E672" s="11"/>
      <c r="F672" s="11"/>
      <c r="G672" s="11"/>
      <c r="H672" s="11"/>
      <c r="I672" s="11"/>
      <c r="J672" s="11"/>
    </row>
    <row r="673">
      <c r="B673" s="11"/>
      <c r="C673" s="11"/>
      <c r="D673" s="11"/>
      <c r="E673" s="11"/>
      <c r="F673" s="11"/>
      <c r="G673" s="11"/>
      <c r="H673" s="11"/>
      <c r="I673" s="11"/>
      <c r="J673" s="11"/>
    </row>
    <row r="674">
      <c r="B674" s="11"/>
      <c r="C674" s="11"/>
      <c r="D674" s="11"/>
      <c r="E674" s="11"/>
      <c r="F674" s="11"/>
      <c r="G674" s="11"/>
      <c r="H674" s="11"/>
      <c r="I674" s="11"/>
      <c r="J674" s="11"/>
    </row>
    <row r="675">
      <c r="B675" s="11"/>
      <c r="C675" s="11"/>
      <c r="D675" s="11"/>
      <c r="E675" s="11"/>
      <c r="F675" s="11"/>
      <c r="G675" s="11"/>
      <c r="H675" s="11"/>
      <c r="I675" s="11"/>
      <c r="J675" s="11"/>
    </row>
    <row r="676">
      <c r="B676" s="11"/>
      <c r="C676" s="11"/>
      <c r="D676" s="11"/>
      <c r="E676" s="11"/>
      <c r="F676" s="11"/>
      <c r="G676" s="11"/>
      <c r="H676" s="11"/>
      <c r="I676" s="11"/>
      <c r="J676" s="11"/>
    </row>
    <row r="677">
      <c r="B677" s="11"/>
      <c r="C677" s="11"/>
      <c r="D677" s="11"/>
      <c r="E677" s="11"/>
      <c r="F677" s="11"/>
      <c r="G677" s="11"/>
      <c r="H677" s="11"/>
      <c r="I677" s="11"/>
      <c r="J677" s="11"/>
    </row>
    <row r="678">
      <c r="B678" s="11"/>
      <c r="C678" s="11"/>
      <c r="D678" s="11"/>
      <c r="E678" s="11"/>
      <c r="F678" s="11"/>
      <c r="G678" s="11"/>
      <c r="H678" s="11"/>
      <c r="I678" s="11"/>
      <c r="J678" s="11"/>
    </row>
    <row r="679">
      <c r="B679" s="11"/>
      <c r="C679" s="11"/>
      <c r="D679" s="11"/>
      <c r="E679" s="11"/>
      <c r="F679" s="11"/>
      <c r="G679" s="11"/>
      <c r="H679" s="11"/>
      <c r="I679" s="11"/>
      <c r="J679" s="11"/>
    </row>
    <row r="680">
      <c r="B680" s="11"/>
      <c r="C680" s="11"/>
      <c r="D680" s="11"/>
      <c r="E680" s="11"/>
      <c r="F680" s="11"/>
      <c r="G680" s="11"/>
      <c r="H680" s="11"/>
      <c r="I680" s="11"/>
      <c r="J680" s="11"/>
    </row>
    <row r="681">
      <c r="B681" s="11"/>
      <c r="C681" s="11"/>
      <c r="D681" s="11"/>
      <c r="E681" s="11"/>
      <c r="F681" s="11"/>
      <c r="G681" s="11"/>
      <c r="H681" s="11"/>
      <c r="I681" s="11"/>
      <c r="J681" s="11"/>
    </row>
    <row r="682">
      <c r="B682" s="11"/>
      <c r="C682" s="11"/>
      <c r="D682" s="11"/>
      <c r="E682" s="11"/>
      <c r="F682" s="11"/>
      <c r="G682" s="11"/>
      <c r="H682" s="11"/>
      <c r="I682" s="11"/>
      <c r="J682" s="11"/>
    </row>
    <row r="683">
      <c r="B683" s="11"/>
      <c r="C683" s="11"/>
      <c r="D683" s="11"/>
      <c r="E683" s="11"/>
      <c r="F683" s="11"/>
      <c r="G683" s="11"/>
      <c r="H683" s="11"/>
      <c r="I683" s="11"/>
      <c r="J683" s="11"/>
    </row>
    <row r="684">
      <c r="B684" s="11"/>
      <c r="C684" s="11"/>
      <c r="D684" s="11"/>
      <c r="E684" s="11"/>
      <c r="F684" s="11"/>
      <c r="G684" s="11"/>
      <c r="H684" s="11"/>
      <c r="I684" s="11"/>
      <c r="J684" s="11"/>
    </row>
    <row r="685">
      <c r="B685" s="11"/>
      <c r="C685" s="11"/>
      <c r="D685" s="11"/>
      <c r="E685" s="11"/>
      <c r="F685" s="11"/>
      <c r="G685" s="11"/>
      <c r="H685" s="11"/>
      <c r="I685" s="11"/>
      <c r="J685" s="11"/>
    </row>
    <row r="686">
      <c r="B686" s="11"/>
      <c r="C686" s="11"/>
      <c r="D686" s="11"/>
      <c r="E686" s="11"/>
      <c r="F686" s="11"/>
      <c r="G686" s="11"/>
      <c r="H686" s="11"/>
      <c r="I686" s="11"/>
      <c r="J686" s="11"/>
    </row>
    <row r="687">
      <c r="B687" s="11"/>
      <c r="C687" s="11"/>
      <c r="D687" s="11"/>
      <c r="E687" s="11"/>
      <c r="F687" s="11"/>
      <c r="G687" s="11"/>
      <c r="H687" s="11"/>
      <c r="I687" s="11"/>
      <c r="J687" s="11"/>
    </row>
    <row r="688">
      <c r="B688" s="11"/>
      <c r="C688" s="11"/>
      <c r="D688" s="11"/>
      <c r="E688" s="11"/>
      <c r="F688" s="11"/>
      <c r="G688" s="11"/>
      <c r="H688" s="11"/>
      <c r="I688" s="11"/>
      <c r="J688" s="11"/>
    </row>
    <row r="689">
      <c r="B689" s="11"/>
      <c r="C689" s="11"/>
      <c r="D689" s="11"/>
      <c r="E689" s="11"/>
      <c r="F689" s="11"/>
      <c r="G689" s="11"/>
      <c r="H689" s="11"/>
      <c r="I689" s="11"/>
      <c r="J689" s="11"/>
    </row>
    <row r="690">
      <c r="B690" s="11"/>
      <c r="C690" s="11"/>
      <c r="D690" s="11"/>
      <c r="E690" s="11"/>
      <c r="F690" s="11"/>
      <c r="G690" s="11"/>
      <c r="H690" s="11"/>
      <c r="I690" s="11"/>
      <c r="J690" s="11"/>
    </row>
    <row r="691">
      <c r="B691" s="11"/>
      <c r="C691" s="11"/>
      <c r="D691" s="11"/>
      <c r="E691" s="11"/>
      <c r="F691" s="11"/>
      <c r="G691" s="11"/>
      <c r="H691" s="11"/>
      <c r="I691" s="11"/>
      <c r="J691" s="11"/>
    </row>
    <row r="692">
      <c r="B692" s="11"/>
      <c r="C692" s="11"/>
      <c r="D692" s="11"/>
      <c r="E692" s="11"/>
      <c r="F692" s="11"/>
      <c r="G692" s="11"/>
      <c r="H692" s="11"/>
      <c r="I692" s="11"/>
      <c r="J692" s="11"/>
    </row>
    <row r="693">
      <c r="B693" s="11"/>
      <c r="C693" s="11"/>
      <c r="D693" s="11"/>
      <c r="E693" s="11"/>
      <c r="F693" s="11"/>
      <c r="G693" s="11"/>
      <c r="H693" s="11"/>
      <c r="I693" s="11"/>
      <c r="J693" s="11"/>
    </row>
    <row r="694">
      <c r="B694" s="11"/>
      <c r="C694" s="11"/>
      <c r="D694" s="11"/>
      <c r="E694" s="11"/>
      <c r="F694" s="11"/>
      <c r="G694" s="11"/>
      <c r="H694" s="11"/>
      <c r="I694" s="11"/>
      <c r="J694" s="11"/>
    </row>
    <row r="695">
      <c r="B695" s="11"/>
      <c r="C695" s="11"/>
      <c r="D695" s="11"/>
      <c r="E695" s="11"/>
      <c r="F695" s="11"/>
      <c r="G695" s="11"/>
      <c r="H695" s="11"/>
      <c r="I695" s="11"/>
      <c r="J695" s="11"/>
    </row>
    <row r="696">
      <c r="B696" s="11"/>
      <c r="C696" s="11"/>
      <c r="D696" s="11"/>
      <c r="E696" s="11"/>
      <c r="F696" s="11"/>
      <c r="G696" s="11"/>
      <c r="H696" s="11"/>
      <c r="I696" s="11"/>
      <c r="J696" s="11"/>
    </row>
    <row r="697">
      <c r="B697" s="11"/>
      <c r="C697" s="11"/>
      <c r="D697" s="11"/>
      <c r="E697" s="11"/>
      <c r="F697" s="11"/>
      <c r="G697" s="11"/>
      <c r="H697" s="11"/>
      <c r="I697" s="11"/>
      <c r="J697" s="11"/>
    </row>
    <row r="698">
      <c r="B698" s="11"/>
      <c r="C698" s="11"/>
      <c r="D698" s="11"/>
      <c r="E698" s="11"/>
      <c r="F698" s="11"/>
      <c r="G698" s="11"/>
      <c r="H698" s="11"/>
      <c r="I698" s="11"/>
      <c r="J698" s="11"/>
    </row>
    <row r="699">
      <c r="B699" s="11"/>
      <c r="C699" s="11"/>
      <c r="D699" s="11"/>
      <c r="E699" s="11"/>
      <c r="F699" s="11"/>
      <c r="G699" s="11"/>
      <c r="H699" s="11"/>
      <c r="I699" s="11"/>
      <c r="J699" s="11"/>
    </row>
    <row r="700">
      <c r="B700" s="11"/>
      <c r="C700" s="11"/>
      <c r="D700" s="11"/>
      <c r="E700" s="11"/>
      <c r="F700" s="11"/>
      <c r="G700" s="11"/>
      <c r="H700" s="11"/>
      <c r="I700" s="11"/>
      <c r="J700" s="11"/>
    </row>
    <row r="701">
      <c r="B701" s="11"/>
      <c r="C701" s="11"/>
      <c r="D701" s="11"/>
      <c r="E701" s="11"/>
      <c r="F701" s="11"/>
      <c r="G701" s="11"/>
      <c r="H701" s="11"/>
      <c r="I701" s="11"/>
      <c r="J701" s="11"/>
    </row>
    <row r="702">
      <c r="B702" s="11"/>
      <c r="C702" s="11"/>
      <c r="D702" s="11"/>
      <c r="E702" s="11"/>
      <c r="F702" s="11"/>
      <c r="G702" s="11"/>
      <c r="H702" s="11"/>
      <c r="I702" s="11"/>
      <c r="J702" s="11"/>
    </row>
    <row r="703">
      <c r="B703" s="11"/>
      <c r="C703" s="11"/>
      <c r="D703" s="11"/>
      <c r="E703" s="11"/>
      <c r="F703" s="11"/>
      <c r="G703" s="11"/>
      <c r="H703" s="11"/>
      <c r="I703" s="11"/>
      <c r="J703" s="11"/>
    </row>
    <row r="704">
      <c r="B704" s="11"/>
      <c r="C704" s="11"/>
      <c r="D704" s="11"/>
      <c r="E704" s="11"/>
      <c r="F704" s="11"/>
      <c r="G704" s="11"/>
      <c r="H704" s="11"/>
      <c r="I704" s="11"/>
      <c r="J704" s="11"/>
    </row>
    <row r="705">
      <c r="B705" s="11"/>
      <c r="C705" s="11"/>
      <c r="D705" s="11"/>
      <c r="E705" s="11"/>
      <c r="F705" s="11"/>
      <c r="G705" s="11"/>
      <c r="H705" s="11"/>
      <c r="I705" s="11"/>
      <c r="J705" s="11"/>
    </row>
    <row r="706">
      <c r="B706" s="11"/>
      <c r="C706" s="11"/>
      <c r="D706" s="11"/>
      <c r="E706" s="11"/>
      <c r="F706" s="11"/>
      <c r="G706" s="11"/>
      <c r="H706" s="11"/>
      <c r="I706" s="11"/>
      <c r="J706" s="11"/>
    </row>
    <row r="707">
      <c r="B707" s="11"/>
      <c r="C707" s="11"/>
      <c r="D707" s="11"/>
      <c r="E707" s="11"/>
      <c r="F707" s="11"/>
      <c r="G707" s="11"/>
      <c r="H707" s="11"/>
      <c r="I707" s="11"/>
      <c r="J707" s="11"/>
    </row>
    <row r="708">
      <c r="B708" s="11"/>
      <c r="C708" s="11"/>
      <c r="D708" s="11"/>
      <c r="E708" s="11"/>
      <c r="F708" s="11"/>
      <c r="G708" s="11"/>
      <c r="H708" s="11"/>
      <c r="I708" s="11"/>
      <c r="J708" s="11"/>
    </row>
    <row r="709">
      <c r="B709" s="11"/>
      <c r="C709" s="11"/>
      <c r="D709" s="11"/>
      <c r="E709" s="11"/>
      <c r="F709" s="11"/>
      <c r="G709" s="11"/>
      <c r="H709" s="11"/>
      <c r="I709" s="11"/>
      <c r="J709" s="11"/>
    </row>
    <row r="710">
      <c r="B710" s="11"/>
      <c r="C710" s="11"/>
      <c r="D710" s="11"/>
      <c r="E710" s="11"/>
      <c r="F710" s="11"/>
      <c r="G710" s="11"/>
      <c r="H710" s="11"/>
      <c r="I710" s="11"/>
      <c r="J710" s="11"/>
    </row>
    <row r="711">
      <c r="B711" s="11"/>
      <c r="C711" s="11"/>
      <c r="D711" s="11"/>
      <c r="E711" s="11"/>
      <c r="F711" s="11"/>
      <c r="G711" s="11"/>
      <c r="H711" s="11"/>
      <c r="I711" s="11"/>
      <c r="J711" s="11"/>
    </row>
    <row r="712">
      <c r="B712" s="11"/>
      <c r="C712" s="11"/>
      <c r="D712" s="11"/>
      <c r="E712" s="11"/>
      <c r="F712" s="11"/>
      <c r="G712" s="11"/>
      <c r="H712" s="11"/>
      <c r="I712" s="11"/>
      <c r="J712" s="11"/>
    </row>
    <row r="713">
      <c r="B713" s="11"/>
      <c r="C713" s="11"/>
      <c r="D713" s="11"/>
      <c r="E713" s="11"/>
      <c r="F713" s="11"/>
      <c r="G713" s="11"/>
      <c r="H713" s="11"/>
      <c r="I713" s="11"/>
      <c r="J713" s="11"/>
    </row>
    <row r="714">
      <c r="B714" s="11"/>
      <c r="C714" s="11"/>
      <c r="D714" s="11"/>
      <c r="E714" s="11"/>
      <c r="F714" s="11"/>
      <c r="G714" s="11"/>
      <c r="H714" s="11"/>
      <c r="I714" s="11"/>
      <c r="J714" s="11"/>
    </row>
    <row r="715">
      <c r="B715" s="11"/>
      <c r="C715" s="11"/>
      <c r="D715" s="11"/>
      <c r="E715" s="11"/>
      <c r="F715" s="11"/>
      <c r="G715" s="11"/>
      <c r="H715" s="11"/>
      <c r="I715" s="11"/>
      <c r="J715" s="11"/>
    </row>
    <row r="716">
      <c r="B716" s="11"/>
      <c r="C716" s="11"/>
      <c r="D716" s="11"/>
      <c r="E716" s="11"/>
      <c r="F716" s="11"/>
      <c r="G716" s="11"/>
      <c r="H716" s="11"/>
      <c r="I716" s="11"/>
      <c r="J716" s="11"/>
    </row>
    <row r="717">
      <c r="B717" s="11"/>
      <c r="C717" s="11"/>
      <c r="D717" s="11"/>
      <c r="E717" s="11"/>
      <c r="F717" s="11"/>
      <c r="G717" s="11"/>
      <c r="H717" s="11"/>
      <c r="I717" s="11"/>
      <c r="J717" s="11"/>
    </row>
    <row r="718">
      <c r="B718" s="11"/>
      <c r="C718" s="11"/>
      <c r="D718" s="11"/>
      <c r="E718" s="11"/>
      <c r="F718" s="11"/>
      <c r="G718" s="11"/>
      <c r="H718" s="11"/>
      <c r="I718" s="11"/>
      <c r="J718" s="11"/>
    </row>
    <row r="719">
      <c r="B719" s="11"/>
      <c r="C719" s="11"/>
      <c r="D719" s="11"/>
      <c r="E719" s="11"/>
      <c r="F719" s="11"/>
      <c r="G719" s="11"/>
      <c r="H719" s="11"/>
      <c r="I719" s="11"/>
      <c r="J719" s="11"/>
    </row>
    <row r="720">
      <c r="B720" s="11"/>
      <c r="C720" s="11"/>
      <c r="D720" s="11"/>
      <c r="E720" s="11"/>
      <c r="F720" s="11"/>
      <c r="G720" s="11"/>
      <c r="H720" s="11"/>
      <c r="I720" s="11"/>
      <c r="J720" s="11"/>
    </row>
    <row r="721">
      <c r="B721" s="11"/>
      <c r="C721" s="11"/>
      <c r="D721" s="11"/>
      <c r="E721" s="11"/>
      <c r="F721" s="11"/>
      <c r="G721" s="11"/>
      <c r="H721" s="11"/>
      <c r="I721" s="11"/>
      <c r="J721" s="11"/>
    </row>
    <row r="722">
      <c r="B722" s="11"/>
      <c r="C722" s="11"/>
      <c r="D722" s="11"/>
      <c r="E722" s="11"/>
      <c r="F722" s="11"/>
      <c r="G722" s="11"/>
      <c r="H722" s="11"/>
      <c r="I722" s="11"/>
      <c r="J722" s="11"/>
    </row>
    <row r="723">
      <c r="B723" s="11"/>
      <c r="C723" s="11"/>
      <c r="D723" s="11"/>
      <c r="E723" s="11"/>
      <c r="F723" s="11"/>
      <c r="G723" s="11"/>
      <c r="H723" s="11"/>
      <c r="I723" s="11"/>
      <c r="J723" s="11"/>
    </row>
    <row r="724">
      <c r="B724" s="11"/>
      <c r="C724" s="11"/>
      <c r="D724" s="11"/>
      <c r="E724" s="11"/>
      <c r="F724" s="11"/>
      <c r="G724" s="11"/>
      <c r="H724" s="11"/>
      <c r="I724" s="11"/>
      <c r="J724" s="11"/>
    </row>
    <row r="725">
      <c r="B725" s="11"/>
      <c r="C725" s="11"/>
      <c r="D725" s="11"/>
      <c r="E725" s="11"/>
      <c r="F725" s="11"/>
      <c r="G725" s="11"/>
      <c r="H725" s="11"/>
      <c r="I725" s="11"/>
      <c r="J725" s="11"/>
    </row>
    <row r="726">
      <c r="B726" s="11"/>
      <c r="C726" s="11"/>
      <c r="D726" s="11"/>
      <c r="E726" s="11"/>
      <c r="F726" s="11"/>
      <c r="G726" s="11"/>
      <c r="H726" s="11"/>
      <c r="I726" s="11"/>
      <c r="J726" s="11"/>
    </row>
    <row r="727">
      <c r="B727" s="11"/>
      <c r="C727" s="11"/>
      <c r="D727" s="11"/>
      <c r="E727" s="11"/>
      <c r="F727" s="11"/>
      <c r="G727" s="11"/>
      <c r="H727" s="11"/>
      <c r="I727" s="11"/>
      <c r="J727" s="11"/>
    </row>
    <row r="728">
      <c r="B728" s="11"/>
      <c r="C728" s="11"/>
      <c r="D728" s="11"/>
      <c r="E728" s="11"/>
      <c r="F728" s="11"/>
      <c r="G728" s="11"/>
      <c r="H728" s="11"/>
      <c r="I728" s="11"/>
      <c r="J728" s="11"/>
    </row>
    <row r="729">
      <c r="B729" s="11"/>
      <c r="C729" s="11"/>
      <c r="D729" s="11"/>
      <c r="E729" s="11"/>
      <c r="F729" s="11"/>
      <c r="G729" s="11"/>
      <c r="H729" s="11"/>
      <c r="I729" s="11"/>
      <c r="J729" s="11"/>
    </row>
    <row r="730">
      <c r="B730" s="11"/>
      <c r="C730" s="11"/>
      <c r="D730" s="11"/>
      <c r="E730" s="11"/>
      <c r="F730" s="11"/>
      <c r="G730" s="11"/>
      <c r="H730" s="11"/>
      <c r="I730" s="11"/>
      <c r="J730" s="11"/>
    </row>
    <row r="731">
      <c r="B731" s="11"/>
      <c r="C731" s="11"/>
      <c r="D731" s="11"/>
      <c r="E731" s="11"/>
      <c r="F731" s="11"/>
      <c r="G731" s="11"/>
      <c r="H731" s="11"/>
      <c r="I731" s="11"/>
      <c r="J731" s="11"/>
    </row>
    <row r="732">
      <c r="B732" s="11"/>
      <c r="C732" s="11"/>
      <c r="D732" s="11"/>
      <c r="E732" s="11"/>
      <c r="F732" s="11"/>
      <c r="G732" s="11"/>
      <c r="H732" s="11"/>
      <c r="I732" s="11"/>
      <c r="J732" s="11"/>
    </row>
    <row r="733">
      <c r="B733" s="11"/>
      <c r="C733" s="11"/>
      <c r="D733" s="11"/>
      <c r="E733" s="11"/>
      <c r="F733" s="11"/>
      <c r="G733" s="11"/>
      <c r="H733" s="11"/>
      <c r="I733" s="11"/>
      <c r="J733" s="11"/>
    </row>
    <row r="734">
      <c r="B734" s="11"/>
      <c r="C734" s="11"/>
      <c r="D734" s="11"/>
      <c r="E734" s="11"/>
      <c r="F734" s="11"/>
      <c r="G734" s="11"/>
      <c r="H734" s="11"/>
      <c r="I734" s="11"/>
      <c r="J734" s="11"/>
    </row>
    <row r="735">
      <c r="B735" s="11"/>
      <c r="C735" s="11"/>
      <c r="D735" s="11"/>
      <c r="E735" s="11"/>
      <c r="F735" s="11"/>
      <c r="G735" s="11"/>
      <c r="H735" s="11"/>
      <c r="I735" s="11"/>
      <c r="J735" s="11"/>
    </row>
    <row r="736">
      <c r="B736" s="11"/>
      <c r="C736" s="11"/>
      <c r="D736" s="11"/>
      <c r="E736" s="11"/>
      <c r="F736" s="11"/>
      <c r="G736" s="11"/>
      <c r="H736" s="11"/>
      <c r="I736" s="11"/>
      <c r="J736" s="11"/>
    </row>
    <row r="737">
      <c r="B737" s="11"/>
      <c r="C737" s="11"/>
      <c r="D737" s="11"/>
      <c r="E737" s="11"/>
      <c r="F737" s="11"/>
      <c r="G737" s="11"/>
      <c r="H737" s="11"/>
      <c r="I737" s="11"/>
      <c r="J737" s="11"/>
    </row>
    <row r="738">
      <c r="B738" s="11"/>
      <c r="C738" s="11"/>
      <c r="D738" s="11"/>
      <c r="E738" s="11"/>
      <c r="F738" s="11"/>
      <c r="G738" s="11"/>
      <c r="H738" s="11"/>
      <c r="I738" s="11"/>
      <c r="J738" s="11"/>
    </row>
    <row r="739">
      <c r="B739" s="11"/>
      <c r="C739" s="11"/>
      <c r="D739" s="11"/>
      <c r="E739" s="11"/>
      <c r="F739" s="11"/>
      <c r="G739" s="11"/>
      <c r="H739" s="11"/>
      <c r="I739" s="11"/>
      <c r="J739" s="11"/>
    </row>
    <row r="740">
      <c r="B740" s="11"/>
      <c r="C740" s="11"/>
      <c r="D740" s="11"/>
      <c r="E740" s="11"/>
      <c r="F740" s="11"/>
      <c r="G740" s="11"/>
      <c r="H740" s="11"/>
      <c r="I740" s="11"/>
      <c r="J740" s="11"/>
    </row>
    <row r="741">
      <c r="B741" s="11"/>
      <c r="C741" s="11"/>
      <c r="D741" s="11"/>
      <c r="E741" s="11"/>
      <c r="F741" s="11"/>
      <c r="G741" s="11"/>
      <c r="H741" s="11"/>
      <c r="I741" s="11"/>
      <c r="J741" s="11"/>
    </row>
    <row r="742">
      <c r="B742" s="11"/>
      <c r="C742" s="11"/>
      <c r="D742" s="11"/>
      <c r="E742" s="11"/>
      <c r="F742" s="11"/>
      <c r="G742" s="11"/>
      <c r="H742" s="11"/>
      <c r="I742" s="11"/>
      <c r="J742" s="11"/>
    </row>
    <row r="743">
      <c r="B743" s="11"/>
      <c r="C743" s="11"/>
      <c r="D743" s="11"/>
      <c r="E743" s="11"/>
      <c r="F743" s="11"/>
      <c r="G743" s="11"/>
      <c r="H743" s="11"/>
      <c r="I743" s="11"/>
      <c r="J743" s="11"/>
    </row>
    <row r="744">
      <c r="B744" s="11"/>
      <c r="C744" s="11"/>
      <c r="D744" s="11"/>
      <c r="E744" s="11"/>
      <c r="F744" s="11"/>
      <c r="G744" s="11"/>
      <c r="H744" s="11"/>
      <c r="I744" s="11"/>
      <c r="J744" s="11"/>
    </row>
    <row r="745">
      <c r="B745" s="11"/>
      <c r="C745" s="11"/>
      <c r="D745" s="11"/>
      <c r="E745" s="11"/>
      <c r="F745" s="11"/>
      <c r="G745" s="11"/>
      <c r="H745" s="11"/>
      <c r="I745" s="11"/>
      <c r="J745" s="11"/>
    </row>
    <row r="746">
      <c r="B746" s="11"/>
      <c r="C746" s="11"/>
      <c r="D746" s="11"/>
      <c r="E746" s="11"/>
      <c r="F746" s="11"/>
      <c r="G746" s="11"/>
      <c r="H746" s="11"/>
      <c r="I746" s="11"/>
      <c r="J746" s="11"/>
    </row>
    <row r="747">
      <c r="B747" s="11"/>
      <c r="C747" s="11"/>
      <c r="D747" s="11"/>
      <c r="E747" s="11"/>
      <c r="F747" s="11"/>
      <c r="G747" s="11"/>
      <c r="H747" s="11"/>
      <c r="I747" s="11"/>
      <c r="J747" s="11"/>
    </row>
    <row r="748">
      <c r="B748" s="11"/>
      <c r="C748" s="11"/>
      <c r="D748" s="11"/>
      <c r="E748" s="11"/>
      <c r="F748" s="11"/>
      <c r="G748" s="11"/>
      <c r="H748" s="11"/>
      <c r="I748" s="11"/>
      <c r="J748" s="11"/>
    </row>
    <row r="749">
      <c r="B749" s="11"/>
      <c r="C749" s="11"/>
      <c r="D749" s="11"/>
      <c r="E749" s="11"/>
      <c r="F749" s="11"/>
      <c r="G749" s="11"/>
      <c r="H749" s="11"/>
      <c r="I749" s="11"/>
      <c r="J749" s="11"/>
    </row>
    <row r="750">
      <c r="B750" s="11"/>
      <c r="C750" s="11"/>
      <c r="D750" s="11"/>
      <c r="E750" s="11"/>
      <c r="F750" s="11"/>
      <c r="G750" s="11"/>
      <c r="H750" s="11"/>
      <c r="I750" s="11"/>
      <c r="J750" s="11"/>
    </row>
    <row r="751">
      <c r="B751" s="11"/>
      <c r="C751" s="11"/>
      <c r="D751" s="11"/>
      <c r="E751" s="11"/>
      <c r="F751" s="11"/>
      <c r="G751" s="11"/>
      <c r="H751" s="11"/>
      <c r="I751" s="11"/>
      <c r="J751" s="11"/>
    </row>
    <row r="752">
      <c r="B752" s="11"/>
      <c r="C752" s="11"/>
      <c r="D752" s="11"/>
      <c r="E752" s="11"/>
      <c r="F752" s="11"/>
      <c r="G752" s="11"/>
      <c r="H752" s="11"/>
      <c r="I752" s="11"/>
      <c r="J752" s="11"/>
    </row>
    <row r="753">
      <c r="B753" s="11"/>
      <c r="C753" s="11"/>
      <c r="D753" s="11"/>
      <c r="E753" s="11"/>
      <c r="F753" s="11"/>
      <c r="G753" s="11"/>
      <c r="H753" s="11"/>
      <c r="I753" s="11"/>
      <c r="J753" s="11"/>
    </row>
    <row r="754">
      <c r="B754" s="11"/>
      <c r="C754" s="11"/>
      <c r="D754" s="11"/>
      <c r="E754" s="11"/>
      <c r="F754" s="11"/>
      <c r="G754" s="11"/>
      <c r="H754" s="11"/>
      <c r="I754" s="11"/>
      <c r="J754" s="11"/>
    </row>
    <row r="755">
      <c r="B755" s="11"/>
      <c r="C755" s="11"/>
      <c r="D755" s="11"/>
      <c r="E755" s="11"/>
      <c r="F755" s="11"/>
      <c r="G755" s="11"/>
      <c r="H755" s="11"/>
      <c r="I755" s="11"/>
      <c r="J755" s="11"/>
    </row>
    <row r="756">
      <c r="B756" s="11"/>
      <c r="C756" s="11"/>
      <c r="D756" s="11"/>
      <c r="E756" s="11"/>
      <c r="F756" s="11"/>
      <c r="G756" s="11"/>
      <c r="H756" s="11"/>
      <c r="I756" s="11"/>
      <c r="J756" s="11"/>
    </row>
    <row r="757">
      <c r="B757" s="11"/>
      <c r="C757" s="11"/>
      <c r="D757" s="11"/>
      <c r="E757" s="11"/>
      <c r="F757" s="11"/>
      <c r="G757" s="11"/>
      <c r="H757" s="11"/>
      <c r="I757" s="11"/>
      <c r="J757" s="11"/>
    </row>
    <row r="758">
      <c r="B758" s="11"/>
      <c r="C758" s="11"/>
      <c r="D758" s="11"/>
      <c r="E758" s="11"/>
      <c r="F758" s="11"/>
      <c r="G758" s="11"/>
      <c r="H758" s="11"/>
      <c r="I758" s="11"/>
      <c r="J758" s="11"/>
    </row>
    <row r="759">
      <c r="B759" s="11"/>
      <c r="C759" s="11"/>
      <c r="D759" s="11"/>
      <c r="E759" s="11"/>
      <c r="F759" s="11"/>
      <c r="G759" s="11"/>
      <c r="H759" s="11"/>
      <c r="I759" s="11"/>
      <c r="J759" s="11"/>
    </row>
    <row r="760">
      <c r="B760" s="11"/>
      <c r="C760" s="11"/>
      <c r="D760" s="11"/>
      <c r="E760" s="11"/>
      <c r="F760" s="11"/>
      <c r="G760" s="11"/>
      <c r="H760" s="11"/>
      <c r="I760" s="11"/>
      <c r="J760" s="11"/>
    </row>
    <row r="761">
      <c r="B761" s="11"/>
      <c r="C761" s="11"/>
      <c r="D761" s="11"/>
      <c r="E761" s="11"/>
      <c r="F761" s="11"/>
      <c r="G761" s="11"/>
      <c r="H761" s="11"/>
      <c r="I761" s="11"/>
      <c r="J761" s="11"/>
    </row>
    <row r="762">
      <c r="B762" s="11"/>
      <c r="C762" s="11"/>
      <c r="D762" s="11"/>
      <c r="E762" s="11"/>
      <c r="F762" s="11"/>
      <c r="G762" s="11"/>
      <c r="H762" s="11"/>
      <c r="I762" s="11"/>
      <c r="J762" s="11"/>
    </row>
    <row r="763">
      <c r="B763" s="11"/>
      <c r="C763" s="11"/>
      <c r="D763" s="11"/>
      <c r="E763" s="11"/>
      <c r="F763" s="11"/>
      <c r="G763" s="11"/>
      <c r="H763" s="11"/>
      <c r="I763" s="11"/>
      <c r="J763" s="11"/>
    </row>
    <row r="764">
      <c r="B764" s="11"/>
      <c r="C764" s="11"/>
      <c r="D764" s="11"/>
      <c r="E764" s="11"/>
      <c r="F764" s="11"/>
      <c r="G764" s="11"/>
      <c r="H764" s="11"/>
      <c r="I764" s="11"/>
      <c r="J764" s="11"/>
    </row>
    <row r="765">
      <c r="B765" s="11"/>
      <c r="C765" s="11"/>
      <c r="D765" s="11"/>
      <c r="E765" s="11"/>
      <c r="F765" s="11"/>
      <c r="G765" s="11"/>
      <c r="H765" s="11"/>
      <c r="I765" s="11"/>
      <c r="J765" s="11"/>
    </row>
    <row r="766">
      <c r="B766" s="11"/>
      <c r="C766" s="11"/>
      <c r="D766" s="11"/>
      <c r="E766" s="11"/>
      <c r="F766" s="11"/>
      <c r="G766" s="11"/>
      <c r="H766" s="11"/>
      <c r="I766" s="11"/>
      <c r="J766" s="11"/>
    </row>
    <row r="767">
      <c r="B767" s="11"/>
      <c r="C767" s="11"/>
      <c r="D767" s="11"/>
      <c r="E767" s="11"/>
      <c r="F767" s="11"/>
      <c r="G767" s="11"/>
      <c r="H767" s="11"/>
      <c r="I767" s="11"/>
      <c r="J767" s="11"/>
    </row>
    <row r="768">
      <c r="B768" s="11"/>
      <c r="C768" s="11"/>
      <c r="D768" s="11"/>
      <c r="E768" s="11"/>
      <c r="F768" s="11"/>
      <c r="G768" s="11"/>
      <c r="H768" s="11"/>
      <c r="I768" s="11"/>
      <c r="J768" s="11"/>
    </row>
    <row r="769">
      <c r="B769" s="11"/>
      <c r="C769" s="11"/>
      <c r="D769" s="11"/>
      <c r="E769" s="11"/>
      <c r="F769" s="11"/>
      <c r="G769" s="11"/>
      <c r="H769" s="11"/>
      <c r="I769" s="11"/>
      <c r="J769" s="11"/>
    </row>
    <row r="770">
      <c r="B770" s="11"/>
      <c r="C770" s="11"/>
      <c r="D770" s="11"/>
      <c r="E770" s="11"/>
      <c r="F770" s="11"/>
      <c r="G770" s="11"/>
      <c r="H770" s="11"/>
      <c r="I770" s="11"/>
      <c r="J770" s="11"/>
    </row>
    <row r="771">
      <c r="B771" s="11"/>
      <c r="C771" s="11"/>
      <c r="D771" s="11"/>
      <c r="E771" s="11"/>
      <c r="F771" s="11"/>
      <c r="G771" s="11"/>
      <c r="H771" s="11"/>
      <c r="I771" s="11"/>
      <c r="J771" s="11"/>
    </row>
    <row r="772">
      <c r="B772" s="11"/>
      <c r="C772" s="11"/>
      <c r="D772" s="11"/>
      <c r="E772" s="11"/>
      <c r="F772" s="11"/>
      <c r="G772" s="11"/>
      <c r="H772" s="11"/>
      <c r="I772" s="11"/>
      <c r="J772" s="11"/>
    </row>
    <row r="773">
      <c r="B773" s="11"/>
      <c r="C773" s="11"/>
      <c r="D773" s="11"/>
      <c r="E773" s="11"/>
      <c r="F773" s="11"/>
      <c r="G773" s="11"/>
      <c r="H773" s="11"/>
      <c r="I773" s="11"/>
      <c r="J773" s="11"/>
    </row>
    <row r="774">
      <c r="B774" s="11"/>
      <c r="C774" s="11"/>
      <c r="D774" s="11"/>
      <c r="E774" s="11"/>
      <c r="F774" s="11"/>
      <c r="G774" s="11"/>
      <c r="H774" s="11"/>
      <c r="I774" s="11"/>
      <c r="J774" s="11"/>
    </row>
    <row r="775">
      <c r="B775" s="11"/>
      <c r="C775" s="11"/>
      <c r="D775" s="11"/>
      <c r="E775" s="11"/>
      <c r="F775" s="11"/>
      <c r="G775" s="11"/>
      <c r="H775" s="11"/>
      <c r="I775" s="11"/>
      <c r="J775" s="11"/>
    </row>
    <row r="776">
      <c r="B776" s="11"/>
      <c r="C776" s="11"/>
      <c r="D776" s="11"/>
      <c r="E776" s="11"/>
      <c r="F776" s="11"/>
      <c r="G776" s="11"/>
      <c r="H776" s="11"/>
      <c r="I776" s="11"/>
      <c r="J776" s="11"/>
    </row>
    <row r="777">
      <c r="B777" s="11"/>
      <c r="C777" s="11"/>
      <c r="D777" s="11"/>
      <c r="E777" s="11"/>
      <c r="F777" s="11"/>
      <c r="G777" s="11"/>
      <c r="H777" s="11"/>
      <c r="I777" s="11"/>
      <c r="J777" s="11"/>
    </row>
    <row r="778">
      <c r="B778" s="11"/>
      <c r="C778" s="11"/>
      <c r="D778" s="11"/>
      <c r="E778" s="11"/>
      <c r="F778" s="11"/>
      <c r="G778" s="11"/>
      <c r="H778" s="11"/>
      <c r="I778" s="11"/>
      <c r="J778" s="11"/>
    </row>
    <row r="779">
      <c r="B779" s="11"/>
      <c r="C779" s="11"/>
      <c r="D779" s="11"/>
      <c r="E779" s="11"/>
      <c r="F779" s="11"/>
      <c r="G779" s="11"/>
      <c r="H779" s="11"/>
      <c r="I779" s="11"/>
      <c r="J779" s="11"/>
    </row>
    <row r="780">
      <c r="B780" s="11"/>
      <c r="C780" s="11"/>
      <c r="D780" s="11"/>
      <c r="E780" s="11"/>
      <c r="F780" s="11"/>
      <c r="G780" s="11"/>
      <c r="H780" s="11"/>
      <c r="I780" s="11"/>
      <c r="J780" s="11"/>
    </row>
    <row r="781">
      <c r="B781" s="11"/>
      <c r="C781" s="11"/>
      <c r="D781" s="11"/>
      <c r="E781" s="11"/>
      <c r="F781" s="11"/>
      <c r="G781" s="11"/>
      <c r="H781" s="11"/>
      <c r="I781" s="11"/>
      <c r="J781" s="11"/>
    </row>
    <row r="782">
      <c r="B782" s="11"/>
      <c r="C782" s="11"/>
      <c r="D782" s="11"/>
      <c r="E782" s="11"/>
      <c r="F782" s="11"/>
      <c r="G782" s="11"/>
      <c r="H782" s="11"/>
      <c r="I782" s="11"/>
      <c r="J782" s="11"/>
    </row>
    <row r="783">
      <c r="B783" s="11"/>
      <c r="C783" s="11"/>
      <c r="D783" s="11"/>
      <c r="E783" s="11"/>
      <c r="F783" s="11"/>
      <c r="G783" s="11"/>
      <c r="H783" s="11"/>
      <c r="I783" s="11"/>
      <c r="J783" s="11"/>
    </row>
    <row r="784">
      <c r="B784" s="11"/>
      <c r="C784" s="11"/>
      <c r="D784" s="11"/>
      <c r="E784" s="11"/>
      <c r="F784" s="11"/>
      <c r="G784" s="11"/>
      <c r="H784" s="11"/>
      <c r="I784" s="11"/>
      <c r="J784" s="11"/>
    </row>
    <row r="785">
      <c r="B785" s="11"/>
      <c r="C785" s="11"/>
      <c r="D785" s="11"/>
      <c r="E785" s="11"/>
      <c r="F785" s="11"/>
      <c r="G785" s="11"/>
      <c r="H785" s="11"/>
      <c r="I785" s="11"/>
      <c r="J785" s="11"/>
    </row>
    <row r="786">
      <c r="B786" s="11"/>
      <c r="C786" s="11"/>
      <c r="D786" s="11"/>
      <c r="E786" s="11"/>
      <c r="F786" s="11"/>
      <c r="G786" s="11"/>
      <c r="H786" s="11"/>
      <c r="I786" s="11"/>
      <c r="J786" s="11"/>
    </row>
    <row r="787">
      <c r="B787" s="11"/>
      <c r="C787" s="11"/>
      <c r="D787" s="11"/>
      <c r="E787" s="11"/>
      <c r="F787" s="11"/>
      <c r="G787" s="11"/>
      <c r="H787" s="11"/>
      <c r="I787" s="11"/>
      <c r="J787" s="11"/>
    </row>
    <row r="788">
      <c r="B788" s="11"/>
      <c r="C788" s="11"/>
      <c r="D788" s="11"/>
      <c r="E788" s="11"/>
      <c r="F788" s="11"/>
      <c r="G788" s="11"/>
      <c r="H788" s="11"/>
      <c r="I788" s="11"/>
      <c r="J788" s="11"/>
    </row>
    <row r="789">
      <c r="B789" s="11"/>
      <c r="C789" s="11"/>
      <c r="D789" s="11"/>
      <c r="E789" s="11"/>
      <c r="F789" s="11"/>
      <c r="G789" s="11"/>
      <c r="H789" s="11"/>
      <c r="I789" s="11"/>
      <c r="J789" s="11"/>
    </row>
    <row r="790">
      <c r="B790" s="11"/>
      <c r="C790" s="11"/>
      <c r="D790" s="11"/>
      <c r="E790" s="11"/>
      <c r="F790" s="11"/>
      <c r="G790" s="11"/>
      <c r="H790" s="11"/>
      <c r="I790" s="11"/>
      <c r="J790" s="11"/>
    </row>
    <row r="791">
      <c r="B791" s="11"/>
      <c r="C791" s="11"/>
      <c r="D791" s="11"/>
      <c r="E791" s="11"/>
      <c r="F791" s="11"/>
      <c r="G791" s="11"/>
      <c r="H791" s="11"/>
      <c r="I791" s="11"/>
      <c r="J791" s="11"/>
    </row>
    <row r="792">
      <c r="B792" s="11"/>
      <c r="C792" s="11"/>
      <c r="D792" s="11"/>
      <c r="E792" s="11"/>
      <c r="F792" s="11"/>
      <c r="G792" s="11"/>
      <c r="H792" s="11"/>
      <c r="I792" s="11"/>
      <c r="J792" s="11"/>
    </row>
    <row r="793">
      <c r="B793" s="11"/>
      <c r="C793" s="11"/>
      <c r="D793" s="11"/>
      <c r="E793" s="11"/>
      <c r="F793" s="11"/>
      <c r="G793" s="11"/>
      <c r="H793" s="11"/>
      <c r="I793" s="11"/>
      <c r="J793" s="11"/>
    </row>
    <row r="794">
      <c r="B794" s="11"/>
      <c r="C794" s="11"/>
      <c r="D794" s="11"/>
      <c r="E794" s="11"/>
      <c r="F794" s="11"/>
      <c r="G794" s="11"/>
      <c r="H794" s="11"/>
      <c r="I794" s="11"/>
      <c r="J794" s="11"/>
    </row>
    <row r="795">
      <c r="B795" s="11"/>
      <c r="C795" s="11"/>
      <c r="D795" s="11"/>
      <c r="E795" s="11"/>
      <c r="F795" s="11"/>
      <c r="G795" s="11"/>
      <c r="H795" s="11"/>
      <c r="I795" s="11"/>
      <c r="J795" s="11"/>
    </row>
    <row r="796">
      <c r="B796" s="11"/>
      <c r="C796" s="11"/>
      <c r="D796" s="11"/>
      <c r="E796" s="11"/>
      <c r="F796" s="11"/>
      <c r="G796" s="11"/>
      <c r="H796" s="11"/>
      <c r="I796" s="11"/>
      <c r="J796" s="11"/>
    </row>
    <row r="797">
      <c r="B797" s="11"/>
      <c r="C797" s="11"/>
      <c r="D797" s="11"/>
      <c r="E797" s="11"/>
      <c r="F797" s="11"/>
      <c r="G797" s="11"/>
      <c r="H797" s="11"/>
      <c r="I797" s="11"/>
      <c r="J797" s="11"/>
    </row>
    <row r="798">
      <c r="B798" s="11"/>
      <c r="C798" s="11"/>
      <c r="D798" s="11"/>
      <c r="E798" s="11"/>
      <c r="F798" s="11"/>
      <c r="G798" s="11"/>
      <c r="H798" s="11"/>
      <c r="I798" s="11"/>
      <c r="J798" s="11"/>
    </row>
    <row r="799">
      <c r="B799" s="11"/>
      <c r="C799" s="11"/>
      <c r="D799" s="11"/>
      <c r="E799" s="11"/>
      <c r="F799" s="11"/>
      <c r="G799" s="11"/>
      <c r="H799" s="11"/>
      <c r="I799" s="11"/>
      <c r="J799" s="11"/>
    </row>
    <row r="800">
      <c r="B800" s="11"/>
      <c r="C800" s="11"/>
      <c r="D800" s="11"/>
      <c r="E800" s="11"/>
      <c r="F800" s="11"/>
      <c r="G800" s="11"/>
      <c r="H800" s="11"/>
      <c r="I800" s="11"/>
      <c r="J800" s="11"/>
    </row>
    <row r="801">
      <c r="B801" s="11"/>
      <c r="C801" s="11"/>
      <c r="D801" s="11"/>
      <c r="E801" s="11"/>
      <c r="F801" s="11"/>
      <c r="G801" s="11"/>
      <c r="H801" s="11"/>
      <c r="I801" s="11"/>
      <c r="J801" s="11"/>
    </row>
    <row r="802">
      <c r="B802" s="11"/>
      <c r="C802" s="11"/>
      <c r="D802" s="11"/>
      <c r="E802" s="11"/>
      <c r="F802" s="11"/>
      <c r="G802" s="11"/>
      <c r="H802" s="11"/>
      <c r="I802" s="11"/>
      <c r="J802" s="11"/>
    </row>
    <row r="803">
      <c r="B803" s="11"/>
      <c r="C803" s="11"/>
      <c r="D803" s="11"/>
      <c r="E803" s="11"/>
      <c r="F803" s="11"/>
      <c r="G803" s="11"/>
      <c r="H803" s="11"/>
      <c r="I803" s="11"/>
      <c r="J803" s="11"/>
    </row>
    <row r="804">
      <c r="B804" s="11"/>
      <c r="C804" s="11"/>
      <c r="D804" s="11"/>
      <c r="E804" s="11"/>
      <c r="F804" s="11"/>
      <c r="G804" s="11"/>
      <c r="H804" s="11"/>
      <c r="I804" s="11"/>
      <c r="J804" s="11"/>
    </row>
    <row r="805">
      <c r="B805" s="11"/>
      <c r="C805" s="11"/>
      <c r="D805" s="11"/>
      <c r="E805" s="11"/>
      <c r="F805" s="11"/>
      <c r="G805" s="11"/>
      <c r="H805" s="11"/>
      <c r="I805" s="11"/>
      <c r="J805" s="11"/>
    </row>
    <row r="806">
      <c r="B806" s="11"/>
      <c r="C806" s="11"/>
      <c r="D806" s="11"/>
      <c r="E806" s="11"/>
      <c r="F806" s="11"/>
      <c r="G806" s="11"/>
      <c r="H806" s="11"/>
      <c r="I806" s="11"/>
      <c r="J806" s="11"/>
    </row>
    <row r="807">
      <c r="B807" s="11"/>
      <c r="C807" s="11"/>
      <c r="D807" s="11"/>
      <c r="E807" s="11"/>
      <c r="F807" s="11"/>
      <c r="G807" s="11"/>
      <c r="H807" s="11"/>
      <c r="I807" s="11"/>
      <c r="J807" s="11"/>
    </row>
    <row r="808">
      <c r="B808" s="11"/>
      <c r="C808" s="11"/>
      <c r="D808" s="11"/>
      <c r="E808" s="11"/>
      <c r="F808" s="11"/>
      <c r="G808" s="11"/>
      <c r="H808" s="11"/>
      <c r="I808" s="11"/>
      <c r="J808" s="11"/>
    </row>
    <row r="809">
      <c r="B809" s="11"/>
      <c r="C809" s="11"/>
      <c r="D809" s="11"/>
      <c r="E809" s="11"/>
      <c r="F809" s="11"/>
      <c r="G809" s="11"/>
      <c r="H809" s="11"/>
      <c r="I809" s="11"/>
      <c r="J809" s="11"/>
    </row>
    <row r="810">
      <c r="B810" s="11"/>
      <c r="C810" s="11"/>
      <c r="D810" s="11"/>
      <c r="E810" s="11"/>
      <c r="F810" s="11"/>
      <c r="G810" s="11"/>
      <c r="H810" s="11"/>
      <c r="I810" s="11"/>
      <c r="J810" s="11"/>
    </row>
    <row r="811">
      <c r="B811" s="11"/>
      <c r="C811" s="11"/>
      <c r="D811" s="11"/>
      <c r="E811" s="11"/>
      <c r="F811" s="11"/>
      <c r="G811" s="11"/>
      <c r="H811" s="11"/>
      <c r="I811" s="11"/>
      <c r="J811" s="11"/>
    </row>
    <row r="812">
      <c r="B812" s="11"/>
      <c r="C812" s="11"/>
      <c r="D812" s="11"/>
      <c r="E812" s="11"/>
      <c r="F812" s="11"/>
      <c r="G812" s="11"/>
      <c r="H812" s="11"/>
      <c r="I812" s="11"/>
      <c r="J812" s="11"/>
    </row>
    <row r="813">
      <c r="B813" s="11"/>
      <c r="C813" s="11"/>
      <c r="D813" s="11"/>
      <c r="E813" s="11"/>
      <c r="F813" s="11"/>
      <c r="G813" s="11"/>
      <c r="H813" s="11"/>
      <c r="I813" s="11"/>
      <c r="J813" s="11"/>
    </row>
    <row r="814">
      <c r="B814" s="11"/>
      <c r="C814" s="11"/>
      <c r="D814" s="11"/>
      <c r="E814" s="11"/>
      <c r="F814" s="11"/>
      <c r="G814" s="11"/>
      <c r="H814" s="11"/>
      <c r="I814" s="11"/>
      <c r="J814" s="11"/>
    </row>
    <row r="815">
      <c r="B815" s="11"/>
      <c r="C815" s="11"/>
      <c r="D815" s="11"/>
      <c r="E815" s="11"/>
      <c r="F815" s="11"/>
      <c r="G815" s="11"/>
      <c r="H815" s="11"/>
      <c r="I815" s="11"/>
      <c r="J815" s="11"/>
    </row>
    <row r="816">
      <c r="B816" s="11"/>
      <c r="C816" s="11"/>
      <c r="D816" s="11"/>
      <c r="E816" s="11"/>
      <c r="F816" s="11"/>
      <c r="G816" s="11"/>
      <c r="H816" s="11"/>
      <c r="I816" s="11"/>
      <c r="J816" s="11"/>
    </row>
    <row r="817">
      <c r="B817" s="11"/>
      <c r="C817" s="11"/>
      <c r="D817" s="11"/>
      <c r="E817" s="11"/>
      <c r="F817" s="11"/>
      <c r="G817" s="11"/>
      <c r="H817" s="11"/>
      <c r="I817" s="11"/>
      <c r="J817" s="11"/>
    </row>
    <row r="818">
      <c r="B818" s="11"/>
      <c r="C818" s="11"/>
      <c r="D818" s="11"/>
      <c r="E818" s="11"/>
      <c r="F818" s="11"/>
      <c r="G818" s="11"/>
      <c r="H818" s="11"/>
      <c r="I818" s="11"/>
      <c r="J818" s="11"/>
    </row>
    <row r="819">
      <c r="B819" s="11"/>
      <c r="C819" s="11"/>
      <c r="D819" s="11"/>
      <c r="E819" s="11"/>
      <c r="F819" s="11"/>
      <c r="G819" s="11"/>
      <c r="H819" s="11"/>
      <c r="I819" s="11"/>
      <c r="J819" s="11"/>
    </row>
    <row r="820">
      <c r="B820" s="11"/>
      <c r="C820" s="11"/>
      <c r="D820" s="11"/>
      <c r="E820" s="11"/>
      <c r="F820" s="11"/>
      <c r="G820" s="11"/>
      <c r="H820" s="11"/>
      <c r="I820" s="11"/>
      <c r="J820" s="11"/>
    </row>
    <row r="821">
      <c r="B821" s="11"/>
      <c r="C821" s="11"/>
      <c r="D821" s="11"/>
      <c r="E821" s="11"/>
      <c r="F821" s="11"/>
      <c r="G821" s="11"/>
      <c r="H821" s="11"/>
      <c r="I821" s="11"/>
      <c r="J821" s="11"/>
    </row>
    <row r="822">
      <c r="B822" s="11"/>
      <c r="C822" s="11"/>
      <c r="D822" s="11"/>
      <c r="E822" s="11"/>
      <c r="F822" s="11"/>
      <c r="G822" s="11"/>
      <c r="H822" s="11"/>
      <c r="I822" s="11"/>
      <c r="J822" s="11"/>
    </row>
    <row r="823">
      <c r="B823" s="11"/>
      <c r="C823" s="11"/>
      <c r="D823" s="11"/>
      <c r="E823" s="11"/>
      <c r="F823" s="11"/>
      <c r="G823" s="11"/>
      <c r="H823" s="11"/>
      <c r="I823" s="11"/>
      <c r="J823" s="11"/>
    </row>
    <row r="824">
      <c r="B824" s="11"/>
      <c r="C824" s="11"/>
      <c r="D824" s="11"/>
      <c r="E824" s="11"/>
      <c r="F824" s="11"/>
      <c r="G824" s="11"/>
      <c r="H824" s="11"/>
      <c r="I824" s="11"/>
      <c r="J824" s="11"/>
    </row>
    <row r="825">
      <c r="B825" s="11"/>
      <c r="C825" s="11"/>
      <c r="D825" s="11"/>
      <c r="E825" s="11"/>
      <c r="F825" s="11"/>
      <c r="G825" s="11"/>
      <c r="H825" s="11"/>
      <c r="I825" s="11"/>
      <c r="J825" s="11"/>
    </row>
    <row r="826">
      <c r="B826" s="11"/>
      <c r="C826" s="11"/>
      <c r="D826" s="11"/>
      <c r="E826" s="11"/>
      <c r="F826" s="11"/>
      <c r="G826" s="11"/>
      <c r="H826" s="11"/>
      <c r="I826" s="11"/>
      <c r="J826" s="11"/>
    </row>
    <row r="827">
      <c r="B827" s="11"/>
      <c r="C827" s="11"/>
      <c r="D827" s="11"/>
      <c r="E827" s="11"/>
      <c r="F827" s="11"/>
      <c r="G827" s="11"/>
      <c r="H827" s="11"/>
      <c r="I827" s="11"/>
      <c r="J827" s="11"/>
    </row>
    <row r="828">
      <c r="B828" s="11"/>
      <c r="C828" s="11"/>
      <c r="D828" s="11"/>
      <c r="E828" s="11"/>
      <c r="F828" s="11"/>
      <c r="G828" s="11"/>
      <c r="H828" s="11"/>
      <c r="I828" s="11"/>
      <c r="J828" s="11"/>
    </row>
    <row r="829">
      <c r="B829" s="11"/>
      <c r="C829" s="11"/>
      <c r="D829" s="11"/>
      <c r="E829" s="11"/>
      <c r="F829" s="11"/>
      <c r="G829" s="11"/>
      <c r="H829" s="11"/>
      <c r="I829" s="11"/>
      <c r="J829" s="11"/>
    </row>
    <row r="830">
      <c r="B830" s="11"/>
      <c r="C830" s="11"/>
      <c r="D830" s="11"/>
      <c r="E830" s="11"/>
      <c r="F830" s="11"/>
      <c r="G830" s="11"/>
      <c r="H830" s="11"/>
      <c r="I830" s="11"/>
      <c r="J830" s="11"/>
    </row>
    <row r="831">
      <c r="B831" s="11"/>
      <c r="C831" s="11"/>
      <c r="D831" s="11"/>
      <c r="E831" s="11"/>
      <c r="F831" s="11"/>
      <c r="G831" s="11"/>
      <c r="H831" s="11"/>
      <c r="I831" s="11"/>
      <c r="J831" s="11"/>
    </row>
    <row r="832">
      <c r="B832" s="11"/>
      <c r="C832" s="11"/>
      <c r="D832" s="11"/>
      <c r="E832" s="11"/>
      <c r="F832" s="11"/>
      <c r="G832" s="11"/>
      <c r="H832" s="11"/>
      <c r="I832" s="11"/>
      <c r="J832" s="11"/>
    </row>
    <row r="833">
      <c r="B833" s="11"/>
      <c r="C833" s="11"/>
      <c r="D833" s="11"/>
      <c r="E833" s="11"/>
      <c r="F833" s="11"/>
      <c r="G833" s="11"/>
      <c r="H833" s="11"/>
      <c r="I833" s="11"/>
      <c r="J833" s="11"/>
    </row>
    <row r="834">
      <c r="B834" s="11"/>
      <c r="C834" s="11"/>
      <c r="D834" s="11"/>
      <c r="E834" s="11"/>
      <c r="F834" s="11"/>
      <c r="G834" s="11"/>
      <c r="H834" s="11"/>
      <c r="I834" s="11"/>
      <c r="J834" s="11"/>
    </row>
    <row r="835">
      <c r="B835" s="11"/>
      <c r="C835" s="11"/>
      <c r="D835" s="11"/>
      <c r="E835" s="11"/>
      <c r="F835" s="11"/>
      <c r="G835" s="11"/>
      <c r="H835" s="11"/>
      <c r="I835" s="11"/>
      <c r="J835" s="11"/>
    </row>
    <row r="836">
      <c r="B836" s="11"/>
      <c r="C836" s="11"/>
      <c r="D836" s="11"/>
      <c r="E836" s="11"/>
      <c r="F836" s="11"/>
      <c r="G836" s="11"/>
      <c r="H836" s="11"/>
      <c r="I836" s="11"/>
      <c r="J836" s="11"/>
    </row>
    <row r="837">
      <c r="B837" s="11"/>
      <c r="C837" s="11"/>
      <c r="D837" s="11"/>
      <c r="E837" s="11"/>
      <c r="F837" s="11"/>
      <c r="G837" s="11"/>
      <c r="H837" s="11"/>
      <c r="I837" s="11"/>
      <c r="J837" s="11"/>
    </row>
    <row r="838">
      <c r="B838" s="11"/>
      <c r="C838" s="11"/>
      <c r="D838" s="11"/>
      <c r="E838" s="11"/>
      <c r="F838" s="11"/>
      <c r="G838" s="11"/>
      <c r="H838" s="11"/>
      <c r="I838" s="11"/>
      <c r="J838" s="11"/>
    </row>
    <row r="839">
      <c r="B839" s="11"/>
      <c r="C839" s="11"/>
      <c r="D839" s="11"/>
      <c r="E839" s="11"/>
      <c r="F839" s="11"/>
      <c r="G839" s="11"/>
      <c r="H839" s="11"/>
      <c r="I839" s="11"/>
      <c r="J839" s="11"/>
    </row>
    <row r="840">
      <c r="B840" s="11"/>
      <c r="C840" s="11"/>
      <c r="D840" s="11"/>
      <c r="E840" s="11"/>
      <c r="F840" s="11"/>
      <c r="G840" s="11"/>
      <c r="H840" s="11"/>
      <c r="I840" s="11"/>
      <c r="J840" s="11"/>
    </row>
    <row r="841">
      <c r="B841" s="11"/>
      <c r="C841" s="11"/>
      <c r="D841" s="11"/>
      <c r="E841" s="11"/>
      <c r="F841" s="11"/>
      <c r="G841" s="11"/>
      <c r="H841" s="11"/>
      <c r="I841" s="11"/>
      <c r="J841" s="11"/>
    </row>
    <row r="842">
      <c r="B842" s="11"/>
      <c r="C842" s="11"/>
      <c r="D842" s="11"/>
      <c r="E842" s="11"/>
      <c r="F842" s="11"/>
      <c r="G842" s="11"/>
      <c r="H842" s="11"/>
      <c r="I842" s="11"/>
      <c r="J842" s="11"/>
    </row>
    <row r="843">
      <c r="B843" s="11"/>
      <c r="C843" s="11"/>
      <c r="D843" s="11"/>
      <c r="E843" s="11"/>
      <c r="F843" s="11"/>
      <c r="G843" s="11"/>
      <c r="H843" s="11"/>
      <c r="I843" s="11"/>
      <c r="J843" s="11"/>
    </row>
    <row r="844">
      <c r="B844" s="11"/>
      <c r="C844" s="11"/>
      <c r="D844" s="11"/>
      <c r="E844" s="11"/>
      <c r="F844" s="11"/>
      <c r="G844" s="11"/>
      <c r="H844" s="11"/>
      <c r="I844" s="11"/>
      <c r="J844" s="11"/>
    </row>
    <row r="845">
      <c r="B845" s="11"/>
      <c r="C845" s="11"/>
      <c r="D845" s="11"/>
      <c r="E845" s="11"/>
      <c r="F845" s="11"/>
      <c r="G845" s="11"/>
      <c r="H845" s="11"/>
      <c r="I845" s="11"/>
      <c r="J845" s="11"/>
    </row>
    <row r="846">
      <c r="B846" s="11"/>
      <c r="C846" s="11"/>
      <c r="D846" s="11"/>
      <c r="E846" s="11"/>
      <c r="F846" s="11"/>
      <c r="G846" s="11"/>
      <c r="H846" s="11"/>
      <c r="I846" s="11"/>
      <c r="J846" s="11"/>
    </row>
    <row r="847">
      <c r="B847" s="11"/>
      <c r="C847" s="11"/>
      <c r="D847" s="11"/>
      <c r="E847" s="11"/>
      <c r="F847" s="11"/>
      <c r="G847" s="11"/>
      <c r="H847" s="11"/>
      <c r="I847" s="11"/>
      <c r="J847" s="11"/>
    </row>
    <row r="848">
      <c r="B848" s="11"/>
      <c r="C848" s="11"/>
      <c r="D848" s="11"/>
      <c r="E848" s="11"/>
      <c r="F848" s="11"/>
      <c r="G848" s="11"/>
      <c r="H848" s="11"/>
      <c r="I848" s="11"/>
      <c r="J848" s="11"/>
    </row>
    <row r="849">
      <c r="B849" s="11"/>
      <c r="C849" s="11"/>
      <c r="D849" s="11"/>
      <c r="E849" s="11"/>
      <c r="F849" s="11"/>
      <c r="G849" s="11"/>
      <c r="H849" s="11"/>
      <c r="I849" s="11"/>
      <c r="J849" s="11"/>
    </row>
    <row r="850">
      <c r="B850" s="11"/>
      <c r="C850" s="11"/>
      <c r="D850" s="11"/>
      <c r="E850" s="11"/>
      <c r="F850" s="11"/>
      <c r="G850" s="11"/>
      <c r="H850" s="11"/>
      <c r="I850" s="11"/>
      <c r="J850" s="11"/>
    </row>
    <row r="851">
      <c r="B851" s="11"/>
      <c r="C851" s="11"/>
      <c r="D851" s="11"/>
      <c r="E851" s="11"/>
      <c r="F851" s="11"/>
      <c r="G851" s="11"/>
      <c r="H851" s="11"/>
      <c r="I851" s="11"/>
      <c r="J851" s="11"/>
    </row>
    <row r="852">
      <c r="B852" s="11"/>
      <c r="C852" s="11"/>
      <c r="D852" s="11"/>
      <c r="E852" s="11"/>
      <c r="F852" s="11"/>
      <c r="G852" s="11"/>
      <c r="H852" s="11"/>
      <c r="I852" s="11"/>
      <c r="J852" s="11"/>
    </row>
    <row r="853">
      <c r="B853" s="11"/>
      <c r="C853" s="11"/>
      <c r="D853" s="11"/>
      <c r="E853" s="11"/>
      <c r="F853" s="11"/>
      <c r="G853" s="11"/>
      <c r="H853" s="11"/>
      <c r="I853" s="11"/>
      <c r="J853" s="11"/>
    </row>
    <row r="854">
      <c r="B854" s="11"/>
      <c r="C854" s="11"/>
      <c r="D854" s="11"/>
      <c r="E854" s="11"/>
      <c r="F854" s="11"/>
      <c r="G854" s="11"/>
      <c r="H854" s="11"/>
      <c r="I854" s="11"/>
      <c r="J854" s="11"/>
    </row>
    <row r="855">
      <c r="B855" s="11"/>
      <c r="C855" s="11"/>
      <c r="D855" s="11"/>
      <c r="E855" s="11"/>
      <c r="F855" s="11"/>
      <c r="G855" s="11"/>
      <c r="H855" s="11"/>
      <c r="I855" s="11"/>
      <c r="J855" s="11"/>
    </row>
    <row r="856">
      <c r="B856" s="11"/>
      <c r="C856" s="11"/>
      <c r="D856" s="11"/>
      <c r="E856" s="11"/>
      <c r="F856" s="11"/>
      <c r="G856" s="11"/>
      <c r="H856" s="11"/>
      <c r="I856" s="11"/>
      <c r="J856" s="11"/>
    </row>
    <row r="857">
      <c r="B857" s="11"/>
      <c r="C857" s="11"/>
      <c r="D857" s="11"/>
      <c r="E857" s="11"/>
      <c r="F857" s="11"/>
      <c r="G857" s="11"/>
      <c r="H857" s="11"/>
      <c r="I857" s="11"/>
      <c r="J857" s="11"/>
    </row>
    <row r="858">
      <c r="B858" s="11"/>
      <c r="C858" s="11"/>
      <c r="D858" s="11"/>
      <c r="E858" s="11"/>
      <c r="F858" s="11"/>
      <c r="G858" s="11"/>
      <c r="H858" s="11"/>
      <c r="I858" s="11"/>
      <c r="J858" s="11"/>
    </row>
    <row r="859">
      <c r="B859" s="11"/>
      <c r="C859" s="11"/>
      <c r="D859" s="11"/>
      <c r="E859" s="11"/>
      <c r="F859" s="11"/>
      <c r="G859" s="11"/>
      <c r="H859" s="11"/>
      <c r="I859" s="11"/>
      <c r="J859" s="11"/>
    </row>
    <row r="860">
      <c r="B860" s="11"/>
      <c r="C860" s="11"/>
      <c r="D860" s="11"/>
      <c r="E860" s="11"/>
      <c r="F860" s="11"/>
      <c r="G860" s="11"/>
      <c r="H860" s="11"/>
      <c r="I860" s="11"/>
      <c r="J860" s="11"/>
    </row>
    <row r="861">
      <c r="B861" s="11"/>
      <c r="C861" s="11"/>
      <c r="D861" s="11"/>
      <c r="E861" s="11"/>
      <c r="F861" s="11"/>
      <c r="G861" s="11"/>
      <c r="H861" s="11"/>
      <c r="I861" s="11"/>
      <c r="J861" s="11"/>
    </row>
    <row r="862">
      <c r="B862" s="11"/>
      <c r="C862" s="11"/>
      <c r="D862" s="11"/>
      <c r="E862" s="11"/>
      <c r="F862" s="11"/>
      <c r="G862" s="11"/>
      <c r="H862" s="11"/>
      <c r="I862" s="11"/>
      <c r="J862" s="11"/>
    </row>
    <row r="863">
      <c r="B863" s="11"/>
      <c r="C863" s="11"/>
      <c r="D863" s="11"/>
      <c r="E863" s="11"/>
      <c r="F863" s="11"/>
      <c r="G863" s="11"/>
      <c r="H863" s="11"/>
      <c r="I863" s="11"/>
      <c r="J863" s="11"/>
    </row>
    <row r="864">
      <c r="B864" s="11"/>
      <c r="C864" s="11"/>
      <c r="D864" s="11"/>
      <c r="E864" s="11"/>
      <c r="F864" s="11"/>
      <c r="G864" s="11"/>
      <c r="H864" s="11"/>
      <c r="I864" s="11"/>
      <c r="J864" s="11"/>
    </row>
    <row r="865">
      <c r="B865" s="11"/>
      <c r="C865" s="11"/>
      <c r="D865" s="11"/>
      <c r="E865" s="11"/>
      <c r="F865" s="11"/>
      <c r="G865" s="11"/>
      <c r="H865" s="11"/>
      <c r="I865" s="11"/>
      <c r="J865" s="11"/>
    </row>
    <row r="866">
      <c r="B866" s="11"/>
      <c r="C866" s="11"/>
      <c r="D866" s="11"/>
      <c r="E866" s="11"/>
      <c r="F866" s="11"/>
      <c r="G866" s="11"/>
      <c r="H866" s="11"/>
      <c r="I866" s="11"/>
      <c r="J866" s="11"/>
    </row>
    <row r="867">
      <c r="B867" s="11"/>
      <c r="C867" s="11"/>
      <c r="D867" s="11"/>
      <c r="E867" s="11"/>
      <c r="F867" s="11"/>
      <c r="G867" s="11"/>
      <c r="H867" s="11"/>
      <c r="I867" s="11"/>
      <c r="J867" s="11"/>
    </row>
    <row r="868">
      <c r="B868" s="11"/>
      <c r="C868" s="11"/>
      <c r="D868" s="11"/>
      <c r="E868" s="11"/>
      <c r="F868" s="11"/>
      <c r="G868" s="11"/>
      <c r="H868" s="11"/>
      <c r="I868" s="11"/>
      <c r="J868" s="11"/>
    </row>
    <row r="869">
      <c r="B869" s="11"/>
      <c r="C869" s="11"/>
      <c r="D869" s="11"/>
      <c r="E869" s="11"/>
      <c r="F869" s="11"/>
      <c r="G869" s="11"/>
      <c r="H869" s="11"/>
      <c r="I869" s="11"/>
      <c r="J869" s="11"/>
    </row>
    <row r="870">
      <c r="B870" s="11"/>
      <c r="C870" s="11"/>
      <c r="D870" s="11"/>
      <c r="E870" s="11"/>
      <c r="F870" s="11"/>
      <c r="G870" s="11"/>
      <c r="H870" s="11"/>
      <c r="I870" s="11"/>
      <c r="J870" s="11"/>
    </row>
    <row r="871">
      <c r="B871" s="11"/>
      <c r="C871" s="11"/>
      <c r="D871" s="11"/>
      <c r="E871" s="11"/>
      <c r="F871" s="11"/>
      <c r="G871" s="11"/>
      <c r="H871" s="11"/>
      <c r="I871" s="11"/>
      <c r="J871" s="11"/>
    </row>
    <row r="872">
      <c r="B872" s="11"/>
      <c r="C872" s="11"/>
      <c r="D872" s="11"/>
      <c r="E872" s="11"/>
      <c r="F872" s="11"/>
      <c r="G872" s="11"/>
      <c r="H872" s="11"/>
      <c r="I872" s="11"/>
      <c r="J872" s="11"/>
    </row>
    <row r="873">
      <c r="B873" s="11"/>
      <c r="C873" s="11"/>
      <c r="D873" s="11"/>
      <c r="E873" s="11"/>
      <c r="F873" s="11"/>
      <c r="G873" s="11"/>
      <c r="H873" s="11"/>
      <c r="I873" s="11"/>
      <c r="J873" s="11"/>
    </row>
    <row r="874">
      <c r="B874" s="11"/>
      <c r="C874" s="11"/>
      <c r="D874" s="11"/>
      <c r="E874" s="11"/>
      <c r="F874" s="11"/>
      <c r="G874" s="11"/>
      <c r="H874" s="11"/>
      <c r="I874" s="11"/>
      <c r="J874" s="11"/>
    </row>
    <row r="875">
      <c r="B875" s="11"/>
      <c r="C875" s="11"/>
      <c r="D875" s="11"/>
      <c r="E875" s="11"/>
      <c r="F875" s="11"/>
      <c r="G875" s="11"/>
      <c r="H875" s="11"/>
      <c r="I875" s="11"/>
      <c r="J875" s="11"/>
    </row>
    <row r="876">
      <c r="B876" s="11"/>
      <c r="C876" s="11"/>
      <c r="D876" s="11"/>
      <c r="E876" s="11"/>
      <c r="F876" s="11"/>
      <c r="G876" s="11"/>
      <c r="H876" s="11"/>
      <c r="I876" s="11"/>
      <c r="J876" s="11"/>
    </row>
    <row r="877">
      <c r="B877" s="11"/>
      <c r="C877" s="11"/>
      <c r="D877" s="11"/>
      <c r="E877" s="11"/>
      <c r="F877" s="11"/>
      <c r="G877" s="11"/>
      <c r="H877" s="11"/>
      <c r="I877" s="11"/>
      <c r="J877" s="11"/>
    </row>
    <row r="878">
      <c r="B878" s="11"/>
      <c r="C878" s="11"/>
      <c r="D878" s="11"/>
      <c r="E878" s="11"/>
      <c r="F878" s="11"/>
      <c r="G878" s="11"/>
      <c r="H878" s="11"/>
      <c r="I878" s="11"/>
      <c r="J878" s="11"/>
    </row>
    <row r="879">
      <c r="B879" s="11"/>
      <c r="C879" s="11"/>
      <c r="D879" s="11"/>
      <c r="E879" s="11"/>
      <c r="F879" s="11"/>
      <c r="G879" s="11"/>
      <c r="H879" s="11"/>
      <c r="I879" s="11"/>
      <c r="J879" s="11"/>
    </row>
    <row r="880">
      <c r="B880" s="11"/>
      <c r="C880" s="11"/>
      <c r="D880" s="11"/>
      <c r="E880" s="11"/>
      <c r="F880" s="11"/>
      <c r="G880" s="11"/>
      <c r="H880" s="11"/>
      <c r="I880" s="11"/>
      <c r="J880" s="11"/>
    </row>
    <row r="881">
      <c r="B881" s="11"/>
      <c r="C881" s="11"/>
      <c r="D881" s="11"/>
      <c r="E881" s="11"/>
      <c r="F881" s="11"/>
      <c r="G881" s="11"/>
      <c r="H881" s="11"/>
      <c r="I881" s="11"/>
      <c r="J881" s="11"/>
    </row>
    <row r="882">
      <c r="B882" s="11"/>
      <c r="C882" s="11"/>
      <c r="D882" s="11"/>
      <c r="E882" s="11"/>
      <c r="F882" s="11"/>
      <c r="G882" s="11"/>
      <c r="H882" s="11"/>
      <c r="I882" s="11"/>
      <c r="J882" s="11"/>
    </row>
    <row r="883">
      <c r="B883" s="11"/>
      <c r="C883" s="11"/>
      <c r="D883" s="11"/>
      <c r="E883" s="11"/>
      <c r="F883" s="11"/>
      <c r="G883" s="11"/>
      <c r="H883" s="11"/>
      <c r="I883" s="11"/>
      <c r="J883" s="11"/>
    </row>
    <row r="884">
      <c r="B884" s="11"/>
      <c r="C884" s="11"/>
      <c r="D884" s="11"/>
      <c r="E884" s="11"/>
      <c r="F884" s="11"/>
      <c r="G884" s="11"/>
      <c r="H884" s="11"/>
      <c r="I884" s="11"/>
      <c r="J884" s="11"/>
    </row>
    <row r="885">
      <c r="B885" s="11"/>
      <c r="C885" s="11"/>
      <c r="D885" s="11"/>
      <c r="E885" s="11"/>
      <c r="F885" s="11"/>
      <c r="G885" s="11"/>
      <c r="H885" s="11"/>
      <c r="I885" s="11"/>
      <c r="J885" s="11"/>
    </row>
    <row r="886">
      <c r="B886" s="11"/>
      <c r="C886" s="11"/>
      <c r="D886" s="11"/>
      <c r="E886" s="11"/>
      <c r="F886" s="11"/>
      <c r="G886" s="11"/>
      <c r="H886" s="11"/>
      <c r="I886" s="11"/>
      <c r="J886" s="11"/>
    </row>
    <row r="887">
      <c r="B887" s="11"/>
      <c r="C887" s="11"/>
      <c r="D887" s="11"/>
      <c r="E887" s="11"/>
      <c r="F887" s="11"/>
      <c r="G887" s="11"/>
      <c r="H887" s="11"/>
      <c r="I887" s="11"/>
      <c r="J887" s="11"/>
    </row>
    <row r="888">
      <c r="B888" s="11"/>
      <c r="C888" s="11"/>
      <c r="D888" s="11"/>
      <c r="E888" s="11"/>
      <c r="F888" s="11"/>
      <c r="G888" s="11"/>
      <c r="H888" s="11"/>
      <c r="I888" s="11"/>
      <c r="J888" s="11"/>
    </row>
    <row r="889">
      <c r="B889" s="11"/>
      <c r="C889" s="11"/>
      <c r="D889" s="11"/>
      <c r="E889" s="11"/>
      <c r="F889" s="11"/>
      <c r="G889" s="11"/>
      <c r="H889" s="11"/>
      <c r="I889" s="11"/>
      <c r="J889" s="11"/>
    </row>
    <row r="890">
      <c r="B890" s="11"/>
      <c r="C890" s="11"/>
      <c r="D890" s="11"/>
      <c r="E890" s="11"/>
      <c r="F890" s="11"/>
      <c r="G890" s="11"/>
      <c r="H890" s="11"/>
      <c r="I890" s="11"/>
      <c r="J890" s="11"/>
    </row>
    <row r="891">
      <c r="B891" s="11"/>
      <c r="C891" s="11"/>
      <c r="D891" s="11"/>
      <c r="E891" s="11"/>
      <c r="F891" s="11"/>
      <c r="G891" s="11"/>
      <c r="H891" s="11"/>
      <c r="I891" s="11"/>
      <c r="J891" s="11"/>
    </row>
    <row r="892">
      <c r="B892" s="11"/>
      <c r="C892" s="11"/>
      <c r="D892" s="11"/>
      <c r="E892" s="11"/>
      <c r="F892" s="11"/>
      <c r="G892" s="11"/>
      <c r="H892" s="11"/>
      <c r="I892" s="11"/>
      <c r="J892" s="11"/>
    </row>
    <row r="893">
      <c r="B893" s="11"/>
      <c r="C893" s="11"/>
      <c r="D893" s="11"/>
      <c r="E893" s="11"/>
      <c r="F893" s="11"/>
      <c r="G893" s="11"/>
      <c r="H893" s="11"/>
      <c r="I893" s="11"/>
      <c r="J893" s="11"/>
    </row>
    <row r="894">
      <c r="B894" s="11"/>
      <c r="C894" s="11"/>
      <c r="D894" s="11"/>
      <c r="E894" s="11"/>
      <c r="F894" s="11"/>
      <c r="G894" s="11"/>
      <c r="H894" s="11"/>
      <c r="I894" s="11"/>
      <c r="J894" s="11"/>
    </row>
    <row r="895">
      <c r="B895" s="11"/>
      <c r="C895" s="11"/>
      <c r="D895" s="11"/>
      <c r="E895" s="11"/>
      <c r="F895" s="11"/>
      <c r="G895" s="11"/>
      <c r="H895" s="11"/>
      <c r="I895" s="11"/>
      <c r="J895" s="11"/>
    </row>
    <row r="896">
      <c r="B896" s="11"/>
      <c r="C896" s="11"/>
      <c r="D896" s="11"/>
      <c r="E896" s="11"/>
      <c r="F896" s="11"/>
      <c r="G896" s="11"/>
      <c r="H896" s="11"/>
      <c r="I896" s="11"/>
      <c r="J896" s="11"/>
    </row>
    <row r="897">
      <c r="B897" s="11"/>
      <c r="C897" s="11"/>
      <c r="D897" s="11"/>
      <c r="E897" s="11"/>
      <c r="F897" s="11"/>
      <c r="G897" s="11"/>
      <c r="H897" s="11"/>
      <c r="I897" s="11"/>
      <c r="J897" s="11"/>
    </row>
    <row r="898">
      <c r="B898" s="11"/>
      <c r="C898" s="11"/>
      <c r="D898" s="11"/>
      <c r="E898" s="11"/>
      <c r="F898" s="11"/>
      <c r="G898" s="11"/>
      <c r="H898" s="11"/>
      <c r="I898" s="11"/>
      <c r="J898" s="11"/>
    </row>
    <row r="899">
      <c r="B899" s="11"/>
      <c r="C899" s="11"/>
      <c r="D899" s="11"/>
      <c r="E899" s="11"/>
      <c r="F899" s="11"/>
      <c r="G899" s="11"/>
      <c r="H899" s="11"/>
      <c r="I899" s="11"/>
      <c r="J899" s="11"/>
    </row>
    <row r="900">
      <c r="B900" s="11"/>
      <c r="C900" s="11"/>
      <c r="D900" s="11"/>
      <c r="E900" s="11"/>
      <c r="F900" s="11"/>
      <c r="G900" s="11"/>
      <c r="H900" s="11"/>
      <c r="I900" s="11"/>
      <c r="J900" s="11"/>
    </row>
    <row r="901">
      <c r="B901" s="11"/>
      <c r="C901" s="11"/>
      <c r="D901" s="11"/>
      <c r="E901" s="11"/>
      <c r="F901" s="11"/>
      <c r="G901" s="11"/>
      <c r="H901" s="11"/>
      <c r="I901" s="11"/>
      <c r="J901" s="11"/>
    </row>
    <row r="902">
      <c r="B902" s="11"/>
      <c r="C902" s="11"/>
      <c r="D902" s="11"/>
      <c r="E902" s="11"/>
      <c r="F902" s="11"/>
      <c r="G902" s="11"/>
      <c r="H902" s="11"/>
      <c r="I902" s="11"/>
      <c r="J902" s="11"/>
    </row>
    <row r="903">
      <c r="B903" s="11"/>
      <c r="C903" s="11"/>
      <c r="D903" s="11"/>
      <c r="E903" s="11"/>
      <c r="F903" s="11"/>
      <c r="G903" s="11"/>
      <c r="H903" s="11"/>
      <c r="I903" s="11"/>
      <c r="J903" s="11"/>
    </row>
    <row r="904">
      <c r="B904" s="11"/>
      <c r="C904" s="11"/>
      <c r="D904" s="11"/>
      <c r="E904" s="11"/>
      <c r="F904" s="11"/>
      <c r="G904" s="11"/>
      <c r="H904" s="11"/>
      <c r="I904" s="11"/>
      <c r="J904" s="11"/>
    </row>
    <row r="905">
      <c r="B905" s="11"/>
      <c r="C905" s="11"/>
      <c r="D905" s="11"/>
      <c r="E905" s="11"/>
      <c r="F905" s="11"/>
      <c r="G905" s="11"/>
      <c r="H905" s="11"/>
      <c r="I905" s="11"/>
      <c r="J905" s="11"/>
    </row>
    <row r="906">
      <c r="B906" s="11"/>
      <c r="C906" s="11"/>
      <c r="D906" s="11"/>
      <c r="E906" s="11"/>
      <c r="F906" s="11"/>
      <c r="G906" s="11"/>
      <c r="H906" s="11"/>
      <c r="I906" s="11"/>
      <c r="J906" s="11"/>
    </row>
    <row r="907">
      <c r="B907" s="11"/>
      <c r="C907" s="11"/>
      <c r="D907" s="11"/>
      <c r="E907" s="11"/>
      <c r="F907" s="11"/>
      <c r="G907" s="11"/>
      <c r="H907" s="11"/>
      <c r="I907" s="11"/>
      <c r="J907" s="11"/>
    </row>
    <row r="908">
      <c r="B908" s="11"/>
      <c r="C908" s="11"/>
      <c r="D908" s="11"/>
      <c r="E908" s="11"/>
      <c r="F908" s="11"/>
      <c r="G908" s="11"/>
      <c r="H908" s="11"/>
      <c r="I908" s="11"/>
      <c r="J908" s="11"/>
    </row>
    <row r="909">
      <c r="B909" s="11"/>
      <c r="C909" s="11"/>
      <c r="D909" s="11"/>
      <c r="E909" s="11"/>
      <c r="F909" s="11"/>
      <c r="G909" s="11"/>
      <c r="H909" s="11"/>
      <c r="I909" s="11"/>
      <c r="J909" s="11"/>
    </row>
    <row r="910">
      <c r="B910" s="11"/>
      <c r="C910" s="11"/>
      <c r="D910" s="11"/>
      <c r="E910" s="11"/>
      <c r="F910" s="11"/>
      <c r="G910" s="11"/>
      <c r="H910" s="11"/>
      <c r="I910" s="11"/>
      <c r="J910" s="11"/>
    </row>
    <row r="911">
      <c r="B911" s="11"/>
      <c r="C911" s="11"/>
      <c r="D911" s="11"/>
      <c r="E911" s="11"/>
      <c r="F911" s="11"/>
      <c r="G911" s="11"/>
      <c r="H911" s="11"/>
      <c r="I911" s="11"/>
      <c r="J911" s="11"/>
    </row>
    <row r="912">
      <c r="B912" s="11"/>
      <c r="C912" s="11"/>
      <c r="D912" s="11"/>
      <c r="E912" s="11"/>
      <c r="F912" s="11"/>
      <c r="G912" s="11"/>
      <c r="H912" s="11"/>
      <c r="I912" s="11"/>
      <c r="J912" s="11"/>
    </row>
    <row r="913">
      <c r="B913" s="11"/>
      <c r="C913" s="11"/>
      <c r="D913" s="11"/>
      <c r="E913" s="11"/>
      <c r="F913" s="11"/>
      <c r="G913" s="11"/>
      <c r="H913" s="11"/>
      <c r="I913" s="11"/>
      <c r="J913" s="11"/>
    </row>
    <row r="914">
      <c r="B914" s="11"/>
      <c r="C914" s="11"/>
      <c r="D914" s="11"/>
      <c r="E914" s="11"/>
      <c r="F914" s="11"/>
      <c r="G914" s="11"/>
      <c r="H914" s="11"/>
      <c r="I914" s="11"/>
      <c r="J914" s="11"/>
    </row>
    <row r="915">
      <c r="B915" s="11"/>
      <c r="C915" s="11"/>
      <c r="D915" s="11"/>
      <c r="E915" s="11"/>
      <c r="F915" s="11"/>
      <c r="G915" s="11"/>
      <c r="H915" s="11"/>
      <c r="I915" s="11"/>
      <c r="J915" s="11"/>
    </row>
    <row r="916">
      <c r="B916" s="11"/>
      <c r="C916" s="11"/>
      <c r="D916" s="11"/>
      <c r="E916" s="11"/>
      <c r="F916" s="11"/>
      <c r="G916" s="11"/>
      <c r="H916" s="11"/>
      <c r="I916" s="11"/>
      <c r="J916" s="11"/>
    </row>
    <row r="917">
      <c r="B917" s="11"/>
      <c r="C917" s="11"/>
      <c r="D917" s="11"/>
      <c r="E917" s="11"/>
      <c r="F917" s="11"/>
      <c r="G917" s="11"/>
      <c r="H917" s="11"/>
      <c r="I917" s="11"/>
      <c r="J917" s="11"/>
    </row>
    <row r="918">
      <c r="B918" s="11"/>
      <c r="C918" s="11"/>
      <c r="D918" s="11"/>
      <c r="E918" s="11"/>
      <c r="F918" s="11"/>
      <c r="G918" s="11"/>
      <c r="H918" s="11"/>
      <c r="I918" s="11"/>
      <c r="J918" s="11"/>
    </row>
    <row r="919">
      <c r="B919" s="11"/>
      <c r="C919" s="11"/>
      <c r="D919" s="11"/>
      <c r="E919" s="11"/>
      <c r="F919" s="11"/>
      <c r="G919" s="11"/>
      <c r="H919" s="11"/>
      <c r="I919" s="11"/>
      <c r="J919" s="11"/>
    </row>
    <row r="920">
      <c r="B920" s="11"/>
      <c r="C920" s="11"/>
      <c r="D920" s="11"/>
      <c r="E920" s="11"/>
      <c r="F920" s="11"/>
      <c r="G920" s="11"/>
      <c r="H920" s="11"/>
      <c r="I920" s="11"/>
      <c r="J920" s="11"/>
    </row>
    <row r="921">
      <c r="B921" s="11"/>
      <c r="C921" s="11"/>
      <c r="D921" s="11"/>
      <c r="E921" s="11"/>
      <c r="F921" s="11"/>
      <c r="G921" s="11"/>
      <c r="H921" s="11"/>
      <c r="I921" s="11"/>
      <c r="J921" s="11"/>
    </row>
    <row r="922">
      <c r="B922" s="11"/>
      <c r="C922" s="11"/>
      <c r="D922" s="11"/>
      <c r="E922" s="11"/>
      <c r="F922" s="11"/>
      <c r="G922" s="11"/>
      <c r="H922" s="11"/>
      <c r="I922" s="11"/>
      <c r="J922" s="11"/>
    </row>
    <row r="923">
      <c r="B923" s="11"/>
      <c r="C923" s="11"/>
      <c r="D923" s="11"/>
      <c r="E923" s="11"/>
      <c r="F923" s="11"/>
      <c r="G923" s="11"/>
      <c r="H923" s="11"/>
      <c r="I923" s="11"/>
      <c r="J923" s="11"/>
    </row>
    <row r="924">
      <c r="B924" s="11"/>
      <c r="C924" s="11"/>
      <c r="D924" s="11"/>
      <c r="E924" s="11"/>
      <c r="F924" s="11"/>
      <c r="G924" s="11"/>
      <c r="H924" s="11"/>
      <c r="I924" s="11"/>
      <c r="J924" s="11"/>
    </row>
    <row r="925">
      <c r="B925" s="11"/>
      <c r="C925" s="11"/>
      <c r="D925" s="11"/>
      <c r="E925" s="11"/>
      <c r="F925" s="11"/>
      <c r="G925" s="11"/>
      <c r="H925" s="11"/>
      <c r="I925" s="11"/>
      <c r="J925" s="11"/>
    </row>
    <row r="926">
      <c r="B926" s="11"/>
      <c r="C926" s="11"/>
      <c r="D926" s="11"/>
      <c r="E926" s="11"/>
      <c r="F926" s="11"/>
      <c r="G926" s="11"/>
      <c r="H926" s="11"/>
      <c r="I926" s="11"/>
      <c r="J926" s="11"/>
    </row>
    <row r="927">
      <c r="B927" s="11"/>
      <c r="C927" s="11"/>
      <c r="D927" s="11"/>
      <c r="E927" s="11"/>
      <c r="F927" s="11"/>
      <c r="G927" s="11"/>
      <c r="H927" s="11"/>
      <c r="I927" s="11"/>
      <c r="J927" s="11"/>
    </row>
    <row r="928">
      <c r="B928" s="11"/>
      <c r="C928" s="11"/>
      <c r="D928" s="11"/>
      <c r="E928" s="11"/>
      <c r="F928" s="11"/>
      <c r="G928" s="11"/>
      <c r="H928" s="11"/>
      <c r="I928" s="11"/>
      <c r="J928" s="11"/>
    </row>
    <row r="929">
      <c r="B929" s="11"/>
      <c r="C929" s="11"/>
      <c r="D929" s="11"/>
      <c r="E929" s="11"/>
      <c r="F929" s="11"/>
      <c r="G929" s="11"/>
      <c r="H929" s="11"/>
      <c r="I929" s="11"/>
      <c r="J929" s="11"/>
    </row>
    <row r="930">
      <c r="B930" s="11"/>
      <c r="C930" s="11"/>
      <c r="D930" s="11"/>
      <c r="E930" s="11"/>
      <c r="F930" s="11"/>
      <c r="G930" s="11"/>
      <c r="H930" s="11"/>
      <c r="I930" s="11"/>
      <c r="J930" s="11"/>
    </row>
    <row r="931">
      <c r="B931" s="11"/>
      <c r="C931" s="11"/>
      <c r="D931" s="11"/>
      <c r="E931" s="11"/>
      <c r="F931" s="11"/>
      <c r="G931" s="11"/>
      <c r="H931" s="11"/>
      <c r="I931" s="11"/>
      <c r="J931" s="11"/>
    </row>
    <row r="932">
      <c r="B932" s="11"/>
      <c r="C932" s="11"/>
      <c r="D932" s="11"/>
      <c r="E932" s="11"/>
      <c r="F932" s="11"/>
      <c r="G932" s="11"/>
      <c r="H932" s="11"/>
      <c r="I932" s="11"/>
      <c r="J932" s="11"/>
    </row>
    <row r="933">
      <c r="B933" s="11"/>
      <c r="C933" s="11"/>
      <c r="D933" s="11"/>
      <c r="E933" s="11"/>
      <c r="F933" s="11"/>
      <c r="G933" s="11"/>
      <c r="H933" s="11"/>
      <c r="I933" s="11"/>
      <c r="J933" s="11"/>
    </row>
    <row r="934">
      <c r="B934" s="11"/>
      <c r="C934" s="11"/>
      <c r="D934" s="11"/>
      <c r="E934" s="11"/>
      <c r="F934" s="11"/>
      <c r="G934" s="11"/>
      <c r="H934" s="11"/>
      <c r="I934" s="11"/>
      <c r="J934" s="11"/>
    </row>
    <row r="935">
      <c r="B935" s="11"/>
      <c r="C935" s="11"/>
      <c r="D935" s="11"/>
      <c r="E935" s="11"/>
      <c r="F935" s="11"/>
      <c r="G935" s="11"/>
      <c r="H935" s="11"/>
      <c r="I935" s="11"/>
      <c r="J935" s="11"/>
    </row>
    <row r="936">
      <c r="B936" s="11"/>
      <c r="C936" s="11"/>
      <c r="D936" s="11"/>
      <c r="E936" s="11"/>
      <c r="F936" s="11"/>
      <c r="G936" s="11"/>
      <c r="H936" s="11"/>
      <c r="I936" s="11"/>
      <c r="J936" s="11"/>
    </row>
    <row r="937">
      <c r="B937" s="11"/>
      <c r="C937" s="11"/>
      <c r="D937" s="11"/>
      <c r="E937" s="11"/>
      <c r="F937" s="11"/>
      <c r="G937" s="11"/>
      <c r="H937" s="11"/>
      <c r="I937" s="11"/>
      <c r="J937" s="11"/>
    </row>
    <row r="938">
      <c r="B938" s="11"/>
      <c r="C938" s="11"/>
      <c r="D938" s="11"/>
      <c r="E938" s="11"/>
      <c r="F938" s="11"/>
      <c r="G938" s="11"/>
      <c r="H938" s="11"/>
      <c r="I938" s="11"/>
      <c r="J938" s="11"/>
    </row>
    <row r="939">
      <c r="B939" s="11"/>
      <c r="C939" s="11"/>
      <c r="D939" s="11"/>
      <c r="E939" s="11"/>
      <c r="F939" s="11"/>
      <c r="G939" s="11"/>
      <c r="H939" s="11"/>
      <c r="I939" s="11"/>
      <c r="J939" s="11"/>
    </row>
    <row r="940">
      <c r="B940" s="11"/>
      <c r="C940" s="11"/>
      <c r="D940" s="11"/>
      <c r="E940" s="11"/>
      <c r="F940" s="11"/>
      <c r="G940" s="11"/>
      <c r="H940" s="11"/>
      <c r="I940" s="11"/>
      <c r="J940" s="11"/>
    </row>
    <row r="941">
      <c r="B941" s="11"/>
      <c r="C941" s="11"/>
      <c r="D941" s="11"/>
      <c r="E941" s="11"/>
      <c r="F941" s="11"/>
      <c r="G941" s="11"/>
      <c r="H941" s="11"/>
      <c r="I941" s="11"/>
      <c r="J941" s="11"/>
    </row>
    <row r="942">
      <c r="B942" s="11"/>
      <c r="C942" s="11"/>
      <c r="D942" s="11"/>
      <c r="E942" s="11"/>
      <c r="F942" s="11"/>
      <c r="G942" s="11"/>
      <c r="H942" s="11"/>
      <c r="I942" s="11"/>
      <c r="J942" s="11"/>
    </row>
    <row r="943">
      <c r="B943" s="11"/>
      <c r="C943" s="11"/>
      <c r="D943" s="11"/>
      <c r="E943" s="11"/>
      <c r="F943" s="11"/>
      <c r="G943" s="11"/>
      <c r="H943" s="11"/>
      <c r="I943" s="11"/>
      <c r="J943" s="11"/>
    </row>
    <row r="944">
      <c r="B944" s="11"/>
      <c r="C944" s="11"/>
      <c r="D944" s="11"/>
      <c r="E944" s="11"/>
      <c r="F944" s="11"/>
      <c r="G944" s="11"/>
      <c r="H944" s="11"/>
      <c r="I944" s="11"/>
      <c r="J944" s="11"/>
    </row>
    <row r="945">
      <c r="B945" s="11"/>
      <c r="C945" s="11"/>
      <c r="D945" s="11"/>
      <c r="E945" s="11"/>
      <c r="F945" s="11"/>
      <c r="G945" s="11"/>
      <c r="H945" s="11"/>
      <c r="I945" s="11"/>
      <c r="J945" s="11"/>
    </row>
    <row r="946">
      <c r="B946" s="11"/>
      <c r="C946" s="11"/>
      <c r="D946" s="11"/>
      <c r="E946" s="11"/>
      <c r="F946" s="11"/>
      <c r="G946" s="11"/>
      <c r="H946" s="11"/>
      <c r="I946" s="11"/>
      <c r="J946" s="11"/>
    </row>
    <row r="947">
      <c r="B947" s="11"/>
      <c r="C947" s="11"/>
      <c r="D947" s="11"/>
      <c r="E947" s="11"/>
      <c r="F947" s="11"/>
      <c r="G947" s="11"/>
      <c r="H947" s="11"/>
      <c r="I947" s="11"/>
      <c r="J947" s="11"/>
    </row>
    <row r="948">
      <c r="B948" s="11"/>
      <c r="C948" s="11"/>
      <c r="D948" s="11"/>
      <c r="E948" s="11"/>
      <c r="F948" s="11"/>
      <c r="G948" s="11"/>
      <c r="H948" s="11"/>
      <c r="I948" s="11"/>
      <c r="J948" s="11"/>
    </row>
    <row r="949">
      <c r="B949" s="11"/>
      <c r="C949" s="11"/>
      <c r="D949" s="11"/>
      <c r="E949" s="11"/>
      <c r="F949" s="11"/>
      <c r="G949" s="11"/>
      <c r="H949" s="11"/>
      <c r="I949" s="11"/>
      <c r="J949" s="11"/>
    </row>
    <row r="950">
      <c r="B950" s="11"/>
      <c r="C950" s="11"/>
      <c r="D950" s="11"/>
      <c r="E950" s="11"/>
      <c r="F950" s="11"/>
      <c r="G950" s="11"/>
      <c r="H950" s="11"/>
      <c r="I950" s="11"/>
      <c r="J950" s="11"/>
    </row>
    <row r="951">
      <c r="B951" s="11"/>
      <c r="C951" s="11"/>
      <c r="D951" s="11"/>
      <c r="E951" s="11"/>
      <c r="F951" s="11"/>
      <c r="G951" s="11"/>
      <c r="H951" s="11"/>
      <c r="I951" s="11"/>
      <c r="J951" s="11"/>
    </row>
    <row r="952">
      <c r="B952" s="11"/>
      <c r="C952" s="11"/>
      <c r="D952" s="11"/>
      <c r="E952" s="11"/>
      <c r="F952" s="11"/>
      <c r="G952" s="11"/>
      <c r="H952" s="11"/>
      <c r="I952" s="11"/>
      <c r="J952" s="11"/>
    </row>
    <row r="953">
      <c r="B953" s="11"/>
      <c r="C953" s="11"/>
      <c r="D953" s="11"/>
      <c r="E953" s="11"/>
      <c r="F953" s="11"/>
      <c r="G953" s="11"/>
      <c r="H953" s="11"/>
      <c r="I953" s="11"/>
      <c r="J953" s="11"/>
    </row>
    <row r="954">
      <c r="B954" s="11"/>
      <c r="C954" s="11"/>
      <c r="D954" s="11"/>
      <c r="E954" s="11"/>
      <c r="F954" s="11"/>
      <c r="G954" s="11"/>
      <c r="H954" s="11"/>
      <c r="I954" s="11"/>
      <c r="J954" s="11"/>
    </row>
    <row r="955">
      <c r="B955" s="11"/>
      <c r="C955" s="11"/>
      <c r="D955" s="11"/>
      <c r="E955" s="11"/>
      <c r="F955" s="11"/>
      <c r="G955" s="11"/>
      <c r="H955" s="11"/>
      <c r="I955" s="11"/>
      <c r="J955" s="11"/>
    </row>
    <row r="956">
      <c r="B956" s="11"/>
      <c r="C956" s="11"/>
      <c r="D956" s="11"/>
      <c r="E956" s="11"/>
      <c r="F956" s="11"/>
      <c r="G956" s="11"/>
      <c r="H956" s="11"/>
      <c r="I956" s="11"/>
      <c r="J956" s="11"/>
    </row>
    <row r="957">
      <c r="B957" s="11"/>
      <c r="C957" s="11"/>
      <c r="D957" s="11"/>
      <c r="E957" s="11"/>
      <c r="F957" s="11"/>
      <c r="G957" s="11"/>
      <c r="H957" s="11"/>
      <c r="I957" s="11"/>
      <c r="J957" s="11"/>
    </row>
    <row r="958">
      <c r="B958" s="11"/>
      <c r="C958" s="11"/>
      <c r="D958" s="11"/>
      <c r="E958" s="11"/>
      <c r="F958" s="11"/>
      <c r="G958" s="11"/>
      <c r="H958" s="11"/>
      <c r="I958" s="11"/>
      <c r="J958" s="11"/>
    </row>
    <row r="959">
      <c r="B959" s="11"/>
      <c r="C959" s="11"/>
      <c r="D959" s="11"/>
      <c r="E959" s="11"/>
      <c r="F959" s="11"/>
      <c r="G959" s="11"/>
      <c r="H959" s="11"/>
      <c r="I959" s="11"/>
      <c r="J959" s="11"/>
    </row>
    <row r="960">
      <c r="B960" s="11"/>
      <c r="C960" s="11"/>
      <c r="D960" s="11"/>
      <c r="E960" s="11"/>
      <c r="F960" s="11"/>
      <c r="G960" s="11"/>
      <c r="H960" s="11"/>
      <c r="I960" s="11"/>
      <c r="J960" s="11"/>
    </row>
    <row r="961">
      <c r="B961" s="11"/>
      <c r="C961" s="11"/>
      <c r="D961" s="11"/>
      <c r="E961" s="11"/>
      <c r="F961" s="11"/>
      <c r="G961" s="11"/>
      <c r="H961" s="11"/>
      <c r="I961" s="11"/>
      <c r="J961" s="11"/>
    </row>
    <row r="962">
      <c r="B962" s="11"/>
      <c r="C962" s="11"/>
      <c r="D962" s="11"/>
      <c r="E962" s="11"/>
      <c r="F962" s="11"/>
      <c r="G962" s="11"/>
      <c r="H962" s="11"/>
      <c r="I962" s="11"/>
      <c r="J962" s="11"/>
    </row>
    <row r="963">
      <c r="B963" s="11"/>
      <c r="C963" s="11"/>
      <c r="D963" s="11"/>
      <c r="E963" s="11"/>
      <c r="F963" s="11"/>
      <c r="G963" s="11"/>
      <c r="H963" s="11"/>
      <c r="I963" s="11"/>
      <c r="J963" s="11"/>
    </row>
    <row r="964">
      <c r="B964" s="11"/>
      <c r="C964" s="11"/>
      <c r="D964" s="11"/>
      <c r="E964" s="11"/>
      <c r="F964" s="11"/>
      <c r="G964" s="11"/>
      <c r="H964" s="11"/>
      <c r="I964" s="11"/>
      <c r="J964" s="11"/>
    </row>
    <row r="965">
      <c r="B965" s="11"/>
      <c r="C965" s="11"/>
      <c r="D965" s="11"/>
      <c r="E965" s="11"/>
      <c r="F965" s="11"/>
      <c r="G965" s="11"/>
      <c r="H965" s="11"/>
      <c r="I965" s="11"/>
      <c r="J965" s="11"/>
    </row>
    <row r="966">
      <c r="B966" s="11"/>
      <c r="C966" s="11"/>
      <c r="D966" s="11"/>
      <c r="E966" s="11"/>
      <c r="F966" s="11"/>
      <c r="G966" s="11"/>
      <c r="H966" s="11"/>
      <c r="I966" s="11"/>
      <c r="J966" s="11"/>
    </row>
    <row r="967">
      <c r="B967" s="11"/>
      <c r="C967" s="11"/>
      <c r="D967" s="11"/>
      <c r="E967" s="11"/>
      <c r="F967" s="11"/>
      <c r="G967" s="11"/>
      <c r="H967" s="11"/>
      <c r="I967" s="11"/>
      <c r="J967" s="11"/>
    </row>
    <row r="968">
      <c r="B968" s="11"/>
      <c r="C968" s="11"/>
      <c r="D968" s="11"/>
      <c r="E968" s="11"/>
      <c r="F968" s="11"/>
      <c r="G968" s="11"/>
      <c r="H968" s="11"/>
      <c r="I968" s="11"/>
      <c r="J968" s="11"/>
    </row>
    <row r="969">
      <c r="B969" s="11"/>
      <c r="C969" s="11"/>
      <c r="D969" s="11"/>
      <c r="E969" s="11"/>
      <c r="F969" s="11"/>
      <c r="G969" s="11"/>
      <c r="H969" s="11"/>
      <c r="I969" s="11"/>
      <c r="J969" s="11"/>
    </row>
    <row r="970">
      <c r="B970" s="11"/>
      <c r="C970" s="11"/>
      <c r="D970" s="11"/>
      <c r="E970" s="11"/>
      <c r="F970" s="11"/>
      <c r="G970" s="11"/>
      <c r="H970" s="11"/>
      <c r="I970" s="11"/>
      <c r="J970" s="11"/>
    </row>
    <row r="971">
      <c r="B971" s="11"/>
      <c r="C971" s="11"/>
      <c r="D971" s="11"/>
      <c r="E971" s="11"/>
      <c r="F971" s="11"/>
      <c r="G971" s="11"/>
      <c r="H971" s="11"/>
      <c r="I971" s="11"/>
      <c r="J971" s="11"/>
    </row>
    <row r="972">
      <c r="B972" s="11"/>
      <c r="C972" s="11"/>
      <c r="D972" s="11"/>
      <c r="E972" s="11"/>
      <c r="F972" s="11"/>
      <c r="G972" s="11"/>
      <c r="H972" s="11"/>
      <c r="I972" s="11"/>
      <c r="J972" s="11"/>
    </row>
    <row r="973">
      <c r="B973" s="11"/>
      <c r="C973" s="11"/>
      <c r="D973" s="11"/>
      <c r="E973" s="11"/>
      <c r="F973" s="11"/>
      <c r="G973" s="11"/>
      <c r="H973" s="11"/>
      <c r="I973" s="11"/>
      <c r="J973" s="11"/>
    </row>
    <row r="974">
      <c r="B974" s="11"/>
      <c r="C974" s="11"/>
      <c r="D974" s="11"/>
      <c r="E974" s="11"/>
      <c r="F974" s="11"/>
      <c r="G974" s="11"/>
      <c r="H974" s="11"/>
      <c r="I974" s="11"/>
      <c r="J974" s="11"/>
    </row>
    <row r="975">
      <c r="B975" s="11"/>
      <c r="C975" s="11"/>
      <c r="D975" s="11"/>
      <c r="E975" s="11"/>
      <c r="F975" s="11"/>
      <c r="G975" s="11"/>
      <c r="H975" s="11"/>
      <c r="I975" s="11"/>
      <c r="J975" s="11"/>
    </row>
    <row r="976">
      <c r="B976" s="11"/>
      <c r="C976" s="11"/>
      <c r="D976" s="11"/>
      <c r="E976" s="11"/>
      <c r="F976" s="11"/>
      <c r="G976" s="11"/>
      <c r="H976" s="11"/>
      <c r="I976" s="11"/>
      <c r="J976" s="11"/>
    </row>
    <row r="977">
      <c r="B977" s="11"/>
      <c r="C977" s="11"/>
      <c r="D977" s="11"/>
      <c r="E977" s="11"/>
      <c r="F977" s="11"/>
      <c r="G977" s="11"/>
      <c r="H977" s="11"/>
      <c r="I977" s="11"/>
      <c r="J977" s="11"/>
    </row>
    <row r="978">
      <c r="B978" s="11"/>
      <c r="C978" s="11"/>
      <c r="D978" s="11"/>
      <c r="E978" s="11"/>
      <c r="F978" s="11"/>
      <c r="G978" s="11"/>
      <c r="H978" s="11"/>
      <c r="I978" s="11"/>
      <c r="J978" s="11"/>
    </row>
    <row r="979">
      <c r="B979" s="11"/>
      <c r="C979" s="11"/>
      <c r="D979" s="11"/>
      <c r="E979" s="11"/>
      <c r="F979" s="11"/>
      <c r="G979" s="11"/>
      <c r="H979" s="11"/>
      <c r="I979" s="11"/>
      <c r="J979" s="11"/>
    </row>
    <row r="980">
      <c r="B980" s="11"/>
      <c r="C980" s="11"/>
      <c r="D980" s="11"/>
      <c r="E980" s="11"/>
      <c r="F980" s="11"/>
      <c r="G980" s="11"/>
      <c r="H980" s="11"/>
      <c r="I980" s="11"/>
      <c r="J980" s="11"/>
    </row>
    <row r="981">
      <c r="B981" s="11"/>
      <c r="C981" s="11"/>
      <c r="D981" s="11"/>
      <c r="E981" s="11"/>
      <c r="F981" s="11"/>
      <c r="G981" s="11"/>
      <c r="H981" s="11"/>
      <c r="I981" s="11"/>
      <c r="J981" s="11"/>
    </row>
    <row r="982">
      <c r="B982" s="11"/>
      <c r="C982" s="11"/>
      <c r="D982" s="11"/>
      <c r="E982" s="11"/>
      <c r="F982" s="11"/>
      <c r="G982" s="11"/>
      <c r="H982" s="11"/>
      <c r="I982" s="11"/>
      <c r="J982" s="11"/>
    </row>
    <row r="983">
      <c r="B983" s="11"/>
      <c r="C983" s="11"/>
      <c r="D983" s="11"/>
      <c r="E983" s="11"/>
      <c r="F983" s="11"/>
      <c r="G983" s="11"/>
      <c r="H983" s="11"/>
      <c r="I983" s="11"/>
      <c r="J983" s="11"/>
    </row>
    <row r="984">
      <c r="B984" s="11"/>
      <c r="C984" s="11"/>
      <c r="D984" s="11"/>
      <c r="E984" s="11"/>
      <c r="F984" s="11"/>
      <c r="G984" s="11"/>
      <c r="H984" s="11"/>
      <c r="I984" s="11"/>
      <c r="J984" s="11"/>
    </row>
    <row r="985">
      <c r="B985" s="11"/>
      <c r="C985" s="11"/>
      <c r="D985" s="11"/>
      <c r="E985" s="11"/>
      <c r="F985" s="11"/>
      <c r="G985" s="11"/>
      <c r="H985" s="11"/>
      <c r="I985" s="11"/>
      <c r="J985" s="11"/>
    </row>
    <row r="986">
      <c r="B986" s="11"/>
      <c r="C986" s="11"/>
      <c r="D986" s="11"/>
      <c r="E986" s="11"/>
      <c r="F986" s="11"/>
      <c r="G986" s="11"/>
      <c r="H986" s="11"/>
      <c r="I986" s="11"/>
      <c r="J986" s="11"/>
    </row>
    <row r="987">
      <c r="B987" s="11"/>
      <c r="C987" s="11"/>
      <c r="D987" s="11"/>
      <c r="E987" s="11"/>
      <c r="F987" s="11"/>
      <c r="G987" s="11"/>
      <c r="H987" s="11"/>
      <c r="I987" s="11"/>
      <c r="J987" s="11"/>
    </row>
    <row r="988">
      <c r="B988" s="11"/>
      <c r="C988" s="11"/>
      <c r="D988" s="11"/>
      <c r="E988" s="11"/>
      <c r="F988" s="11"/>
      <c r="G988" s="11"/>
      <c r="H988" s="11"/>
      <c r="I988" s="11"/>
      <c r="J988" s="11"/>
    </row>
    <row r="989">
      <c r="B989" s="11"/>
      <c r="C989" s="11"/>
      <c r="D989" s="11"/>
      <c r="E989" s="11"/>
      <c r="F989" s="11"/>
      <c r="G989" s="11"/>
      <c r="H989" s="11"/>
      <c r="I989" s="11"/>
      <c r="J989" s="11"/>
    </row>
    <row r="990">
      <c r="B990" s="11"/>
      <c r="C990" s="11"/>
      <c r="D990" s="11"/>
      <c r="E990" s="11"/>
      <c r="F990" s="11"/>
      <c r="G990" s="11"/>
      <c r="H990" s="11"/>
      <c r="I990" s="11"/>
      <c r="J990" s="11"/>
    </row>
    <row r="991">
      <c r="B991" s="11"/>
      <c r="C991" s="11"/>
      <c r="D991" s="11"/>
      <c r="E991" s="11"/>
      <c r="F991" s="11"/>
      <c r="G991" s="11"/>
      <c r="H991" s="11"/>
      <c r="I991" s="11"/>
      <c r="J991" s="11"/>
    </row>
    <row r="992">
      <c r="B992" s="11"/>
      <c r="C992" s="11"/>
      <c r="D992" s="11"/>
      <c r="E992" s="11"/>
      <c r="F992" s="11"/>
      <c r="G992" s="11"/>
      <c r="H992" s="11"/>
      <c r="I992" s="11"/>
      <c r="J992" s="11"/>
    </row>
    <row r="993">
      <c r="B993" s="11"/>
      <c r="C993" s="11"/>
      <c r="D993" s="11"/>
      <c r="E993" s="11"/>
      <c r="F993" s="11"/>
      <c r="G993" s="11"/>
      <c r="H993" s="11"/>
      <c r="I993" s="11"/>
      <c r="J993" s="11"/>
    </row>
    <row r="994">
      <c r="B994" s="11"/>
      <c r="C994" s="11"/>
      <c r="D994" s="11"/>
      <c r="E994" s="11"/>
      <c r="F994" s="11"/>
      <c r="G994" s="11"/>
      <c r="H994" s="11"/>
      <c r="I994" s="11"/>
      <c r="J994" s="11"/>
    </row>
    <row r="995">
      <c r="B995" s="11"/>
      <c r="C995" s="11"/>
      <c r="D995" s="11"/>
      <c r="E995" s="11"/>
      <c r="F995" s="11"/>
      <c r="G995" s="11"/>
      <c r="H995" s="11"/>
      <c r="I995" s="11"/>
      <c r="J995" s="11"/>
    </row>
    <row r="996">
      <c r="B996" s="11"/>
      <c r="C996" s="11"/>
      <c r="D996" s="11"/>
      <c r="E996" s="11"/>
      <c r="F996" s="11"/>
      <c r="G996" s="11"/>
      <c r="H996" s="11"/>
      <c r="I996" s="11"/>
      <c r="J996" s="11"/>
    </row>
    <row r="997">
      <c r="B997" s="11"/>
      <c r="C997" s="11"/>
      <c r="D997" s="11"/>
      <c r="E997" s="11"/>
      <c r="F997" s="11"/>
      <c r="G997" s="11"/>
      <c r="H997" s="11"/>
      <c r="I997" s="11"/>
      <c r="J997" s="11"/>
    </row>
    <row r="998">
      <c r="B998" s="11"/>
      <c r="C998" s="11"/>
      <c r="D998" s="11"/>
      <c r="E998" s="11"/>
      <c r="F998" s="11"/>
      <c r="G998" s="11"/>
      <c r="H998" s="11"/>
      <c r="I998" s="11"/>
      <c r="J998" s="11"/>
    </row>
    <row r="999">
      <c r="B999" s="11"/>
      <c r="C999" s="11"/>
      <c r="D999" s="11"/>
      <c r="E999" s="11"/>
      <c r="F999" s="11"/>
      <c r="G999" s="11"/>
      <c r="H999" s="11"/>
      <c r="I999" s="11"/>
      <c r="J999" s="11"/>
    </row>
    <row r="1000">
      <c r="B1000" s="11"/>
      <c r="C1000" s="11"/>
      <c r="D1000" s="11"/>
      <c r="E1000" s="11"/>
      <c r="F1000" s="11"/>
      <c r="G1000" s="11"/>
      <c r="H1000" s="11"/>
      <c r="I1000" s="11"/>
      <c r="J1000" s="1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4.43" defaultRowHeight="15.75"/>
  <cols>
    <col customWidth="1" min="1" max="1" width="45.0"/>
    <col customWidth="1" min="5" max="5" width="30.86"/>
  </cols>
  <sheetData>
    <row r="1">
      <c r="A1" s="15" t="s">
        <v>785</v>
      </c>
      <c r="B1" s="28"/>
      <c r="C1" s="28"/>
      <c r="D1" s="28"/>
      <c r="E1" s="15" t="s">
        <v>786</v>
      </c>
      <c r="F1" s="28"/>
    </row>
    <row r="2">
      <c r="A2" s="28" t="str">
        <f>IFERROR(__xludf.DUMMYFUNCTION("QUERY({'Q14-rand (secondary)'!C2:C1000;'Q14-rand (secondary)'!D2:D1000;'Q14-rand (secondary)'!E2:E1000;'Q14-rand (secondary)'!F2:F1000;'Q14-rand (secondary)'!G2:G1000;'Q14-rand (secondary)'!H2:H1000;'Q14-rand (secondary)'!I2:I1000;'Q14-rand (secondary)'!J"&amp;"2:J1000;'Q14-rand (secondary)'!K2:K1000}, ""select Col1, count(Col1) where Col1 is not null group by Col1 order by Col1 asc"")"),"")</f>
        <v/>
      </c>
      <c r="B2" s="28" t="str">
        <f>IFERROR(__xludf.DUMMYFUNCTION("""COMPUTED_VALUE"""),"count ")</f>
        <v>count </v>
      </c>
      <c r="C2" s="28"/>
      <c r="D2" s="28"/>
      <c r="E2" s="28" t="str">
        <f>IFERROR(__xludf.DUMMYFUNCTION("QUERY({'Q14-rand (secondary)'!C2:C1000;'Q14-rand (secondary)'!D2:D1000;'Q14-rand (secondary)'!E2:E1000;'Q14-rand (secondary)'!F2:F1000;'Q14-rand (secondary)'!G2:G1000;'Q14-rand (secondary)'!H2:H1000;'Q14-rand (secondary)'!I2:I1000;'Q14-rand (secondary)'!J"&amp;"2:J1000;'Q14-rand (secondary)'!K2:K1000}, ""select Col1, count(Col1) where Col1 is not null and not Col1 contains '-&gt;' group by Col1 order by count(Col1) asc"")"),"")</f>
        <v/>
      </c>
      <c r="F2" s="28" t="str">
        <f>IFERROR(__xludf.DUMMYFUNCTION("""COMPUTED_VALUE"""),"count ")</f>
        <v>count </v>
      </c>
    </row>
    <row r="3">
      <c r="A3" t="str">
        <f>IFERROR(__xludf.DUMMYFUNCTION("""COMPUTED_VALUE"""),"app_beneficial")</f>
        <v>app_beneficial</v>
      </c>
      <c r="B3">
        <f>IFERROR(__xludf.DUMMYFUNCTION("""COMPUTED_VALUE"""),1.0)</f>
        <v>1</v>
      </c>
      <c r="E3" t="str">
        <f>IFERROR(__xludf.DUMMYFUNCTION("""COMPUTED_VALUE"""),"app_beneficial")</f>
        <v>app_beneficial</v>
      </c>
      <c r="F3">
        <f>IFERROR(__xludf.DUMMYFUNCTION("""COMPUTED_VALUE"""),1.0)</f>
        <v>1</v>
      </c>
    </row>
    <row r="4">
      <c r="A4" t="str">
        <f>IFERROR(__xludf.DUMMYFUNCTION("""COMPUTED_VALUE"""),"app_not_beneficial")</f>
        <v>app_not_beneficial</v>
      </c>
      <c r="B4">
        <f>IFERROR(__xludf.DUMMYFUNCTION("""COMPUTED_VALUE"""),1.0)</f>
        <v>1</v>
      </c>
      <c r="E4" t="str">
        <f>IFERROR(__xludf.DUMMYFUNCTION("""COMPUTED_VALUE"""),"app_not_beneficial")</f>
        <v>app_not_beneficial</v>
      </c>
      <c r="F4">
        <f>IFERROR(__xludf.DUMMYFUNCTION("""COMPUTED_VALUE"""),1.0)</f>
        <v>1</v>
      </c>
    </row>
    <row r="5">
      <c r="A5" t="str">
        <f>IFERROR(__xludf.DUMMYFUNCTION("""COMPUTED_VALUE"""),"concerned")</f>
        <v>concerned</v>
      </c>
      <c r="B5">
        <f>IFERROR(__xludf.DUMMYFUNCTION("""COMPUTED_VALUE"""),6.0)</f>
        <v>6</v>
      </c>
      <c r="E5" t="str">
        <f>IFERROR(__xludf.DUMMYFUNCTION("""COMPUTED_VALUE"""),"resigned")</f>
        <v>resigned</v>
      </c>
      <c r="F5">
        <f>IFERROR(__xludf.DUMMYFUNCTION("""COMPUTED_VALUE"""),1.0)</f>
        <v>1</v>
      </c>
    </row>
    <row r="6">
      <c r="A6" t="str">
        <f>IFERROR(__xludf.DUMMYFUNCTION("""COMPUTED_VALUE"""),"concerned-&gt;permissions")</f>
        <v>concerned-&gt;permissions</v>
      </c>
      <c r="B6">
        <f>IFERROR(__xludf.DUMMYFUNCTION("""COMPUTED_VALUE"""),4.0)</f>
        <v>4</v>
      </c>
      <c r="E6" t="str">
        <f>IFERROR(__xludf.DUMMYFUNCTION("""COMPUTED_VALUE"""),"trust_app")</f>
        <v>trust_app</v>
      </c>
      <c r="F6">
        <f>IFERROR(__xludf.DUMMYFUNCTION("""COMPUTED_VALUE"""),1.0)</f>
        <v>1</v>
      </c>
    </row>
    <row r="7">
      <c r="A7" t="str">
        <f>IFERROR(__xludf.DUMMYFUNCTION("""COMPUTED_VALUE"""),"concerned-&gt;permissions-&gt;google_drive")</f>
        <v>concerned-&gt;permissions-&gt;google_drive</v>
      </c>
      <c r="B7">
        <f>IFERROR(__xludf.DUMMYFUNCTION("""COMPUTED_VALUE"""),1.0)</f>
        <v>1</v>
      </c>
      <c r="E7" t="str">
        <f>IFERROR(__xludf.DUMMYFUNCTION("""COMPUTED_VALUE"""),"will_review_app_access")</f>
        <v>will_review_app_access</v>
      </c>
      <c r="F7">
        <f>IFERROR(__xludf.DUMMYFUNCTION("""COMPUTED_VALUE"""),1.0)</f>
        <v>1</v>
      </c>
    </row>
    <row r="8">
      <c r="A8" t="str">
        <f>IFERROR(__xludf.DUMMYFUNCTION("""COMPUTED_VALUE"""),"concerned-&gt;personal_data")</f>
        <v>concerned-&gt;personal_data</v>
      </c>
      <c r="B8">
        <f>IFERROR(__xludf.DUMMYFUNCTION("""COMPUTED_VALUE"""),1.0)</f>
        <v>1</v>
      </c>
      <c r="E8" t="str">
        <f>IFERROR(__xludf.DUMMYFUNCTION("""COMPUTED_VALUE"""),"do_not_recall_authorizing")</f>
        <v>do_not_recall_authorizing</v>
      </c>
      <c r="F8">
        <f>IFERROR(__xludf.DUMMYFUNCTION("""COMPUTED_VALUE"""),2.0)</f>
        <v>2</v>
      </c>
    </row>
    <row r="9">
      <c r="A9" t="str">
        <f>IFERROR(__xludf.DUMMYFUNCTION("""COMPUTED_VALUE"""),"concerned-&gt;unecessary_access_to_data")</f>
        <v>concerned-&gt;unecessary_access_to_data</v>
      </c>
      <c r="B9">
        <f>IFERROR(__xludf.DUMMYFUNCTION("""COMPUTED_VALUE"""),1.0)</f>
        <v>1</v>
      </c>
      <c r="E9" t="str">
        <f>IFERROR(__xludf.DUMMYFUNCTION("""COMPUTED_VALUE"""),"will_remove_app_access")</f>
        <v>will_remove_app_access</v>
      </c>
      <c r="F9">
        <f>IFERROR(__xludf.DUMMYFUNCTION("""COMPUTED_VALUE"""),2.0)</f>
        <v>2</v>
      </c>
    </row>
    <row r="10">
      <c r="A10" t="str">
        <f>IFERROR(__xludf.DUMMYFUNCTION("""COMPUTED_VALUE"""),"do_not_recall_authorizing")</f>
        <v>do_not_recall_authorizing</v>
      </c>
      <c r="B10">
        <f>IFERROR(__xludf.DUMMYFUNCTION("""COMPUTED_VALUE"""),2.0)</f>
        <v>2</v>
      </c>
      <c r="E10" t="str">
        <f>IFERROR(__xludf.DUMMYFUNCTION("""COMPUTED_VALUE"""),"infrequent_use")</f>
        <v>infrequent_use</v>
      </c>
      <c r="F10">
        <f>IFERROR(__xludf.DUMMYFUNCTION("""COMPUTED_VALUE"""),5.0)</f>
        <v>5</v>
      </c>
    </row>
    <row r="11">
      <c r="A11" t="str">
        <f>IFERROR(__xludf.DUMMYFUNCTION("""COMPUTED_VALUE"""),"infrequent_use")</f>
        <v>infrequent_use</v>
      </c>
      <c r="B11">
        <f>IFERROR(__xludf.DUMMYFUNCTION("""COMPUTED_VALUE"""),5.0)</f>
        <v>5</v>
      </c>
      <c r="E11" t="str">
        <f>IFERROR(__xludf.DUMMYFUNCTION("""COMPUTED_VALUE"""),"unknowns")</f>
        <v>unknowns</v>
      </c>
      <c r="F11">
        <f>IFERROR(__xludf.DUMMYFUNCTION("""COMPUTED_VALUE"""),5.0)</f>
        <v>5</v>
      </c>
    </row>
    <row r="12">
      <c r="A12" t="str">
        <f>IFERROR(__xludf.DUMMYFUNCTION("""COMPUTED_VALUE"""),"resigned")</f>
        <v>resigned</v>
      </c>
      <c r="B12">
        <f>IFERROR(__xludf.DUMMYFUNCTION("""COMPUTED_VALUE"""),1.0)</f>
        <v>1</v>
      </c>
      <c r="E12" t="str">
        <f>IFERROR(__xludf.DUMMYFUNCTION("""COMPUTED_VALUE"""),"concerned")</f>
        <v>concerned</v>
      </c>
      <c r="F12">
        <f>IFERROR(__xludf.DUMMYFUNCTION("""COMPUTED_VALUE"""),6.0)</f>
        <v>6</v>
      </c>
    </row>
    <row r="13">
      <c r="A13" t="str">
        <f>IFERROR(__xludf.DUMMYFUNCTION("""COMPUTED_VALUE"""),"trust_app")</f>
        <v>trust_app</v>
      </c>
      <c r="B13">
        <f>IFERROR(__xludf.DUMMYFUNCTION("""COMPUTED_VALUE"""),1.0)</f>
        <v>1</v>
      </c>
      <c r="E13" t="str">
        <f>IFERROR(__xludf.DUMMYFUNCTION("""COMPUTED_VALUE"""),"unconcerned")</f>
        <v>unconcerned</v>
      </c>
      <c r="F13">
        <f>IFERROR(__xludf.DUMMYFUNCTION("""COMPUTED_VALUE"""),8.0)</f>
        <v>8</v>
      </c>
    </row>
    <row r="14">
      <c r="A14" t="str">
        <f>IFERROR(__xludf.DUMMYFUNCTION("""COMPUTED_VALUE"""),"unconcerned")</f>
        <v>unconcerned</v>
      </c>
      <c r="B14">
        <f>IFERROR(__xludf.DUMMYFUNCTION("""COMPUTED_VALUE"""),8.0)</f>
        <v>8</v>
      </c>
    </row>
    <row r="15">
      <c r="A15" t="str">
        <f>IFERROR(__xludf.DUMMYFUNCTION("""COMPUTED_VALUE"""),"unconcerned-&gt;permissions_necessary")</f>
        <v>unconcerned-&gt;permissions_necessary</v>
      </c>
      <c r="B15">
        <f>IFERROR(__xludf.DUMMYFUNCTION("""COMPUTED_VALUE"""),1.0)</f>
        <v>1</v>
      </c>
    </row>
    <row r="16">
      <c r="A16" t="str">
        <f>IFERROR(__xludf.DUMMYFUNCTION("""COMPUTED_VALUE"""),"unknowns")</f>
        <v>unknowns</v>
      </c>
      <c r="B16">
        <f>IFERROR(__xludf.DUMMYFUNCTION("""COMPUTED_VALUE"""),5.0)</f>
        <v>5</v>
      </c>
    </row>
    <row r="17">
      <c r="A17" t="str">
        <f>IFERROR(__xludf.DUMMYFUNCTION("""COMPUTED_VALUE"""),"unknowns-&gt;how_data_used")</f>
        <v>unknowns-&gt;how_data_used</v>
      </c>
      <c r="B17">
        <f>IFERROR(__xludf.DUMMYFUNCTION("""COMPUTED_VALUE"""),3.0)</f>
        <v>3</v>
      </c>
    </row>
    <row r="18">
      <c r="A18" t="str">
        <f>IFERROR(__xludf.DUMMYFUNCTION("""COMPUTED_VALUE"""),"unknowns-&gt;what_permission_allows")</f>
        <v>unknowns-&gt;what_permission_allows</v>
      </c>
      <c r="B18">
        <f>IFERROR(__xludf.DUMMYFUNCTION("""COMPUTED_VALUE"""),1.0)</f>
        <v>1</v>
      </c>
    </row>
    <row r="19">
      <c r="A19" t="str">
        <f>IFERROR(__xludf.DUMMYFUNCTION("""COMPUTED_VALUE"""),"will_remove_app_access")</f>
        <v>will_remove_app_access</v>
      </c>
      <c r="B19">
        <f>IFERROR(__xludf.DUMMYFUNCTION("""COMPUTED_VALUE"""),2.0)</f>
        <v>2</v>
      </c>
    </row>
    <row r="20">
      <c r="A20" t="str">
        <f>IFERROR(__xludf.DUMMYFUNCTION("""COMPUTED_VALUE"""),"will_review_app_access")</f>
        <v>will_review_app_access</v>
      </c>
      <c r="B20">
        <f>IFERROR(__xludf.DUMMYFUNCTION("""COMPUTED_VALUE"""),1.0)</f>
        <v>1</v>
      </c>
    </row>
  </sheetData>
  <drawing r:id="rId1"/>
</worksheet>
</file>